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24226"/>
  <mc:AlternateContent xmlns:mc="http://schemas.openxmlformats.org/markup-compatibility/2006">
    <mc:Choice Requires="x15">
      <x15ac:absPath xmlns:x15ac="http://schemas.microsoft.com/office/spreadsheetml/2010/11/ac" url="C:\Users\YULIED.PENARANDA.SDA\Desktop\2021\ENERO 2022\PLAN DE ACCIÓN\Plan de Acción finales\"/>
    </mc:Choice>
  </mc:AlternateContent>
  <xr:revisionPtr revIDLastSave="0" documentId="8_{640FE140-A950-4CD4-8B4D-80DECA66B282}" xr6:coauthVersionLast="47" xr6:coauthVersionMax="47" xr10:uidLastSave="{00000000-0000-0000-0000-000000000000}"/>
  <bookViews>
    <workbookView xWindow="-120" yWindow="-120" windowWidth="20730" windowHeight="11160" tabRatio="747" xr2:uid="{00000000-000D-0000-FFFF-FFFF00000000}"/>
  </bookViews>
  <sheets>
    <sheet name="GESTIÓN" sheetId="5" r:id="rId1"/>
    <sheet name="INVERSIÓN" sheetId="6" r:id="rId2"/>
    <sheet name="ACTIVIDADES" sheetId="7" r:id="rId3"/>
    <sheet name="TERRITORIALIZACIÓN " sheetId="16" r:id="rId4"/>
    <sheet name="SPI" sheetId="17" r:id="rId5"/>
    <sheet name="TERRITORIALIZACIÓN" sheetId="15" state="hidden" r:id="rId6"/>
  </sheets>
  <externalReferences>
    <externalReference r:id="rId7"/>
    <externalReference r:id="rId8"/>
    <externalReference r:id="rId9"/>
    <externalReference r:id="rId10"/>
    <externalReference r:id="rId11"/>
    <externalReference r:id="rId12"/>
    <externalReference r:id="rId13"/>
  </externalReferences>
  <definedNames>
    <definedName name="_xlnm._FilterDatabase" localSheetId="2" hidden="1">ACTIVIDADES!#REF!</definedName>
    <definedName name="_xlnm._FilterDatabase" localSheetId="0" hidden="1">GESTIÓN!$A$12:$FC$12</definedName>
    <definedName name="_xlnm._FilterDatabase" localSheetId="1" hidden="1">INVERSIÓN!$A$9:$FB$82</definedName>
    <definedName name="_xlnm._FilterDatabase" localSheetId="3" hidden="1">'TERRITORIALIZACIÓN '!$A$8:$AY$990</definedName>
    <definedName name="_xlnm.Print_Area" localSheetId="2">ACTIVIDADES!$A$1:$V$62</definedName>
    <definedName name="_xlnm.Print_Area" localSheetId="0">GESTIÓN!$A$1:$FC$17</definedName>
    <definedName name="_xlnm.Print_Area" localSheetId="1">INVERSIÓN!$A$1:$FA$84</definedName>
    <definedName name="CONDICION_POBLACIONAL" localSheetId="4">[1]Variables!$C$1:$C$24</definedName>
    <definedName name="CONDICION_POBLACIONAL" localSheetId="5">[2]Variables!$C$1:$C$24</definedName>
    <definedName name="CONDICION_POBLACIONAL" localSheetId="3">[2]Variables!$C$1:$C$24</definedName>
    <definedName name="CONDICION_POBLACIONAL">[3]Variables!$C$1:$C$24</definedName>
    <definedName name="GRUPO_ETAREO" localSheetId="4">[1]Variables!$A$1:$A$8</definedName>
    <definedName name="GRUPO_ETAREO" localSheetId="5">[2]Variables!$A$1:$A$8</definedName>
    <definedName name="GRUPO_ETAREO" localSheetId="3">[2]Variables!$A$1:$A$8</definedName>
    <definedName name="GRUPO_ETAREO">[3]Variables!$A$1:$A$8</definedName>
    <definedName name="GRUPO_ETAREOS" localSheetId="4">#REF!</definedName>
    <definedName name="GRUPO_ETAREOS" localSheetId="5">#REF!</definedName>
    <definedName name="GRUPO_ETAREOS" localSheetId="3">#REF!</definedName>
    <definedName name="GRUPO_ETAREOS">#REF!</definedName>
    <definedName name="GRUPO_ETARIO" localSheetId="4">#REF!</definedName>
    <definedName name="GRUPO_ETARIO" localSheetId="5">#REF!</definedName>
    <definedName name="GRUPO_ETARIO" localSheetId="3">#REF!</definedName>
    <definedName name="GRUPO_ETARIO">#REF!</definedName>
    <definedName name="GRUPO_ETNICO" localSheetId="4">#REF!</definedName>
    <definedName name="GRUPO_ETNICO" localSheetId="5">#REF!</definedName>
    <definedName name="GRUPO_ETNICO" localSheetId="3">#REF!</definedName>
    <definedName name="GRUPO_ETNICO">#REF!</definedName>
    <definedName name="GRUPOETNICO" localSheetId="4">#REF!</definedName>
    <definedName name="GRUPOETNICO" localSheetId="5">#REF!</definedName>
    <definedName name="GRUPOETNICO" localSheetId="3">#REF!</definedName>
    <definedName name="GRUPOETNICO">#REF!</definedName>
    <definedName name="GRUPOS_ETNICOS" localSheetId="4">[1]Variables!$H$1:$H$8</definedName>
    <definedName name="GRUPOS_ETNICOS" localSheetId="5">[2]Variables!$H$1:$H$8</definedName>
    <definedName name="GRUPOS_ETNICOS" localSheetId="3">[2]Variables!$H$1:$H$8</definedName>
    <definedName name="GRUPOS_ETNICOS">[3]Variables!$H$1:$H$8</definedName>
    <definedName name="LOCALIDAD" localSheetId="4">#REF!</definedName>
    <definedName name="LOCALIDAD" localSheetId="5">#REF!</definedName>
    <definedName name="LOCALIDAD" localSheetId="3">#REF!</definedName>
    <definedName name="LOCALIDAD">#REF!</definedName>
    <definedName name="LOCALIZACION" localSheetId="4">#REF!</definedName>
    <definedName name="LOCALIZACION" localSheetId="5">#REF!</definedName>
    <definedName name="LOCALIZACION" localSheetId="3">#REF!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7" i="6" l="1"/>
  <c r="G74" i="6"/>
  <c r="G70" i="6"/>
  <c r="G67" i="6"/>
  <c r="G63" i="6"/>
  <c r="G60" i="6"/>
  <c r="G56" i="6"/>
  <c r="G53" i="6"/>
  <c r="G49" i="6"/>
  <c r="G46" i="6"/>
  <c r="G42" i="6"/>
  <c r="G39" i="6"/>
  <c r="G35" i="6"/>
  <c r="G32" i="6"/>
  <c r="G28" i="6"/>
  <c r="G25" i="6"/>
  <c r="G21" i="6"/>
  <c r="G18" i="6"/>
  <c r="G14" i="6"/>
  <c r="G11" i="6"/>
  <c r="AE989" i="16"/>
  <c r="ER10" i="6"/>
  <c r="AE869" i="16"/>
  <c r="AE868" i="16"/>
  <c r="R869" i="16"/>
  <c r="R868" i="16"/>
  <c r="R959" i="16"/>
  <c r="R793" i="16"/>
  <c r="R792" i="16"/>
  <c r="AE792" i="16"/>
  <c r="AE793" i="16"/>
  <c r="AE649" i="16" l="1"/>
  <c r="AE648" i="16"/>
  <c r="R649" i="16"/>
  <c r="R648" i="16"/>
  <c r="AE197" i="16"/>
  <c r="AE297" i="16"/>
  <c r="AE145" i="16"/>
  <c r="AE144" i="16"/>
  <c r="R145" i="16"/>
  <c r="R144" i="16"/>
  <c r="BG14" i="5"/>
  <c r="Q17" i="16"/>
  <c r="R17" i="16"/>
  <c r="R849" i="16"/>
  <c r="CJ24" i="6"/>
  <c r="CJ80" i="6"/>
  <c r="BE45" i="6" l="1"/>
  <c r="G81" i="6"/>
  <c r="G80" i="6"/>
  <c r="S11" i="7"/>
  <c r="S12" i="7"/>
  <c r="BG13" i="5"/>
  <c r="BF13" i="5"/>
  <c r="BE13" i="5"/>
  <c r="BD14" i="5"/>
  <c r="BD15" i="5"/>
  <c r="BD16" i="5"/>
  <c r="BD17" i="5"/>
  <c r="BD13" i="5"/>
  <c r="EU13" i="5" s="1"/>
  <c r="G427" i="17" l="1"/>
  <c r="G426" i="17"/>
  <c r="G425" i="17"/>
  <c r="G424" i="17"/>
  <c r="G423" i="17"/>
  <c r="M145" i="17"/>
  <c r="J145" i="17"/>
  <c r="M144" i="17"/>
  <c r="J144" i="17"/>
  <c r="M143" i="17"/>
  <c r="J143" i="17"/>
  <c r="M142" i="17"/>
  <c r="J142" i="17"/>
  <c r="AE957" i="16" l="1"/>
  <c r="AE953" i="16"/>
  <c r="AE903" i="16"/>
  <c r="AE963" i="16" s="1"/>
  <c r="AE899" i="16"/>
  <c r="AE959" i="16" s="1"/>
  <c r="R957" i="16"/>
  <c r="R903" i="16"/>
  <c r="AE981" i="16"/>
  <c r="R981" i="16"/>
  <c r="AE960" i="16"/>
  <c r="AE961" i="16"/>
  <c r="R963" i="16"/>
  <c r="R897" i="16"/>
  <c r="AE897" i="16"/>
  <c r="AE887" i="16"/>
  <c r="AE888" i="16"/>
  <c r="AE889" i="16"/>
  <c r="AE890" i="16"/>
  <c r="AE886" i="16"/>
  <c r="AE885" i="16"/>
  <c r="AE891" i="16" s="1"/>
  <c r="AE867" i="16"/>
  <c r="AE863" i="16"/>
  <c r="AE861" i="16"/>
  <c r="AE857" i="16"/>
  <c r="AE855" i="16"/>
  <c r="AE851" i="16"/>
  <c r="AE849" i="16"/>
  <c r="AE845" i="16"/>
  <c r="AE843" i="16"/>
  <c r="AE839" i="16"/>
  <c r="AE837" i="16"/>
  <c r="AE833" i="16"/>
  <c r="AE831" i="16"/>
  <c r="AE827" i="16"/>
  <c r="AE813" i="16"/>
  <c r="AE809" i="16"/>
  <c r="R867" i="16"/>
  <c r="R863" i="16"/>
  <c r="R861" i="16"/>
  <c r="R857" i="16"/>
  <c r="R855" i="16"/>
  <c r="R851" i="16"/>
  <c r="R845" i="16"/>
  <c r="R843" i="16"/>
  <c r="R839" i="16"/>
  <c r="R837" i="16"/>
  <c r="R833" i="16"/>
  <c r="R831" i="16"/>
  <c r="R827" i="16"/>
  <c r="R813" i="16"/>
  <c r="R809" i="16"/>
  <c r="AE807" i="16"/>
  <c r="R807" i="16"/>
  <c r="AE789" i="16"/>
  <c r="AE785" i="16"/>
  <c r="AE777" i="16"/>
  <c r="AE773" i="16"/>
  <c r="AE771" i="16"/>
  <c r="AE767" i="16"/>
  <c r="AE765" i="16"/>
  <c r="AE761" i="16"/>
  <c r="AE759" i="16"/>
  <c r="AE755" i="16"/>
  <c r="AE753" i="16"/>
  <c r="AE749" i="16"/>
  <c r="AE747" i="16"/>
  <c r="AE743" i="16"/>
  <c r="AE741" i="16"/>
  <c r="AE737" i="16"/>
  <c r="AE735" i="16"/>
  <c r="AE731" i="16"/>
  <c r="AE729" i="16"/>
  <c r="AE725" i="16"/>
  <c r="AE723" i="16"/>
  <c r="AE719" i="16"/>
  <c r="AE717" i="16"/>
  <c r="AE713" i="16"/>
  <c r="AE711" i="16"/>
  <c r="AE707" i="16"/>
  <c r="AE699" i="16"/>
  <c r="AE695" i="16"/>
  <c r="AE693" i="16"/>
  <c r="AE689" i="16"/>
  <c r="AE687" i="16"/>
  <c r="AE683" i="16"/>
  <c r="AE681" i="16"/>
  <c r="AE677" i="16"/>
  <c r="R789" i="16"/>
  <c r="R785" i="16"/>
  <c r="R777" i="16"/>
  <c r="R773" i="16"/>
  <c r="R771" i="16"/>
  <c r="R767" i="16"/>
  <c r="R765" i="16"/>
  <c r="R761" i="16"/>
  <c r="R759" i="16"/>
  <c r="R755" i="16"/>
  <c r="R753" i="16"/>
  <c r="R749" i="16"/>
  <c r="R747" i="16"/>
  <c r="R743" i="16"/>
  <c r="R741" i="16"/>
  <c r="R737" i="16"/>
  <c r="R735" i="16"/>
  <c r="R731" i="16"/>
  <c r="R729" i="16"/>
  <c r="R725" i="16"/>
  <c r="R723" i="16"/>
  <c r="R719" i="16"/>
  <c r="R717" i="16"/>
  <c r="R713" i="16"/>
  <c r="R711" i="16"/>
  <c r="R707" i="16"/>
  <c r="R699" i="16"/>
  <c r="R695" i="16"/>
  <c r="R693" i="16"/>
  <c r="R689" i="16"/>
  <c r="R687" i="16"/>
  <c r="R683" i="16"/>
  <c r="R681" i="16"/>
  <c r="R677" i="16"/>
  <c r="AE675" i="16"/>
  <c r="R675" i="16"/>
  <c r="AE669" i="16"/>
  <c r="AE668" i="16"/>
  <c r="AE667" i="16"/>
  <c r="AE666" i="16"/>
  <c r="AE665" i="16"/>
  <c r="AE664" i="16"/>
  <c r="R669" i="16"/>
  <c r="R668" i="16"/>
  <c r="R667" i="16"/>
  <c r="R666" i="16"/>
  <c r="R665" i="16"/>
  <c r="R664" i="16"/>
  <c r="AE651" i="16"/>
  <c r="AE647" i="16"/>
  <c r="AE633" i="16"/>
  <c r="AE629" i="16"/>
  <c r="AE597" i="16"/>
  <c r="AE593" i="16"/>
  <c r="AE591" i="16"/>
  <c r="AE587" i="16"/>
  <c r="AE585" i="16"/>
  <c r="AE581" i="16"/>
  <c r="AE579" i="16"/>
  <c r="AE575" i="16"/>
  <c r="AE573" i="16"/>
  <c r="AE569" i="16"/>
  <c r="AE561" i="16"/>
  <c r="AE557" i="16"/>
  <c r="AE555" i="16"/>
  <c r="AE551" i="16"/>
  <c r="AE549" i="16"/>
  <c r="AE545" i="16"/>
  <c r="AE531" i="16"/>
  <c r="AE527" i="16"/>
  <c r="AE525" i="16"/>
  <c r="AE521" i="16"/>
  <c r="AE519" i="16"/>
  <c r="AE515" i="16"/>
  <c r="AE513" i="16"/>
  <c r="AE509" i="16"/>
  <c r="AE483" i="16"/>
  <c r="AE479" i="16"/>
  <c r="AE477" i="16"/>
  <c r="AE473" i="16"/>
  <c r="AE471" i="16"/>
  <c r="AE467" i="16"/>
  <c r="AE465" i="16"/>
  <c r="AE461" i="16"/>
  <c r="AE459" i="16"/>
  <c r="AE455" i="16"/>
  <c r="AE453" i="16"/>
  <c r="AE449" i="16"/>
  <c r="AE447" i="16"/>
  <c r="AE443" i="16"/>
  <c r="AE441" i="16"/>
  <c r="AE437" i="16"/>
  <c r="AE435" i="16"/>
  <c r="AE431" i="16"/>
  <c r="AE429" i="16"/>
  <c r="AE425" i="16"/>
  <c r="AE423" i="16"/>
  <c r="AE419" i="16"/>
  <c r="AE417" i="16"/>
  <c r="AE413" i="16"/>
  <c r="AE411" i="16"/>
  <c r="AE407" i="16"/>
  <c r="AE405" i="16"/>
  <c r="AE401" i="16"/>
  <c r="AE399" i="16"/>
  <c r="AE395" i="16"/>
  <c r="AE393" i="16"/>
  <c r="AE389" i="16"/>
  <c r="AE387" i="16"/>
  <c r="AE383" i="16"/>
  <c r="AE381" i="16"/>
  <c r="AE377" i="16"/>
  <c r="AE375" i="16"/>
  <c r="AE371" i="16"/>
  <c r="AE369" i="16"/>
  <c r="AE365" i="16"/>
  <c r="AE363" i="16"/>
  <c r="AE359" i="16"/>
  <c r="AE357" i="16"/>
  <c r="AE353" i="16"/>
  <c r="AE351" i="16"/>
  <c r="AE347" i="16"/>
  <c r="AE345" i="16"/>
  <c r="AE341" i="16"/>
  <c r="AE339" i="16"/>
  <c r="AE335" i="16"/>
  <c r="AE333" i="16"/>
  <c r="AE329" i="16"/>
  <c r="AE327" i="16"/>
  <c r="AE323" i="16"/>
  <c r="AE321" i="16"/>
  <c r="AE317" i="16"/>
  <c r="AE315" i="16"/>
  <c r="AE311" i="16"/>
  <c r="R651" i="16"/>
  <c r="R647" i="16"/>
  <c r="R633" i="16"/>
  <c r="R629" i="16"/>
  <c r="R597" i="16"/>
  <c r="R593" i="16"/>
  <c r="R591" i="16"/>
  <c r="R587" i="16"/>
  <c r="R585" i="16"/>
  <c r="R581" i="16"/>
  <c r="R579" i="16"/>
  <c r="R575" i="16"/>
  <c r="R573" i="16"/>
  <c r="R569" i="16"/>
  <c r="R561" i="16"/>
  <c r="R557" i="16"/>
  <c r="R555" i="16"/>
  <c r="R551" i="16"/>
  <c r="R549" i="16"/>
  <c r="R545" i="16"/>
  <c r="R531" i="16"/>
  <c r="R527" i="16"/>
  <c r="R525" i="16"/>
  <c r="R521" i="16"/>
  <c r="R519" i="16"/>
  <c r="R515" i="16"/>
  <c r="R513" i="16"/>
  <c r="R509" i="16"/>
  <c r="R483" i="16"/>
  <c r="R479" i="16"/>
  <c r="R477" i="16"/>
  <c r="R473" i="16"/>
  <c r="R471" i="16"/>
  <c r="R467" i="16"/>
  <c r="R465" i="16"/>
  <c r="R461" i="16"/>
  <c r="R459" i="16"/>
  <c r="R455" i="16"/>
  <c r="R453" i="16"/>
  <c r="R449" i="16"/>
  <c r="R447" i="16"/>
  <c r="R443" i="16"/>
  <c r="R441" i="16"/>
  <c r="R437" i="16"/>
  <c r="R435" i="16"/>
  <c r="R431" i="16"/>
  <c r="R429" i="16"/>
  <c r="R425" i="16"/>
  <c r="R423" i="16"/>
  <c r="R419" i="16"/>
  <c r="R417" i="16"/>
  <c r="R413" i="16"/>
  <c r="R411" i="16"/>
  <c r="R407" i="16"/>
  <c r="R405" i="16"/>
  <c r="R401" i="16"/>
  <c r="R399" i="16"/>
  <c r="R395" i="16"/>
  <c r="R393" i="16"/>
  <c r="R389" i="16"/>
  <c r="R387" i="16"/>
  <c r="R383" i="16"/>
  <c r="R381" i="16"/>
  <c r="R377" i="16"/>
  <c r="R375" i="16"/>
  <c r="R371" i="16"/>
  <c r="R369" i="16"/>
  <c r="R365" i="16"/>
  <c r="R363" i="16"/>
  <c r="R359" i="16"/>
  <c r="R357" i="16"/>
  <c r="R353" i="16"/>
  <c r="R351" i="16"/>
  <c r="R347" i="16"/>
  <c r="R345" i="16"/>
  <c r="R341" i="16"/>
  <c r="R339" i="16"/>
  <c r="R335" i="16"/>
  <c r="R333" i="16"/>
  <c r="R329" i="16"/>
  <c r="R327" i="16"/>
  <c r="R323" i="16"/>
  <c r="R321" i="16"/>
  <c r="R317" i="16"/>
  <c r="R315" i="16"/>
  <c r="R311" i="16"/>
  <c r="AE654" i="16"/>
  <c r="AE655" i="16"/>
  <c r="AE656" i="16"/>
  <c r="AE652" i="16"/>
  <c r="R654" i="16"/>
  <c r="R655" i="16"/>
  <c r="R656" i="16"/>
  <c r="R652" i="16"/>
  <c r="AE294" i="16"/>
  <c r="AE295" i="16"/>
  <c r="AE296" i="16"/>
  <c r="AE292" i="16"/>
  <c r="AE279" i="16"/>
  <c r="AE275" i="16"/>
  <c r="AE273" i="16"/>
  <c r="AE269" i="16"/>
  <c r="AE267" i="16"/>
  <c r="AE263" i="16"/>
  <c r="AE255" i="16"/>
  <c r="AE251" i="16"/>
  <c r="AE249" i="16"/>
  <c r="AE245" i="16"/>
  <c r="AE237" i="16"/>
  <c r="AE233" i="16"/>
  <c r="AE231" i="16"/>
  <c r="AE227" i="16"/>
  <c r="AE225" i="16"/>
  <c r="AE221" i="16"/>
  <c r="AE219" i="16"/>
  <c r="AE215" i="16"/>
  <c r="AE213" i="16"/>
  <c r="AE209" i="16"/>
  <c r="AE207" i="16"/>
  <c r="AE203" i="16"/>
  <c r="AE201" i="16"/>
  <c r="AE189" i="16"/>
  <c r="AE185" i="16"/>
  <c r="AE177" i="16"/>
  <c r="AE173" i="16"/>
  <c r="AE171" i="16"/>
  <c r="AE167" i="16"/>
  <c r="AE165" i="16"/>
  <c r="AE161" i="16"/>
  <c r="R293" i="16"/>
  <c r="R297" i="16" s="1"/>
  <c r="R291" i="16"/>
  <c r="R287" i="16"/>
  <c r="R279" i="16"/>
  <c r="R275" i="16"/>
  <c r="R273" i="16"/>
  <c r="R269" i="16"/>
  <c r="R267" i="16"/>
  <c r="R263" i="16"/>
  <c r="R255" i="16"/>
  <c r="R251" i="16"/>
  <c r="R249" i="16"/>
  <c r="R245" i="16"/>
  <c r="R237" i="16"/>
  <c r="R233" i="16"/>
  <c r="R231" i="16"/>
  <c r="R227" i="16"/>
  <c r="R225" i="16"/>
  <c r="R221" i="16"/>
  <c r="R219" i="16"/>
  <c r="R215" i="16"/>
  <c r="R213" i="16"/>
  <c r="R209" i="16"/>
  <c r="R207" i="16"/>
  <c r="R203" i="16"/>
  <c r="R201" i="16"/>
  <c r="R197" i="16"/>
  <c r="R189" i="16"/>
  <c r="R185" i="16"/>
  <c r="R177" i="16"/>
  <c r="R173" i="16"/>
  <c r="R171" i="16"/>
  <c r="R167" i="16"/>
  <c r="R165" i="16"/>
  <c r="R161" i="16"/>
  <c r="R159" i="16"/>
  <c r="AE159" i="16"/>
  <c r="AE141" i="16"/>
  <c r="AE137" i="16"/>
  <c r="AE135" i="16"/>
  <c r="AE131" i="16"/>
  <c r="AE123" i="16"/>
  <c r="AE119" i="16"/>
  <c r="AE117" i="16"/>
  <c r="AE113" i="16"/>
  <c r="AE111" i="16"/>
  <c r="AE107" i="16"/>
  <c r="AE105" i="16"/>
  <c r="AE101" i="16"/>
  <c r="AE99" i="16"/>
  <c r="AE95" i="16"/>
  <c r="AE93" i="16"/>
  <c r="AE89" i="16"/>
  <c r="AE87" i="16"/>
  <c r="AE83" i="16"/>
  <c r="AE81" i="16"/>
  <c r="AE77" i="16"/>
  <c r="AE75" i="16"/>
  <c r="AE71" i="16"/>
  <c r="AE69" i="16"/>
  <c r="AE65" i="16"/>
  <c r="AE51" i="16"/>
  <c r="AE47" i="16"/>
  <c r="AE45" i="16"/>
  <c r="AE41" i="16"/>
  <c r="AE39" i="16"/>
  <c r="AE35" i="16"/>
  <c r="AE33" i="16"/>
  <c r="AE29" i="16"/>
  <c r="AE27" i="16"/>
  <c r="AE23" i="16"/>
  <c r="AE21" i="16"/>
  <c r="AE17" i="16"/>
  <c r="R137" i="16"/>
  <c r="R131" i="16"/>
  <c r="R119" i="16"/>
  <c r="R113" i="16"/>
  <c r="R107" i="16"/>
  <c r="R101" i="16"/>
  <c r="R95" i="16"/>
  <c r="R89" i="16"/>
  <c r="R83" i="16"/>
  <c r="R77" i="16"/>
  <c r="R71" i="16"/>
  <c r="R65" i="16"/>
  <c r="R47" i="16"/>
  <c r="R41" i="16"/>
  <c r="R35" i="16"/>
  <c r="R29" i="16"/>
  <c r="R23" i="16"/>
  <c r="R147" i="16"/>
  <c r="R141" i="16"/>
  <c r="R135" i="16"/>
  <c r="R123" i="16"/>
  <c r="R117" i="16"/>
  <c r="R111" i="16"/>
  <c r="R105" i="16"/>
  <c r="R99" i="16"/>
  <c r="R93" i="16"/>
  <c r="R87" i="16"/>
  <c r="R81" i="16"/>
  <c r="R75" i="16"/>
  <c r="R69" i="16"/>
  <c r="R51" i="16"/>
  <c r="R45" i="16"/>
  <c r="R39" i="16"/>
  <c r="R33" i="16"/>
  <c r="R27" i="16"/>
  <c r="R21" i="16"/>
  <c r="R152" i="16"/>
  <c r="R148" i="16"/>
  <c r="AE152" i="16"/>
  <c r="AE148" i="16"/>
  <c r="ER17" i="6"/>
  <c r="AY74" i="6"/>
  <c r="BA33" i="6"/>
  <c r="AY33" i="6"/>
  <c r="BB33" i="6" s="1"/>
  <c r="BC33" i="6"/>
  <c r="BB17" i="6"/>
  <c r="BC17" i="6"/>
  <c r="R989" i="16"/>
  <c r="R988" i="16"/>
  <c r="AD989" i="16"/>
  <c r="AE988" i="16"/>
  <c r="AE983" i="16"/>
  <c r="AE984" i="16"/>
  <c r="AE985" i="16"/>
  <c r="AE986" i="16"/>
  <c r="AE987" i="16"/>
  <c r="AE982" i="16"/>
  <c r="R983" i="16"/>
  <c r="R984" i="16"/>
  <c r="R985" i="16"/>
  <c r="R986" i="16"/>
  <c r="R987" i="16"/>
  <c r="R982" i="16"/>
  <c r="BB20" i="6"/>
  <c r="BB22" i="6"/>
  <c r="BB24" i="6"/>
  <c r="BB25" i="6"/>
  <c r="BB27" i="6"/>
  <c r="BB28" i="6"/>
  <c r="BB29" i="6"/>
  <c r="BB31" i="6"/>
  <c r="BB32" i="6"/>
  <c r="BB34" i="6"/>
  <c r="BB36" i="6"/>
  <c r="BB38" i="6"/>
  <c r="BB40" i="6"/>
  <c r="BB43" i="6"/>
  <c r="BB45" i="6"/>
  <c r="BB48" i="6"/>
  <c r="BB50" i="6"/>
  <c r="BB52" i="6"/>
  <c r="BB54" i="6"/>
  <c r="BB57" i="6"/>
  <c r="BB59" i="6"/>
  <c r="BB62" i="6"/>
  <c r="BB64" i="6"/>
  <c r="BB66" i="6"/>
  <c r="BB67" i="6"/>
  <c r="BB68" i="6"/>
  <c r="BB69" i="6"/>
  <c r="BB71" i="6"/>
  <c r="BB73" i="6"/>
  <c r="BB78" i="6"/>
  <c r="BB15" i="6"/>
  <c r="BB13" i="6"/>
  <c r="BB10" i="6"/>
  <c r="AE293" i="16" l="1"/>
  <c r="BB76" i="6"/>
  <c r="AY80" i="6"/>
  <c r="R149" i="16"/>
  <c r="AE657" i="16"/>
  <c r="AE653" i="16"/>
  <c r="R657" i="16"/>
  <c r="R653" i="16"/>
  <c r="AE153" i="16"/>
  <c r="AE149" i="16"/>
  <c r="R153" i="16"/>
  <c r="AE990" i="16"/>
  <c r="R990" i="16"/>
  <c r="AE975" i="16" l="1"/>
  <c r="AE974" i="16"/>
  <c r="AE973" i="16"/>
  <c r="AE972" i="16"/>
  <c r="AE971" i="16"/>
  <c r="AE970" i="16"/>
  <c r="R975" i="16"/>
  <c r="R974" i="16"/>
  <c r="R973" i="16"/>
  <c r="R972" i="16"/>
  <c r="R971" i="16"/>
  <c r="R970" i="16"/>
  <c r="R887" i="16" l="1"/>
  <c r="R888" i="16"/>
  <c r="R889" i="16"/>
  <c r="R890" i="16"/>
  <c r="R886" i="16"/>
  <c r="R885" i="16"/>
  <c r="R891" i="16" s="1"/>
  <c r="AE875" i="16"/>
  <c r="AE876" i="16"/>
  <c r="AE877" i="16"/>
  <c r="AE878" i="16"/>
  <c r="AE879" i="16"/>
  <c r="AE874" i="16"/>
  <c r="R875" i="16"/>
  <c r="R876" i="16"/>
  <c r="R877" i="16"/>
  <c r="R878" i="16"/>
  <c r="R879" i="16"/>
  <c r="R874" i="16"/>
  <c r="R797" i="16"/>
  <c r="R798" i="16"/>
  <c r="R799" i="16"/>
  <c r="R800" i="16"/>
  <c r="R801" i="16"/>
  <c r="AE797" i="16"/>
  <c r="AE798" i="16"/>
  <c r="AE799" i="16"/>
  <c r="AE800" i="16"/>
  <c r="AE801" i="16"/>
  <c r="R796" i="16"/>
  <c r="AE796" i="16"/>
  <c r="AG784" i="16"/>
  <c r="AG778" i="16"/>
  <c r="AG772" i="16"/>
  <c r="AG766" i="16"/>
  <c r="AG760" i="16"/>
  <c r="AG754" i="16"/>
  <c r="AG748" i="16"/>
  <c r="AG742" i="16"/>
  <c r="AG736" i="16"/>
  <c r="AG730" i="16"/>
  <c r="AG724" i="16"/>
  <c r="AG718" i="16"/>
  <c r="AG712" i="16"/>
  <c r="AG706" i="16"/>
  <c r="AG700" i="16"/>
  <c r="AG694" i="16"/>
  <c r="AG688" i="16"/>
  <c r="AG682" i="16"/>
  <c r="AD333" i="16" l="1"/>
  <c r="AC333" i="16"/>
  <c r="AD329" i="16"/>
  <c r="AC329" i="16"/>
  <c r="BE12" i="6" l="1"/>
  <c r="BE17" i="5" l="1"/>
  <c r="BE16" i="5"/>
  <c r="BE15" i="5"/>
  <c r="BE14" i="5"/>
  <c r="M138" i="17" l="1"/>
  <c r="G422" i="17" l="1"/>
  <c r="G421" i="17"/>
  <c r="G420" i="17"/>
  <c r="G419" i="17"/>
  <c r="G418" i="17"/>
  <c r="M141" i="17"/>
  <c r="J141" i="17"/>
  <c r="M140" i="17"/>
  <c r="J140" i="17"/>
  <c r="M139" i="17"/>
  <c r="J139" i="17"/>
  <c r="J138" i="17"/>
  <c r="AD897" i="16"/>
  <c r="AD988" i="16"/>
  <c r="AD983" i="16"/>
  <c r="AD984" i="16"/>
  <c r="AD985" i="16"/>
  <c r="AD986" i="16"/>
  <c r="AD987" i="16"/>
  <c r="AD982" i="16"/>
  <c r="Q989" i="16"/>
  <c r="P989" i="16"/>
  <c r="Q988" i="16"/>
  <c r="Q987" i="16"/>
  <c r="Q986" i="16"/>
  <c r="Q985" i="16"/>
  <c r="Q984" i="16"/>
  <c r="Q983" i="16"/>
  <c r="Q982" i="16"/>
  <c r="AD975" i="16"/>
  <c r="AD974" i="16"/>
  <c r="AD973" i="16"/>
  <c r="AD972" i="16"/>
  <c r="AD971" i="16"/>
  <c r="AD970" i="16"/>
  <c r="Q971" i="16"/>
  <c r="Q972" i="16"/>
  <c r="Q973" i="16"/>
  <c r="Q974" i="16"/>
  <c r="Q975" i="16"/>
  <c r="Q970" i="16"/>
  <c r="AD960" i="16"/>
  <c r="AD961" i="16"/>
  <c r="AD962" i="16"/>
  <c r="AD957" i="16"/>
  <c r="AD953" i="16"/>
  <c r="AD903" i="16"/>
  <c r="AD899" i="16"/>
  <c r="Q957" i="16"/>
  <c r="Q953" i="16"/>
  <c r="Q903" i="16"/>
  <c r="Q899" i="16"/>
  <c r="Q963" i="16"/>
  <c r="Q959" i="16"/>
  <c r="AD959" i="16" l="1"/>
  <c r="AD963" i="16"/>
  <c r="Q990" i="16"/>
  <c r="AD990" i="16"/>
  <c r="AD890" i="16"/>
  <c r="AD889" i="16"/>
  <c r="AD888" i="16"/>
  <c r="AD887" i="16"/>
  <c r="AD886" i="16"/>
  <c r="AD885" i="16"/>
  <c r="AD891" i="16" s="1"/>
  <c r="Q885" i="16"/>
  <c r="AD873" i="16"/>
  <c r="AD869" i="16"/>
  <c r="AD867" i="16"/>
  <c r="AD863" i="16"/>
  <c r="AD861" i="16"/>
  <c r="AD857" i="16"/>
  <c r="AD855" i="16"/>
  <c r="AD851" i="16"/>
  <c r="AD849" i="16"/>
  <c r="AD845" i="16"/>
  <c r="AD837" i="16"/>
  <c r="AD833" i="16"/>
  <c r="AD831" i="16"/>
  <c r="AD827" i="16"/>
  <c r="AD813" i="16"/>
  <c r="AD809" i="16"/>
  <c r="Q873" i="16"/>
  <c r="Q869" i="16"/>
  <c r="Q867" i="16"/>
  <c r="Q863" i="16"/>
  <c r="Q861" i="16"/>
  <c r="Q857" i="16"/>
  <c r="Q855" i="16"/>
  <c r="Q851" i="16"/>
  <c r="Q849" i="16"/>
  <c r="Q845" i="16"/>
  <c r="Q837" i="16"/>
  <c r="Q833" i="16"/>
  <c r="Q831" i="16"/>
  <c r="Q827" i="16"/>
  <c r="Q813" i="16"/>
  <c r="Q809" i="16"/>
  <c r="AD876" i="16"/>
  <c r="AD877" i="16"/>
  <c r="AD878" i="16"/>
  <c r="AD874" i="16"/>
  <c r="Q876" i="16"/>
  <c r="Q877" i="16"/>
  <c r="Q878" i="16"/>
  <c r="Q874" i="16"/>
  <c r="AD807" i="16"/>
  <c r="AD798" i="16"/>
  <c r="AD799" i="16"/>
  <c r="AD800" i="16"/>
  <c r="AD789" i="16"/>
  <c r="AD785" i="16"/>
  <c r="AD777" i="16"/>
  <c r="AD773" i="16"/>
  <c r="AD771" i="16"/>
  <c r="AD767" i="16"/>
  <c r="AD765" i="16"/>
  <c r="AD761" i="16"/>
  <c r="AD759" i="16"/>
  <c r="AD755" i="16"/>
  <c r="AD753" i="16"/>
  <c r="AD749" i="16"/>
  <c r="AD747" i="16"/>
  <c r="AD743" i="16"/>
  <c r="AD741" i="16"/>
  <c r="AD737" i="16"/>
  <c r="AD735" i="16"/>
  <c r="AD731" i="16"/>
  <c r="AD729" i="16"/>
  <c r="AD725" i="16"/>
  <c r="AD723" i="16"/>
  <c r="AD719" i="16"/>
  <c r="AD717" i="16"/>
  <c r="AD713" i="16"/>
  <c r="AD711" i="16"/>
  <c r="AD707" i="16"/>
  <c r="AD693" i="16"/>
  <c r="AD689" i="16"/>
  <c r="AD687" i="16"/>
  <c r="AD683" i="16"/>
  <c r="AD681" i="16"/>
  <c r="AD677" i="16"/>
  <c r="Q795" i="16"/>
  <c r="Q791" i="16"/>
  <c r="Q789" i="16"/>
  <c r="Q785" i="16"/>
  <c r="Q777" i="16"/>
  <c r="Q773" i="16"/>
  <c r="Q771" i="16"/>
  <c r="Q767" i="16"/>
  <c r="Q765" i="16"/>
  <c r="Q761" i="16"/>
  <c r="Q759" i="16"/>
  <c r="Q755" i="16"/>
  <c r="Q753" i="16"/>
  <c r="Q749" i="16"/>
  <c r="Q747" i="16"/>
  <c r="Q743" i="16"/>
  <c r="Q741" i="16"/>
  <c r="Q737" i="16"/>
  <c r="Q735" i="16"/>
  <c r="Q731" i="16"/>
  <c r="Q729" i="16"/>
  <c r="Q725" i="16"/>
  <c r="Q723" i="16"/>
  <c r="Q719" i="16"/>
  <c r="Q717" i="16"/>
  <c r="Q713" i="16"/>
  <c r="Q711" i="16"/>
  <c r="Q707" i="16"/>
  <c r="Q693" i="16"/>
  <c r="Q689" i="16"/>
  <c r="Q687" i="16"/>
  <c r="Q683" i="16"/>
  <c r="Q681" i="16"/>
  <c r="Q677" i="16"/>
  <c r="AD796" i="16"/>
  <c r="P798" i="16"/>
  <c r="P799" i="16"/>
  <c r="P800" i="16"/>
  <c r="P796" i="16"/>
  <c r="Q798" i="16"/>
  <c r="Q799" i="16"/>
  <c r="Q800" i="16"/>
  <c r="Q796" i="16"/>
  <c r="AD675" i="16"/>
  <c r="Q652" i="16"/>
  <c r="Q654" i="16"/>
  <c r="Q655" i="16"/>
  <c r="Q656" i="16"/>
  <c r="AD665" i="16"/>
  <c r="AD666" i="16"/>
  <c r="AD667" i="16"/>
  <c r="AD668" i="16"/>
  <c r="AD664" i="16"/>
  <c r="Q665" i="16"/>
  <c r="Q666" i="16"/>
  <c r="Q667" i="16"/>
  <c r="Q668" i="16"/>
  <c r="Q669" i="16"/>
  <c r="Q664" i="16"/>
  <c r="AD663" i="16"/>
  <c r="AD669" i="16" s="1"/>
  <c r="AD654" i="16"/>
  <c r="AD655" i="16"/>
  <c r="AD656" i="16"/>
  <c r="AD652" i="16"/>
  <c r="AD633" i="16"/>
  <c r="AD629" i="16"/>
  <c r="AD597" i="16"/>
  <c r="AD593" i="16"/>
  <c r="AD591" i="16"/>
  <c r="AD587" i="16"/>
  <c r="AD585" i="16"/>
  <c r="AD581" i="16"/>
  <c r="AD579" i="16"/>
  <c r="AD575" i="16"/>
  <c r="AD573" i="16"/>
  <c r="AD569" i="16"/>
  <c r="AD561" i="16"/>
  <c r="AD557" i="16"/>
  <c r="AD555" i="16"/>
  <c r="AD551" i="16"/>
  <c r="AD549" i="16"/>
  <c r="AD545" i="16"/>
  <c r="AD531" i="16"/>
  <c r="AD527" i="16"/>
  <c r="AD525" i="16"/>
  <c r="AD521" i="16"/>
  <c r="AD519" i="16"/>
  <c r="AD515" i="16"/>
  <c r="AD513" i="16"/>
  <c r="AD509" i="16"/>
  <c r="AD483" i="16"/>
  <c r="AD479" i="16"/>
  <c r="AD477" i="16"/>
  <c r="AD473" i="16"/>
  <c r="AD471" i="16"/>
  <c r="AD467" i="16"/>
  <c r="AD465" i="16"/>
  <c r="AD461" i="16"/>
  <c r="AD459" i="16"/>
  <c r="AD455" i="16"/>
  <c r="AD453" i="16"/>
  <c r="AD449" i="16"/>
  <c r="AD447" i="16"/>
  <c r="AD443" i="16"/>
  <c r="AD441" i="16"/>
  <c r="AD437" i="16"/>
  <c r="AD435" i="16"/>
  <c r="AD431" i="16"/>
  <c r="AD429" i="16"/>
  <c r="AD425" i="16"/>
  <c r="AD423" i="16"/>
  <c r="AD419" i="16"/>
  <c r="AD417" i="16"/>
  <c r="AD413" i="16"/>
  <c r="AD411" i="16"/>
  <c r="AD407" i="16"/>
  <c r="AD405" i="16"/>
  <c r="AD401" i="16"/>
  <c r="AD399" i="16"/>
  <c r="AD395" i="16"/>
  <c r="AD393" i="16"/>
  <c r="AD389" i="16"/>
  <c r="AD387" i="16"/>
  <c r="AD383" i="16"/>
  <c r="AD381" i="16"/>
  <c r="AD377" i="16"/>
  <c r="AD375" i="16"/>
  <c r="AD371" i="16"/>
  <c r="AD369" i="16"/>
  <c r="AD365" i="16"/>
  <c r="AD363" i="16"/>
  <c r="AD359" i="16"/>
  <c r="AD357" i="16"/>
  <c r="AD353" i="16"/>
  <c r="AD351" i="16"/>
  <c r="AD347" i="16"/>
  <c r="AD345" i="16"/>
  <c r="AD341" i="16"/>
  <c r="AD339" i="16"/>
  <c r="AD335" i="16"/>
  <c r="AD327" i="16"/>
  <c r="AD323" i="16"/>
  <c r="AD321" i="16"/>
  <c r="AD317" i="16"/>
  <c r="Q651" i="16"/>
  <c r="Q647" i="16"/>
  <c r="Q633" i="16"/>
  <c r="Q629" i="16"/>
  <c r="Q597" i="16"/>
  <c r="Q593" i="16"/>
  <c r="Q591" i="16"/>
  <c r="Q587" i="16"/>
  <c r="Q585" i="16"/>
  <c r="Q581" i="16"/>
  <c r="Q579" i="16"/>
  <c r="Q575" i="16"/>
  <c r="Q573" i="16"/>
  <c r="Q569" i="16"/>
  <c r="Q561" i="16"/>
  <c r="Q557" i="16"/>
  <c r="Q555" i="16"/>
  <c r="Q551" i="16"/>
  <c r="Q549" i="16"/>
  <c r="Q545" i="16"/>
  <c r="Q531" i="16"/>
  <c r="Q527" i="16"/>
  <c r="Q525" i="16"/>
  <c r="Q521" i="16"/>
  <c r="Q519" i="16"/>
  <c r="Q515" i="16"/>
  <c r="Q513" i="16"/>
  <c r="Q509" i="16"/>
  <c r="Q483" i="16"/>
  <c r="Q479" i="16"/>
  <c r="Q477" i="16"/>
  <c r="Q473" i="16"/>
  <c r="Q471" i="16"/>
  <c r="Q467" i="16"/>
  <c r="Q465" i="16"/>
  <c r="Q461" i="16"/>
  <c r="Q459" i="16"/>
  <c r="Q455" i="16"/>
  <c r="Q453" i="16"/>
  <c r="Q449" i="16"/>
  <c r="Q447" i="16"/>
  <c r="Q443" i="16"/>
  <c r="Q441" i="16"/>
  <c r="Q437" i="16"/>
  <c r="Q435" i="16"/>
  <c r="Q431" i="16"/>
  <c r="Q429" i="16"/>
  <c r="Q425" i="16"/>
  <c r="Q423" i="16"/>
  <c r="Q419" i="16"/>
  <c r="Q417" i="16"/>
  <c r="Q413" i="16"/>
  <c r="Q411" i="16"/>
  <c r="Q407" i="16"/>
  <c r="Q405" i="16"/>
  <c r="Q401" i="16"/>
  <c r="Q399" i="16"/>
  <c r="Q395" i="16"/>
  <c r="Q393" i="16"/>
  <c r="Q389" i="16"/>
  <c r="Q387" i="16"/>
  <c r="Q383" i="16"/>
  <c r="Q381" i="16"/>
  <c r="Q377" i="16"/>
  <c r="Q375" i="16"/>
  <c r="Q371" i="16"/>
  <c r="Q369" i="16"/>
  <c r="Q365" i="16"/>
  <c r="Q363" i="16"/>
  <c r="Q359" i="16"/>
  <c r="Q357" i="16"/>
  <c r="Q353" i="16"/>
  <c r="Q351" i="16"/>
  <c r="Q347" i="16"/>
  <c r="Q345" i="16"/>
  <c r="Q341" i="16"/>
  <c r="Q339" i="16"/>
  <c r="Q335" i="16"/>
  <c r="Q327" i="16"/>
  <c r="Q323" i="16"/>
  <c r="Q321" i="16"/>
  <c r="Q317" i="16"/>
  <c r="AD315" i="16"/>
  <c r="AD311" i="16"/>
  <c r="Q315" i="16"/>
  <c r="Q311" i="16"/>
  <c r="AD279" i="16"/>
  <c r="AD275" i="16"/>
  <c r="AD273" i="16"/>
  <c r="AD269" i="16"/>
  <c r="AD267" i="16"/>
  <c r="AD263" i="16"/>
  <c r="AD255" i="16"/>
  <c r="AD251" i="16"/>
  <c r="AD249" i="16"/>
  <c r="AD245" i="16"/>
  <c r="AD237" i="16"/>
  <c r="AD233" i="16"/>
  <c r="AD231" i="16"/>
  <c r="AD227" i="16"/>
  <c r="AD225" i="16"/>
  <c r="AD221" i="16"/>
  <c r="AD219" i="16"/>
  <c r="AD215" i="16"/>
  <c r="AD213" i="16"/>
  <c r="AD209" i="16"/>
  <c r="AD207" i="16"/>
  <c r="AD203" i="16"/>
  <c r="AD201" i="16"/>
  <c r="AD197" i="16"/>
  <c r="AD177" i="16"/>
  <c r="AD173" i="16"/>
  <c r="AD171" i="16"/>
  <c r="AD167" i="16"/>
  <c r="AD165" i="16"/>
  <c r="AD161" i="16"/>
  <c r="Q297" i="16"/>
  <c r="Q293" i="16"/>
  <c r="Q291" i="16"/>
  <c r="Q287" i="16"/>
  <c r="Q279" i="16"/>
  <c r="Q275" i="16"/>
  <c r="Q273" i="16"/>
  <c r="Q269" i="16"/>
  <c r="Q267" i="16"/>
  <c r="Q263" i="16"/>
  <c r="Q255" i="16"/>
  <c r="Q251" i="16"/>
  <c r="Q249" i="16"/>
  <c r="Q245" i="16"/>
  <c r="Q237" i="16"/>
  <c r="Q233" i="16"/>
  <c r="Q231" i="16"/>
  <c r="Q227" i="16"/>
  <c r="Q225" i="16"/>
  <c r="Q221" i="16"/>
  <c r="Q219" i="16"/>
  <c r="Q215" i="16"/>
  <c r="Q213" i="16"/>
  <c r="Q209" i="16"/>
  <c r="Q207" i="16"/>
  <c r="Q203" i="16"/>
  <c r="Q201" i="16"/>
  <c r="Q197" i="16"/>
  <c r="Q177" i="16"/>
  <c r="Q173" i="16"/>
  <c r="Q171" i="16"/>
  <c r="Q167" i="16"/>
  <c r="Q165" i="16"/>
  <c r="Q161" i="16"/>
  <c r="AD294" i="16"/>
  <c r="AD295" i="16"/>
  <c r="AD296" i="16"/>
  <c r="AD292" i="16"/>
  <c r="AD150" i="16"/>
  <c r="AD151" i="16"/>
  <c r="AD152" i="16"/>
  <c r="AD148" i="16"/>
  <c r="AD141" i="16"/>
  <c r="AD137" i="16"/>
  <c r="AD135" i="16"/>
  <c r="AD131" i="16"/>
  <c r="AD123" i="16"/>
  <c r="AD119" i="16"/>
  <c r="AD117" i="16"/>
  <c r="AD113" i="16"/>
  <c r="AD111" i="16"/>
  <c r="AD107" i="16"/>
  <c r="AD105" i="16"/>
  <c r="AD101" i="16"/>
  <c r="AD99" i="16"/>
  <c r="AD95" i="16"/>
  <c r="AD93" i="16"/>
  <c r="AD89" i="16"/>
  <c r="AD87" i="16"/>
  <c r="AD83" i="16"/>
  <c r="AD81" i="16"/>
  <c r="AD77" i="16"/>
  <c r="AD75" i="16"/>
  <c r="AD71" i="16"/>
  <c r="AD69" i="16"/>
  <c r="AD65" i="16"/>
  <c r="AD51" i="16"/>
  <c r="AD47" i="16"/>
  <c r="AD45" i="16"/>
  <c r="AD41" i="16"/>
  <c r="AD39" i="16"/>
  <c r="AD35" i="16"/>
  <c r="AD33" i="16"/>
  <c r="AD29" i="16"/>
  <c r="AD27" i="16"/>
  <c r="AD23" i="16"/>
  <c r="AD21" i="16"/>
  <c r="AD17" i="16"/>
  <c r="Q153" i="16"/>
  <c r="Q149" i="16"/>
  <c r="Q147" i="16"/>
  <c r="Q143" i="16"/>
  <c r="Q141" i="16"/>
  <c r="Q137" i="16"/>
  <c r="Q135" i="16"/>
  <c r="Q131" i="16"/>
  <c r="Q123" i="16"/>
  <c r="Q119" i="16"/>
  <c r="Q117" i="16"/>
  <c r="Q113" i="16"/>
  <c r="Q111" i="16"/>
  <c r="Q107" i="16"/>
  <c r="Q105" i="16"/>
  <c r="Q101" i="16"/>
  <c r="Q99" i="16"/>
  <c r="Q95" i="16"/>
  <c r="Q93" i="16"/>
  <c r="Q89" i="16"/>
  <c r="Q87" i="16"/>
  <c r="Q83" i="16"/>
  <c r="Q81" i="16"/>
  <c r="Q77" i="16"/>
  <c r="Q75" i="16"/>
  <c r="Q71" i="16"/>
  <c r="Q69" i="16"/>
  <c r="Q65" i="16"/>
  <c r="Q51" i="16"/>
  <c r="Q47" i="16"/>
  <c r="Q45" i="16"/>
  <c r="Q41" i="16"/>
  <c r="Q39" i="16"/>
  <c r="Q35" i="16"/>
  <c r="Q33" i="16"/>
  <c r="Q29" i="16"/>
  <c r="Q27" i="16"/>
  <c r="Q23" i="16"/>
  <c r="Q21" i="16"/>
  <c r="AD15" i="16"/>
  <c r="Q15" i="16"/>
  <c r="BC11" i="6"/>
  <c r="Q657" i="16" l="1"/>
  <c r="AD653" i="16"/>
  <c r="AD657" i="16"/>
  <c r="Q875" i="16"/>
  <c r="AD153" i="16"/>
  <c r="AD149" i="16"/>
  <c r="Q653" i="16"/>
  <c r="AD797" i="16"/>
  <c r="AD801" i="16"/>
  <c r="AD875" i="16"/>
  <c r="AD879" i="16"/>
  <c r="Q879" i="16"/>
  <c r="Q797" i="16"/>
  <c r="Q801" i="16"/>
  <c r="AD297" i="16"/>
  <c r="AD293" i="16"/>
  <c r="AX51" i="6" l="1"/>
  <c r="AX37" i="6"/>
  <c r="N471" i="16" l="1"/>
  <c r="N467" i="16"/>
  <c r="N465" i="16"/>
  <c r="N461" i="16"/>
  <c r="N315" i="16"/>
  <c r="M315" i="16"/>
  <c r="N311" i="16"/>
  <c r="M311" i="16"/>
  <c r="N525" i="16"/>
  <c r="M525" i="16"/>
  <c r="K525" i="16"/>
  <c r="N521" i="16"/>
  <c r="M521" i="16"/>
  <c r="K521" i="16"/>
  <c r="AA381" i="16"/>
  <c r="Z381" i="16"/>
  <c r="N381" i="16"/>
  <c r="M381" i="16"/>
  <c r="AA377" i="16"/>
  <c r="Z377" i="16"/>
  <c r="N377" i="16"/>
  <c r="M377" i="16"/>
  <c r="AA387" i="16"/>
  <c r="Z387" i="16"/>
  <c r="N387" i="16"/>
  <c r="M387" i="16"/>
  <c r="AA383" i="16"/>
  <c r="Z383" i="16"/>
  <c r="N383" i="16"/>
  <c r="M383" i="16"/>
  <c r="AA393" i="16"/>
  <c r="Z393" i="16"/>
  <c r="N393" i="16"/>
  <c r="M393" i="16"/>
  <c r="AA389" i="16"/>
  <c r="Z389" i="16"/>
  <c r="N389" i="16"/>
  <c r="M389" i="16"/>
  <c r="AA399" i="16"/>
  <c r="Z399" i="16"/>
  <c r="N399" i="16"/>
  <c r="M399" i="16"/>
  <c r="AA395" i="16"/>
  <c r="Z395" i="16"/>
  <c r="N395" i="16"/>
  <c r="M395" i="16"/>
  <c r="M401" i="16"/>
  <c r="N401" i="16"/>
  <c r="Z401" i="16"/>
  <c r="AA401" i="16"/>
  <c r="M405" i="16"/>
  <c r="N405" i="16"/>
  <c r="Z405" i="16"/>
  <c r="AA405" i="16"/>
  <c r="BC42" i="6" l="1"/>
  <c r="BA54" i="6"/>
  <c r="AV75" i="6" l="1"/>
  <c r="AV47" i="6"/>
  <c r="AV74" i="6"/>
  <c r="BC74" i="6" s="1"/>
  <c r="AW46" i="6"/>
  <c r="AV46" i="6"/>
  <c r="BB46" i="6" l="1"/>
  <c r="BA46" i="6"/>
  <c r="BD46" i="6" s="1"/>
  <c r="G417" i="17"/>
  <c r="G416" i="17"/>
  <c r="G415" i="17"/>
  <c r="G414" i="17"/>
  <c r="G413" i="17"/>
  <c r="M137" i="17"/>
  <c r="J137" i="17"/>
  <c r="M136" i="17"/>
  <c r="J136" i="17"/>
  <c r="M135" i="17"/>
  <c r="J135" i="17"/>
  <c r="M134" i="17"/>
  <c r="J134" i="17"/>
  <c r="ER12" i="6"/>
  <c r="ER13" i="6"/>
  <c r="ER14" i="6"/>
  <c r="ER15" i="6"/>
  <c r="ER18" i="6"/>
  <c r="ER19" i="6"/>
  <c r="ER20" i="6"/>
  <c r="ER21" i="6"/>
  <c r="ER22" i="6"/>
  <c r="ER24" i="6"/>
  <c r="ER25" i="6"/>
  <c r="ER26" i="6"/>
  <c r="ER27" i="6"/>
  <c r="ER28" i="6"/>
  <c r="ER29" i="6"/>
  <c r="ER31" i="6"/>
  <c r="ER32" i="6"/>
  <c r="ER33" i="6"/>
  <c r="ER34" i="6"/>
  <c r="ER35" i="6"/>
  <c r="ER36" i="6"/>
  <c r="ER38" i="6"/>
  <c r="ER39" i="6"/>
  <c r="ER40" i="6"/>
  <c r="ER41" i="6"/>
  <c r="ER42" i="6"/>
  <c r="ER43" i="6"/>
  <c r="ER45" i="6"/>
  <c r="ER46" i="6"/>
  <c r="ER47" i="6"/>
  <c r="ER48" i="6"/>
  <c r="ER49" i="6"/>
  <c r="ER50" i="6"/>
  <c r="ER52" i="6"/>
  <c r="ER53" i="6"/>
  <c r="ER54" i="6"/>
  <c r="ER55" i="6"/>
  <c r="ER56" i="6"/>
  <c r="ER57" i="6"/>
  <c r="ER59" i="6"/>
  <c r="ER60" i="6"/>
  <c r="ER61" i="6"/>
  <c r="ER62" i="6"/>
  <c r="ER63" i="6"/>
  <c r="ER64" i="6"/>
  <c r="ER66" i="6"/>
  <c r="ER67" i="6"/>
  <c r="ER68" i="6"/>
  <c r="ER69" i="6"/>
  <c r="ER70" i="6"/>
  <c r="ER71" i="6"/>
  <c r="ER73" i="6"/>
  <c r="ER74" i="6"/>
  <c r="ER75" i="6"/>
  <c r="ER76" i="6"/>
  <c r="ER77" i="6"/>
  <c r="ER78" i="6"/>
  <c r="BC12" i="6"/>
  <c r="AC988" i="16" l="1"/>
  <c r="AC989" i="16"/>
  <c r="P988" i="16"/>
  <c r="AC983" i="16"/>
  <c r="AC984" i="16"/>
  <c r="AC985" i="16"/>
  <c r="AC986" i="16"/>
  <c r="AC987" i="16"/>
  <c r="AC982" i="16"/>
  <c r="P983" i="16"/>
  <c r="P984" i="16"/>
  <c r="P985" i="16"/>
  <c r="P986" i="16"/>
  <c r="P987" i="16"/>
  <c r="P982" i="16"/>
  <c r="AC971" i="16"/>
  <c r="AC972" i="16"/>
  <c r="AC973" i="16"/>
  <c r="AC974" i="16"/>
  <c r="AC975" i="16"/>
  <c r="AC970" i="16"/>
  <c r="P971" i="16"/>
  <c r="P972" i="16"/>
  <c r="P973" i="16"/>
  <c r="P974" i="16"/>
  <c r="P975" i="16"/>
  <c r="P970" i="16"/>
  <c r="AC957" i="16"/>
  <c r="AC953" i="16"/>
  <c r="AC960" i="16"/>
  <c r="AC961" i="16"/>
  <c r="AC962" i="16"/>
  <c r="AC958" i="16"/>
  <c r="AC903" i="16"/>
  <c r="AC899" i="16"/>
  <c r="P963" i="16"/>
  <c r="P959" i="16"/>
  <c r="P957" i="16"/>
  <c r="P953" i="16"/>
  <c r="P903" i="16"/>
  <c r="P899" i="16"/>
  <c r="AC897" i="16"/>
  <c r="AC887" i="16"/>
  <c r="AC888" i="16"/>
  <c r="AC889" i="16"/>
  <c r="AC890" i="16"/>
  <c r="AC886" i="16"/>
  <c r="P888" i="16"/>
  <c r="P889" i="16"/>
  <c r="P890" i="16"/>
  <c r="P887" i="16"/>
  <c r="AC885" i="16"/>
  <c r="AC891" i="16" s="1"/>
  <c r="P885" i="16"/>
  <c r="P891" i="16" s="1"/>
  <c r="AC876" i="16"/>
  <c r="AC877" i="16"/>
  <c r="AC878" i="16"/>
  <c r="AC874" i="16"/>
  <c r="AC867" i="16"/>
  <c r="AC863" i="16"/>
  <c r="AC861" i="16"/>
  <c r="AC857" i="16"/>
  <c r="AC855" i="16"/>
  <c r="AC851" i="16"/>
  <c r="AC849" i="16"/>
  <c r="AC845" i="16"/>
  <c r="AC837" i="16"/>
  <c r="AC833" i="16"/>
  <c r="AC831" i="16"/>
  <c r="AC827" i="16"/>
  <c r="AC813" i="16"/>
  <c r="AC809" i="16"/>
  <c r="P876" i="16"/>
  <c r="P877" i="16"/>
  <c r="P878" i="16"/>
  <c r="P874" i="16"/>
  <c r="P873" i="16"/>
  <c r="P869" i="16"/>
  <c r="P867" i="16"/>
  <c r="P863" i="16"/>
  <c r="P861" i="16"/>
  <c r="P857" i="16"/>
  <c r="P855" i="16"/>
  <c r="P851" i="16"/>
  <c r="P849" i="16"/>
  <c r="P845" i="16"/>
  <c r="P837" i="16"/>
  <c r="P833" i="16"/>
  <c r="P831" i="16"/>
  <c r="P827" i="16"/>
  <c r="P813" i="16"/>
  <c r="P809" i="16"/>
  <c r="AC807" i="16"/>
  <c r="P807" i="16"/>
  <c r="AC789" i="16"/>
  <c r="AC785" i="16"/>
  <c r="AC771" i="16"/>
  <c r="AC767" i="16"/>
  <c r="AC759" i="16"/>
  <c r="AC755" i="16"/>
  <c r="AC753" i="16"/>
  <c r="AC749" i="16"/>
  <c r="AC747" i="16"/>
  <c r="AC743" i="16"/>
  <c r="AC741" i="16"/>
  <c r="AC737" i="16"/>
  <c r="AC735" i="16"/>
  <c r="AC731" i="16"/>
  <c r="AC729" i="16"/>
  <c r="AC725" i="16"/>
  <c r="AC723" i="16"/>
  <c r="AC719" i="16"/>
  <c r="AC711" i="16"/>
  <c r="AC707" i="16"/>
  <c r="AC693" i="16"/>
  <c r="AC689" i="16"/>
  <c r="AC687" i="16"/>
  <c r="AC683" i="16"/>
  <c r="P795" i="16"/>
  <c r="P791" i="16"/>
  <c r="AC798" i="16"/>
  <c r="AC799" i="16"/>
  <c r="AC800" i="16"/>
  <c r="AC796" i="16"/>
  <c r="P789" i="16"/>
  <c r="P785" i="16"/>
  <c r="P771" i="16"/>
  <c r="P767" i="16"/>
  <c r="P759" i="16"/>
  <c r="P755" i="16"/>
  <c r="P753" i="16"/>
  <c r="P749" i="16"/>
  <c r="P747" i="16"/>
  <c r="P743" i="16"/>
  <c r="P741" i="16"/>
  <c r="P737" i="16"/>
  <c r="P735" i="16"/>
  <c r="P731" i="16"/>
  <c r="P729" i="16"/>
  <c r="P725" i="16"/>
  <c r="P723" i="16"/>
  <c r="P719" i="16"/>
  <c r="P711" i="16"/>
  <c r="P707" i="16"/>
  <c r="P693" i="16"/>
  <c r="P689" i="16"/>
  <c r="P687" i="16"/>
  <c r="P683" i="16"/>
  <c r="AC675" i="16"/>
  <c r="AC663" i="16"/>
  <c r="P663" i="16"/>
  <c r="AC557" i="16"/>
  <c r="AC654" i="16"/>
  <c r="AC655" i="16"/>
  <c r="AC656" i="16"/>
  <c r="AC652" i="16"/>
  <c r="AC591" i="16"/>
  <c r="AC587" i="16"/>
  <c r="AC585" i="16"/>
  <c r="AC581" i="16"/>
  <c r="AC579" i="16"/>
  <c r="AC575" i="16"/>
  <c r="AC573" i="16"/>
  <c r="AC569" i="16"/>
  <c r="AC561" i="16"/>
  <c r="AC531" i="16"/>
  <c r="AC527" i="16"/>
  <c r="AC519" i="16"/>
  <c r="AC515" i="16"/>
  <c r="AC513" i="16"/>
  <c r="AC509" i="16"/>
  <c r="AC483" i="16"/>
  <c r="AC479" i="16"/>
  <c r="AC477" i="16"/>
  <c r="AC473" i="16"/>
  <c r="AC459" i="16"/>
  <c r="AC455" i="16"/>
  <c r="AC453" i="16"/>
  <c r="AC449" i="16"/>
  <c r="AC447" i="16"/>
  <c r="AC443" i="16"/>
  <c r="AC441" i="16"/>
  <c r="AC437" i="16"/>
  <c r="AC435" i="16"/>
  <c r="AC431" i="16"/>
  <c r="AC429" i="16"/>
  <c r="AC425" i="16"/>
  <c r="AC423" i="16"/>
  <c r="AC419" i="16"/>
  <c r="AC417" i="16"/>
  <c r="AC413" i="16"/>
  <c r="AC411" i="16"/>
  <c r="AC407" i="16"/>
  <c r="AC375" i="16"/>
  <c r="AC371" i="16"/>
  <c r="AC369" i="16"/>
  <c r="AC365" i="16"/>
  <c r="AC363" i="16"/>
  <c r="AC359" i="16"/>
  <c r="AC357" i="16"/>
  <c r="AC353" i="16"/>
  <c r="AC351" i="16"/>
  <c r="AC347" i="16"/>
  <c r="AC345" i="16"/>
  <c r="AC341" i="16"/>
  <c r="AC339" i="16"/>
  <c r="AC335" i="16"/>
  <c r="AC327" i="16"/>
  <c r="AC323" i="16"/>
  <c r="AC321" i="16"/>
  <c r="AC317" i="16"/>
  <c r="P651" i="16"/>
  <c r="P647" i="16"/>
  <c r="P591" i="16"/>
  <c r="P587" i="16"/>
  <c r="P585" i="16"/>
  <c r="P581" i="16"/>
  <c r="P579" i="16"/>
  <c r="P575" i="16"/>
  <c r="P573" i="16"/>
  <c r="P569" i="16"/>
  <c r="P561" i="16"/>
  <c r="P557" i="16"/>
  <c r="P531" i="16"/>
  <c r="P527" i="16"/>
  <c r="P519" i="16"/>
  <c r="P515" i="16"/>
  <c r="P513" i="16"/>
  <c r="P509" i="16"/>
  <c r="P483" i="16"/>
  <c r="P479" i="16"/>
  <c r="P477" i="16"/>
  <c r="P473" i="16"/>
  <c r="P459" i="16"/>
  <c r="P455" i="16"/>
  <c r="P453" i="16"/>
  <c r="P449" i="16"/>
  <c r="P447" i="16"/>
  <c r="P443" i="16"/>
  <c r="P441" i="16"/>
  <c r="P437" i="16"/>
  <c r="P435" i="16"/>
  <c r="P431" i="16"/>
  <c r="P429" i="16"/>
  <c r="P425" i="16"/>
  <c r="P423" i="16"/>
  <c r="P419" i="16"/>
  <c r="P417" i="16"/>
  <c r="P413" i="16"/>
  <c r="P411" i="16"/>
  <c r="P407" i="16"/>
  <c r="P375" i="16"/>
  <c r="P371" i="16"/>
  <c r="P369" i="16"/>
  <c r="P365" i="16"/>
  <c r="P363" i="16"/>
  <c r="P359" i="16"/>
  <c r="P357" i="16"/>
  <c r="P353" i="16"/>
  <c r="P351" i="16"/>
  <c r="P347" i="16"/>
  <c r="P345" i="16"/>
  <c r="P341" i="16"/>
  <c r="P339" i="16"/>
  <c r="P335" i="16"/>
  <c r="P327" i="16"/>
  <c r="P323" i="16"/>
  <c r="P321" i="16"/>
  <c r="P317" i="16"/>
  <c r="BC25" i="6"/>
  <c r="AC294" i="16"/>
  <c r="AC295" i="16"/>
  <c r="AC296" i="16"/>
  <c r="AC292" i="16"/>
  <c r="AC279" i="16"/>
  <c r="AC275" i="16"/>
  <c r="AC273" i="16"/>
  <c r="AC269" i="16"/>
  <c r="AC267" i="16"/>
  <c r="AC263" i="16"/>
  <c r="AC255" i="16"/>
  <c r="AC251" i="16"/>
  <c r="AC249" i="16"/>
  <c r="AC245" i="16"/>
  <c r="AC237" i="16"/>
  <c r="AC233" i="16"/>
  <c r="AC231" i="16"/>
  <c r="AC227" i="16"/>
  <c r="AC225" i="16"/>
  <c r="AC221" i="16"/>
  <c r="AC219" i="16"/>
  <c r="AC215" i="16"/>
  <c r="AC213" i="16"/>
  <c r="AC209" i="16"/>
  <c r="AC207" i="16"/>
  <c r="AC203" i="16"/>
  <c r="AC201" i="16"/>
  <c r="AC197" i="16"/>
  <c r="AC177" i="16"/>
  <c r="AC173" i="16"/>
  <c r="AC171" i="16"/>
  <c r="AC167" i="16"/>
  <c r="AC165" i="16"/>
  <c r="AC161" i="16"/>
  <c r="P293" i="16"/>
  <c r="P291" i="16"/>
  <c r="P287" i="16"/>
  <c r="P279" i="16"/>
  <c r="P275" i="16"/>
  <c r="P273" i="16"/>
  <c r="P269" i="16"/>
  <c r="P267" i="16"/>
  <c r="P263" i="16"/>
  <c r="P255" i="16"/>
  <c r="P251" i="16"/>
  <c r="P249" i="16"/>
  <c r="P245" i="16"/>
  <c r="P237" i="16"/>
  <c r="P233" i="16"/>
  <c r="P231" i="16"/>
  <c r="P227" i="16"/>
  <c r="P225" i="16"/>
  <c r="P221" i="16"/>
  <c r="P219" i="16"/>
  <c r="P215" i="16"/>
  <c r="P213" i="16"/>
  <c r="P209" i="16"/>
  <c r="P207" i="16"/>
  <c r="P203" i="16"/>
  <c r="P201" i="16"/>
  <c r="P197" i="16"/>
  <c r="P177" i="16"/>
  <c r="P173" i="16"/>
  <c r="P171" i="16"/>
  <c r="P167" i="16"/>
  <c r="P165" i="16"/>
  <c r="P161" i="16"/>
  <c r="AC159" i="16"/>
  <c r="AC150" i="16"/>
  <c r="AC151" i="16"/>
  <c r="AC152" i="16"/>
  <c r="AC148" i="16"/>
  <c r="AC137" i="16"/>
  <c r="AC141" i="16"/>
  <c r="AC135" i="16"/>
  <c r="AC131" i="16"/>
  <c r="AC123" i="16"/>
  <c r="AC119" i="16"/>
  <c r="AC117" i="16"/>
  <c r="AC113" i="16"/>
  <c r="AC111" i="16"/>
  <c r="AC107" i="16"/>
  <c r="AC105" i="16"/>
  <c r="AC101" i="16"/>
  <c r="AC99" i="16"/>
  <c r="AC95" i="16"/>
  <c r="AC93" i="16"/>
  <c r="AC89" i="16"/>
  <c r="AC87" i="16"/>
  <c r="AC83" i="16"/>
  <c r="AC81" i="16"/>
  <c r="AC77" i="16"/>
  <c r="AC75" i="16"/>
  <c r="AC71" i="16"/>
  <c r="AC69" i="16"/>
  <c r="AC65" i="16"/>
  <c r="AC51" i="16"/>
  <c r="AC47" i="16"/>
  <c r="AC45" i="16"/>
  <c r="AC41" i="16"/>
  <c r="AC39" i="16"/>
  <c r="AC35" i="16"/>
  <c r="AC33" i="16"/>
  <c r="AC29" i="16"/>
  <c r="AC27" i="16"/>
  <c r="AC23" i="16"/>
  <c r="AC21" i="16"/>
  <c r="AC17" i="16"/>
  <c r="AC15" i="16"/>
  <c r="P149" i="16"/>
  <c r="P153" i="16" s="1"/>
  <c r="P147" i="16"/>
  <c r="P143" i="16"/>
  <c r="P141" i="16"/>
  <c r="P137" i="16"/>
  <c r="P135" i="16"/>
  <c r="P131" i="16"/>
  <c r="P123" i="16"/>
  <c r="P119" i="16"/>
  <c r="P117" i="16"/>
  <c r="P113" i="16"/>
  <c r="P111" i="16"/>
  <c r="P107" i="16"/>
  <c r="P105" i="16"/>
  <c r="P101" i="16"/>
  <c r="P99" i="16"/>
  <c r="P95" i="16"/>
  <c r="P93" i="16"/>
  <c r="P89" i="16"/>
  <c r="P87" i="16"/>
  <c r="P83" i="16"/>
  <c r="P81" i="16"/>
  <c r="P77" i="16"/>
  <c r="P75" i="16"/>
  <c r="P71" i="16"/>
  <c r="P69" i="16"/>
  <c r="P65" i="16"/>
  <c r="P51" i="16"/>
  <c r="P47" i="16"/>
  <c r="P45" i="16"/>
  <c r="P39" i="16"/>
  <c r="P35" i="16"/>
  <c r="P33" i="16"/>
  <c r="P29" i="16"/>
  <c r="P27" i="16"/>
  <c r="P23" i="16"/>
  <c r="P21" i="16"/>
  <c r="P17" i="16"/>
  <c r="AU81" i="6"/>
  <c r="P801" i="16" l="1"/>
  <c r="P797" i="16"/>
  <c r="AC153" i="16"/>
  <c r="AC959" i="16"/>
  <c r="AC990" i="16"/>
  <c r="AC297" i="16"/>
  <c r="P875" i="16"/>
  <c r="AC875" i="16"/>
  <c r="P879" i="16"/>
  <c r="AC149" i="16"/>
  <c r="AC293" i="16"/>
  <c r="AC657" i="16"/>
  <c r="AC879" i="16"/>
  <c r="AC653" i="16"/>
  <c r="AC963" i="16"/>
  <c r="AC797" i="16"/>
  <c r="AC801" i="16"/>
  <c r="BC75" i="6" l="1"/>
  <c r="AV80" i="6"/>
  <c r="AV51" i="6" l="1"/>
  <c r="O988" i="16" l="1"/>
  <c r="BC13" i="5"/>
  <c r="BE10" i="6"/>
  <c r="BE70" i="6"/>
  <c r="BE24" i="6"/>
  <c r="P990" i="16" l="1"/>
  <c r="BA31" i="6"/>
  <c r="J130" i="17" l="1"/>
  <c r="G412" i="17"/>
  <c r="G411" i="17"/>
  <c r="G410" i="17"/>
  <c r="G409" i="17"/>
  <c r="G408" i="17"/>
  <c r="M133" i="17"/>
  <c r="J133" i="17"/>
  <c r="M132" i="17"/>
  <c r="J132" i="17"/>
  <c r="M131" i="17"/>
  <c r="J131" i="17"/>
  <c r="M130" i="17"/>
  <c r="O989" i="16" l="1"/>
  <c r="O990" i="16" s="1"/>
  <c r="AB989" i="16"/>
  <c r="AB981" i="16"/>
  <c r="AB987" i="16" s="1"/>
  <c r="AB983" i="16"/>
  <c r="AB984" i="16"/>
  <c r="AB985" i="16"/>
  <c r="AB986" i="16"/>
  <c r="AB982" i="16"/>
  <c r="AB899" i="16"/>
  <c r="AB960" i="16"/>
  <c r="AB962" i="16"/>
  <c r="AB958" i="16"/>
  <c r="O960" i="16"/>
  <c r="O961" i="16"/>
  <c r="O962" i="16"/>
  <c r="O958" i="16"/>
  <c r="AB957" i="16"/>
  <c r="AB953" i="16"/>
  <c r="AB903" i="16"/>
  <c r="O957" i="16"/>
  <c r="O953" i="16"/>
  <c r="O903" i="16"/>
  <c r="O899" i="16"/>
  <c r="AB897" i="16"/>
  <c r="AB887" i="16"/>
  <c r="AB888" i="16"/>
  <c r="AB889" i="16"/>
  <c r="AB890" i="16"/>
  <c r="AB886" i="16"/>
  <c r="AB885" i="16"/>
  <c r="AB891" i="16" s="1"/>
  <c r="O887" i="16"/>
  <c r="O888" i="16"/>
  <c r="O889" i="16"/>
  <c r="O890" i="16"/>
  <c r="O886" i="16"/>
  <c r="O885" i="16"/>
  <c r="O891" i="16" s="1"/>
  <c r="AB876" i="16"/>
  <c r="AB877" i="16"/>
  <c r="AB878" i="16"/>
  <c r="AB874" i="16"/>
  <c r="O876" i="16"/>
  <c r="O877" i="16"/>
  <c r="O878" i="16"/>
  <c r="O874" i="16"/>
  <c r="AB867" i="16"/>
  <c r="AB863" i="16"/>
  <c r="AB861" i="16"/>
  <c r="AB857" i="16"/>
  <c r="AB855" i="16"/>
  <c r="AB851" i="16"/>
  <c r="AB849" i="16"/>
  <c r="AB845" i="16"/>
  <c r="AB837" i="16"/>
  <c r="AB833" i="16"/>
  <c r="AB831" i="16"/>
  <c r="AB827" i="16"/>
  <c r="AB813" i="16"/>
  <c r="AB809" i="16"/>
  <c r="O873" i="16"/>
  <c r="O869" i="16"/>
  <c r="O867" i="16"/>
  <c r="O863" i="16"/>
  <c r="O861" i="16"/>
  <c r="O857" i="16"/>
  <c r="O855" i="16"/>
  <c r="O851" i="16"/>
  <c r="O849" i="16"/>
  <c r="O845" i="16"/>
  <c r="O837" i="16"/>
  <c r="O833" i="16"/>
  <c r="O831" i="16"/>
  <c r="O827" i="16"/>
  <c r="O813" i="16"/>
  <c r="O809" i="16"/>
  <c r="AB807" i="16"/>
  <c r="O807" i="16"/>
  <c r="AB789" i="16"/>
  <c r="AB785" i="16"/>
  <c r="AB771" i="16"/>
  <c r="AB767" i="16"/>
  <c r="AB759" i="16"/>
  <c r="AB755" i="16"/>
  <c r="AB753" i="16"/>
  <c r="AB749" i="16"/>
  <c r="AB747" i="16"/>
  <c r="AB743" i="16"/>
  <c r="AB741" i="16"/>
  <c r="AB737" i="16"/>
  <c r="AB735" i="16"/>
  <c r="AB731" i="16"/>
  <c r="AB729" i="16"/>
  <c r="AB725" i="16"/>
  <c r="AB723" i="16"/>
  <c r="AB719" i="16"/>
  <c r="AB711" i="16"/>
  <c r="AB707" i="16"/>
  <c r="AB693" i="16"/>
  <c r="AB689" i="16"/>
  <c r="AB687" i="16"/>
  <c r="AB683" i="16"/>
  <c r="AB798" i="16"/>
  <c r="AB799" i="16"/>
  <c r="AB800" i="16"/>
  <c r="AB796" i="16"/>
  <c r="O795" i="16"/>
  <c r="O791" i="16"/>
  <c r="O798" i="16"/>
  <c r="O799" i="16"/>
  <c r="O800" i="16"/>
  <c r="O796" i="16"/>
  <c r="O789" i="16"/>
  <c r="O785" i="16"/>
  <c r="O771" i="16"/>
  <c r="O767" i="16"/>
  <c r="O759" i="16"/>
  <c r="O755" i="16"/>
  <c r="O753" i="16"/>
  <c r="O749" i="16"/>
  <c r="O747" i="16"/>
  <c r="O743" i="16"/>
  <c r="O741" i="16"/>
  <c r="O737" i="16"/>
  <c r="O735" i="16"/>
  <c r="O731" i="16"/>
  <c r="O729" i="16"/>
  <c r="O725" i="16"/>
  <c r="O723" i="16"/>
  <c r="O719" i="16"/>
  <c r="O711" i="16"/>
  <c r="O707" i="16"/>
  <c r="O693" i="16"/>
  <c r="O689" i="16"/>
  <c r="O687" i="16"/>
  <c r="O683" i="16"/>
  <c r="AB675" i="16"/>
  <c r="AB665" i="16"/>
  <c r="AB666" i="16"/>
  <c r="AB667" i="16"/>
  <c r="AB668" i="16"/>
  <c r="AB664" i="16"/>
  <c r="AB663" i="16"/>
  <c r="AB669" i="16" s="1"/>
  <c r="O665" i="16"/>
  <c r="O666" i="16"/>
  <c r="O667" i="16"/>
  <c r="O668" i="16"/>
  <c r="O664" i="16"/>
  <c r="O663" i="16"/>
  <c r="O669" i="16" s="1"/>
  <c r="AB591" i="16"/>
  <c r="AB587" i="16"/>
  <c r="AB585" i="16"/>
  <c r="AB581" i="16"/>
  <c r="AB579" i="16"/>
  <c r="AB575" i="16"/>
  <c r="AB561" i="16"/>
  <c r="AB557" i="16"/>
  <c r="AB531" i="16"/>
  <c r="AB527" i="16"/>
  <c r="AB519" i="16"/>
  <c r="AB515" i="16"/>
  <c r="AB483" i="16"/>
  <c r="AB479" i="16"/>
  <c r="AB477" i="16"/>
  <c r="AB473" i="16"/>
  <c r="AB459" i="16"/>
  <c r="AB455" i="16"/>
  <c r="AB453" i="16"/>
  <c r="AB449" i="16"/>
  <c r="AB447" i="16"/>
  <c r="AB443" i="16"/>
  <c r="AB441" i="16"/>
  <c r="AB437" i="16"/>
  <c r="AB435" i="16"/>
  <c r="AB431" i="16"/>
  <c r="AB429" i="16"/>
  <c r="AB425" i="16"/>
  <c r="AB423" i="16"/>
  <c r="AB419" i="16"/>
  <c r="AB411" i="16"/>
  <c r="AB407" i="16"/>
  <c r="AB375" i="16"/>
  <c r="AB371" i="16"/>
  <c r="AB369" i="16"/>
  <c r="AB365" i="16"/>
  <c r="AB363" i="16"/>
  <c r="AB359" i="16"/>
  <c r="AB357" i="16"/>
  <c r="AB353" i="16"/>
  <c r="AB351" i="16"/>
  <c r="AB347" i="16"/>
  <c r="AB345" i="16"/>
  <c r="AB341" i="16"/>
  <c r="AB327" i="16"/>
  <c r="AB323" i="16"/>
  <c r="AB321" i="16"/>
  <c r="AB317" i="16"/>
  <c r="O647" i="16"/>
  <c r="O651" i="16"/>
  <c r="O591" i="16"/>
  <c r="O587" i="16"/>
  <c r="O585" i="16"/>
  <c r="O581" i="16"/>
  <c r="O579" i="16"/>
  <c r="O575" i="16"/>
  <c r="O561" i="16"/>
  <c r="O557" i="16"/>
  <c r="O531" i="16"/>
  <c r="O527" i="16"/>
  <c r="O519" i="16"/>
  <c r="O515" i="16"/>
  <c r="O483" i="16"/>
  <c r="O479" i="16"/>
  <c r="O477" i="16"/>
  <c r="O473" i="16"/>
  <c r="O459" i="16"/>
  <c r="O455" i="16"/>
  <c r="O453" i="16"/>
  <c r="O449" i="16"/>
  <c r="O447" i="16"/>
  <c r="O443" i="16"/>
  <c r="O441" i="16"/>
  <c r="O437" i="16"/>
  <c r="O435" i="16"/>
  <c r="O431" i="16"/>
  <c r="O429" i="16"/>
  <c r="O425" i="16"/>
  <c r="O423" i="16"/>
  <c r="O419" i="16"/>
  <c r="O411" i="16"/>
  <c r="O407" i="16"/>
  <c r="O375" i="16"/>
  <c r="O371" i="16"/>
  <c r="O369" i="16"/>
  <c r="O365" i="16"/>
  <c r="O363" i="16"/>
  <c r="O359" i="16"/>
  <c r="O357" i="16"/>
  <c r="O353" i="16"/>
  <c r="O351" i="16"/>
  <c r="O347" i="16"/>
  <c r="O345" i="16"/>
  <c r="O341" i="16"/>
  <c r="O327" i="16"/>
  <c r="O323" i="16"/>
  <c r="O321" i="16"/>
  <c r="O317" i="16"/>
  <c r="AB654" i="16"/>
  <c r="AB655" i="16"/>
  <c r="AB656" i="16"/>
  <c r="AB652" i="16"/>
  <c r="O654" i="16"/>
  <c r="O655" i="16"/>
  <c r="O656" i="16"/>
  <c r="O652" i="16"/>
  <c r="AB303" i="16"/>
  <c r="AB294" i="16"/>
  <c r="AB295" i="16"/>
  <c r="AB296" i="16"/>
  <c r="AB292" i="16"/>
  <c r="O294" i="16"/>
  <c r="O295" i="16"/>
  <c r="O296" i="16"/>
  <c r="O292" i="16"/>
  <c r="AB279" i="16"/>
  <c r="AB275" i="16"/>
  <c r="AB273" i="16"/>
  <c r="AB269" i="16"/>
  <c r="AB267" i="16"/>
  <c r="AB263" i="16"/>
  <c r="AB255" i="16"/>
  <c r="AB251" i="16"/>
  <c r="AB249" i="16"/>
  <c r="AB245" i="16"/>
  <c r="AB237" i="16"/>
  <c r="AB233" i="16"/>
  <c r="AB231" i="16"/>
  <c r="AB227" i="16"/>
  <c r="AB225" i="16"/>
  <c r="AB221" i="16"/>
  <c r="AB219" i="16"/>
  <c r="AB215" i="16"/>
  <c r="AB213" i="16"/>
  <c r="AB209" i="16"/>
  <c r="AB207" i="16"/>
  <c r="AB203" i="16"/>
  <c r="AB201" i="16"/>
  <c r="AB197" i="16"/>
  <c r="AB177" i="16"/>
  <c r="AB173" i="16"/>
  <c r="AB171" i="16"/>
  <c r="AB167" i="16"/>
  <c r="AB165" i="16"/>
  <c r="AB161" i="16"/>
  <c r="AB159" i="16"/>
  <c r="O291" i="16"/>
  <c r="O287" i="16"/>
  <c r="O279" i="16"/>
  <c r="O275" i="16"/>
  <c r="O273" i="16"/>
  <c r="O269" i="16"/>
  <c r="O267" i="16"/>
  <c r="O263" i="16"/>
  <c r="O255" i="16"/>
  <c r="O251" i="16"/>
  <c r="O249" i="16"/>
  <c r="O245" i="16"/>
  <c r="O237" i="16"/>
  <c r="O233" i="16"/>
  <c r="O231" i="16"/>
  <c r="O227" i="16"/>
  <c r="O225" i="16"/>
  <c r="O221" i="16"/>
  <c r="O219" i="16"/>
  <c r="O215" i="16"/>
  <c r="O213" i="16"/>
  <c r="O209" i="16"/>
  <c r="O207" i="16"/>
  <c r="O203" i="16"/>
  <c r="O201" i="16"/>
  <c r="O197" i="16"/>
  <c r="O177" i="16"/>
  <c r="O173" i="16"/>
  <c r="O171" i="16"/>
  <c r="O167" i="16"/>
  <c r="O165" i="16"/>
  <c r="O161" i="16"/>
  <c r="AB150" i="16"/>
  <c r="AB151" i="16"/>
  <c r="AB152" i="16"/>
  <c r="AB148" i="16"/>
  <c r="AB141" i="16"/>
  <c r="AB137" i="16"/>
  <c r="AB135" i="16"/>
  <c r="AB131" i="16"/>
  <c r="AB123" i="16"/>
  <c r="AB119" i="16"/>
  <c r="AB117" i="16"/>
  <c r="AB113" i="16"/>
  <c r="AB105" i="16"/>
  <c r="AB101" i="16"/>
  <c r="AB99" i="16"/>
  <c r="AB95" i="16"/>
  <c r="AB93" i="16"/>
  <c r="AB89" i="16"/>
  <c r="AB87" i="16"/>
  <c r="AB83" i="16"/>
  <c r="AB81" i="16"/>
  <c r="AB77" i="16"/>
  <c r="AB75" i="16"/>
  <c r="AB71" i="16"/>
  <c r="AB69" i="16"/>
  <c r="AB65" i="16"/>
  <c r="AB51" i="16"/>
  <c r="AB47" i="16"/>
  <c r="AB45" i="16"/>
  <c r="AB41" i="16"/>
  <c r="AB39" i="16"/>
  <c r="AB35" i="16"/>
  <c r="AB27" i="16"/>
  <c r="AB23" i="16"/>
  <c r="AB21" i="16"/>
  <c r="AB17" i="16"/>
  <c r="O149" i="16"/>
  <c r="O153" i="16" s="1"/>
  <c r="O147" i="16"/>
  <c r="O143" i="16"/>
  <c r="O141" i="16"/>
  <c r="O137" i="16"/>
  <c r="O135" i="16"/>
  <c r="O131" i="16"/>
  <c r="O123" i="16"/>
  <c r="O119" i="16"/>
  <c r="O117" i="16"/>
  <c r="O113" i="16"/>
  <c r="O105" i="16"/>
  <c r="O101" i="16"/>
  <c r="O99" i="16"/>
  <c r="O95" i="16"/>
  <c r="O93" i="16"/>
  <c r="O89" i="16"/>
  <c r="O87" i="16"/>
  <c r="O83" i="16"/>
  <c r="O81" i="16"/>
  <c r="O77" i="16"/>
  <c r="O75" i="16"/>
  <c r="O71" i="16"/>
  <c r="O69" i="16"/>
  <c r="O65" i="16"/>
  <c r="O51" i="16"/>
  <c r="O47" i="16"/>
  <c r="O45" i="16"/>
  <c r="O41" i="16"/>
  <c r="O39" i="16"/>
  <c r="O35" i="16"/>
  <c r="O27" i="16"/>
  <c r="O23" i="16"/>
  <c r="O21" i="16"/>
  <c r="O17" i="16"/>
  <c r="AB15" i="16"/>
  <c r="ET14" i="5"/>
  <c r="ET15" i="5"/>
  <c r="ET16" i="5"/>
  <c r="ET17" i="5"/>
  <c r="ET13" i="5"/>
  <c r="O959" i="16" l="1"/>
  <c r="AB153" i="16"/>
  <c r="O875" i="16"/>
  <c r="AB959" i="16"/>
  <c r="AB963" i="16" s="1"/>
  <c r="AB879" i="16"/>
  <c r="O963" i="16"/>
  <c r="O293" i="16"/>
  <c r="O879" i="16"/>
  <c r="O797" i="16"/>
  <c r="AB297" i="16"/>
  <c r="O297" i="16"/>
  <c r="AB293" i="16"/>
  <c r="AB875" i="16"/>
  <c r="EV13" i="5"/>
  <c r="AB149" i="16"/>
  <c r="O801" i="16"/>
  <c r="AB801" i="16"/>
  <c r="AB797" i="16"/>
  <c r="AB657" i="16"/>
  <c r="AB653" i="16"/>
  <c r="O653" i="16"/>
  <c r="O657" i="16"/>
  <c r="BC77" i="6" l="1"/>
  <c r="BC19" i="6"/>
  <c r="BE60" i="6" l="1"/>
  <c r="BC60" i="6"/>
  <c r="N874" i="16" l="1"/>
  <c r="BC10" i="6" l="1"/>
  <c r="ES10" i="6" s="1"/>
  <c r="M968" i="16"/>
  <c r="M974" i="16" s="1"/>
  <c r="BA10" i="6"/>
  <c r="AA303" i="16"/>
  <c r="AA302" i="16"/>
  <c r="AA989" i="16"/>
  <c r="Z979" i="16"/>
  <c r="AA981" i="16"/>
  <c r="AA987" i="16" s="1"/>
  <c r="N981" i="16"/>
  <c r="N987" i="16" s="1"/>
  <c r="AA897" i="16"/>
  <c r="N897" i="16"/>
  <c r="AA885" i="16"/>
  <c r="AA891" i="16" s="1"/>
  <c r="N885" i="16"/>
  <c r="N891" i="16" s="1"/>
  <c r="AA807" i="16"/>
  <c r="N807" i="16"/>
  <c r="AA675" i="16"/>
  <c r="N675" i="16"/>
  <c r="AA663" i="16"/>
  <c r="AA669" i="16" s="1"/>
  <c r="N663" i="16"/>
  <c r="N669" i="16" s="1"/>
  <c r="N303" i="16"/>
  <c r="AA159" i="16"/>
  <c r="AA15" i="16"/>
  <c r="M15" i="16"/>
  <c r="N15" i="16"/>
  <c r="N159" i="16"/>
  <c r="M159" i="16"/>
  <c r="AA17" i="16"/>
  <c r="AQ60" i="6"/>
  <c r="AQ65" i="6" s="1"/>
  <c r="BC53" i="6"/>
  <c r="Z977" i="16"/>
  <c r="AA898" i="16"/>
  <c r="AA899" i="16" s="1"/>
  <c r="G407" i="17"/>
  <c r="G406" i="17"/>
  <c r="G405" i="17"/>
  <c r="G404" i="17"/>
  <c r="G403" i="17"/>
  <c r="M129" i="17"/>
  <c r="J129" i="17"/>
  <c r="M128" i="17"/>
  <c r="J128" i="17"/>
  <c r="M127" i="17"/>
  <c r="J127" i="17"/>
  <c r="M126" i="17"/>
  <c r="J126" i="17"/>
  <c r="BC67" i="6"/>
  <c r="N965" i="16" s="1"/>
  <c r="BC70" i="6"/>
  <c r="Y967" i="16" s="1"/>
  <c r="Y973" i="16" s="1"/>
  <c r="AA988" i="16"/>
  <c r="AA983" i="16"/>
  <c r="AA984" i="16"/>
  <c r="AA985" i="16"/>
  <c r="AA986" i="16"/>
  <c r="AA982" i="16"/>
  <c r="N983" i="16"/>
  <c r="N984" i="16"/>
  <c r="N985" i="16"/>
  <c r="N986" i="16"/>
  <c r="N982" i="16"/>
  <c r="AN72" i="6"/>
  <c r="AD72" i="6"/>
  <c r="AF72" i="6"/>
  <c r="AH72" i="6"/>
  <c r="AJ72" i="6"/>
  <c r="AL72" i="6"/>
  <c r="AP72" i="6"/>
  <c r="AR72" i="6"/>
  <c r="AT72" i="6"/>
  <c r="AV72" i="6"/>
  <c r="AX72" i="6"/>
  <c r="AZ72" i="6"/>
  <c r="BC71" i="6"/>
  <c r="N968" i="16" s="1"/>
  <c r="N974" i="16" s="1"/>
  <c r="N972" i="16"/>
  <c r="BC66" i="6"/>
  <c r="AA953" i="16"/>
  <c r="AA960" i="16"/>
  <c r="AA961" i="16"/>
  <c r="AA962" i="16"/>
  <c r="AA903" i="16"/>
  <c r="AA957" i="16"/>
  <c r="AD958" i="16"/>
  <c r="N899" i="16"/>
  <c r="N953" i="16"/>
  <c r="N960" i="16"/>
  <c r="N961" i="16"/>
  <c r="N962" i="16"/>
  <c r="N903" i="16"/>
  <c r="N957" i="16"/>
  <c r="N958" i="16"/>
  <c r="AA861" i="16"/>
  <c r="AA857" i="16"/>
  <c r="AA855" i="16"/>
  <c r="AA851" i="16"/>
  <c r="AA849" i="16"/>
  <c r="AA845" i="16"/>
  <c r="AA837" i="16"/>
  <c r="AA831" i="16"/>
  <c r="AA813" i="16"/>
  <c r="AA833" i="16"/>
  <c r="AA827" i="16"/>
  <c r="AA809" i="16"/>
  <c r="N873" i="16"/>
  <c r="N869" i="16"/>
  <c r="N861" i="16"/>
  <c r="N857" i="16"/>
  <c r="N855" i="16"/>
  <c r="N851" i="16"/>
  <c r="N849" i="16"/>
  <c r="N845" i="16"/>
  <c r="N837" i="16"/>
  <c r="N833" i="16"/>
  <c r="N831" i="16"/>
  <c r="N827" i="16"/>
  <c r="N813" i="16"/>
  <c r="N809" i="16"/>
  <c r="AA789" i="16"/>
  <c r="AA785" i="16"/>
  <c r="AA771" i="16"/>
  <c r="AA767" i="16"/>
  <c r="AA759" i="16"/>
  <c r="AA755" i="16"/>
  <c r="AA753" i="16"/>
  <c r="AA749" i="16"/>
  <c r="AA747" i="16"/>
  <c r="AA743" i="16"/>
  <c r="AA741" i="16"/>
  <c r="AA737" i="16"/>
  <c r="AA735" i="16"/>
  <c r="AA731" i="16"/>
  <c r="AA729" i="16"/>
  <c r="AA725" i="16"/>
  <c r="AA723" i="16"/>
  <c r="AA719" i="16"/>
  <c r="AA711" i="16"/>
  <c r="AA707" i="16"/>
  <c r="AA693" i="16"/>
  <c r="AA689" i="16"/>
  <c r="AA687" i="16"/>
  <c r="AA683" i="16"/>
  <c r="N795" i="16"/>
  <c r="N791" i="16"/>
  <c r="N789" i="16"/>
  <c r="N785" i="16"/>
  <c r="N771" i="16"/>
  <c r="N759" i="16"/>
  <c r="N753" i="16"/>
  <c r="N747" i="16"/>
  <c r="N741" i="16"/>
  <c r="N735" i="16"/>
  <c r="N729" i="16"/>
  <c r="N723" i="16"/>
  <c r="N711" i="16"/>
  <c r="N693" i="16"/>
  <c r="N687" i="16"/>
  <c r="N767" i="16"/>
  <c r="N755" i="16"/>
  <c r="N749" i="16"/>
  <c r="N743" i="16"/>
  <c r="N737" i="16"/>
  <c r="N731" i="16"/>
  <c r="N725" i="16"/>
  <c r="N719" i="16"/>
  <c r="N707" i="16"/>
  <c r="N689" i="16"/>
  <c r="N683" i="16"/>
  <c r="AA591" i="16"/>
  <c r="AA587" i="16"/>
  <c r="AA585" i="16"/>
  <c r="AA581" i="16"/>
  <c r="AA579" i="16"/>
  <c r="AA575" i="16"/>
  <c r="AA561" i="16"/>
  <c r="AA557" i="16"/>
  <c r="AA531" i="16"/>
  <c r="AA527" i="16"/>
  <c r="AA519" i="16"/>
  <c r="AA515" i="16"/>
  <c r="AA483" i="16"/>
  <c r="AA479" i="16"/>
  <c r="AA477" i="16"/>
  <c r="AA473" i="16"/>
  <c r="AA459" i="16"/>
  <c r="AA455" i="16"/>
  <c r="AA453" i="16"/>
  <c r="AA449" i="16"/>
  <c r="AA447" i="16"/>
  <c r="AA443" i="16"/>
  <c r="AA441" i="16"/>
  <c r="AA437" i="16"/>
  <c r="AA411" i="16"/>
  <c r="AA407" i="16"/>
  <c r="AA375" i="16"/>
  <c r="AA371" i="16"/>
  <c r="AA369" i="16"/>
  <c r="AA365" i="16"/>
  <c r="AA363" i="16"/>
  <c r="AA359" i="16"/>
  <c r="AA357" i="16"/>
  <c r="AA353" i="16"/>
  <c r="AA351" i="16"/>
  <c r="AA347" i="16"/>
  <c r="AA327" i="16"/>
  <c r="AA323" i="16"/>
  <c r="AA321" i="16"/>
  <c r="AA317" i="16"/>
  <c r="N651" i="16"/>
  <c r="N647" i="16"/>
  <c r="N591" i="16"/>
  <c r="N585" i="16"/>
  <c r="N519" i="16"/>
  <c r="N531" i="16"/>
  <c r="N561" i="16"/>
  <c r="N579" i="16"/>
  <c r="N483" i="16"/>
  <c r="N477" i="16"/>
  <c r="N459" i="16"/>
  <c r="N453" i="16"/>
  <c r="N447" i="16"/>
  <c r="N441" i="16"/>
  <c r="N411" i="16"/>
  <c r="N375" i="16"/>
  <c r="N369" i="16"/>
  <c r="N363" i="16"/>
  <c r="N357" i="16"/>
  <c r="N351" i="16"/>
  <c r="N327" i="16"/>
  <c r="N321" i="16"/>
  <c r="N587" i="16"/>
  <c r="N581" i="16"/>
  <c r="N575" i="16"/>
  <c r="N557" i="16"/>
  <c r="N527" i="16"/>
  <c r="N515" i="16"/>
  <c r="N479" i="16"/>
  <c r="N473" i="16"/>
  <c r="N455" i="16"/>
  <c r="N449" i="16"/>
  <c r="N443" i="16"/>
  <c r="N437" i="16"/>
  <c r="N407" i="16"/>
  <c r="N371" i="16"/>
  <c r="N365" i="16"/>
  <c r="N359" i="16"/>
  <c r="N353" i="16"/>
  <c r="N347" i="16"/>
  <c r="N323" i="16"/>
  <c r="N317" i="16"/>
  <c r="AA279" i="16"/>
  <c r="AA275" i="16"/>
  <c r="AA273" i="16"/>
  <c r="AA269" i="16"/>
  <c r="AA267" i="16"/>
  <c r="AA263" i="16"/>
  <c r="AA255" i="16"/>
  <c r="AA251" i="16"/>
  <c r="AA249" i="16"/>
  <c r="AA245" i="16"/>
  <c r="AA237" i="16"/>
  <c r="AA233" i="16"/>
  <c r="AA231" i="16"/>
  <c r="AA227" i="16"/>
  <c r="AA225" i="16"/>
  <c r="AA221" i="16"/>
  <c r="AA219" i="16"/>
  <c r="AA215" i="16"/>
  <c r="AA213" i="16"/>
  <c r="AA209" i="16"/>
  <c r="AA207" i="16"/>
  <c r="AA203" i="16"/>
  <c r="AA201" i="16"/>
  <c r="AA197" i="16"/>
  <c r="AA177" i="16"/>
  <c r="AA173" i="16"/>
  <c r="AA171" i="16"/>
  <c r="AA167" i="16"/>
  <c r="AA165" i="16"/>
  <c r="AA161" i="16"/>
  <c r="N291" i="16"/>
  <c r="N287" i="16"/>
  <c r="N279" i="16"/>
  <c r="N275" i="16"/>
  <c r="N273" i="16"/>
  <c r="N269" i="16"/>
  <c r="N267" i="16"/>
  <c r="N263" i="16"/>
  <c r="N255" i="16"/>
  <c r="N251" i="16"/>
  <c r="N249" i="16"/>
  <c r="N245" i="16"/>
  <c r="N237" i="16"/>
  <c r="N233" i="16"/>
  <c r="N231" i="16"/>
  <c r="N227" i="16"/>
  <c r="N225" i="16"/>
  <c r="N221" i="16"/>
  <c r="N219" i="16"/>
  <c r="N215" i="16"/>
  <c r="N213" i="16"/>
  <c r="N209" i="16"/>
  <c r="N207" i="16"/>
  <c r="N203" i="16"/>
  <c r="N201" i="16"/>
  <c r="N197" i="16"/>
  <c r="N177" i="16"/>
  <c r="N173" i="16"/>
  <c r="N171" i="16"/>
  <c r="N167" i="16"/>
  <c r="N165" i="16"/>
  <c r="N161" i="16"/>
  <c r="AA141" i="16"/>
  <c r="AA137" i="16"/>
  <c r="AA135" i="16"/>
  <c r="AA131" i="16"/>
  <c r="AA123" i="16"/>
  <c r="AA119" i="16"/>
  <c r="AA117" i="16"/>
  <c r="AA113" i="16"/>
  <c r="AA105" i="16"/>
  <c r="AA101" i="16"/>
  <c r="AA99" i="16"/>
  <c r="AA95" i="16"/>
  <c r="AA93" i="16"/>
  <c r="AA89" i="16"/>
  <c r="AA87" i="16"/>
  <c r="AA83" i="16"/>
  <c r="AA81" i="16"/>
  <c r="AA77" i="16"/>
  <c r="AA75" i="16"/>
  <c r="AA71" i="16"/>
  <c r="AA69" i="16"/>
  <c r="AA65" i="16"/>
  <c r="AA51" i="16"/>
  <c r="AA47" i="16"/>
  <c r="AA45" i="16"/>
  <c r="AA41" i="16"/>
  <c r="AA39" i="16"/>
  <c r="AA35" i="16"/>
  <c r="AA27" i="16"/>
  <c r="AA23" i="16"/>
  <c r="AA21" i="16"/>
  <c r="N147" i="16"/>
  <c r="N143" i="16"/>
  <c r="N141" i="16"/>
  <c r="N137" i="16"/>
  <c r="N135" i="16"/>
  <c r="N131" i="16"/>
  <c r="N123" i="16"/>
  <c r="N119" i="16"/>
  <c r="N117" i="16"/>
  <c r="N113" i="16"/>
  <c r="N105" i="16"/>
  <c r="N101" i="16"/>
  <c r="N99" i="16"/>
  <c r="N95" i="16"/>
  <c r="N93" i="16"/>
  <c r="N89" i="16"/>
  <c r="N87" i="16"/>
  <c r="N83" i="16"/>
  <c r="N81" i="16"/>
  <c r="N77" i="16"/>
  <c r="N75" i="16"/>
  <c r="N71" i="16"/>
  <c r="N69" i="16"/>
  <c r="N65" i="16"/>
  <c r="N51" i="16"/>
  <c r="N47" i="16"/>
  <c r="N45" i="16"/>
  <c r="N41" i="16"/>
  <c r="N39" i="16"/>
  <c r="N35" i="16"/>
  <c r="N27" i="16"/>
  <c r="N23" i="16"/>
  <c r="N21" i="16"/>
  <c r="N17" i="16"/>
  <c r="AA887" i="16"/>
  <c r="AA888" i="16"/>
  <c r="AA889" i="16"/>
  <c r="AA890" i="16"/>
  <c r="AA886" i="16"/>
  <c r="N887" i="16"/>
  <c r="N888" i="16"/>
  <c r="N889" i="16"/>
  <c r="N890" i="16"/>
  <c r="N886" i="16"/>
  <c r="BC52" i="6"/>
  <c r="ES52" i="6" s="1"/>
  <c r="AA876" i="16"/>
  <c r="AA877" i="16"/>
  <c r="AA878" i="16"/>
  <c r="AA874" i="16"/>
  <c r="N876" i="16"/>
  <c r="N877" i="16"/>
  <c r="N878" i="16"/>
  <c r="BC45" i="6"/>
  <c r="AV58" i="6"/>
  <c r="AA798" i="16"/>
  <c r="AA799" i="16"/>
  <c r="AA800" i="16"/>
  <c r="AA796" i="16"/>
  <c r="N798" i="16"/>
  <c r="N799" i="16"/>
  <c r="N800" i="16"/>
  <c r="N796" i="16"/>
  <c r="AA665" i="16"/>
  <c r="AA666" i="16"/>
  <c r="AA667" i="16"/>
  <c r="AA668" i="16"/>
  <c r="AA664" i="16"/>
  <c r="N665" i="16"/>
  <c r="N666" i="16"/>
  <c r="N667" i="16"/>
  <c r="N668" i="16"/>
  <c r="N664" i="16"/>
  <c r="AA654" i="16"/>
  <c r="AA655" i="16"/>
  <c r="AA656" i="16"/>
  <c r="AA652" i="16"/>
  <c r="N654" i="16"/>
  <c r="N655" i="16"/>
  <c r="N656" i="16"/>
  <c r="N652" i="16"/>
  <c r="AA294" i="16"/>
  <c r="AA295" i="16"/>
  <c r="AA296" i="16"/>
  <c r="AA292" i="16"/>
  <c r="N294" i="16"/>
  <c r="N295" i="16"/>
  <c r="N296" i="16"/>
  <c r="N292" i="16"/>
  <c r="AA150" i="16"/>
  <c r="AA151" i="16"/>
  <c r="AA152" i="16"/>
  <c r="AA148" i="16"/>
  <c r="N150" i="16"/>
  <c r="N151" i="16"/>
  <c r="N152" i="16"/>
  <c r="N148" i="16"/>
  <c r="Y31" i="6"/>
  <c r="AA31" i="6"/>
  <c r="BD31" i="6" s="1"/>
  <c r="BC31" i="6"/>
  <c r="BE31" i="6" s="1"/>
  <c r="BA38" i="6"/>
  <c r="BA43" i="6" s="1"/>
  <c r="AU11" i="6"/>
  <c r="AE77" i="6"/>
  <c r="AG77" i="6"/>
  <c r="AI77" i="6"/>
  <c r="AG75" i="6"/>
  <c r="AI75" i="6"/>
  <c r="AG74" i="6"/>
  <c r="AI74" i="6"/>
  <c r="AI79" i="6" s="1"/>
  <c r="AC72" i="6"/>
  <c r="AE70" i="6"/>
  <c r="AG70" i="6"/>
  <c r="AG72" i="6" s="1"/>
  <c r="AI72" i="6"/>
  <c r="AK70" i="6"/>
  <c r="AK72" i="6" s="1"/>
  <c r="AM72" i="6"/>
  <c r="AO72" i="6"/>
  <c r="AC65" i="6"/>
  <c r="AE63" i="6"/>
  <c r="AG60" i="6"/>
  <c r="AG63" i="6"/>
  <c r="AI60" i="6"/>
  <c r="AI63" i="6"/>
  <c r="AK63" i="6"/>
  <c r="AK65" i="6" s="1"/>
  <c r="AM65" i="6"/>
  <c r="AO65" i="6"/>
  <c r="AI61" i="6"/>
  <c r="AO61" i="6"/>
  <c r="AC58" i="6"/>
  <c r="AE56" i="6"/>
  <c r="AG53" i="6"/>
  <c r="BB53" i="6" s="1"/>
  <c r="AG56" i="6"/>
  <c r="AI58" i="6"/>
  <c r="AK58" i="6"/>
  <c r="AM58" i="6"/>
  <c r="AO58" i="6"/>
  <c r="AC51" i="6"/>
  <c r="AE49" i="6"/>
  <c r="BB49" i="6" s="1"/>
  <c r="AG51" i="6"/>
  <c r="AI51" i="6"/>
  <c r="AK51" i="6"/>
  <c r="AM51" i="6"/>
  <c r="AO51" i="6"/>
  <c r="AI47" i="6"/>
  <c r="BB47" i="6" s="1"/>
  <c r="AC44" i="6"/>
  <c r="AE42" i="6"/>
  <c r="AG39" i="6"/>
  <c r="AG42" i="6"/>
  <c r="AI42" i="6"/>
  <c r="AK39" i="6"/>
  <c r="AM44" i="6"/>
  <c r="AO44" i="6"/>
  <c r="AC37" i="6"/>
  <c r="AE35" i="6"/>
  <c r="BB35" i="6" s="1"/>
  <c r="AG35" i="6"/>
  <c r="AI37" i="6"/>
  <c r="AK37" i="6"/>
  <c r="AM37" i="6"/>
  <c r="AO37" i="6"/>
  <c r="X495" i="15"/>
  <c r="X501" i="15" s="1"/>
  <c r="AC30" i="6"/>
  <c r="AE30" i="6"/>
  <c r="AG30" i="6"/>
  <c r="AI30" i="6"/>
  <c r="AK30" i="6"/>
  <c r="AM30" i="6"/>
  <c r="AO30" i="6"/>
  <c r="AI26" i="6"/>
  <c r="BB26" i="6" s="1"/>
  <c r="AC23" i="6"/>
  <c r="AE23" i="6"/>
  <c r="AG18" i="6"/>
  <c r="AG21" i="6"/>
  <c r="AI18" i="6"/>
  <c r="AI21" i="6"/>
  <c r="AK18" i="6"/>
  <c r="AM23" i="6"/>
  <c r="AO23" i="6"/>
  <c r="AI19" i="6"/>
  <c r="BB19" i="6" s="1"/>
  <c r="AC16" i="6"/>
  <c r="AE14" i="6"/>
  <c r="AG11" i="6"/>
  <c r="AG14" i="6"/>
  <c r="AI11" i="6"/>
  <c r="AI16" i="6" s="1"/>
  <c r="AK16" i="6"/>
  <c r="AM16" i="6"/>
  <c r="AO16" i="6"/>
  <c r="AI12" i="6"/>
  <c r="BB12" i="6" s="1"/>
  <c r="AQ72" i="6"/>
  <c r="AQ58" i="6"/>
  <c r="AQ51" i="6"/>
  <c r="AQ44" i="6"/>
  <c r="AQ37" i="6"/>
  <c r="AQ30" i="6"/>
  <c r="AQ23" i="6"/>
  <c r="AQ16" i="6"/>
  <c r="G402" i="17"/>
  <c r="G401" i="17"/>
  <c r="G400" i="17"/>
  <c r="G399" i="17"/>
  <c r="G398" i="17"/>
  <c r="J122" i="17"/>
  <c r="M125" i="17"/>
  <c r="J125" i="17"/>
  <c r="M124" i="17"/>
  <c r="J124" i="17"/>
  <c r="M123" i="17"/>
  <c r="J123" i="17"/>
  <c r="M122" i="17"/>
  <c r="M957" i="16"/>
  <c r="M953" i="16"/>
  <c r="M903" i="16"/>
  <c r="M899" i="16"/>
  <c r="M873" i="16"/>
  <c r="M869" i="16"/>
  <c r="M855" i="16"/>
  <c r="M851" i="16"/>
  <c r="M849" i="16"/>
  <c r="M845" i="16"/>
  <c r="M837" i="16"/>
  <c r="M833" i="16"/>
  <c r="M831" i="16"/>
  <c r="M827" i="16"/>
  <c r="M813" i="16"/>
  <c r="M809" i="16"/>
  <c r="M795" i="16"/>
  <c r="M791" i="16"/>
  <c r="M789" i="16"/>
  <c r="M785" i="16"/>
  <c r="M771" i="16"/>
  <c r="M767" i="16"/>
  <c r="M759" i="16"/>
  <c r="M755" i="16"/>
  <c r="M753" i="16"/>
  <c r="M749" i="16"/>
  <c r="M747" i="16"/>
  <c r="M743" i="16"/>
  <c r="M741" i="16"/>
  <c r="M737" i="16"/>
  <c r="M735" i="16"/>
  <c r="M731" i="16"/>
  <c r="M729" i="16"/>
  <c r="M725" i="16"/>
  <c r="M723" i="16"/>
  <c r="M719" i="16"/>
  <c r="M711" i="16"/>
  <c r="M707" i="16"/>
  <c r="M693" i="16"/>
  <c r="M689" i="16"/>
  <c r="M687" i="16"/>
  <c r="M683" i="16"/>
  <c r="M651" i="16"/>
  <c r="M591" i="16"/>
  <c r="M585" i="16"/>
  <c r="M579" i="16"/>
  <c r="M561" i="16"/>
  <c r="M531" i="16"/>
  <c r="M527" i="16"/>
  <c r="M519" i="16"/>
  <c r="M515" i="16"/>
  <c r="M483" i="16"/>
  <c r="M479" i="16"/>
  <c r="M459" i="16"/>
  <c r="M455" i="16"/>
  <c r="M453" i="16"/>
  <c r="M449" i="16"/>
  <c r="M447" i="16"/>
  <c r="M443" i="16"/>
  <c r="M441" i="16"/>
  <c r="M437" i="16"/>
  <c r="M411" i="16"/>
  <c r="M407" i="16"/>
  <c r="M375" i="16"/>
  <c r="M371" i="16"/>
  <c r="M369" i="16"/>
  <c r="M365" i="16"/>
  <c r="M363" i="16"/>
  <c r="M359" i="16"/>
  <c r="M357" i="16"/>
  <c r="M353" i="16"/>
  <c r="M351" i="16"/>
  <c r="M347" i="16"/>
  <c r="M327" i="16"/>
  <c r="M323" i="16"/>
  <c r="M321" i="16"/>
  <c r="M317" i="16"/>
  <c r="Z294" i="16"/>
  <c r="Z295" i="16"/>
  <c r="Z296" i="16"/>
  <c r="Z292" i="16"/>
  <c r="L221" i="16"/>
  <c r="M294" i="16"/>
  <c r="M295" i="16"/>
  <c r="M296" i="16"/>
  <c r="M292" i="16"/>
  <c r="M291" i="16"/>
  <c r="M287" i="16"/>
  <c r="M279" i="16"/>
  <c r="M275" i="16"/>
  <c r="M273" i="16"/>
  <c r="M269" i="16"/>
  <c r="M267" i="16"/>
  <c r="M263" i="16"/>
  <c r="M255" i="16"/>
  <c r="M251" i="16"/>
  <c r="M237" i="16"/>
  <c r="M233" i="16"/>
  <c r="M231" i="16"/>
  <c r="M227" i="16"/>
  <c r="M225" i="16"/>
  <c r="M221" i="16"/>
  <c r="M219" i="16"/>
  <c r="M215" i="16"/>
  <c r="M213" i="16"/>
  <c r="M209" i="16"/>
  <c r="M207" i="16"/>
  <c r="M203" i="16"/>
  <c r="M201" i="16"/>
  <c r="M197" i="16"/>
  <c r="M177" i="16"/>
  <c r="M173" i="16"/>
  <c r="M171" i="16"/>
  <c r="M167" i="16"/>
  <c r="M165" i="16"/>
  <c r="M161" i="16"/>
  <c r="L151" i="16"/>
  <c r="Y151" i="16"/>
  <c r="Y152" i="16"/>
  <c r="L152" i="16"/>
  <c r="AP80" i="6"/>
  <c r="AP79" i="6"/>
  <c r="Z150" i="16"/>
  <c r="Z151" i="16"/>
  <c r="Z152" i="16"/>
  <c r="M150" i="16"/>
  <c r="M151" i="16"/>
  <c r="M152" i="16"/>
  <c r="M147" i="16"/>
  <c r="M143" i="16"/>
  <c r="M141" i="16"/>
  <c r="M137" i="16"/>
  <c r="M135" i="16"/>
  <c r="M131" i="16"/>
  <c r="M123" i="16"/>
  <c r="M119" i="16"/>
  <c r="M117" i="16"/>
  <c r="M113" i="16"/>
  <c r="M105" i="16"/>
  <c r="M101" i="16"/>
  <c r="M99" i="16"/>
  <c r="M95" i="16"/>
  <c r="M93" i="16"/>
  <c r="M89" i="16"/>
  <c r="M87" i="16"/>
  <c r="M83" i="16"/>
  <c r="M81" i="16"/>
  <c r="M77" i="16"/>
  <c r="M75" i="16"/>
  <c r="M71" i="16"/>
  <c r="M69" i="16"/>
  <c r="M65" i="16"/>
  <c r="M51" i="16"/>
  <c r="M47" i="16"/>
  <c r="M45" i="16"/>
  <c r="M41" i="16"/>
  <c r="M23" i="16"/>
  <c r="M39" i="16"/>
  <c r="M35" i="16"/>
  <c r="M27" i="16"/>
  <c r="M21" i="16"/>
  <c r="M17" i="16"/>
  <c r="Z960" i="16"/>
  <c r="Z961" i="16"/>
  <c r="Z962" i="16"/>
  <c r="M960" i="16"/>
  <c r="M961" i="16"/>
  <c r="M962" i="16"/>
  <c r="M887" i="16"/>
  <c r="M888" i="16"/>
  <c r="M889" i="16"/>
  <c r="M890" i="16"/>
  <c r="M891" i="16"/>
  <c r="M886" i="16"/>
  <c r="Z876" i="16"/>
  <c r="Z877" i="16"/>
  <c r="Z878" i="16"/>
  <c r="Z874" i="16"/>
  <c r="M876" i="16"/>
  <c r="M877" i="16"/>
  <c r="M878" i="16"/>
  <c r="M874" i="16"/>
  <c r="M798" i="16"/>
  <c r="M799" i="16"/>
  <c r="M800" i="16"/>
  <c r="Z798" i="16"/>
  <c r="Z799" i="16"/>
  <c r="Z800" i="16"/>
  <c r="BE34" i="6"/>
  <c r="Z666" i="16"/>
  <c r="Z664" i="16"/>
  <c r="M665" i="16"/>
  <c r="M666" i="16"/>
  <c r="M667" i="16"/>
  <c r="M668" i="16"/>
  <c r="M669" i="16"/>
  <c r="M664" i="16"/>
  <c r="Z654" i="16"/>
  <c r="Z655" i="16"/>
  <c r="Z656" i="16"/>
  <c r="M972" i="16"/>
  <c r="Z958" i="16"/>
  <c r="M958" i="16"/>
  <c r="BC59" i="6"/>
  <c r="ES59" i="6" s="1"/>
  <c r="Y958" i="16"/>
  <c r="AG898" i="16"/>
  <c r="BE46" i="6"/>
  <c r="BE47" i="6"/>
  <c r="BE48" i="6"/>
  <c r="BE49" i="6"/>
  <c r="EV49" i="6" s="1"/>
  <c r="BE50" i="6"/>
  <c r="EV50" i="6" s="1"/>
  <c r="BE52" i="6"/>
  <c r="BE53" i="6"/>
  <c r="BE54" i="6"/>
  <c r="BE55" i="6"/>
  <c r="BE56" i="6"/>
  <c r="EV56" i="6" s="1"/>
  <c r="BE57" i="6"/>
  <c r="EV57" i="6" s="1"/>
  <c r="BE59" i="6"/>
  <c r="BE61" i="6"/>
  <c r="BE62" i="6"/>
  <c r="BE63" i="6"/>
  <c r="EV63" i="6" s="1"/>
  <c r="BE64" i="6"/>
  <c r="BE66" i="6"/>
  <c r="BE67" i="6"/>
  <c r="BE68" i="6"/>
  <c r="BE69" i="6"/>
  <c r="BE71" i="6"/>
  <c r="EV71" i="6" s="1"/>
  <c r="BE73" i="6"/>
  <c r="BE78" i="6" s="1"/>
  <c r="EV78" i="6" s="1"/>
  <c r="BE74" i="6"/>
  <c r="BE75" i="6"/>
  <c r="BE76" i="6"/>
  <c r="BE13" i="6"/>
  <c r="BE14" i="6"/>
  <c r="BE17" i="6"/>
  <c r="BE18" i="6"/>
  <c r="BE19" i="6"/>
  <c r="BE20" i="6"/>
  <c r="BE21" i="6"/>
  <c r="EV21" i="6" s="1"/>
  <c r="BE25" i="6"/>
  <c r="BE26" i="6"/>
  <c r="BE27" i="6"/>
  <c r="BE28" i="6"/>
  <c r="EV28" i="6" s="1"/>
  <c r="BE32" i="6"/>
  <c r="EU32" i="6" s="1"/>
  <c r="Z665" i="16"/>
  <c r="BE33" i="6"/>
  <c r="BE35" i="6"/>
  <c r="Z667" i="16"/>
  <c r="BE38" i="6"/>
  <c r="BE39" i="6"/>
  <c r="BE40" i="6"/>
  <c r="BE41" i="6"/>
  <c r="BE42" i="6"/>
  <c r="EV42" i="6" s="1"/>
  <c r="BE43" i="6"/>
  <c r="EV43" i="6" s="1"/>
  <c r="BD48" i="6"/>
  <c r="BC32" i="6"/>
  <c r="ES32" i="6" s="1"/>
  <c r="ES33" i="6"/>
  <c r="BC34" i="6"/>
  <c r="BC35" i="6"/>
  <c r="BC36" i="6"/>
  <c r="BE36" i="6" s="1"/>
  <c r="Z668" i="16"/>
  <c r="BC38" i="6"/>
  <c r="BC39" i="6"/>
  <c r="BC40" i="6"/>
  <c r="ES40" i="6" s="1"/>
  <c r="BC41" i="6"/>
  <c r="BC43" i="6"/>
  <c r="BC46" i="6"/>
  <c r="BC47" i="6"/>
  <c r="BC48" i="6"/>
  <c r="BC49" i="6"/>
  <c r="BC50" i="6"/>
  <c r="ES50" i="6" s="1"/>
  <c r="Z886" i="16"/>
  <c r="Z887" i="16"/>
  <c r="BC54" i="6"/>
  <c r="ES54" i="6" s="1"/>
  <c r="BC55" i="6"/>
  <c r="Z888" i="16"/>
  <c r="BC56" i="6"/>
  <c r="Z889" i="16"/>
  <c r="BC57" i="6"/>
  <c r="ES57" i="6" s="1"/>
  <c r="Z890" i="16"/>
  <c r="BC61" i="6"/>
  <c r="BC62" i="6"/>
  <c r="BC63" i="6"/>
  <c r="BC64" i="6"/>
  <c r="ES64" i="6" s="1"/>
  <c r="BC68" i="6"/>
  <c r="BC69" i="6"/>
  <c r="ES69" i="6" s="1"/>
  <c r="BC73" i="6"/>
  <c r="BC76" i="6"/>
  <c r="Z978" i="16" s="1"/>
  <c r="Z984" i="16" s="1"/>
  <c r="BC78" i="6"/>
  <c r="Z980" i="16" s="1"/>
  <c r="Z986" i="16" s="1"/>
  <c r="BC13" i="6"/>
  <c r="BC14" i="6"/>
  <c r="BC18" i="6"/>
  <c r="BC20" i="6"/>
  <c r="ES20" i="6" s="1"/>
  <c r="BC21" i="6"/>
  <c r="BC24" i="6"/>
  <c r="ES24" i="6" s="1"/>
  <c r="BC26" i="6"/>
  <c r="BC27" i="6"/>
  <c r="ES27" i="6" s="1"/>
  <c r="BC28" i="6"/>
  <c r="M964" i="16"/>
  <c r="M970" i="16" s="1"/>
  <c r="M965" i="16"/>
  <c r="M988" i="16" s="1"/>
  <c r="BG17" i="5"/>
  <c r="BG16" i="5"/>
  <c r="BG15" i="5"/>
  <c r="EU15" i="5"/>
  <c r="EU16" i="5"/>
  <c r="EU17" i="5"/>
  <c r="Z148" i="16"/>
  <c r="M148" i="16"/>
  <c r="Z579" i="16"/>
  <c r="Z483" i="16"/>
  <c r="Z441" i="16"/>
  <c r="Z363" i="16"/>
  <c r="Z321" i="16"/>
  <c r="Z581" i="16"/>
  <c r="Z575" i="16"/>
  <c r="Z479" i="16"/>
  <c r="Z437" i="16"/>
  <c r="Z359" i="16"/>
  <c r="Z317" i="16"/>
  <c r="Z585" i="16"/>
  <c r="Z323" i="16"/>
  <c r="Z561" i="16"/>
  <c r="Z459" i="16"/>
  <c r="Z407" i="16"/>
  <c r="Z357" i="16"/>
  <c r="Z449" i="16"/>
  <c r="Z519" i="16"/>
  <c r="Z327" i="16"/>
  <c r="Z515" i="16"/>
  <c r="Z557" i="16"/>
  <c r="Z455" i="16"/>
  <c r="Z411" i="16"/>
  <c r="Z353" i="16"/>
  <c r="Z527" i="16"/>
  <c r="Z371" i="16"/>
  <c r="Z369" i="16"/>
  <c r="Z365" i="16"/>
  <c r="Z591" i="16"/>
  <c r="Z531" i="16"/>
  <c r="Z453" i="16"/>
  <c r="Z375" i="16"/>
  <c r="Z351" i="16"/>
  <c r="Z587" i="16"/>
  <c r="Z347" i="16"/>
  <c r="Z447" i="16"/>
  <c r="Z443" i="16"/>
  <c r="Z833" i="16"/>
  <c r="Z831" i="16"/>
  <c r="Z849" i="16"/>
  <c r="Z837" i="16"/>
  <c r="Z827" i="16"/>
  <c r="Z855" i="16"/>
  <c r="Z813" i="16"/>
  <c r="Z845" i="16"/>
  <c r="Z851" i="16"/>
  <c r="Z809" i="16"/>
  <c r="Z957" i="16"/>
  <c r="Z953" i="16"/>
  <c r="Z903" i="16"/>
  <c r="Z899" i="16"/>
  <c r="Z105" i="16"/>
  <c r="Z753" i="16"/>
  <c r="Z729" i="16"/>
  <c r="Z687" i="16"/>
  <c r="Z749" i="16"/>
  <c r="Z725" i="16"/>
  <c r="Z683" i="16"/>
  <c r="Z789" i="16"/>
  <c r="Z747" i="16"/>
  <c r="Z723" i="16"/>
  <c r="Z767" i="16"/>
  <c r="Z735" i="16"/>
  <c r="Z731" i="16"/>
  <c r="Z689" i="16"/>
  <c r="Z785" i="16"/>
  <c r="Z743" i="16"/>
  <c r="Z719" i="16"/>
  <c r="Z759" i="16"/>
  <c r="Z771" i="16"/>
  <c r="Z741" i="16"/>
  <c r="Z711" i="16"/>
  <c r="Z737" i="16"/>
  <c r="Z707" i="16"/>
  <c r="Z693" i="16"/>
  <c r="Z755" i="16"/>
  <c r="Z263" i="16"/>
  <c r="Z221" i="16"/>
  <c r="Z197" i="16"/>
  <c r="Z255" i="16"/>
  <c r="Z219" i="16"/>
  <c r="Z177" i="16"/>
  <c r="Z267" i="16"/>
  <c r="Z251" i="16"/>
  <c r="Z215" i="16"/>
  <c r="Z173" i="16"/>
  <c r="Z165" i="16"/>
  <c r="Z227" i="16"/>
  <c r="Z279" i="16"/>
  <c r="Z237" i="16"/>
  <c r="Z213" i="16"/>
  <c r="Z171" i="16"/>
  <c r="Z273" i="16"/>
  <c r="Z207" i="16"/>
  <c r="Z269" i="16"/>
  <c r="Z161" i="16"/>
  <c r="Z225" i="16"/>
  <c r="Z275" i="16"/>
  <c r="Z233" i="16"/>
  <c r="Z209" i="16"/>
  <c r="Z167" i="16"/>
  <c r="Z231" i="16"/>
  <c r="Z201" i="16"/>
  <c r="Z203" i="16"/>
  <c r="Z41" i="16"/>
  <c r="Z135" i="16"/>
  <c r="Q891" i="16"/>
  <c r="Q890" i="16"/>
  <c r="Q888" i="16"/>
  <c r="Q887" i="16"/>
  <c r="Q886" i="16"/>
  <c r="Z27" i="16"/>
  <c r="Z21" i="16"/>
  <c r="Z69" i="16"/>
  <c r="Z77" i="16"/>
  <c r="Z47" i="16"/>
  <c r="Z17" i="16"/>
  <c r="Z93" i="16"/>
  <c r="Z99" i="16"/>
  <c r="Z119" i="16"/>
  <c r="Z131" i="16"/>
  <c r="Z141" i="16"/>
  <c r="Z87" i="16"/>
  <c r="Z117" i="16"/>
  <c r="Z123" i="16"/>
  <c r="Z137" i="16"/>
  <c r="Z113" i="16"/>
  <c r="Z51" i="16"/>
  <c r="Z23" i="16"/>
  <c r="Z35" i="16"/>
  <c r="Z45" i="16"/>
  <c r="Z83" i="16"/>
  <c r="Z39" i="16"/>
  <c r="Z65" i="16"/>
  <c r="Z71" i="16"/>
  <c r="Z81" i="16"/>
  <c r="Z101" i="16"/>
  <c r="Z75" i="16"/>
  <c r="Z89" i="16"/>
  <c r="Z95" i="16"/>
  <c r="Z796" i="16"/>
  <c r="M796" i="16"/>
  <c r="AD705" i="16"/>
  <c r="Z652" i="16"/>
  <c r="AQ80" i="6"/>
  <c r="BD33" i="6"/>
  <c r="BD54" i="6"/>
  <c r="EV77" i="6"/>
  <c r="G397" i="17"/>
  <c r="G396" i="17"/>
  <c r="G395" i="17"/>
  <c r="G394" i="17"/>
  <c r="G393" i="17"/>
  <c r="M121" i="17"/>
  <c r="J121" i="17"/>
  <c r="M120" i="17"/>
  <c r="J120" i="17"/>
  <c r="M119" i="17"/>
  <c r="J119" i="17"/>
  <c r="M118" i="17"/>
  <c r="J118" i="17"/>
  <c r="BA28" i="6"/>
  <c r="L301" i="16" s="1"/>
  <c r="BA25" i="6"/>
  <c r="L299" i="16" s="1"/>
  <c r="BA32" i="6"/>
  <c r="BD32" i="6" s="1"/>
  <c r="L659" i="16" s="1"/>
  <c r="L665" i="16" s="1"/>
  <c r="BA67" i="6"/>
  <c r="L965" i="16" s="1"/>
  <c r="L971" i="16" s="1"/>
  <c r="Y959" i="16"/>
  <c r="Y965" i="16"/>
  <c r="Y988" i="16" s="1"/>
  <c r="Y983" i="16"/>
  <c r="Y667" i="16"/>
  <c r="Y889" i="16"/>
  <c r="Y961" i="16"/>
  <c r="Y985" i="16"/>
  <c r="X491" i="15"/>
  <c r="X497" i="15" s="1"/>
  <c r="AC79" i="6"/>
  <c r="AK79" i="6"/>
  <c r="AM79" i="6"/>
  <c r="AD79" i="6"/>
  <c r="AF79" i="6"/>
  <c r="AH79" i="6"/>
  <c r="AJ79" i="6"/>
  <c r="AL79" i="6"/>
  <c r="AN79" i="6"/>
  <c r="AY79" i="6"/>
  <c r="AU79" i="6"/>
  <c r="AS79" i="6"/>
  <c r="AQ79" i="6"/>
  <c r="AO79" i="6"/>
  <c r="Y984" i="16"/>
  <c r="Y986" i="16"/>
  <c r="Y982" i="16"/>
  <c r="L984" i="16"/>
  <c r="BA73" i="6"/>
  <c r="BD73" i="6" s="1"/>
  <c r="Y972" i="16"/>
  <c r="L972" i="16"/>
  <c r="BA66" i="6"/>
  <c r="L964" i="16" s="1"/>
  <c r="L970" i="16" s="1"/>
  <c r="BA69" i="6"/>
  <c r="AY72" i="6"/>
  <c r="AW72" i="6"/>
  <c r="AU72" i="6"/>
  <c r="AS72" i="6"/>
  <c r="Y960" i="16"/>
  <c r="Y962" i="16"/>
  <c r="AD65" i="6"/>
  <c r="AF65" i="6"/>
  <c r="AH65" i="6"/>
  <c r="AJ65" i="6"/>
  <c r="AL65" i="6"/>
  <c r="L960" i="16"/>
  <c r="BA59" i="6"/>
  <c r="BA64" i="6" s="1"/>
  <c r="L896" i="16" s="1"/>
  <c r="L962" i="16" s="1"/>
  <c r="AY65" i="6"/>
  <c r="AW65" i="6"/>
  <c r="AU65" i="6"/>
  <c r="AS65" i="6"/>
  <c r="Y888" i="16"/>
  <c r="Y890" i="16"/>
  <c r="AD58" i="6"/>
  <c r="AF58" i="6"/>
  <c r="AH58" i="6"/>
  <c r="AJ58" i="6"/>
  <c r="AL58" i="6"/>
  <c r="Y886" i="16"/>
  <c r="X688" i="15"/>
  <c r="X694" i="15" s="1"/>
  <c r="X693" i="15"/>
  <c r="X699" i="15" s="1"/>
  <c r="BA52" i="6"/>
  <c r="BD52" i="6" s="1"/>
  <c r="AY58" i="6"/>
  <c r="AW58" i="6"/>
  <c r="AU58" i="6"/>
  <c r="AS58" i="6"/>
  <c r="Y876" i="16"/>
  <c r="Y877" i="16"/>
  <c r="Y878" i="16"/>
  <c r="Y874" i="16"/>
  <c r="BA45" i="6"/>
  <c r="L802" i="16" s="1"/>
  <c r="L876" i="16"/>
  <c r="L877" i="16"/>
  <c r="L878" i="16"/>
  <c r="L874" i="16"/>
  <c r="AD51" i="6"/>
  <c r="AF51" i="6"/>
  <c r="AH51" i="6"/>
  <c r="AJ51" i="6"/>
  <c r="AL51" i="6"/>
  <c r="AY51" i="6"/>
  <c r="AW51" i="6"/>
  <c r="AU51" i="6"/>
  <c r="ER51" i="6" s="1"/>
  <c r="AS51" i="6"/>
  <c r="AD44" i="6"/>
  <c r="AF44" i="6"/>
  <c r="AH44" i="6"/>
  <c r="AJ44" i="6"/>
  <c r="AL44" i="6"/>
  <c r="BD41" i="6"/>
  <c r="Y800" i="16"/>
  <c r="Y799" i="16"/>
  <c r="Y798" i="16"/>
  <c r="Y796" i="16"/>
  <c r="L798" i="16"/>
  <c r="L799" i="16"/>
  <c r="L800" i="16"/>
  <c r="Y666" i="16"/>
  <c r="L666" i="16"/>
  <c r="BD34" i="6"/>
  <c r="L654" i="16"/>
  <c r="L655" i="16"/>
  <c r="L656" i="16"/>
  <c r="BA24" i="6"/>
  <c r="L298" i="16" s="1"/>
  <c r="L652" i="16"/>
  <c r="Y654" i="16"/>
  <c r="Y655" i="16"/>
  <c r="Y656" i="16"/>
  <c r="Y652" i="16"/>
  <c r="AN29" i="6"/>
  <c r="BE29" i="6" s="1"/>
  <c r="EV29" i="6" s="1"/>
  <c r="AD30" i="6"/>
  <c r="AF30" i="6"/>
  <c r="AH30" i="6"/>
  <c r="AJ30" i="6"/>
  <c r="AL30" i="6"/>
  <c r="BA29" i="6"/>
  <c r="BD29" i="6" s="1"/>
  <c r="AY30" i="6"/>
  <c r="AW30" i="6"/>
  <c r="AU30" i="6"/>
  <c r="AS30" i="6"/>
  <c r="L291" i="16"/>
  <c r="L287" i="16"/>
  <c r="L279" i="16"/>
  <c r="L275" i="16"/>
  <c r="L273" i="16"/>
  <c r="L269" i="16"/>
  <c r="L267" i="16"/>
  <c r="L263" i="16"/>
  <c r="L255" i="16"/>
  <c r="L251" i="16"/>
  <c r="L237" i="16"/>
  <c r="L233" i="16"/>
  <c r="L231" i="16"/>
  <c r="L227" i="16"/>
  <c r="L225" i="16"/>
  <c r="L219" i="16"/>
  <c r="L215" i="16"/>
  <c r="L213" i="16"/>
  <c r="L209" i="16"/>
  <c r="L207" i="16"/>
  <c r="L203" i="16"/>
  <c r="L201" i="16"/>
  <c r="L197" i="16"/>
  <c r="L177" i="16"/>
  <c r="L173" i="16"/>
  <c r="L171" i="16"/>
  <c r="L167" i="16"/>
  <c r="L165" i="16"/>
  <c r="L161" i="16"/>
  <c r="Y294" i="16"/>
  <c r="Y295" i="16"/>
  <c r="Y296" i="16"/>
  <c r="Y292" i="16"/>
  <c r="AN22" i="6"/>
  <c r="BC22" i="6" s="1"/>
  <c r="ES22" i="6" s="1"/>
  <c r="AD23" i="6"/>
  <c r="AF23" i="6"/>
  <c r="AH23" i="6"/>
  <c r="AJ23" i="6"/>
  <c r="AL23" i="6"/>
  <c r="L159" i="16"/>
  <c r="Y150" i="16"/>
  <c r="L83" i="16"/>
  <c r="L71" i="16"/>
  <c r="L150" i="16"/>
  <c r="L95" i="16"/>
  <c r="L147" i="16"/>
  <c r="L143" i="16"/>
  <c r="L141" i="16"/>
  <c r="L137" i="16"/>
  <c r="L135" i="16"/>
  <c r="L131" i="16"/>
  <c r="L123" i="16"/>
  <c r="L119" i="16"/>
  <c r="L117" i="16"/>
  <c r="L113" i="16"/>
  <c r="L99" i="16"/>
  <c r="L93" i="16"/>
  <c r="L89" i="16"/>
  <c r="L87" i="16"/>
  <c r="L81" i="16"/>
  <c r="L77" i="16"/>
  <c r="L75" i="16"/>
  <c r="L69" i="16"/>
  <c r="L65" i="16"/>
  <c r="L51" i="16"/>
  <c r="L47" i="16"/>
  <c r="L45" i="16"/>
  <c r="L41" i="16"/>
  <c r="L39" i="16"/>
  <c r="L35" i="16"/>
  <c r="L27" i="16"/>
  <c r="L23" i="16"/>
  <c r="L21" i="16"/>
  <c r="L17" i="16"/>
  <c r="AN15" i="6"/>
  <c r="BC15" i="6" s="1"/>
  <c r="Y148" i="16"/>
  <c r="L148" i="16"/>
  <c r="AD16" i="6"/>
  <c r="AF16" i="6"/>
  <c r="AH16" i="6"/>
  <c r="AJ16" i="6"/>
  <c r="AL16" i="6"/>
  <c r="AN16" i="6"/>
  <c r="AY16" i="6"/>
  <c r="AW16" i="6"/>
  <c r="L15" i="16"/>
  <c r="X492" i="15"/>
  <c r="X498" i="15" s="1"/>
  <c r="BA40" i="6"/>
  <c r="BD40" i="6" s="1"/>
  <c r="AW61" i="6"/>
  <c r="L888" i="16"/>
  <c r="L292" i="16"/>
  <c r="L294" i="16"/>
  <c r="L295" i="16"/>
  <c r="L296" i="16"/>
  <c r="AA74" i="6"/>
  <c r="Z74" i="6"/>
  <c r="AA73" i="6"/>
  <c r="Z73" i="6"/>
  <c r="AA67" i="6"/>
  <c r="Z67" i="6"/>
  <c r="BD67" i="6"/>
  <c r="AA66" i="6"/>
  <c r="Z66" i="6"/>
  <c r="AA60" i="6"/>
  <c r="EV60" i="6" s="1"/>
  <c r="Z60" i="6"/>
  <c r="AA59" i="6"/>
  <c r="Z59" i="6"/>
  <c r="AA53" i="6"/>
  <c r="Z53" i="6"/>
  <c r="AA52" i="6"/>
  <c r="Z52" i="6"/>
  <c r="AA46" i="6"/>
  <c r="Z46" i="6"/>
  <c r="AA45" i="6"/>
  <c r="Z45" i="6"/>
  <c r="AA39" i="6"/>
  <c r="Z39" i="6"/>
  <c r="AA38" i="6"/>
  <c r="EV38" i="6" s="1"/>
  <c r="Z38" i="6"/>
  <c r="G392" i="17"/>
  <c r="G391" i="17"/>
  <c r="G390" i="17"/>
  <c r="G389" i="17"/>
  <c r="G388" i="17"/>
  <c r="M117" i="17"/>
  <c r="J117" i="17"/>
  <c r="M116" i="17"/>
  <c r="J116" i="17"/>
  <c r="M115" i="17"/>
  <c r="J115" i="17"/>
  <c r="M114" i="17"/>
  <c r="J114" i="17"/>
  <c r="G474" i="17"/>
  <c r="G473" i="17"/>
  <c r="G472" i="17"/>
  <c r="G471" i="17"/>
  <c r="G470" i="17"/>
  <c r="G469" i="17"/>
  <c r="G468" i="17"/>
  <c r="G467" i="17"/>
  <c r="G466" i="17"/>
  <c r="G465" i="17"/>
  <c r="G464" i="17"/>
  <c r="G463" i="17"/>
  <c r="G459" i="17"/>
  <c r="G458" i="17"/>
  <c r="G457" i="17"/>
  <c r="G456" i="17"/>
  <c r="G455" i="17"/>
  <c r="G454" i="17"/>
  <c r="G453" i="17"/>
  <c r="G452" i="17"/>
  <c r="G451" i="17"/>
  <c r="G450" i="17"/>
  <c r="G449" i="17"/>
  <c r="G448" i="17"/>
  <c r="G444" i="17"/>
  <c r="G443" i="17"/>
  <c r="G442" i="17"/>
  <c r="G441" i="17"/>
  <c r="G440" i="17"/>
  <c r="G439" i="17"/>
  <c r="G438" i="17"/>
  <c r="G437" i="17"/>
  <c r="G436" i="17"/>
  <c r="G435" i="17"/>
  <c r="G434" i="17"/>
  <c r="G433" i="17"/>
  <c r="G429" i="17"/>
  <c r="G428" i="17"/>
  <c r="G387" i="17"/>
  <c r="G386" i="17"/>
  <c r="G385" i="17"/>
  <c r="G384" i="17"/>
  <c r="G383" i="17"/>
  <c r="G382" i="17"/>
  <c r="G381" i="17"/>
  <c r="G380" i="17"/>
  <c r="G379" i="17"/>
  <c r="G378" i="17"/>
  <c r="G377" i="17"/>
  <c r="G376" i="17"/>
  <c r="G375" i="17"/>
  <c r="G374" i="17"/>
  <c r="G373" i="17"/>
  <c r="G372" i="17"/>
  <c r="G371" i="17"/>
  <c r="G370" i="17"/>
  <c r="G369" i="17"/>
  <c r="G368" i="17"/>
  <c r="G364" i="17"/>
  <c r="G363" i="17"/>
  <c r="G362" i="17"/>
  <c r="G361" i="17"/>
  <c r="G360" i="17"/>
  <c r="G359" i="17"/>
  <c r="G358" i="17"/>
  <c r="G357" i="17"/>
  <c r="M190" i="17"/>
  <c r="J190" i="17"/>
  <c r="M189" i="17"/>
  <c r="J189" i="17"/>
  <c r="M188" i="17"/>
  <c r="J188" i="17"/>
  <c r="M187" i="17"/>
  <c r="J187" i="17"/>
  <c r="M186" i="17"/>
  <c r="J186" i="17"/>
  <c r="M185" i="17"/>
  <c r="J185" i="17"/>
  <c r="M184" i="17"/>
  <c r="J184" i="17"/>
  <c r="M183" i="17"/>
  <c r="J183" i="17"/>
  <c r="M182" i="17"/>
  <c r="J182" i="17"/>
  <c r="M181" i="17"/>
  <c r="J181" i="17"/>
  <c r="M180" i="17"/>
  <c r="J180" i="17"/>
  <c r="M179" i="17"/>
  <c r="J179" i="17"/>
  <c r="M175" i="17"/>
  <c r="J175" i="17"/>
  <c r="M174" i="17"/>
  <c r="J174" i="17"/>
  <c r="M173" i="17"/>
  <c r="J173" i="17"/>
  <c r="M172" i="17"/>
  <c r="J172" i="17"/>
  <c r="M171" i="17"/>
  <c r="J171" i="17"/>
  <c r="M170" i="17"/>
  <c r="J170" i="17"/>
  <c r="M169" i="17"/>
  <c r="J169" i="17"/>
  <c r="M168" i="17"/>
  <c r="J168" i="17"/>
  <c r="M167" i="17"/>
  <c r="J167" i="17"/>
  <c r="M166" i="17"/>
  <c r="J166" i="17"/>
  <c r="M165" i="17"/>
  <c r="J165" i="17"/>
  <c r="M164" i="17"/>
  <c r="J164" i="17"/>
  <c r="M160" i="17"/>
  <c r="J160" i="17"/>
  <c r="M159" i="17"/>
  <c r="J159" i="17"/>
  <c r="M158" i="17"/>
  <c r="J158" i="17"/>
  <c r="M157" i="17"/>
  <c r="J157" i="17"/>
  <c r="M156" i="17"/>
  <c r="J156" i="17"/>
  <c r="M155" i="17"/>
  <c r="J155" i="17"/>
  <c r="M154" i="17"/>
  <c r="J154" i="17"/>
  <c r="M153" i="17"/>
  <c r="J153" i="17"/>
  <c r="M152" i="17"/>
  <c r="J152" i="17"/>
  <c r="M151" i="17"/>
  <c r="J151" i="17"/>
  <c r="M150" i="17"/>
  <c r="J150" i="17"/>
  <c r="M149" i="17"/>
  <c r="J149" i="17"/>
  <c r="M113" i="17"/>
  <c r="J113" i="17"/>
  <c r="M112" i="17"/>
  <c r="J112" i="17"/>
  <c r="M111" i="17"/>
  <c r="J111" i="17"/>
  <c r="M110" i="17"/>
  <c r="J110" i="17"/>
  <c r="M109" i="17"/>
  <c r="J109" i="17"/>
  <c r="M108" i="17"/>
  <c r="J108" i="17"/>
  <c r="M107" i="17"/>
  <c r="J107" i="17"/>
  <c r="M106" i="17"/>
  <c r="J106" i="17"/>
  <c r="M105" i="17"/>
  <c r="J105" i="17"/>
  <c r="M104" i="17"/>
  <c r="J104" i="17"/>
  <c r="M103" i="17"/>
  <c r="J103" i="17"/>
  <c r="M102" i="17"/>
  <c r="J102" i="17"/>
  <c r="M101" i="17"/>
  <c r="J101" i="17"/>
  <c r="M100" i="17"/>
  <c r="J100" i="17"/>
  <c r="M99" i="17"/>
  <c r="J99" i="17"/>
  <c r="M98" i="17"/>
  <c r="J98" i="17"/>
  <c r="M92" i="17"/>
  <c r="J92" i="17"/>
  <c r="M91" i="17"/>
  <c r="J91" i="17"/>
  <c r="M90" i="17"/>
  <c r="J90" i="17"/>
  <c r="M89" i="17"/>
  <c r="J89" i="17"/>
  <c r="M88" i="17"/>
  <c r="J88" i="17"/>
  <c r="M87" i="17"/>
  <c r="J87" i="17"/>
  <c r="M86" i="17"/>
  <c r="J86" i="17"/>
  <c r="M85" i="17"/>
  <c r="J85" i="17"/>
  <c r="M84" i="17"/>
  <c r="J84" i="17"/>
  <c r="M83" i="17"/>
  <c r="J83" i="17"/>
  <c r="M82" i="17"/>
  <c r="J82" i="17"/>
  <c r="M81" i="17"/>
  <c r="J81" i="17"/>
  <c r="M80" i="17"/>
  <c r="J80" i="17"/>
  <c r="M79" i="17"/>
  <c r="J79" i="17"/>
  <c r="M78" i="17"/>
  <c r="J78" i="17"/>
  <c r="H74" i="17"/>
  <c r="H73" i="17"/>
  <c r="H72" i="17"/>
  <c r="H71" i="17"/>
  <c r="H70" i="17"/>
  <c r="H69" i="17"/>
  <c r="H68" i="17"/>
  <c r="H67" i="17"/>
  <c r="H66" i="17"/>
  <c r="H65" i="17"/>
  <c r="H64" i="17"/>
  <c r="H63" i="17"/>
  <c r="H59" i="17"/>
  <c r="H58" i="17"/>
  <c r="H57" i="17"/>
  <c r="H56" i="17"/>
  <c r="H55" i="17"/>
  <c r="H54" i="17"/>
  <c r="H53" i="17"/>
  <c r="H52" i="17"/>
  <c r="H51" i="17"/>
  <c r="H50" i="17"/>
  <c r="H49" i="17"/>
  <c r="H48" i="17"/>
  <c r="H44" i="17"/>
  <c r="H43" i="17"/>
  <c r="H42" i="17"/>
  <c r="H41" i="17"/>
  <c r="H40" i="17"/>
  <c r="H39" i="17"/>
  <c r="H38" i="17"/>
  <c r="H37" i="17"/>
  <c r="H36" i="17"/>
  <c r="H35" i="17"/>
  <c r="H34" i="17"/>
  <c r="H33" i="17"/>
  <c r="H29" i="17"/>
  <c r="H28" i="17"/>
  <c r="H27" i="17"/>
  <c r="H26" i="17"/>
  <c r="H25" i="17"/>
  <c r="H24" i="17"/>
  <c r="H23" i="17"/>
  <c r="H22" i="17"/>
  <c r="H21" i="17"/>
  <c r="H20" i="17"/>
  <c r="H19" i="17"/>
  <c r="H18" i="17"/>
  <c r="H14" i="17"/>
  <c r="H13" i="17"/>
  <c r="H12" i="17"/>
  <c r="H11" i="17"/>
  <c r="H10" i="17"/>
  <c r="H9" i="17"/>
  <c r="W31" i="6"/>
  <c r="Z31" i="6"/>
  <c r="AC14" i="5"/>
  <c r="EW14" i="5" s="1"/>
  <c r="AC15" i="5"/>
  <c r="EX15" i="5" s="1"/>
  <c r="AC16" i="5"/>
  <c r="AC17" i="5"/>
  <c r="Z14" i="5"/>
  <c r="Z15" i="5"/>
  <c r="AC13" i="5"/>
  <c r="J14" i="5"/>
  <c r="J15" i="5"/>
  <c r="J16" i="5"/>
  <c r="J17" i="5"/>
  <c r="J13" i="5"/>
  <c r="G5" i="5"/>
  <c r="F5" i="6"/>
  <c r="BC14" i="5"/>
  <c r="BC17" i="5"/>
  <c r="BC16" i="5"/>
  <c r="BC15" i="5"/>
  <c r="BA27" i="6"/>
  <c r="BD27" i="6" s="1"/>
  <c r="BA22" i="6"/>
  <c r="BD22" i="6" s="1"/>
  <c r="BA20" i="6"/>
  <c r="BD20" i="6" s="1"/>
  <c r="BA17" i="6"/>
  <c r="BA15" i="6"/>
  <c r="BD15" i="6" s="1"/>
  <c r="BA13" i="6"/>
  <c r="BD13" i="6" s="1"/>
  <c r="BD62" i="6"/>
  <c r="X493" i="15"/>
  <c r="X499" i="15" s="1"/>
  <c r="BF14" i="5"/>
  <c r="AB80" i="6"/>
  <c r="K721" i="15" s="1"/>
  <c r="X987" i="16"/>
  <c r="K987" i="16"/>
  <c r="X986" i="16"/>
  <c r="K986" i="16"/>
  <c r="X985" i="16"/>
  <c r="K985" i="16"/>
  <c r="X984" i="16"/>
  <c r="K984" i="16"/>
  <c r="X983" i="16"/>
  <c r="K983" i="16"/>
  <c r="X982" i="16"/>
  <c r="K982" i="16"/>
  <c r="X975" i="16"/>
  <c r="X974" i="16"/>
  <c r="X973" i="16"/>
  <c r="X972" i="16"/>
  <c r="X971" i="16"/>
  <c r="X970" i="16"/>
  <c r="X963" i="16"/>
  <c r="K963" i="16"/>
  <c r="X962" i="16"/>
  <c r="K962" i="16"/>
  <c r="X961" i="16"/>
  <c r="K961" i="16"/>
  <c r="X960" i="16"/>
  <c r="K960" i="16"/>
  <c r="X959" i="16"/>
  <c r="K959" i="16"/>
  <c r="X958" i="16"/>
  <c r="K958" i="16"/>
  <c r="X891" i="16"/>
  <c r="K891" i="16"/>
  <c r="X890" i="16"/>
  <c r="K890" i="16"/>
  <c r="X889" i="16"/>
  <c r="K889" i="16"/>
  <c r="X888" i="16"/>
  <c r="K888" i="16"/>
  <c r="X887" i="16"/>
  <c r="K887" i="16"/>
  <c r="X886" i="16"/>
  <c r="K886" i="16"/>
  <c r="X878" i="16"/>
  <c r="K878" i="16"/>
  <c r="X877" i="16"/>
  <c r="K877" i="16"/>
  <c r="X876" i="16"/>
  <c r="K876" i="16"/>
  <c r="X874" i="16"/>
  <c r="K874" i="16"/>
  <c r="K873" i="16"/>
  <c r="K869" i="16"/>
  <c r="X849" i="16"/>
  <c r="K849" i="16"/>
  <c r="X845" i="16"/>
  <c r="K845" i="16"/>
  <c r="X837" i="16"/>
  <c r="K837" i="16"/>
  <c r="X833" i="16"/>
  <c r="K833" i="16"/>
  <c r="X831" i="16"/>
  <c r="K831" i="16"/>
  <c r="X827" i="16"/>
  <c r="K827" i="16"/>
  <c r="X813" i="16"/>
  <c r="K813" i="16"/>
  <c r="X809" i="16"/>
  <c r="K809" i="16"/>
  <c r="X800" i="16"/>
  <c r="K800" i="16"/>
  <c r="X799" i="16"/>
  <c r="K799" i="16"/>
  <c r="X798" i="16"/>
  <c r="K798" i="16"/>
  <c r="X796" i="16"/>
  <c r="K796" i="16"/>
  <c r="K795" i="16"/>
  <c r="K791" i="16"/>
  <c r="X789" i="16"/>
  <c r="K789" i="16"/>
  <c r="X785" i="16"/>
  <c r="K785" i="16"/>
  <c r="X771" i="16"/>
  <c r="K771" i="16"/>
  <c r="X767" i="16"/>
  <c r="K767" i="16"/>
  <c r="X759" i="16"/>
  <c r="K759" i="16"/>
  <c r="X755" i="16"/>
  <c r="K755" i="16"/>
  <c r="X753" i="16"/>
  <c r="K753" i="16"/>
  <c r="X749" i="16"/>
  <c r="K749" i="16"/>
  <c r="X747" i="16"/>
  <c r="K747" i="16"/>
  <c r="X743" i="16"/>
  <c r="K743" i="16"/>
  <c r="X741" i="16"/>
  <c r="K741" i="16"/>
  <c r="X737" i="16"/>
  <c r="K737" i="16"/>
  <c r="X735" i="16"/>
  <c r="K735" i="16"/>
  <c r="X731" i="16"/>
  <c r="K731" i="16"/>
  <c r="X729" i="16"/>
  <c r="K729" i="16"/>
  <c r="X725" i="16"/>
  <c r="K725" i="16"/>
  <c r="X723" i="16"/>
  <c r="K723" i="16"/>
  <c r="X719" i="16"/>
  <c r="K719" i="16"/>
  <c r="X711" i="16"/>
  <c r="K711" i="16"/>
  <c r="X707" i="16"/>
  <c r="K707" i="16"/>
  <c r="X693" i="16"/>
  <c r="K693" i="16"/>
  <c r="X689" i="16"/>
  <c r="K689" i="16"/>
  <c r="X687" i="16"/>
  <c r="K687" i="16"/>
  <c r="X683" i="16"/>
  <c r="K683" i="16"/>
  <c r="K675" i="16"/>
  <c r="X669" i="16"/>
  <c r="K669" i="16"/>
  <c r="X668" i="16"/>
  <c r="K668" i="16"/>
  <c r="X667" i="16"/>
  <c r="K667" i="16"/>
  <c r="X666" i="16"/>
  <c r="K666" i="16"/>
  <c r="X665" i="16"/>
  <c r="K665" i="16"/>
  <c r="X664" i="16"/>
  <c r="K664" i="16"/>
  <c r="X656" i="16"/>
  <c r="K656" i="16"/>
  <c r="X655" i="16"/>
  <c r="K655" i="16"/>
  <c r="X654" i="16"/>
  <c r="K654" i="16"/>
  <c r="X652" i="16"/>
  <c r="K652" i="16"/>
  <c r="K651" i="16"/>
  <c r="K647" i="16"/>
  <c r="X591" i="16"/>
  <c r="K591" i="16"/>
  <c r="X587" i="16"/>
  <c r="K587" i="16"/>
  <c r="X585" i="16"/>
  <c r="K585" i="16"/>
  <c r="X581" i="16"/>
  <c r="K581" i="16"/>
  <c r="X531" i="16"/>
  <c r="K531" i="16"/>
  <c r="X527" i="16"/>
  <c r="K527" i="16"/>
  <c r="X483" i="16"/>
  <c r="K483" i="16"/>
  <c r="X479" i="16"/>
  <c r="K479" i="16"/>
  <c r="X453" i="16"/>
  <c r="K453" i="16"/>
  <c r="X449" i="16"/>
  <c r="K449" i="16"/>
  <c r="X447" i="16"/>
  <c r="K447" i="16"/>
  <c r="X443" i="16"/>
  <c r="K443" i="16"/>
  <c r="X441" i="16"/>
  <c r="K441" i="16"/>
  <c r="X437" i="16"/>
  <c r="K437" i="16"/>
  <c r="X375" i="16"/>
  <c r="K375" i="16"/>
  <c r="X371" i="16"/>
  <c r="K371" i="16"/>
  <c r="X369" i="16"/>
  <c r="K369" i="16"/>
  <c r="X365" i="16"/>
  <c r="K365" i="16"/>
  <c r="X363" i="16"/>
  <c r="K363" i="16"/>
  <c r="X359" i="16"/>
  <c r="K359" i="16"/>
  <c r="X357" i="16"/>
  <c r="K357" i="16"/>
  <c r="X353" i="16"/>
  <c r="K353" i="16"/>
  <c r="X296" i="16"/>
  <c r="K296" i="16"/>
  <c r="X295" i="16"/>
  <c r="K295" i="16"/>
  <c r="X294" i="16"/>
  <c r="K294" i="16"/>
  <c r="X292" i="16"/>
  <c r="K292" i="16"/>
  <c r="K291" i="16"/>
  <c r="K287" i="16"/>
  <c r="X279" i="16"/>
  <c r="K279" i="16"/>
  <c r="X275" i="16"/>
  <c r="K275" i="16"/>
  <c r="X273" i="16"/>
  <c r="K273" i="16"/>
  <c r="X269" i="16"/>
  <c r="K269" i="16"/>
  <c r="X267" i="16"/>
  <c r="K267" i="16"/>
  <c r="X263" i="16"/>
  <c r="K263" i="16"/>
  <c r="X255" i="16"/>
  <c r="K255" i="16"/>
  <c r="X251" i="16"/>
  <c r="K251" i="16"/>
  <c r="X237" i="16"/>
  <c r="K237" i="16"/>
  <c r="X233" i="16"/>
  <c r="K233" i="16"/>
  <c r="X231" i="16"/>
  <c r="K231" i="16"/>
  <c r="X227" i="16"/>
  <c r="K227" i="16"/>
  <c r="X225" i="16"/>
  <c r="K225" i="16"/>
  <c r="X221" i="16"/>
  <c r="K221" i="16"/>
  <c r="X219" i="16"/>
  <c r="K219" i="16"/>
  <c r="X215" i="16"/>
  <c r="K215" i="16"/>
  <c r="X213" i="16"/>
  <c r="K213" i="16"/>
  <c r="X209" i="16"/>
  <c r="K209" i="16"/>
  <c r="X207" i="16"/>
  <c r="K207" i="16"/>
  <c r="X203" i="16"/>
  <c r="K203" i="16"/>
  <c r="X201" i="16"/>
  <c r="K201" i="16"/>
  <c r="X197" i="16"/>
  <c r="K197" i="16"/>
  <c r="X177" i="16"/>
  <c r="K177" i="16"/>
  <c r="X173" i="16"/>
  <c r="K173" i="16"/>
  <c r="X171" i="16"/>
  <c r="K171" i="16"/>
  <c r="X167" i="16"/>
  <c r="K167" i="16"/>
  <c r="X165" i="16"/>
  <c r="K165" i="16"/>
  <c r="X161" i="16"/>
  <c r="K161" i="16"/>
  <c r="X152" i="16"/>
  <c r="K152" i="16"/>
  <c r="X151" i="16"/>
  <c r="K151" i="16"/>
  <c r="X150" i="16"/>
  <c r="K150" i="16"/>
  <c r="X148" i="16"/>
  <c r="K148" i="16"/>
  <c r="K147" i="16"/>
  <c r="K143" i="16"/>
  <c r="X141" i="16"/>
  <c r="K141" i="16"/>
  <c r="X137" i="16"/>
  <c r="K137" i="16"/>
  <c r="X135" i="16"/>
  <c r="K135" i="16"/>
  <c r="X131" i="16"/>
  <c r="K131" i="16"/>
  <c r="X123" i="16"/>
  <c r="K123" i="16"/>
  <c r="X119" i="16"/>
  <c r="K119" i="16"/>
  <c r="X117" i="16"/>
  <c r="K117" i="16"/>
  <c r="X113" i="16"/>
  <c r="K113" i="16"/>
  <c r="X93" i="16"/>
  <c r="K93" i="16"/>
  <c r="X89" i="16"/>
  <c r="K89" i="16"/>
  <c r="X87" i="16"/>
  <c r="K87" i="16"/>
  <c r="X83" i="16"/>
  <c r="K83" i="16"/>
  <c r="X81" i="16"/>
  <c r="K81" i="16"/>
  <c r="X77" i="16"/>
  <c r="K77" i="16"/>
  <c r="X75" i="16"/>
  <c r="K75" i="16"/>
  <c r="X71" i="16"/>
  <c r="K71" i="16"/>
  <c r="X69" i="16"/>
  <c r="K69" i="16"/>
  <c r="X65" i="16"/>
  <c r="K65" i="16"/>
  <c r="X51" i="16"/>
  <c r="K51" i="16"/>
  <c r="X47" i="16"/>
  <c r="K47" i="16"/>
  <c r="X45" i="16"/>
  <c r="K45" i="16"/>
  <c r="X41" i="16"/>
  <c r="K41" i="16"/>
  <c r="X39" i="16"/>
  <c r="K39" i="16"/>
  <c r="X35" i="16"/>
  <c r="K35" i="16"/>
  <c r="X27" i="16"/>
  <c r="K27" i="16"/>
  <c r="X23" i="16"/>
  <c r="X21" i="16"/>
  <c r="K21" i="16"/>
  <c r="X17" i="16"/>
  <c r="K17" i="16"/>
  <c r="K23" i="16" s="1"/>
  <c r="AN65" i="6"/>
  <c r="AP65" i="6"/>
  <c r="AR65" i="6"/>
  <c r="AT65" i="6"/>
  <c r="AV65" i="6"/>
  <c r="AX65" i="6"/>
  <c r="AZ65" i="6"/>
  <c r="AN58" i="6"/>
  <c r="AP58" i="6"/>
  <c r="AT58" i="6"/>
  <c r="AX58" i="6"/>
  <c r="AZ58" i="6"/>
  <c r="AN51" i="6"/>
  <c r="AP51" i="6"/>
  <c r="AT51" i="6"/>
  <c r="AZ51" i="6"/>
  <c r="AP44" i="6"/>
  <c r="AR44" i="6"/>
  <c r="AS44" i="6"/>
  <c r="AT44" i="6"/>
  <c r="AU44" i="6"/>
  <c r="ER44" i="6" s="1"/>
  <c r="AW44" i="6"/>
  <c r="AX44" i="6"/>
  <c r="AY44" i="6"/>
  <c r="AZ44" i="6"/>
  <c r="AL37" i="6"/>
  <c r="AN37" i="6"/>
  <c r="AP37" i="6"/>
  <c r="AS37" i="6"/>
  <c r="AT37" i="6"/>
  <c r="AU37" i="6"/>
  <c r="ER37" i="6" s="1"/>
  <c r="AW37" i="6"/>
  <c r="AY37" i="6"/>
  <c r="AZ37" i="6"/>
  <c r="AN30" i="6"/>
  <c r="AP30" i="6"/>
  <c r="AR30" i="6"/>
  <c r="AT30" i="6"/>
  <c r="AV30" i="6"/>
  <c r="AX30" i="6"/>
  <c r="AZ30" i="6"/>
  <c r="AN23" i="6"/>
  <c r="AP23" i="6"/>
  <c r="AS23" i="6"/>
  <c r="AT23" i="6"/>
  <c r="AU23" i="6"/>
  <c r="AV23" i="6"/>
  <c r="AW23" i="6"/>
  <c r="AX23" i="6"/>
  <c r="AY23" i="6"/>
  <c r="AZ23" i="6"/>
  <c r="AP16" i="6"/>
  <c r="AV16" i="6"/>
  <c r="AX16" i="6"/>
  <c r="AZ16" i="6"/>
  <c r="W17" i="6"/>
  <c r="X17" i="6"/>
  <c r="Y17" i="6"/>
  <c r="Z17" i="6"/>
  <c r="AA17" i="6"/>
  <c r="W18" i="6"/>
  <c r="X18" i="6"/>
  <c r="Y18" i="6"/>
  <c r="Z18" i="6"/>
  <c r="AA18" i="6"/>
  <c r="W19" i="6"/>
  <c r="X19" i="6"/>
  <c r="Y19" i="6"/>
  <c r="Z19" i="6"/>
  <c r="AA19" i="6"/>
  <c r="W20" i="6"/>
  <c r="X20" i="6"/>
  <c r="Y20" i="6"/>
  <c r="Z20" i="6"/>
  <c r="AA20" i="6"/>
  <c r="W21" i="6"/>
  <c r="X21" i="6"/>
  <c r="Y21" i="6"/>
  <c r="Z21" i="6"/>
  <c r="AA21" i="6"/>
  <c r="W22" i="6"/>
  <c r="X22" i="6"/>
  <c r="Y22" i="6"/>
  <c r="Z22" i="6"/>
  <c r="AA22" i="6"/>
  <c r="W23" i="6"/>
  <c r="X23" i="6"/>
  <c r="Y23" i="6"/>
  <c r="Z23" i="6"/>
  <c r="AA23" i="6"/>
  <c r="W24" i="6"/>
  <c r="X24" i="6"/>
  <c r="Y24" i="6"/>
  <c r="Z24" i="6"/>
  <c r="AA24" i="6"/>
  <c r="W25" i="6"/>
  <c r="X25" i="6"/>
  <c r="Y25" i="6"/>
  <c r="Z25" i="6"/>
  <c r="AA25" i="6"/>
  <c r="W26" i="6"/>
  <c r="X26" i="6"/>
  <c r="Y26" i="6"/>
  <c r="Z26" i="6"/>
  <c r="AA26" i="6"/>
  <c r="W27" i="6"/>
  <c r="X27" i="6"/>
  <c r="Y27" i="6"/>
  <c r="Z27" i="6"/>
  <c r="AA27" i="6"/>
  <c r="W28" i="6"/>
  <c r="X28" i="6"/>
  <c r="Y28" i="6"/>
  <c r="Z28" i="6"/>
  <c r="AA28" i="6"/>
  <c r="W29" i="6"/>
  <c r="X29" i="6"/>
  <c r="Y29" i="6"/>
  <c r="Z29" i="6"/>
  <c r="AA29" i="6"/>
  <c r="W30" i="6"/>
  <c r="X30" i="6"/>
  <c r="Y30" i="6"/>
  <c r="Z30" i="6"/>
  <c r="AA30" i="6"/>
  <c r="X31" i="6"/>
  <c r="W32" i="6"/>
  <c r="X32" i="6"/>
  <c r="Y32" i="6"/>
  <c r="Z32" i="6"/>
  <c r="AA32" i="6"/>
  <c r="W33" i="6"/>
  <c r="X33" i="6"/>
  <c r="Y33" i="6"/>
  <c r="Z33" i="6"/>
  <c r="AA33" i="6"/>
  <c r="W34" i="6"/>
  <c r="X34" i="6"/>
  <c r="Y34" i="6"/>
  <c r="Z34" i="6"/>
  <c r="AA34" i="6"/>
  <c r="W35" i="6"/>
  <c r="X35" i="6"/>
  <c r="Y35" i="6"/>
  <c r="Z35" i="6"/>
  <c r="AA35" i="6"/>
  <c r="W36" i="6"/>
  <c r="X36" i="6"/>
  <c r="Y36" i="6"/>
  <c r="Z36" i="6"/>
  <c r="AA36" i="6"/>
  <c r="W37" i="6"/>
  <c r="X37" i="6"/>
  <c r="Y37" i="6"/>
  <c r="Z37" i="6"/>
  <c r="AA37" i="6"/>
  <c r="W38" i="6"/>
  <c r="X38" i="6"/>
  <c r="Y38" i="6"/>
  <c r="W39" i="6"/>
  <c r="X39" i="6"/>
  <c r="Y39" i="6"/>
  <c r="W40" i="6"/>
  <c r="X40" i="6"/>
  <c r="Y40" i="6"/>
  <c r="Z40" i="6"/>
  <c r="AA40" i="6"/>
  <c r="W41" i="6"/>
  <c r="X41" i="6"/>
  <c r="Y41" i="6"/>
  <c r="Z41" i="6"/>
  <c r="AA41" i="6"/>
  <c r="W42" i="6"/>
  <c r="X42" i="6"/>
  <c r="Y42" i="6"/>
  <c r="Z42" i="6"/>
  <c r="AA42" i="6"/>
  <c r="W43" i="6"/>
  <c r="X43" i="6"/>
  <c r="Y43" i="6"/>
  <c r="Z43" i="6"/>
  <c r="AA43" i="6"/>
  <c r="W44" i="6"/>
  <c r="X44" i="6"/>
  <c r="Y44" i="6"/>
  <c r="Z44" i="6"/>
  <c r="AA44" i="6"/>
  <c r="W45" i="6"/>
  <c r="X45" i="6"/>
  <c r="Y45" i="6"/>
  <c r="W46" i="6"/>
  <c r="X46" i="6"/>
  <c r="Y46" i="6"/>
  <c r="W47" i="6"/>
  <c r="X47" i="6"/>
  <c r="Y47" i="6"/>
  <c r="Z47" i="6"/>
  <c r="AA47" i="6"/>
  <c r="W48" i="6"/>
  <c r="X48" i="6"/>
  <c r="Y48" i="6"/>
  <c r="Z48" i="6"/>
  <c r="AA48" i="6"/>
  <c r="W49" i="6"/>
  <c r="X49" i="6"/>
  <c r="Y49" i="6"/>
  <c r="Z49" i="6"/>
  <c r="AA49" i="6"/>
  <c r="W50" i="6"/>
  <c r="X50" i="6"/>
  <c r="Y50" i="6"/>
  <c r="Z50" i="6"/>
  <c r="AA50" i="6"/>
  <c r="W51" i="6"/>
  <c r="X51" i="6"/>
  <c r="Y51" i="6"/>
  <c r="Z51" i="6"/>
  <c r="AA51" i="6"/>
  <c r="W52" i="6"/>
  <c r="X52" i="6"/>
  <c r="Y52" i="6"/>
  <c r="W53" i="6"/>
  <c r="X53" i="6"/>
  <c r="Y53" i="6"/>
  <c r="W54" i="6"/>
  <c r="X54" i="6"/>
  <c r="Y54" i="6"/>
  <c r="Z54" i="6"/>
  <c r="AA54" i="6"/>
  <c r="W55" i="6"/>
  <c r="X55" i="6"/>
  <c r="Y55" i="6"/>
  <c r="Z55" i="6"/>
  <c r="AA55" i="6"/>
  <c r="W56" i="6"/>
  <c r="X56" i="6"/>
  <c r="Y56" i="6"/>
  <c r="Z56" i="6"/>
  <c r="AA56" i="6"/>
  <c r="W57" i="6"/>
  <c r="X57" i="6"/>
  <c r="Y57" i="6"/>
  <c r="Z57" i="6"/>
  <c r="AA57" i="6"/>
  <c r="W58" i="6"/>
  <c r="X58" i="6"/>
  <c r="Y58" i="6"/>
  <c r="Z58" i="6"/>
  <c r="AA58" i="6"/>
  <c r="W59" i="6"/>
  <c r="X59" i="6"/>
  <c r="Y59" i="6"/>
  <c r="W60" i="6"/>
  <c r="X60" i="6"/>
  <c r="Y60" i="6"/>
  <c r="W61" i="6"/>
  <c r="X61" i="6"/>
  <c r="Y61" i="6"/>
  <c r="Z61" i="6"/>
  <c r="AA61" i="6"/>
  <c r="W62" i="6"/>
  <c r="X62" i="6"/>
  <c r="Y62" i="6"/>
  <c r="Z62" i="6"/>
  <c r="AA62" i="6"/>
  <c r="W63" i="6"/>
  <c r="X63" i="6"/>
  <c r="Y63" i="6"/>
  <c r="Z63" i="6"/>
  <c r="AA63" i="6"/>
  <c r="W64" i="6"/>
  <c r="X64" i="6"/>
  <c r="Y64" i="6"/>
  <c r="Z64" i="6"/>
  <c r="AA64" i="6"/>
  <c r="W65" i="6"/>
  <c r="X65" i="6"/>
  <c r="Y65" i="6"/>
  <c r="Z65" i="6"/>
  <c r="AA65" i="6"/>
  <c r="W66" i="6"/>
  <c r="X66" i="6"/>
  <c r="Y66" i="6"/>
  <c r="W67" i="6"/>
  <c r="X67" i="6"/>
  <c r="Y67" i="6"/>
  <c r="W68" i="6"/>
  <c r="X68" i="6"/>
  <c r="Y68" i="6"/>
  <c r="Z68" i="6"/>
  <c r="AA68" i="6"/>
  <c r="W69" i="6"/>
  <c r="X69" i="6"/>
  <c r="Y69" i="6"/>
  <c r="Z69" i="6"/>
  <c r="AA69" i="6"/>
  <c r="W70" i="6"/>
  <c r="X70" i="6"/>
  <c r="Y70" i="6"/>
  <c r="Z70" i="6"/>
  <c r="AA70" i="6"/>
  <c r="W71" i="6"/>
  <c r="X71" i="6"/>
  <c r="Y71" i="6"/>
  <c r="Z71" i="6"/>
  <c r="AA71" i="6"/>
  <c r="W72" i="6"/>
  <c r="X72" i="6"/>
  <c r="Y72" i="6"/>
  <c r="Z72" i="6"/>
  <c r="AA72" i="6"/>
  <c r="W73" i="6"/>
  <c r="X73" i="6"/>
  <c r="Y73" i="6"/>
  <c r="W74" i="6"/>
  <c r="X74" i="6"/>
  <c r="Y74" i="6"/>
  <c r="W75" i="6"/>
  <c r="X75" i="6"/>
  <c r="Y75" i="6"/>
  <c r="Z75" i="6"/>
  <c r="AA75" i="6"/>
  <c r="W76" i="6"/>
  <c r="X76" i="6"/>
  <c r="Y76" i="6"/>
  <c r="Z76" i="6"/>
  <c r="AA76" i="6"/>
  <c r="W77" i="6"/>
  <c r="X77" i="6"/>
  <c r="Y77" i="6"/>
  <c r="Z77" i="6"/>
  <c r="AA77" i="6"/>
  <c r="W78" i="6"/>
  <c r="X78" i="6"/>
  <c r="Y78" i="6"/>
  <c r="Z78" i="6"/>
  <c r="AA78" i="6"/>
  <c r="W79" i="6"/>
  <c r="X79" i="6"/>
  <c r="Y79" i="6"/>
  <c r="Z79" i="6"/>
  <c r="AA79" i="6"/>
  <c r="AA11" i="6"/>
  <c r="AA12" i="6"/>
  <c r="AA13" i="6"/>
  <c r="AA14" i="6"/>
  <c r="AA15" i="6"/>
  <c r="AA16" i="6"/>
  <c r="AA10" i="6"/>
  <c r="Z11" i="6"/>
  <c r="Z12" i="6"/>
  <c r="Z13" i="6"/>
  <c r="Z14" i="6"/>
  <c r="Z15" i="6"/>
  <c r="Z16" i="6"/>
  <c r="Z10" i="6"/>
  <c r="Y11" i="6"/>
  <c r="Y12" i="6"/>
  <c r="Y13" i="6"/>
  <c r="Y14" i="6"/>
  <c r="Y15" i="6"/>
  <c r="Y16" i="6"/>
  <c r="Y10" i="6"/>
  <c r="X16" i="6"/>
  <c r="X11" i="6"/>
  <c r="X12" i="6"/>
  <c r="X13" i="6"/>
  <c r="X14" i="6"/>
  <c r="X15" i="6"/>
  <c r="X10" i="6"/>
  <c r="W11" i="6"/>
  <c r="W12" i="6"/>
  <c r="W13" i="6"/>
  <c r="W14" i="6"/>
  <c r="W15" i="6"/>
  <c r="W16" i="6"/>
  <c r="W10" i="6"/>
  <c r="X703" i="15"/>
  <c r="X769" i="15" s="1"/>
  <c r="K701" i="15"/>
  <c r="K767" i="15" s="1"/>
  <c r="K702" i="15"/>
  <c r="K768" i="15" s="1"/>
  <c r="K703" i="15"/>
  <c r="K769" i="15" s="1"/>
  <c r="K704" i="15"/>
  <c r="K770" i="15" s="1"/>
  <c r="K705" i="15"/>
  <c r="K771" i="15" s="1"/>
  <c r="K707" i="15"/>
  <c r="K708" i="15"/>
  <c r="K709" i="15"/>
  <c r="K710" i="15"/>
  <c r="K711" i="15"/>
  <c r="K712" i="15"/>
  <c r="K714" i="15"/>
  <c r="K715" i="15"/>
  <c r="K716" i="15"/>
  <c r="K717" i="15"/>
  <c r="K718" i="15"/>
  <c r="K719" i="15"/>
  <c r="K724" i="15"/>
  <c r="K725" i="15"/>
  <c r="K726" i="15"/>
  <c r="K727" i="15"/>
  <c r="K728" i="15"/>
  <c r="K729" i="15"/>
  <c r="K730" i="15"/>
  <c r="K731" i="15"/>
  <c r="K732" i="15"/>
  <c r="K733" i="15"/>
  <c r="K734" i="15"/>
  <c r="K735" i="15"/>
  <c r="K736" i="15"/>
  <c r="K737" i="15"/>
  <c r="K738" i="15"/>
  <c r="K739" i="15"/>
  <c r="K740" i="15"/>
  <c r="K741" i="15"/>
  <c r="K742" i="15"/>
  <c r="K743" i="15"/>
  <c r="K744" i="15"/>
  <c r="K745" i="15"/>
  <c r="K746" i="15"/>
  <c r="K747" i="15"/>
  <c r="K748" i="15"/>
  <c r="K749" i="15"/>
  <c r="K750" i="15"/>
  <c r="K751" i="15"/>
  <c r="K752" i="15"/>
  <c r="K753" i="15"/>
  <c r="K754" i="15"/>
  <c r="K755" i="15"/>
  <c r="K756" i="15"/>
  <c r="K757" i="15"/>
  <c r="K758" i="15"/>
  <c r="K759" i="15"/>
  <c r="K760" i="15"/>
  <c r="K761" i="15"/>
  <c r="K762" i="15"/>
  <c r="K763" i="15"/>
  <c r="K764" i="15"/>
  <c r="K765" i="15"/>
  <c r="K700" i="15"/>
  <c r="K766" i="15" s="1"/>
  <c r="M700" i="15"/>
  <c r="N700" i="15"/>
  <c r="N766" i="15" s="1"/>
  <c r="O700" i="15"/>
  <c r="O766" i="15" s="1"/>
  <c r="P700" i="15"/>
  <c r="P766" i="15" s="1"/>
  <c r="Q700" i="15"/>
  <c r="Q766" i="15" s="1"/>
  <c r="R700" i="15"/>
  <c r="R766" i="15" s="1"/>
  <c r="T700" i="15"/>
  <c r="T766" i="15" s="1"/>
  <c r="U700" i="15"/>
  <c r="U766" i="15" s="1"/>
  <c r="N701" i="15"/>
  <c r="N767" i="15" s="1"/>
  <c r="O701" i="15"/>
  <c r="O767" i="15" s="1"/>
  <c r="P701" i="15"/>
  <c r="P767" i="15" s="1"/>
  <c r="Q701" i="15"/>
  <c r="Q767" i="15" s="1"/>
  <c r="R701" i="15"/>
  <c r="R767" i="15" s="1"/>
  <c r="T701" i="15"/>
  <c r="T767" i="15" s="1"/>
  <c r="U701" i="15"/>
  <c r="U767" i="15" s="1"/>
  <c r="N702" i="15"/>
  <c r="N768" i="15" s="1"/>
  <c r="O702" i="15"/>
  <c r="O768" i="15" s="1"/>
  <c r="P702" i="15"/>
  <c r="P768" i="15" s="1"/>
  <c r="Q702" i="15"/>
  <c r="Q768" i="15" s="1"/>
  <c r="R702" i="15"/>
  <c r="R768" i="15" s="1"/>
  <c r="N703" i="15"/>
  <c r="N769" i="15" s="1"/>
  <c r="O703" i="15"/>
  <c r="O769" i="15" s="1"/>
  <c r="P703" i="15"/>
  <c r="P769" i="15" s="1"/>
  <c r="Q703" i="15"/>
  <c r="Q769" i="15" s="1"/>
  <c r="R703" i="15"/>
  <c r="R769" i="15" s="1"/>
  <c r="T703" i="15"/>
  <c r="T769" i="15" s="1"/>
  <c r="U703" i="15"/>
  <c r="U769" i="15" s="1"/>
  <c r="N704" i="15"/>
  <c r="N770" i="15" s="1"/>
  <c r="O704" i="15"/>
  <c r="O770" i="15" s="1"/>
  <c r="P704" i="15"/>
  <c r="P770" i="15" s="1"/>
  <c r="Q704" i="15"/>
  <c r="Q770" i="15" s="1"/>
  <c r="R704" i="15"/>
  <c r="R770" i="15" s="1"/>
  <c r="T704" i="15"/>
  <c r="T770" i="15" s="1"/>
  <c r="U704" i="15"/>
  <c r="U770" i="15" s="1"/>
  <c r="N705" i="15"/>
  <c r="N771" i="15" s="1"/>
  <c r="O705" i="15"/>
  <c r="O771" i="15" s="1"/>
  <c r="P705" i="15"/>
  <c r="P771" i="15" s="1"/>
  <c r="Q705" i="15"/>
  <c r="Q771" i="15" s="1"/>
  <c r="R705" i="15"/>
  <c r="R771" i="15" s="1"/>
  <c r="T705" i="15"/>
  <c r="T771" i="15" s="1"/>
  <c r="U705" i="15"/>
  <c r="U771" i="15" s="1"/>
  <c r="T706" i="15"/>
  <c r="T707" i="15"/>
  <c r="T708" i="15"/>
  <c r="T709" i="15"/>
  <c r="T710" i="15"/>
  <c r="T711" i="15"/>
  <c r="T712" i="15"/>
  <c r="T713" i="15"/>
  <c r="T714" i="15"/>
  <c r="T715" i="15"/>
  <c r="T716" i="15"/>
  <c r="T717" i="15"/>
  <c r="T718" i="15"/>
  <c r="T719" i="15"/>
  <c r="T720" i="15"/>
  <c r="T721" i="15"/>
  <c r="T722" i="15"/>
  <c r="T723" i="15"/>
  <c r="T724" i="15"/>
  <c r="T725" i="15"/>
  <c r="T726" i="15"/>
  <c r="T727" i="15"/>
  <c r="T728" i="15"/>
  <c r="T729" i="15"/>
  <c r="T730" i="15"/>
  <c r="T731" i="15"/>
  <c r="T732" i="15"/>
  <c r="T733" i="15"/>
  <c r="T734" i="15"/>
  <c r="T735" i="15"/>
  <c r="T736" i="15"/>
  <c r="T737" i="15"/>
  <c r="T738" i="15"/>
  <c r="T739" i="15"/>
  <c r="T740" i="15"/>
  <c r="T741" i="15"/>
  <c r="T742" i="15"/>
  <c r="T743" i="15"/>
  <c r="T744" i="15"/>
  <c r="T745" i="15"/>
  <c r="T746" i="15"/>
  <c r="T747" i="15"/>
  <c r="T748" i="15"/>
  <c r="T749" i="15"/>
  <c r="T750" i="15"/>
  <c r="T751" i="15"/>
  <c r="T752" i="15"/>
  <c r="T753" i="15"/>
  <c r="T754" i="15"/>
  <c r="T755" i="15"/>
  <c r="T756" i="15"/>
  <c r="T757" i="15"/>
  <c r="T758" i="15"/>
  <c r="T759" i="15"/>
  <c r="T760" i="15"/>
  <c r="T761" i="15"/>
  <c r="T762" i="15"/>
  <c r="T763" i="15"/>
  <c r="T764" i="15"/>
  <c r="T765" i="15"/>
  <c r="T768" i="15"/>
  <c r="U768" i="15"/>
  <c r="K689" i="15"/>
  <c r="K695" i="15" s="1"/>
  <c r="K690" i="15"/>
  <c r="K696" i="15" s="1"/>
  <c r="K691" i="15"/>
  <c r="K697" i="15" s="1"/>
  <c r="K692" i="15"/>
  <c r="K698" i="15" s="1"/>
  <c r="K693" i="15"/>
  <c r="K699" i="15" s="1"/>
  <c r="K688" i="15"/>
  <c r="K694" i="15" s="1"/>
  <c r="X683" i="15"/>
  <c r="X684" i="15"/>
  <c r="X685" i="15"/>
  <c r="X686" i="15"/>
  <c r="X687" i="15"/>
  <c r="X682" i="15"/>
  <c r="K683" i="15"/>
  <c r="K684" i="15"/>
  <c r="K685" i="15"/>
  <c r="K686" i="15"/>
  <c r="K687" i="15"/>
  <c r="K682" i="15"/>
  <c r="Z634" i="15"/>
  <c r="Z682" i="15" s="1"/>
  <c r="AA634" i="15"/>
  <c r="AA682" i="15" s="1"/>
  <c r="AB634" i="15"/>
  <c r="AC634" i="15"/>
  <c r="AD634" i="15"/>
  <c r="AE634" i="15"/>
  <c r="Z635" i="15"/>
  <c r="Z683" i="15" s="1"/>
  <c r="AA635" i="15"/>
  <c r="AA683" i="15" s="1"/>
  <c r="AB635" i="15"/>
  <c r="AC635" i="15"/>
  <c r="AD635" i="15"/>
  <c r="AE635" i="15"/>
  <c r="Z636" i="15"/>
  <c r="Z684" i="15" s="1"/>
  <c r="AA636" i="15"/>
  <c r="AA684" i="15" s="1"/>
  <c r="AB636" i="15"/>
  <c r="AC636" i="15"/>
  <c r="AD636" i="15"/>
  <c r="AE636" i="15"/>
  <c r="Z637" i="15"/>
  <c r="Z685" i="15" s="1"/>
  <c r="AA637" i="15"/>
  <c r="AA685" i="15" s="1"/>
  <c r="AB637" i="15"/>
  <c r="AC637" i="15"/>
  <c r="AD637" i="15"/>
  <c r="AE637" i="15"/>
  <c r="Z638" i="15"/>
  <c r="Z686" i="15" s="1"/>
  <c r="AA638" i="15"/>
  <c r="AA686" i="15" s="1"/>
  <c r="AB638" i="15"/>
  <c r="AC638" i="15"/>
  <c r="AD638" i="15"/>
  <c r="AE638" i="15"/>
  <c r="Z639" i="15"/>
  <c r="Z687" i="15" s="1"/>
  <c r="AA639" i="15"/>
  <c r="AA687" i="15" s="1"/>
  <c r="AB639" i="15"/>
  <c r="AC639" i="15"/>
  <c r="AD639" i="15"/>
  <c r="AE639" i="15"/>
  <c r="O674" i="15"/>
  <c r="O671" i="15"/>
  <c r="O675" i="15" s="1"/>
  <c r="O668" i="15"/>
  <c r="O662" i="15"/>
  <c r="O659" i="15"/>
  <c r="O663" i="15" s="1"/>
  <c r="AG616" i="15"/>
  <c r="AG610" i="15"/>
  <c r="AG604" i="15"/>
  <c r="AG598" i="15"/>
  <c r="AG592" i="15"/>
  <c r="AG586" i="15"/>
  <c r="AG580" i="15"/>
  <c r="AG574" i="15"/>
  <c r="AG568" i="15"/>
  <c r="AG562" i="15"/>
  <c r="AG556" i="15"/>
  <c r="AG550" i="15"/>
  <c r="AG544" i="15"/>
  <c r="AG538" i="15"/>
  <c r="AG532" i="15"/>
  <c r="AG526" i="15"/>
  <c r="AG520" i="15"/>
  <c r="AG514" i="15"/>
  <c r="X632" i="15"/>
  <c r="X628" i="15"/>
  <c r="AS490" i="15"/>
  <c r="X690" i="15"/>
  <c r="X696" i="15" s="1"/>
  <c r="ES68" i="6"/>
  <c r="K493" i="15"/>
  <c r="K499" i="15" s="1"/>
  <c r="U61" i="7"/>
  <c r="T61" i="7"/>
  <c r="S60" i="7"/>
  <c r="S59" i="7"/>
  <c r="S58" i="7"/>
  <c r="S57" i="7"/>
  <c r="S56" i="7"/>
  <c r="S55" i="7"/>
  <c r="S54" i="7"/>
  <c r="S53" i="7"/>
  <c r="S52" i="7"/>
  <c r="S51" i="7"/>
  <c r="S50" i="7"/>
  <c r="S49" i="7"/>
  <c r="S48" i="7"/>
  <c r="S47" i="7"/>
  <c r="S46" i="7"/>
  <c r="S45" i="7"/>
  <c r="S44" i="7"/>
  <c r="S43" i="7"/>
  <c r="S42" i="7"/>
  <c r="S41" i="7"/>
  <c r="S40" i="7"/>
  <c r="S39" i="7"/>
  <c r="S38" i="7"/>
  <c r="S37" i="7"/>
  <c r="S36" i="7"/>
  <c r="S35" i="7"/>
  <c r="S34" i="7"/>
  <c r="S33" i="7"/>
  <c r="S32" i="7"/>
  <c r="S31" i="7"/>
  <c r="S30" i="7"/>
  <c r="S29" i="7"/>
  <c r="S28" i="7"/>
  <c r="S27" i="7"/>
  <c r="S26" i="7"/>
  <c r="S25" i="7"/>
  <c r="S24" i="7"/>
  <c r="S23" i="7"/>
  <c r="S22" i="7"/>
  <c r="S21" i="7"/>
  <c r="S20" i="7"/>
  <c r="S19" i="7"/>
  <c r="S18" i="7"/>
  <c r="S17" i="7"/>
  <c r="S16" i="7"/>
  <c r="S15" i="7"/>
  <c r="S14" i="7"/>
  <c r="S13" i="7"/>
  <c r="S10" i="7"/>
  <c r="S9" i="7"/>
  <c r="Y796" i="15"/>
  <c r="H792" i="15"/>
  <c r="G792" i="15"/>
  <c r="AE789" i="15"/>
  <c r="AE795" i="15" s="1"/>
  <c r="AD789" i="15"/>
  <c r="AD795" i="15" s="1"/>
  <c r="AC789" i="15"/>
  <c r="AC795" i="15" s="1"/>
  <c r="AB789" i="15"/>
  <c r="AB795" i="15" s="1"/>
  <c r="AA789" i="15"/>
  <c r="AA795" i="15" s="1"/>
  <c r="Z789" i="15"/>
  <c r="U789" i="15"/>
  <c r="U795" i="15" s="1"/>
  <c r="T789" i="15"/>
  <c r="T795" i="15" s="1"/>
  <c r="R789" i="15"/>
  <c r="R795" i="15" s="1"/>
  <c r="Q789" i="15"/>
  <c r="Q795" i="15" s="1"/>
  <c r="P789" i="15"/>
  <c r="P795" i="15" s="1"/>
  <c r="O789" i="15"/>
  <c r="O795" i="15" s="1"/>
  <c r="N789" i="15"/>
  <c r="N795" i="15" s="1"/>
  <c r="H789" i="15"/>
  <c r="H795" i="15" s="1"/>
  <c r="G789" i="15"/>
  <c r="G795" i="15" s="1"/>
  <c r="F789" i="15"/>
  <c r="F795" i="15" s="1"/>
  <c r="E789" i="15"/>
  <c r="E795" i="15" s="1"/>
  <c r="AE788" i="15"/>
  <c r="AE794" i="15" s="1"/>
  <c r="AD788" i="15"/>
  <c r="AD794" i="15" s="1"/>
  <c r="AC788" i="15"/>
  <c r="AC794" i="15" s="1"/>
  <c r="AB788" i="15"/>
  <c r="AB794" i="15" s="1"/>
  <c r="AA788" i="15"/>
  <c r="AA794" i="15" s="1"/>
  <c r="Z788" i="15"/>
  <c r="U788" i="15"/>
  <c r="U794" i="15" s="1"/>
  <c r="T788" i="15"/>
  <c r="T794" i="15" s="1"/>
  <c r="R788" i="15"/>
  <c r="R794" i="15" s="1"/>
  <c r="Q788" i="15"/>
  <c r="Q794" i="15" s="1"/>
  <c r="P788" i="15"/>
  <c r="P794" i="15" s="1"/>
  <c r="O788" i="15"/>
  <c r="O794" i="15" s="1"/>
  <c r="N788" i="15"/>
  <c r="N794" i="15" s="1"/>
  <c r="H788" i="15"/>
  <c r="H794" i="15" s="1"/>
  <c r="G788" i="15"/>
  <c r="G794" i="15" s="1"/>
  <c r="F788" i="15"/>
  <c r="M788" i="15" s="1"/>
  <c r="M794" i="15" s="1"/>
  <c r="E788" i="15"/>
  <c r="E794" i="15" s="1"/>
  <c r="AE787" i="15"/>
  <c r="AE793" i="15" s="1"/>
  <c r="AD787" i="15"/>
  <c r="AD793" i="15" s="1"/>
  <c r="AC787" i="15"/>
  <c r="AC793" i="15" s="1"/>
  <c r="AB787" i="15"/>
  <c r="AB793" i="15" s="1"/>
  <c r="AA787" i="15"/>
  <c r="AA793" i="15" s="1"/>
  <c r="Z787" i="15"/>
  <c r="U787" i="15"/>
  <c r="U793" i="15" s="1"/>
  <c r="T787" i="15"/>
  <c r="T793" i="15" s="1"/>
  <c r="R787" i="15"/>
  <c r="R793" i="15" s="1"/>
  <c r="Q787" i="15"/>
  <c r="Q793" i="15" s="1"/>
  <c r="P787" i="15"/>
  <c r="P793" i="15" s="1"/>
  <c r="O787" i="15"/>
  <c r="O793" i="15" s="1"/>
  <c r="N787" i="15"/>
  <c r="N793" i="15" s="1"/>
  <c r="H787" i="15"/>
  <c r="H793" i="15" s="1"/>
  <c r="G787" i="15"/>
  <c r="G793" i="15" s="1"/>
  <c r="F787" i="15"/>
  <c r="F793" i="15" s="1"/>
  <c r="E787" i="15"/>
  <c r="E793" i="15" s="1"/>
  <c r="AE786" i="15"/>
  <c r="AE792" i="15" s="1"/>
  <c r="AD786" i="15"/>
  <c r="AD792" i="15" s="1"/>
  <c r="AC786" i="15"/>
  <c r="AC792" i="15" s="1"/>
  <c r="AB786" i="15"/>
  <c r="AB792" i="15" s="1"/>
  <c r="AA786" i="15"/>
  <c r="AA792" i="15" s="1"/>
  <c r="Z786" i="15"/>
  <c r="R786" i="15"/>
  <c r="R792" i="15" s="1"/>
  <c r="Q786" i="15"/>
  <c r="Q792" i="15" s="1"/>
  <c r="P786" i="15"/>
  <c r="P792" i="15" s="1"/>
  <c r="O786" i="15"/>
  <c r="O792" i="15" s="1"/>
  <c r="N786" i="15"/>
  <c r="N792" i="15" s="1"/>
  <c r="F786" i="15"/>
  <c r="E786" i="15"/>
  <c r="E792" i="15" s="1"/>
  <c r="AE785" i="15"/>
  <c r="AE791" i="15" s="1"/>
  <c r="AD785" i="15"/>
  <c r="AD791" i="15" s="1"/>
  <c r="AC785" i="15"/>
  <c r="AC791" i="15" s="1"/>
  <c r="AB785" i="15"/>
  <c r="AA785" i="15"/>
  <c r="AA791" i="15" s="1"/>
  <c r="Z785" i="15"/>
  <c r="U785" i="15"/>
  <c r="U791" i="15" s="1"/>
  <c r="T785" i="15"/>
  <c r="T791" i="15" s="1"/>
  <c r="R785" i="15"/>
  <c r="R791" i="15" s="1"/>
  <c r="Q785" i="15"/>
  <c r="Q791" i="15" s="1"/>
  <c r="P785" i="15"/>
  <c r="P791" i="15" s="1"/>
  <c r="O785" i="15"/>
  <c r="O791" i="15" s="1"/>
  <c r="N785" i="15"/>
  <c r="N791" i="15" s="1"/>
  <c r="H785" i="15"/>
  <c r="H791" i="15" s="1"/>
  <c r="G785" i="15"/>
  <c r="G791" i="15" s="1"/>
  <c r="F785" i="15"/>
  <c r="F791" i="15" s="1"/>
  <c r="E785" i="15"/>
  <c r="E791" i="15" s="1"/>
  <c r="AE784" i="15"/>
  <c r="AE790" i="15" s="1"/>
  <c r="AD784" i="15"/>
  <c r="AD790" i="15" s="1"/>
  <c r="AC784" i="15"/>
  <c r="AC790" i="15" s="1"/>
  <c r="AB784" i="15"/>
  <c r="AB790" i="15" s="1"/>
  <c r="AA784" i="15"/>
  <c r="AA790" i="15" s="1"/>
  <c r="Z784" i="15"/>
  <c r="U784" i="15"/>
  <c r="U790" i="15" s="1"/>
  <c r="T784" i="15"/>
  <c r="T790" i="15" s="1"/>
  <c r="R784" i="15"/>
  <c r="R790" i="15" s="1"/>
  <c r="Q784" i="15"/>
  <c r="Q790" i="15" s="1"/>
  <c r="P784" i="15"/>
  <c r="P790" i="15" s="1"/>
  <c r="O784" i="15"/>
  <c r="O790" i="15" s="1"/>
  <c r="N784" i="15"/>
  <c r="N790" i="15" s="1"/>
  <c r="H784" i="15"/>
  <c r="H790" i="15" s="1"/>
  <c r="G784" i="15"/>
  <c r="G790" i="15" s="1"/>
  <c r="F784" i="15"/>
  <c r="F790" i="15" s="1"/>
  <c r="E784" i="15"/>
  <c r="E790" i="15" s="1"/>
  <c r="F783" i="15"/>
  <c r="E783" i="15"/>
  <c r="F782" i="15"/>
  <c r="E782" i="15"/>
  <c r="F781" i="15"/>
  <c r="E781" i="15"/>
  <c r="F780" i="15"/>
  <c r="E780" i="15"/>
  <c r="F779" i="15"/>
  <c r="E779" i="15"/>
  <c r="F778" i="15"/>
  <c r="E778" i="15"/>
  <c r="AE777" i="15"/>
  <c r="AE783" i="15" s="1"/>
  <c r="AD777" i="15"/>
  <c r="AD783" i="15" s="1"/>
  <c r="AC777" i="15"/>
  <c r="AC783" i="15" s="1"/>
  <c r="AB777" i="15"/>
  <c r="AB783" i="15" s="1"/>
  <c r="AA777" i="15"/>
  <c r="AA783" i="15" s="1"/>
  <c r="Z777" i="15"/>
  <c r="U777" i="15"/>
  <c r="U783" i="15" s="1"/>
  <c r="T777" i="15"/>
  <c r="T783" i="15" s="1"/>
  <c r="R777" i="15"/>
  <c r="R783" i="15" s="1"/>
  <c r="Q777" i="15"/>
  <c r="Q783" i="15" s="1"/>
  <c r="P777" i="15"/>
  <c r="P783" i="15" s="1"/>
  <c r="O777" i="15"/>
  <c r="O783" i="15" s="1"/>
  <c r="N777" i="15"/>
  <c r="N783" i="15" s="1"/>
  <c r="H777" i="15"/>
  <c r="H783" i="15" s="1"/>
  <c r="G777" i="15"/>
  <c r="G783" i="15" s="1"/>
  <c r="F777" i="15"/>
  <c r="M777" i="15" s="1"/>
  <c r="M783" i="15" s="1"/>
  <c r="E777" i="15"/>
  <c r="AE776" i="15"/>
  <c r="AE782" i="15" s="1"/>
  <c r="AD776" i="15"/>
  <c r="AD782" i="15" s="1"/>
  <c r="AC776" i="15"/>
  <c r="AC782" i="15" s="1"/>
  <c r="AB776" i="15"/>
  <c r="AB782" i="15" s="1"/>
  <c r="AA776" i="15"/>
  <c r="AA782" i="15" s="1"/>
  <c r="Z776" i="15"/>
  <c r="U776" i="15"/>
  <c r="U782" i="15" s="1"/>
  <c r="T776" i="15"/>
  <c r="T782" i="15" s="1"/>
  <c r="R776" i="15"/>
  <c r="R782" i="15" s="1"/>
  <c r="Q776" i="15"/>
  <c r="Q782" i="15" s="1"/>
  <c r="P776" i="15"/>
  <c r="P782" i="15" s="1"/>
  <c r="O776" i="15"/>
  <c r="O782" i="15" s="1"/>
  <c r="N776" i="15"/>
  <c r="N782" i="15" s="1"/>
  <c r="H776" i="15"/>
  <c r="H782" i="15" s="1"/>
  <c r="G776" i="15"/>
  <c r="G782" i="15" s="1"/>
  <c r="F776" i="15"/>
  <c r="M776" i="15" s="1"/>
  <c r="M782" i="15" s="1"/>
  <c r="E776" i="15"/>
  <c r="AE775" i="15"/>
  <c r="AE781" i="15" s="1"/>
  <c r="AD775" i="15"/>
  <c r="AD781" i="15" s="1"/>
  <c r="AC775" i="15"/>
  <c r="AC781" i="15" s="1"/>
  <c r="AB775" i="15"/>
  <c r="AB781" i="15" s="1"/>
  <c r="AA775" i="15"/>
  <c r="AA781" i="15" s="1"/>
  <c r="Z775" i="15"/>
  <c r="U775" i="15"/>
  <c r="U781" i="15" s="1"/>
  <c r="T775" i="15"/>
  <c r="T781" i="15" s="1"/>
  <c r="R775" i="15"/>
  <c r="R781" i="15" s="1"/>
  <c r="Q775" i="15"/>
  <c r="Q781" i="15" s="1"/>
  <c r="P775" i="15"/>
  <c r="P781" i="15" s="1"/>
  <c r="O775" i="15"/>
  <c r="O781" i="15" s="1"/>
  <c r="N775" i="15"/>
  <c r="N781" i="15" s="1"/>
  <c r="H775" i="15"/>
  <c r="H781" i="15" s="1"/>
  <c r="G775" i="15"/>
  <c r="G781" i="15" s="1"/>
  <c r="F775" i="15"/>
  <c r="M775" i="15" s="1"/>
  <c r="M781" i="15" s="1"/>
  <c r="E775" i="15"/>
  <c r="AE774" i="15"/>
  <c r="AE780" i="15" s="1"/>
  <c r="AD774" i="15"/>
  <c r="AD780" i="15" s="1"/>
  <c r="AC774" i="15"/>
  <c r="AC780" i="15" s="1"/>
  <c r="AB774" i="15"/>
  <c r="AB780" i="15" s="1"/>
  <c r="AA774" i="15"/>
  <c r="AA780" i="15" s="1"/>
  <c r="Z774" i="15"/>
  <c r="U774" i="15"/>
  <c r="U780" i="15" s="1"/>
  <c r="T774" i="15"/>
  <c r="T780" i="15" s="1"/>
  <c r="R774" i="15"/>
  <c r="R780" i="15" s="1"/>
  <c r="Q774" i="15"/>
  <c r="Q780" i="15" s="1"/>
  <c r="P774" i="15"/>
  <c r="P780" i="15" s="1"/>
  <c r="O774" i="15"/>
  <c r="O780" i="15" s="1"/>
  <c r="N774" i="15"/>
  <c r="N780" i="15" s="1"/>
  <c r="H774" i="15"/>
  <c r="H780" i="15" s="1"/>
  <c r="G774" i="15"/>
  <c r="G780" i="15" s="1"/>
  <c r="F774" i="15"/>
  <c r="M774" i="15" s="1"/>
  <c r="M780" i="15" s="1"/>
  <c r="E774" i="15"/>
  <c r="AE773" i="15"/>
  <c r="AE779" i="15" s="1"/>
  <c r="AD773" i="15"/>
  <c r="AD779" i="15" s="1"/>
  <c r="AC773" i="15"/>
  <c r="AC779" i="15" s="1"/>
  <c r="AB773" i="15"/>
  <c r="AB779" i="15" s="1"/>
  <c r="AA773" i="15"/>
  <c r="AA779" i="15" s="1"/>
  <c r="Z773" i="15"/>
  <c r="U773" i="15"/>
  <c r="U779" i="15" s="1"/>
  <c r="T773" i="15"/>
  <c r="T779" i="15" s="1"/>
  <c r="R773" i="15"/>
  <c r="R779" i="15" s="1"/>
  <c r="Q773" i="15"/>
  <c r="Q779" i="15" s="1"/>
  <c r="P773" i="15"/>
  <c r="P779" i="15" s="1"/>
  <c r="O773" i="15"/>
  <c r="O779" i="15" s="1"/>
  <c r="N773" i="15"/>
  <c r="N779" i="15" s="1"/>
  <c r="H773" i="15"/>
  <c r="H779" i="15" s="1"/>
  <c r="G773" i="15"/>
  <c r="G779" i="15" s="1"/>
  <c r="F773" i="15"/>
  <c r="M773" i="15" s="1"/>
  <c r="M779" i="15" s="1"/>
  <c r="E773" i="15"/>
  <c r="AE772" i="15"/>
  <c r="AE778" i="15" s="1"/>
  <c r="AD772" i="15"/>
  <c r="AD778" i="15" s="1"/>
  <c r="AC772" i="15"/>
  <c r="AC778" i="15" s="1"/>
  <c r="AB772" i="15"/>
  <c r="AB778" i="15" s="1"/>
  <c r="AA772" i="15"/>
  <c r="AA778" i="15" s="1"/>
  <c r="Z772" i="15"/>
  <c r="U772" i="15"/>
  <c r="U778" i="15" s="1"/>
  <c r="T772" i="15"/>
  <c r="T778" i="15" s="1"/>
  <c r="R772" i="15"/>
  <c r="R778" i="15" s="1"/>
  <c r="Q772" i="15"/>
  <c r="Q778" i="15" s="1"/>
  <c r="P772" i="15"/>
  <c r="P778" i="15" s="1"/>
  <c r="O772" i="15"/>
  <c r="O778" i="15" s="1"/>
  <c r="N772" i="15"/>
  <c r="N778" i="15" s="1"/>
  <c r="H772" i="15"/>
  <c r="H778" i="15" s="1"/>
  <c r="G772" i="15"/>
  <c r="G778" i="15" s="1"/>
  <c r="F772" i="15"/>
  <c r="M772" i="15" s="1"/>
  <c r="M778" i="15" s="1"/>
  <c r="E772" i="15"/>
  <c r="F771" i="15"/>
  <c r="F770" i="15"/>
  <c r="F769" i="15"/>
  <c r="H768" i="15"/>
  <c r="G768" i="15"/>
  <c r="F768" i="15"/>
  <c r="F767" i="15"/>
  <c r="F766" i="15"/>
  <c r="AG754" i="15"/>
  <c r="AG748" i="15"/>
  <c r="AG742" i="15"/>
  <c r="AG736" i="15"/>
  <c r="AG730" i="15"/>
  <c r="AG724" i="15"/>
  <c r="AG718" i="15"/>
  <c r="AG712" i="15"/>
  <c r="AG706" i="15"/>
  <c r="AE705" i="15"/>
  <c r="AE771" i="15" s="1"/>
  <c r="AD705" i="15"/>
  <c r="AD771" i="15" s="1"/>
  <c r="AC705" i="15"/>
  <c r="AC771" i="15" s="1"/>
  <c r="AB705" i="15"/>
  <c r="AB771" i="15" s="1"/>
  <c r="AA705" i="15"/>
  <c r="AA771" i="15" s="1"/>
  <c r="Z705" i="15"/>
  <c r="H705" i="15"/>
  <c r="H771" i="15" s="1"/>
  <c r="G705" i="15"/>
  <c r="G771" i="15" s="1"/>
  <c r="F705" i="15"/>
  <c r="M705" i="15" s="1"/>
  <c r="E705" i="15"/>
  <c r="E771" i="15" s="1"/>
  <c r="AE704" i="15"/>
  <c r="AE770" i="15" s="1"/>
  <c r="AD704" i="15"/>
  <c r="AD770" i="15" s="1"/>
  <c r="AC704" i="15"/>
  <c r="AC770" i="15" s="1"/>
  <c r="AB704" i="15"/>
  <c r="AB770" i="15" s="1"/>
  <c r="AA704" i="15"/>
  <c r="AA770" i="15" s="1"/>
  <c r="Z704" i="15"/>
  <c r="H704" i="15"/>
  <c r="H770" i="15" s="1"/>
  <c r="G704" i="15"/>
  <c r="G770" i="15" s="1"/>
  <c r="F704" i="15"/>
  <c r="M704" i="15" s="1"/>
  <c r="E704" i="15"/>
  <c r="E770" i="15" s="1"/>
  <c r="AE703" i="15"/>
  <c r="AE769" i="15" s="1"/>
  <c r="AD703" i="15"/>
  <c r="AD769" i="15" s="1"/>
  <c r="AC703" i="15"/>
  <c r="AC769" i="15" s="1"/>
  <c r="AB703" i="15"/>
  <c r="AB769" i="15" s="1"/>
  <c r="AA703" i="15"/>
  <c r="AA769" i="15" s="1"/>
  <c r="Z703" i="15"/>
  <c r="H703" i="15"/>
  <c r="H769" i="15" s="1"/>
  <c r="G703" i="15"/>
  <c r="G769" i="15" s="1"/>
  <c r="F703" i="15"/>
  <c r="M703" i="15" s="1"/>
  <c r="E703" i="15"/>
  <c r="E769" i="15" s="1"/>
  <c r="AE702" i="15"/>
  <c r="AE768" i="15" s="1"/>
  <c r="AD702" i="15"/>
  <c r="AD768" i="15" s="1"/>
  <c r="AC702" i="15"/>
  <c r="AC768" i="15" s="1"/>
  <c r="AB702" i="15"/>
  <c r="AB768" i="15" s="1"/>
  <c r="AA702" i="15"/>
  <c r="AA768" i="15" s="1"/>
  <c r="Z702" i="15"/>
  <c r="F702" i="15"/>
  <c r="M702" i="15" s="1"/>
  <c r="E702" i="15"/>
  <c r="E768" i="15" s="1"/>
  <c r="AE701" i="15"/>
  <c r="AE767" i="15" s="1"/>
  <c r="AD701" i="15"/>
  <c r="AD767" i="15" s="1"/>
  <c r="AC701" i="15"/>
  <c r="AC767" i="15" s="1"/>
  <c r="AB701" i="15"/>
  <c r="AB767" i="15" s="1"/>
  <c r="AA701" i="15"/>
  <c r="AA767" i="15" s="1"/>
  <c r="Z701" i="15"/>
  <c r="H701" i="15"/>
  <c r="H767" i="15" s="1"/>
  <c r="G701" i="15"/>
  <c r="G767" i="15" s="1"/>
  <c r="F701" i="15"/>
  <c r="M701" i="15" s="1"/>
  <c r="E701" i="15"/>
  <c r="E767" i="15" s="1"/>
  <c r="AE700" i="15"/>
  <c r="AE766" i="15" s="1"/>
  <c r="AD700" i="15"/>
  <c r="AD766" i="15" s="1"/>
  <c r="AC700" i="15"/>
  <c r="AC766" i="15" s="1"/>
  <c r="AB700" i="15"/>
  <c r="AB766" i="15" s="1"/>
  <c r="AA700" i="15"/>
  <c r="AA766" i="15" s="1"/>
  <c r="Z700" i="15"/>
  <c r="H700" i="15"/>
  <c r="H766" i="15" s="1"/>
  <c r="G700" i="15"/>
  <c r="G766" i="15" s="1"/>
  <c r="E700" i="15"/>
  <c r="E766" i="15" s="1"/>
  <c r="AE693" i="15"/>
  <c r="AE699" i="15" s="1"/>
  <c r="AD693" i="15"/>
  <c r="AD699" i="15" s="1"/>
  <c r="AC693" i="15"/>
  <c r="AC699" i="15" s="1"/>
  <c r="AB693" i="15"/>
  <c r="AB699" i="15" s="1"/>
  <c r="AA693" i="15"/>
  <c r="AA699" i="15" s="1"/>
  <c r="Z693" i="15"/>
  <c r="Z699" i="15" s="1"/>
  <c r="W693" i="15"/>
  <c r="W699" i="15" s="1"/>
  <c r="V693" i="15"/>
  <c r="V699" i="15" s="1"/>
  <c r="U693" i="15"/>
  <c r="U699" i="15" s="1"/>
  <c r="T693" i="15"/>
  <c r="T699" i="15" s="1"/>
  <c r="R693" i="15"/>
  <c r="R699" i="15" s="1"/>
  <c r="Q693" i="15"/>
  <c r="Q699" i="15" s="1"/>
  <c r="P693" i="15"/>
  <c r="P699" i="15" s="1"/>
  <c r="O693" i="15"/>
  <c r="O699" i="15" s="1"/>
  <c r="N693" i="15"/>
  <c r="N699" i="15" s="1"/>
  <c r="L693" i="15"/>
  <c r="J693" i="15"/>
  <c r="J699" i="15" s="1"/>
  <c r="I693" i="15"/>
  <c r="I699" i="15" s="1"/>
  <c r="H693" i="15"/>
  <c r="H699" i="15" s="1"/>
  <c r="G693" i="15"/>
  <c r="G699" i="15" s="1"/>
  <c r="F693" i="15"/>
  <c r="F699" i="15" s="1"/>
  <c r="E693" i="15"/>
  <c r="E699" i="15" s="1"/>
  <c r="AE692" i="15"/>
  <c r="AE698" i="15" s="1"/>
  <c r="AD692" i="15"/>
  <c r="AD698" i="15" s="1"/>
  <c r="AC692" i="15"/>
  <c r="AC698" i="15" s="1"/>
  <c r="AB692" i="15"/>
  <c r="AB698" i="15" s="1"/>
  <c r="AA692" i="15"/>
  <c r="AA698" i="15" s="1"/>
  <c r="Z692" i="15"/>
  <c r="Z698" i="15" s="1"/>
  <c r="W692" i="15"/>
  <c r="W698" i="15" s="1"/>
  <c r="V692" i="15"/>
  <c r="V698" i="15" s="1"/>
  <c r="U692" i="15"/>
  <c r="U698" i="15" s="1"/>
  <c r="T692" i="15"/>
  <c r="T698" i="15" s="1"/>
  <c r="R692" i="15"/>
  <c r="R698" i="15" s="1"/>
  <c r="Q692" i="15"/>
  <c r="Q698" i="15" s="1"/>
  <c r="P692" i="15"/>
  <c r="P698" i="15" s="1"/>
  <c r="O692" i="15"/>
  <c r="O698" i="15" s="1"/>
  <c r="N692" i="15"/>
  <c r="N698" i="15" s="1"/>
  <c r="L692" i="15"/>
  <c r="J692" i="15"/>
  <c r="J698" i="15" s="1"/>
  <c r="I692" i="15"/>
  <c r="I698" i="15" s="1"/>
  <c r="H692" i="15"/>
  <c r="H698" i="15" s="1"/>
  <c r="G692" i="15"/>
  <c r="G698" i="15" s="1"/>
  <c r="F692" i="15"/>
  <c r="M692" i="15" s="1"/>
  <c r="M698" i="15" s="1"/>
  <c r="E692" i="15"/>
  <c r="E698" i="15" s="1"/>
  <c r="AE691" i="15"/>
  <c r="AE697" i="15" s="1"/>
  <c r="AD691" i="15"/>
  <c r="AD697" i="15" s="1"/>
  <c r="AC691" i="15"/>
  <c r="AC697" i="15" s="1"/>
  <c r="AB691" i="15"/>
  <c r="AB697" i="15" s="1"/>
  <c r="AA691" i="15"/>
  <c r="AA697" i="15" s="1"/>
  <c r="Z691" i="15"/>
  <c r="Z697" i="15" s="1"/>
  <c r="W691" i="15"/>
  <c r="W697" i="15" s="1"/>
  <c r="V691" i="15"/>
  <c r="V697" i="15" s="1"/>
  <c r="U691" i="15"/>
  <c r="U697" i="15" s="1"/>
  <c r="T691" i="15"/>
  <c r="T697" i="15" s="1"/>
  <c r="R691" i="15"/>
  <c r="R697" i="15" s="1"/>
  <c r="Q691" i="15"/>
  <c r="Q697" i="15" s="1"/>
  <c r="P691" i="15"/>
  <c r="P697" i="15" s="1"/>
  <c r="O691" i="15"/>
  <c r="O697" i="15" s="1"/>
  <c r="N691" i="15"/>
  <c r="N697" i="15" s="1"/>
  <c r="L691" i="15"/>
  <c r="L797" i="15" s="1"/>
  <c r="L798" i="15" s="1"/>
  <c r="J691" i="15"/>
  <c r="J697" i="15" s="1"/>
  <c r="I691" i="15"/>
  <c r="I697" i="15" s="1"/>
  <c r="H691" i="15"/>
  <c r="H697" i="15" s="1"/>
  <c r="G691" i="15"/>
  <c r="G697" i="15" s="1"/>
  <c r="F691" i="15"/>
  <c r="F697" i="15" s="1"/>
  <c r="E691" i="15"/>
  <c r="E697" i="15" s="1"/>
  <c r="AE690" i="15"/>
  <c r="AE696" i="15" s="1"/>
  <c r="AD690" i="15"/>
  <c r="AD696" i="15" s="1"/>
  <c r="AC690" i="15"/>
  <c r="AC696" i="15" s="1"/>
  <c r="AB690" i="15"/>
  <c r="AB696" i="15" s="1"/>
  <c r="AA690" i="15"/>
  <c r="AA696" i="15" s="1"/>
  <c r="Z690" i="15"/>
  <c r="Z696" i="15" s="1"/>
  <c r="W690" i="15"/>
  <c r="W696" i="15" s="1"/>
  <c r="V690" i="15"/>
  <c r="V696" i="15" s="1"/>
  <c r="R690" i="15"/>
  <c r="R696" i="15" s="1"/>
  <c r="Q690" i="15"/>
  <c r="Q696" i="15" s="1"/>
  <c r="P690" i="15"/>
  <c r="P696" i="15" s="1"/>
  <c r="O690" i="15"/>
  <c r="O696" i="15" s="1"/>
  <c r="N690" i="15"/>
  <c r="N696" i="15" s="1"/>
  <c r="L690" i="15"/>
  <c r="J690" i="15"/>
  <c r="J696" i="15" s="1"/>
  <c r="I690" i="15"/>
  <c r="I696" i="15" s="1"/>
  <c r="H690" i="15"/>
  <c r="G690" i="15"/>
  <c r="F690" i="15"/>
  <c r="F696" i="15" s="1"/>
  <c r="E690" i="15"/>
  <c r="E696" i="15" s="1"/>
  <c r="AE689" i="15"/>
  <c r="AE695" i="15" s="1"/>
  <c r="AD689" i="15"/>
  <c r="AD695" i="15" s="1"/>
  <c r="AC689" i="15"/>
  <c r="AC695" i="15" s="1"/>
  <c r="AB689" i="15"/>
  <c r="AB695" i="15" s="1"/>
  <c r="AA689" i="15"/>
  <c r="AA695" i="15" s="1"/>
  <c r="Z689" i="15"/>
  <c r="Z695" i="15" s="1"/>
  <c r="W689" i="15"/>
  <c r="W695" i="15" s="1"/>
  <c r="V689" i="15"/>
  <c r="V695" i="15" s="1"/>
  <c r="U689" i="15"/>
  <c r="U695" i="15" s="1"/>
  <c r="T689" i="15"/>
  <c r="T695" i="15" s="1"/>
  <c r="R689" i="15"/>
  <c r="R695" i="15" s="1"/>
  <c r="Q689" i="15"/>
  <c r="Q695" i="15" s="1"/>
  <c r="P689" i="15"/>
  <c r="P695" i="15" s="1"/>
  <c r="O689" i="15"/>
  <c r="O695" i="15" s="1"/>
  <c r="N689" i="15"/>
  <c r="N695" i="15" s="1"/>
  <c r="L689" i="15"/>
  <c r="J689" i="15"/>
  <c r="J695" i="15" s="1"/>
  <c r="I689" i="15"/>
  <c r="I695" i="15" s="1"/>
  <c r="H689" i="15"/>
  <c r="H695" i="15" s="1"/>
  <c r="G689" i="15"/>
  <c r="G695" i="15" s="1"/>
  <c r="F689" i="15"/>
  <c r="M689" i="15" s="1"/>
  <c r="M695" i="15" s="1"/>
  <c r="E689" i="15"/>
  <c r="E695" i="15" s="1"/>
  <c r="AE688" i="15"/>
  <c r="AE694" i="15" s="1"/>
  <c r="AD688" i="15"/>
  <c r="AD694" i="15" s="1"/>
  <c r="AC688" i="15"/>
  <c r="AC694" i="15" s="1"/>
  <c r="AB688" i="15"/>
  <c r="AB694" i="15" s="1"/>
  <c r="AA688" i="15"/>
  <c r="AA694" i="15" s="1"/>
  <c r="Z688" i="15"/>
  <c r="Z694" i="15" s="1"/>
  <c r="W688" i="15"/>
  <c r="W694" i="15" s="1"/>
  <c r="V688" i="15"/>
  <c r="V694" i="15" s="1"/>
  <c r="U688" i="15"/>
  <c r="U694" i="15" s="1"/>
  <c r="T688" i="15"/>
  <c r="T694" i="15" s="1"/>
  <c r="R688" i="15"/>
  <c r="R694" i="15" s="1"/>
  <c r="Q688" i="15"/>
  <c r="Q694" i="15" s="1"/>
  <c r="P688" i="15"/>
  <c r="P694" i="15" s="1"/>
  <c r="O688" i="15"/>
  <c r="O694" i="15" s="1"/>
  <c r="N688" i="15"/>
  <c r="N694" i="15" s="1"/>
  <c r="L688" i="15"/>
  <c r="J688" i="15"/>
  <c r="J694" i="15" s="1"/>
  <c r="I688" i="15"/>
  <c r="I694" i="15" s="1"/>
  <c r="H688" i="15"/>
  <c r="H694" i="15" s="1"/>
  <c r="G688" i="15"/>
  <c r="G694" i="15" s="1"/>
  <c r="F688" i="15"/>
  <c r="M688" i="15" s="1"/>
  <c r="M694" i="15" s="1"/>
  <c r="E688" i="15"/>
  <c r="E694" i="15" s="1"/>
  <c r="T687" i="15"/>
  <c r="AE686" i="15"/>
  <c r="AD686" i="15"/>
  <c r="AC686" i="15"/>
  <c r="W686" i="15"/>
  <c r="V686" i="15"/>
  <c r="U686" i="15"/>
  <c r="T686" i="15"/>
  <c r="Q686" i="15"/>
  <c r="P686" i="15"/>
  <c r="J686" i="15"/>
  <c r="I686" i="15"/>
  <c r="H686" i="15"/>
  <c r="G686" i="15"/>
  <c r="AE685" i="15"/>
  <c r="AD685" i="15"/>
  <c r="AC685" i="15"/>
  <c r="AB685" i="15"/>
  <c r="W685" i="15"/>
  <c r="V685" i="15"/>
  <c r="Q685" i="15"/>
  <c r="P685" i="15"/>
  <c r="O685" i="15"/>
  <c r="J685" i="15"/>
  <c r="I685" i="15"/>
  <c r="G685" i="15"/>
  <c r="AB684" i="15"/>
  <c r="W684" i="15"/>
  <c r="V684" i="15"/>
  <c r="U684" i="15"/>
  <c r="T684" i="15"/>
  <c r="Q684" i="15"/>
  <c r="P684" i="15"/>
  <c r="O684" i="15"/>
  <c r="J684" i="15"/>
  <c r="I684" i="15"/>
  <c r="H684" i="15"/>
  <c r="G684" i="15"/>
  <c r="T683" i="15"/>
  <c r="AC682" i="15"/>
  <c r="AB682" i="15"/>
  <c r="W682" i="15"/>
  <c r="V682" i="15"/>
  <c r="U682" i="15"/>
  <c r="T682" i="15"/>
  <c r="Q682" i="15"/>
  <c r="P682" i="15"/>
  <c r="O682" i="15"/>
  <c r="J682" i="15"/>
  <c r="I682" i="15"/>
  <c r="H682" i="15"/>
  <c r="G682" i="15"/>
  <c r="AB680" i="15"/>
  <c r="W657" i="15"/>
  <c r="AB656" i="15"/>
  <c r="W656" i="15"/>
  <c r="O656" i="15"/>
  <c r="W655" i="15"/>
  <c r="W654" i="15"/>
  <c r="W653" i="15"/>
  <c r="W652" i="15"/>
  <c r="W651" i="15"/>
  <c r="W650" i="15"/>
  <c r="W649" i="15"/>
  <c r="W648" i="15"/>
  <c r="W647" i="15"/>
  <c r="W639" i="15"/>
  <c r="V639" i="15"/>
  <c r="U639" i="15"/>
  <c r="T639" i="15"/>
  <c r="R639" i="15"/>
  <c r="Q639" i="15"/>
  <c r="P639" i="15"/>
  <c r="O639" i="15"/>
  <c r="N639" i="15"/>
  <c r="N687" i="15" s="1"/>
  <c r="J639" i="15"/>
  <c r="I639" i="15"/>
  <c r="H639" i="15"/>
  <c r="G639" i="15"/>
  <c r="F639" i="15"/>
  <c r="F687" i="15" s="1"/>
  <c r="E639" i="15"/>
  <c r="E687" i="15" s="1"/>
  <c r="W638" i="15"/>
  <c r="V638" i="15"/>
  <c r="U638" i="15"/>
  <c r="T638" i="15"/>
  <c r="R638" i="15"/>
  <c r="Q638" i="15"/>
  <c r="P638" i="15"/>
  <c r="O638" i="15"/>
  <c r="N638" i="15"/>
  <c r="N686" i="15" s="1"/>
  <c r="J638" i="15"/>
  <c r="I638" i="15"/>
  <c r="H638" i="15"/>
  <c r="G638" i="15"/>
  <c r="F638" i="15"/>
  <c r="F686" i="15" s="1"/>
  <c r="E638" i="15"/>
  <c r="E686" i="15" s="1"/>
  <c r="W637" i="15"/>
  <c r="V637" i="15"/>
  <c r="U637" i="15"/>
  <c r="U661" i="15" s="1"/>
  <c r="T637" i="15"/>
  <c r="R637" i="15"/>
  <c r="Q637" i="15"/>
  <c r="P637" i="15"/>
  <c r="O637" i="15"/>
  <c r="N637" i="15"/>
  <c r="N685" i="15" s="1"/>
  <c r="J637" i="15"/>
  <c r="I637" i="15"/>
  <c r="H637" i="15"/>
  <c r="G637" i="15"/>
  <c r="F637" i="15"/>
  <c r="F685" i="15" s="1"/>
  <c r="E637" i="15"/>
  <c r="E685" i="15" s="1"/>
  <c r="W636" i="15"/>
  <c r="V636" i="15"/>
  <c r="R636" i="15"/>
  <c r="Q636" i="15"/>
  <c r="P636" i="15"/>
  <c r="O636" i="15"/>
  <c r="N636" i="15"/>
  <c r="N684" i="15" s="1"/>
  <c r="J636" i="15"/>
  <c r="I636" i="15"/>
  <c r="H636" i="15"/>
  <c r="G636" i="15"/>
  <c r="F636" i="15"/>
  <c r="F684" i="15" s="1"/>
  <c r="E636" i="15"/>
  <c r="E684" i="15" s="1"/>
  <c r="W635" i="15"/>
  <c r="V635" i="15"/>
  <c r="U635" i="15"/>
  <c r="T635" i="15"/>
  <c r="R635" i="15"/>
  <c r="Q635" i="15"/>
  <c r="P635" i="15"/>
  <c r="O635" i="15"/>
  <c r="N635" i="15"/>
  <c r="N683" i="15" s="1"/>
  <c r="J635" i="15"/>
  <c r="I635" i="15"/>
  <c r="H635" i="15"/>
  <c r="G635" i="15"/>
  <c r="F635" i="15"/>
  <c r="F683" i="15" s="1"/>
  <c r="E635" i="15"/>
  <c r="E683" i="15" s="1"/>
  <c r="W634" i="15"/>
  <c r="V634" i="15"/>
  <c r="U634" i="15"/>
  <c r="T634" i="15"/>
  <c r="R634" i="15"/>
  <c r="Q634" i="15"/>
  <c r="P634" i="15"/>
  <c r="O634" i="15"/>
  <c r="N634" i="15"/>
  <c r="N682" i="15" s="1"/>
  <c r="J634" i="15"/>
  <c r="I634" i="15"/>
  <c r="H634" i="15"/>
  <c r="G634" i="15"/>
  <c r="F634" i="15"/>
  <c r="M634" i="15" s="1"/>
  <c r="M682" i="15" s="1"/>
  <c r="E634" i="15"/>
  <c r="E682" i="15" s="1"/>
  <c r="T633" i="15"/>
  <c r="AE632" i="15"/>
  <c r="AD632" i="15"/>
  <c r="AC632" i="15"/>
  <c r="W632" i="15"/>
  <c r="V632" i="15"/>
  <c r="U632" i="15"/>
  <c r="T632" i="15"/>
  <c r="R632" i="15"/>
  <c r="Q632" i="15"/>
  <c r="P632" i="15"/>
  <c r="J632" i="15"/>
  <c r="I632" i="15"/>
  <c r="H632" i="15"/>
  <c r="G632" i="15"/>
  <c r="AD631" i="15"/>
  <c r="AC631" i="15"/>
  <c r="AB631" i="15"/>
  <c r="W631" i="15"/>
  <c r="V631" i="15"/>
  <c r="R631" i="15"/>
  <c r="Q631" i="15"/>
  <c r="P631" i="15"/>
  <c r="O631" i="15"/>
  <c r="J631" i="15"/>
  <c r="I631" i="15"/>
  <c r="G631" i="15"/>
  <c r="AD630" i="15"/>
  <c r="AC630" i="15"/>
  <c r="AB630" i="15"/>
  <c r="W630" i="15"/>
  <c r="V630" i="15"/>
  <c r="U630" i="15"/>
  <c r="T630" i="15"/>
  <c r="R630" i="15"/>
  <c r="Q630" i="15"/>
  <c r="P630" i="15"/>
  <c r="O630" i="15"/>
  <c r="J630" i="15"/>
  <c r="I630" i="15"/>
  <c r="H630" i="15"/>
  <c r="G630" i="15"/>
  <c r="T629" i="15"/>
  <c r="AE628" i="15"/>
  <c r="AD628" i="15"/>
  <c r="AC628" i="15"/>
  <c r="AB628" i="15"/>
  <c r="W628" i="15"/>
  <c r="V628" i="15"/>
  <c r="U628" i="15"/>
  <c r="T628" i="15"/>
  <c r="R628" i="15"/>
  <c r="Q628" i="15"/>
  <c r="P628" i="15"/>
  <c r="O628" i="15"/>
  <c r="J628" i="15"/>
  <c r="I628" i="15"/>
  <c r="H628" i="15"/>
  <c r="G628" i="15"/>
  <c r="O626" i="15"/>
  <c r="AB602" i="15"/>
  <c r="O602" i="15"/>
  <c r="AB584" i="15"/>
  <c r="O584" i="15"/>
  <c r="AB560" i="15"/>
  <c r="O560" i="15"/>
  <c r="AB518" i="15"/>
  <c r="O518" i="15"/>
  <c r="AB513" i="15"/>
  <c r="O513" i="15"/>
  <c r="AB512" i="15"/>
  <c r="AE507" i="15"/>
  <c r="AD507" i="15"/>
  <c r="AC507" i="15"/>
  <c r="AB507" i="15"/>
  <c r="AA507" i="15"/>
  <c r="AA633" i="15" s="1"/>
  <c r="Z507" i="15"/>
  <c r="W507" i="15"/>
  <c r="V507" i="15"/>
  <c r="U507" i="15"/>
  <c r="T507" i="15"/>
  <c r="R507" i="15"/>
  <c r="Q507" i="15"/>
  <c r="P507" i="15"/>
  <c r="O507" i="15"/>
  <c r="N507" i="15"/>
  <c r="N633" i="15" s="1"/>
  <c r="J507" i="15"/>
  <c r="I507" i="15"/>
  <c r="H507" i="15"/>
  <c r="G507" i="15"/>
  <c r="F507" i="15"/>
  <c r="M507" i="15" s="1"/>
  <c r="E507" i="15"/>
  <c r="AE506" i="15"/>
  <c r="AD506" i="15"/>
  <c r="AC506" i="15"/>
  <c r="AB506" i="15"/>
  <c r="AA506" i="15"/>
  <c r="AA632" i="15" s="1"/>
  <c r="Z506" i="15"/>
  <c r="W506" i="15"/>
  <c r="V506" i="15"/>
  <c r="U506" i="15"/>
  <c r="T506" i="15"/>
  <c r="R506" i="15"/>
  <c r="Q506" i="15"/>
  <c r="P506" i="15"/>
  <c r="O506" i="15"/>
  <c r="N506" i="15"/>
  <c r="N632" i="15" s="1"/>
  <c r="J506" i="15"/>
  <c r="I506" i="15"/>
  <c r="H506" i="15"/>
  <c r="G506" i="15"/>
  <c r="F506" i="15"/>
  <c r="M506" i="15" s="1"/>
  <c r="E506" i="15"/>
  <c r="AE505" i="15"/>
  <c r="AD505" i="15"/>
  <c r="AC505" i="15"/>
  <c r="AB505" i="15"/>
  <c r="AA505" i="15"/>
  <c r="AA631" i="15" s="1"/>
  <c r="Z505" i="15"/>
  <c r="W505" i="15"/>
  <c r="V505" i="15"/>
  <c r="U505" i="15"/>
  <c r="U541" i="15" s="1"/>
  <c r="T505" i="15"/>
  <c r="R505" i="15"/>
  <c r="Q505" i="15"/>
  <c r="P505" i="15"/>
  <c r="O505" i="15"/>
  <c r="N505" i="15"/>
  <c r="N631" i="15" s="1"/>
  <c r="J505" i="15"/>
  <c r="I505" i="15"/>
  <c r="H505" i="15"/>
  <c r="G505" i="15"/>
  <c r="F505" i="15"/>
  <c r="M505" i="15" s="1"/>
  <c r="E505" i="15"/>
  <c r="AE504" i="15"/>
  <c r="AD504" i="15"/>
  <c r="AC504" i="15"/>
  <c r="AB504" i="15"/>
  <c r="AA504" i="15"/>
  <c r="AA630" i="15" s="1"/>
  <c r="Z504" i="15"/>
  <c r="W504" i="15"/>
  <c r="V504" i="15"/>
  <c r="R504" i="15"/>
  <c r="Q504" i="15"/>
  <c r="P504" i="15"/>
  <c r="O504" i="15"/>
  <c r="N504" i="15"/>
  <c r="N630" i="15" s="1"/>
  <c r="J504" i="15"/>
  <c r="I504" i="15"/>
  <c r="F504" i="15"/>
  <c r="M504" i="15" s="1"/>
  <c r="E504" i="15"/>
  <c r="AE503" i="15"/>
  <c r="AD503" i="15"/>
  <c r="AC503" i="15"/>
  <c r="AB503" i="15"/>
  <c r="AA503" i="15"/>
  <c r="AA629" i="15" s="1"/>
  <c r="Z503" i="15"/>
  <c r="W503" i="15"/>
  <c r="V503" i="15"/>
  <c r="U503" i="15"/>
  <c r="T503" i="15"/>
  <c r="R503" i="15"/>
  <c r="Q503" i="15"/>
  <c r="P503" i="15"/>
  <c r="O503" i="15"/>
  <c r="N503" i="15"/>
  <c r="N629" i="15" s="1"/>
  <c r="J503" i="15"/>
  <c r="I503" i="15"/>
  <c r="H503" i="15"/>
  <c r="G503" i="15"/>
  <c r="G502" i="15"/>
  <c r="F503" i="15"/>
  <c r="M503" i="15" s="1"/>
  <c r="E503" i="15"/>
  <c r="AE502" i="15"/>
  <c r="AD502" i="15"/>
  <c r="AC502" i="15"/>
  <c r="AB502" i="15"/>
  <c r="AA502" i="15"/>
  <c r="AA628" i="15" s="1"/>
  <c r="Z502" i="15"/>
  <c r="W502" i="15"/>
  <c r="V502" i="15"/>
  <c r="V543" i="15" s="1"/>
  <c r="U502" i="15"/>
  <c r="T502" i="15"/>
  <c r="R502" i="15"/>
  <c r="Q502" i="15"/>
  <c r="P502" i="15"/>
  <c r="O502" i="15"/>
  <c r="N502" i="15"/>
  <c r="N628" i="15" s="1"/>
  <c r="J502" i="15"/>
  <c r="J573" i="15" s="1"/>
  <c r="I502" i="15"/>
  <c r="H502" i="15"/>
  <c r="F502" i="15"/>
  <c r="M502" i="15" s="1"/>
  <c r="E502" i="15"/>
  <c r="Q501" i="15"/>
  <c r="Q500" i="15"/>
  <c r="Q499" i="15"/>
  <c r="U498" i="15"/>
  <c r="T498" i="15"/>
  <c r="Q498" i="15"/>
  <c r="Q497" i="15"/>
  <c r="Q496" i="15"/>
  <c r="AE495" i="15"/>
  <c r="AE501" i="15" s="1"/>
  <c r="AD495" i="15"/>
  <c r="AD501" i="15" s="1"/>
  <c r="AC495" i="15"/>
  <c r="AC501" i="15" s="1"/>
  <c r="AB495" i="15"/>
  <c r="AB501" i="15" s="1"/>
  <c r="AA495" i="15"/>
  <c r="AA501" i="15" s="1"/>
  <c r="Z495" i="15"/>
  <c r="W495" i="15"/>
  <c r="V495" i="15"/>
  <c r="V501" i="15" s="1"/>
  <c r="U495" i="15"/>
  <c r="U501" i="15" s="1"/>
  <c r="T495" i="15"/>
  <c r="T501" i="15" s="1"/>
  <c r="R495" i="15"/>
  <c r="R501" i="15" s="1"/>
  <c r="P495" i="15"/>
  <c r="P501" i="15" s="1"/>
  <c r="O495" i="15"/>
  <c r="O501" i="15" s="1"/>
  <c r="N495" i="15"/>
  <c r="N501" i="15" s="1"/>
  <c r="F495" i="15"/>
  <c r="F501" i="15" s="1"/>
  <c r="M501" i="15" s="1"/>
  <c r="E495" i="15"/>
  <c r="E501" i="15" s="1"/>
  <c r="AE494" i="15"/>
  <c r="AE500" i="15" s="1"/>
  <c r="AD494" i="15"/>
  <c r="AD500" i="15" s="1"/>
  <c r="AC494" i="15"/>
  <c r="AC500" i="15" s="1"/>
  <c r="AB494" i="15"/>
  <c r="AB500" i="15" s="1"/>
  <c r="AA494" i="15"/>
  <c r="AA500" i="15" s="1"/>
  <c r="Z494" i="15"/>
  <c r="W494" i="15"/>
  <c r="W501" i="15" s="1"/>
  <c r="V494" i="15"/>
  <c r="V500" i="15" s="1"/>
  <c r="U494" i="15"/>
  <c r="U500" i="15" s="1"/>
  <c r="T494" i="15"/>
  <c r="T500" i="15" s="1"/>
  <c r="R494" i="15"/>
  <c r="R500" i="15" s="1"/>
  <c r="P494" i="15"/>
  <c r="P500" i="15" s="1"/>
  <c r="O494" i="15"/>
  <c r="O500" i="15" s="1"/>
  <c r="N494" i="15"/>
  <c r="N500" i="15" s="1"/>
  <c r="F494" i="15"/>
  <c r="F500" i="15" s="1"/>
  <c r="M500" i="15" s="1"/>
  <c r="E494" i="15"/>
  <c r="E500" i="15" s="1"/>
  <c r="AE493" i="15"/>
  <c r="AE499" i="15" s="1"/>
  <c r="AD493" i="15"/>
  <c r="AD499" i="15" s="1"/>
  <c r="AC493" i="15"/>
  <c r="AC499" i="15" s="1"/>
  <c r="AB493" i="15"/>
  <c r="AB499" i="15" s="1"/>
  <c r="AA493" i="15"/>
  <c r="AA499" i="15" s="1"/>
  <c r="Z493" i="15"/>
  <c r="W493" i="15"/>
  <c r="W500" i="15" s="1"/>
  <c r="V493" i="15"/>
  <c r="V499" i="15" s="1"/>
  <c r="U493" i="15"/>
  <c r="U499" i="15" s="1"/>
  <c r="T493" i="15"/>
  <c r="T499" i="15" s="1"/>
  <c r="R493" i="15"/>
  <c r="R499" i="15" s="1"/>
  <c r="P493" i="15"/>
  <c r="P499" i="15" s="1"/>
  <c r="O493" i="15"/>
  <c r="O499" i="15" s="1"/>
  <c r="N493" i="15"/>
  <c r="N499" i="15" s="1"/>
  <c r="F493" i="15"/>
  <c r="E493" i="15"/>
  <c r="E499" i="15" s="1"/>
  <c r="AE492" i="15"/>
  <c r="AE498" i="15" s="1"/>
  <c r="AD492" i="15"/>
  <c r="AD498" i="15" s="1"/>
  <c r="AC492" i="15"/>
  <c r="AC498" i="15" s="1"/>
  <c r="AB492" i="15"/>
  <c r="AB498" i="15" s="1"/>
  <c r="AA492" i="15"/>
  <c r="AA498" i="15" s="1"/>
  <c r="Z492" i="15"/>
  <c r="W492" i="15"/>
  <c r="W499" i="15" s="1"/>
  <c r="V492" i="15"/>
  <c r="V498" i="15" s="1"/>
  <c r="R492" i="15"/>
  <c r="R498" i="15" s="1"/>
  <c r="P492" i="15"/>
  <c r="P498" i="15" s="1"/>
  <c r="O492" i="15"/>
  <c r="O498" i="15" s="1"/>
  <c r="N492" i="15"/>
  <c r="N498" i="15" s="1"/>
  <c r="F492" i="15"/>
  <c r="F498" i="15" s="1"/>
  <c r="M498" i="15" s="1"/>
  <c r="E492" i="15"/>
  <c r="E498" i="15" s="1"/>
  <c r="AE491" i="15"/>
  <c r="AE497" i="15" s="1"/>
  <c r="AD491" i="15"/>
  <c r="AD497" i="15" s="1"/>
  <c r="AC491" i="15"/>
  <c r="AC497" i="15" s="1"/>
  <c r="AB491" i="15"/>
  <c r="AB497" i="15" s="1"/>
  <c r="AA491" i="15"/>
  <c r="AA497" i="15" s="1"/>
  <c r="Z491" i="15"/>
  <c r="W491" i="15"/>
  <c r="W498" i="15" s="1"/>
  <c r="V491" i="15"/>
  <c r="V497" i="15" s="1"/>
  <c r="U491" i="15"/>
  <c r="U497" i="15" s="1"/>
  <c r="T491" i="15"/>
  <c r="T497" i="15" s="1"/>
  <c r="R491" i="15"/>
  <c r="R497" i="15" s="1"/>
  <c r="P491" i="15"/>
  <c r="P497" i="15" s="1"/>
  <c r="O491" i="15"/>
  <c r="O497" i="15" s="1"/>
  <c r="N491" i="15"/>
  <c r="N497" i="15" s="1"/>
  <c r="F491" i="15"/>
  <c r="F497" i="15" s="1"/>
  <c r="M497" i="15" s="1"/>
  <c r="E491" i="15"/>
  <c r="E497" i="15" s="1"/>
  <c r="AE490" i="15"/>
  <c r="AE496" i="15" s="1"/>
  <c r="AD490" i="15"/>
  <c r="AD496" i="15" s="1"/>
  <c r="AC490" i="15"/>
  <c r="AC496" i="15" s="1"/>
  <c r="AB490" i="15"/>
  <c r="AB496" i="15" s="1"/>
  <c r="AA490" i="15"/>
  <c r="AA496" i="15" s="1"/>
  <c r="Z490" i="15"/>
  <c r="W490" i="15"/>
  <c r="W497" i="15" s="1"/>
  <c r="V490" i="15"/>
  <c r="V496" i="15" s="1"/>
  <c r="U490" i="15"/>
  <c r="U496" i="15" s="1"/>
  <c r="T490" i="15"/>
  <c r="T496" i="15" s="1"/>
  <c r="R490" i="15"/>
  <c r="R496" i="15" s="1"/>
  <c r="P490" i="15"/>
  <c r="P496" i="15" s="1"/>
  <c r="O490" i="15"/>
  <c r="O496" i="15" s="1"/>
  <c r="N490" i="15"/>
  <c r="N496" i="15" s="1"/>
  <c r="F490" i="15"/>
  <c r="F496" i="15" s="1"/>
  <c r="M496" i="15" s="1"/>
  <c r="E490" i="15"/>
  <c r="E496" i="15" s="1"/>
  <c r="AA489" i="15"/>
  <c r="T489" i="15"/>
  <c r="N489" i="15"/>
  <c r="AE488" i="15"/>
  <c r="AC488" i="15"/>
  <c r="AA488" i="15"/>
  <c r="W488" i="15"/>
  <c r="V488" i="15"/>
  <c r="U488" i="15"/>
  <c r="T488" i="15"/>
  <c r="R488" i="15"/>
  <c r="Q488" i="15"/>
  <c r="P488" i="15"/>
  <c r="N488" i="15"/>
  <c r="J488" i="15"/>
  <c r="I488" i="15"/>
  <c r="H488" i="15"/>
  <c r="G488" i="15"/>
  <c r="AE487" i="15"/>
  <c r="AC487" i="15"/>
  <c r="AA487" i="15"/>
  <c r="W487" i="15"/>
  <c r="V487" i="15"/>
  <c r="R487" i="15"/>
  <c r="Q487" i="15"/>
  <c r="P487" i="15"/>
  <c r="N487" i="15"/>
  <c r="J487" i="15"/>
  <c r="I487" i="15"/>
  <c r="H487" i="15"/>
  <c r="G487" i="15"/>
  <c r="AE486" i="15"/>
  <c r="AC486" i="15"/>
  <c r="AA486" i="15"/>
  <c r="W486" i="15"/>
  <c r="V486" i="15"/>
  <c r="U486" i="15"/>
  <c r="T486" i="15"/>
  <c r="R486" i="15"/>
  <c r="Q486" i="15"/>
  <c r="P486" i="15"/>
  <c r="N486" i="15"/>
  <c r="J486" i="15"/>
  <c r="I486" i="15"/>
  <c r="H486" i="15"/>
  <c r="G486" i="15"/>
  <c r="AE484" i="15"/>
  <c r="AC484" i="15"/>
  <c r="AB484" i="15"/>
  <c r="AA484" i="15"/>
  <c r="W484" i="15"/>
  <c r="V484" i="15"/>
  <c r="U484" i="15"/>
  <c r="T484" i="15"/>
  <c r="R484" i="15"/>
  <c r="Q484" i="15"/>
  <c r="P484" i="15"/>
  <c r="O484" i="15"/>
  <c r="O488" i="15" s="1"/>
  <c r="N484" i="15"/>
  <c r="J484" i="15"/>
  <c r="I484" i="15"/>
  <c r="H484" i="15"/>
  <c r="G484" i="15"/>
  <c r="O482" i="15"/>
  <c r="AB464" i="15"/>
  <c r="O464" i="15"/>
  <c r="AB398" i="15"/>
  <c r="O398" i="15"/>
  <c r="AB332" i="15"/>
  <c r="O332" i="15"/>
  <c r="AB326" i="15"/>
  <c r="O326" i="15"/>
  <c r="AB320" i="15"/>
  <c r="O320" i="15"/>
  <c r="AB314" i="15"/>
  <c r="O314" i="15"/>
  <c r="AD309" i="15"/>
  <c r="AD308" i="15"/>
  <c r="AD488" i="15" s="1"/>
  <c r="AD307" i="15"/>
  <c r="AD487" i="15" s="1"/>
  <c r="AD306" i="15"/>
  <c r="AD486" i="15" s="1"/>
  <c r="AD305" i="15"/>
  <c r="AD304" i="15"/>
  <c r="AD484" i="15" s="1"/>
  <c r="AE303" i="15"/>
  <c r="AD303" i="15"/>
  <c r="AC303" i="15"/>
  <c r="AB303" i="15"/>
  <c r="AA303" i="15"/>
  <c r="Z303" i="15"/>
  <c r="W303" i="15"/>
  <c r="V303" i="15"/>
  <c r="U303" i="15"/>
  <c r="T303" i="15"/>
  <c r="R303" i="15"/>
  <c r="Q303" i="15"/>
  <c r="P303" i="15"/>
  <c r="O303" i="15"/>
  <c r="N303" i="15"/>
  <c r="J303" i="15"/>
  <c r="I303" i="15"/>
  <c r="H303" i="15"/>
  <c r="G303" i="15"/>
  <c r="F303" i="15"/>
  <c r="M303" i="15" s="1"/>
  <c r="E303" i="15"/>
  <c r="AE302" i="15"/>
  <c r="AD302" i="15"/>
  <c r="AC302" i="15"/>
  <c r="AB302" i="15"/>
  <c r="AA302" i="15"/>
  <c r="Z302" i="15"/>
  <c r="W302" i="15"/>
  <c r="V302" i="15"/>
  <c r="U302" i="15"/>
  <c r="T302" i="15"/>
  <c r="R302" i="15"/>
  <c r="Q302" i="15"/>
  <c r="P302" i="15"/>
  <c r="O302" i="15"/>
  <c r="N302" i="15"/>
  <c r="J302" i="15"/>
  <c r="I302" i="15"/>
  <c r="H302" i="15"/>
  <c r="G302" i="15"/>
  <c r="F302" i="15"/>
  <c r="M302" i="15" s="1"/>
  <c r="E302" i="15"/>
  <c r="AE301" i="15"/>
  <c r="AD301" i="15"/>
  <c r="AC301" i="15"/>
  <c r="AB301" i="15"/>
  <c r="AA301" i="15"/>
  <c r="Z301" i="15"/>
  <c r="W301" i="15"/>
  <c r="V301" i="15"/>
  <c r="U301" i="15"/>
  <c r="T301" i="15"/>
  <c r="R301" i="15"/>
  <c r="Q301" i="15"/>
  <c r="P301" i="15"/>
  <c r="O301" i="15"/>
  <c r="N301" i="15"/>
  <c r="J301" i="15"/>
  <c r="I301" i="15"/>
  <c r="H301" i="15"/>
  <c r="G301" i="15"/>
  <c r="F301" i="15"/>
  <c r="M301" i="15" s="1"/>
  <c r="E301" i="15"/>
  <c r="AE300" i="15"/>
  <c r="AD300" i="15"/>
  <c r="AC300" i="15"/>
  <c r="AB300" i="15"/>
  <c r="AA300" i="15"/>
  <c r="Z300" i="15"/>
  <c r="W300" i="15"/>
  <c r="V300" i="15"/>
  <c r="R300" i="15"/>
  <c r="Q300" i="15"/>
  <c r="P300" i="15"/>
  <c r="O300" i="15"/>
  <c r="N300" i="15"/>
  <c r="J300" i="15"/>
  <c r="I300" i="15"/>
  <c r="F300" i="15"/>
  <c r="M300" i="15" s="1"/>
  <c r="E300" i="15"/>
  <c r="AE299" i="15"/>
  <c r="AD299" i="15"/>
  <c r="AC299" i="15"/>
  <c r="AB299" i="15"/>
  <c r="AA299" i="15"/>
  <c r="Z299" i="15"/>
  <c r="W299" i="15"/>
  <c r="V299" i="15"/>
  <c r="U299" i="15"/>
  <c r="T299" i="15"/>
  <c r="R299" i="15"/>
  <c r="Q299" i="15"/>
  <c r="P299" i="15"/>
  <c r="O299" i="15"/>
  <c r="O298" i="15"/>
  <c r="N299" i="15"/>
  <c r="J299" i="15"/>
  <c r="I299" i="15"/>
  <c r="H299" i="15"/>
  <c r="G299" i="15"/>
  <c r="F299" i="15"/>
  <c r="M299" i="15" s="1"/>
  <c r="E299" i="15"/>
  <c r="AE298" i="15"/>
  <c r="AD298" i="15"/>
  <c r="AC298" i="15"/>
  <c r="AB298" i="15"/>
  <c r="AA298" i="15"/>
  <c r="Z298" i="15"/>
  <c r="W298" i="15"/>
  <c r="V298" i="15"/>
  <c r="U298" i="15"/>
  <c r="T298" i="15"/>
  <c r="R298" i="15"/>
  <c r="Q298" i="15"/>
  <c r="P298" i="15"/>
  <c r="N298" i="15"/>
  <c r="J298" i="15"/>
  <c r="I298" i="15"/>
  <c r="H298" i="15"/>
  <c r="G298" i="15"/>
  <c r="F298" i="15"/>
  <c r="M298" i="15" s="1"/>
  <c r="E298" i="15"/>
  <c r="AE296" i="15"/>
  <c r="AD296" i="15"/>
  <c r="W296" i="15"/>
  <c r="V296" i="15"/>
  <c r="U296" i="15"/>
  <c r="T296" i="15"/>
  <c r="R296" i="15"/>
  <c r="Q296" i="15"/>
  <c r="O296" i="15"/>
  <c r="J296" i="15"/>
  <c r="I296" i="15"/>
  <c r="H296" i="15"/>
  <c r="G296" i="15"/>
  <c r="AE295" i="15"/>
  <c r="AD295" i="15"/>
  <c r="W295" i="15"/>
  <c r="V295" i="15"/>
  <c r="T295" i="15"/>
  <c r="R295" i="15"/>
  <c r="Q295" i="15"/>
  <c r="J295" i="15"/>
  <c r="I295" i="15"/>
  <c r="H295" i="15"/>
  <c r="G295" i="15"/>
  <c r="AE294" i="15"/>
  <c r="AD294" i="15"/>
  <c r="W294" i="15"/>
  <c r="V294" i="15"/>
  <c r="U294" i="15"/>
  <c r="T294" i="15"/>
  <c r="R294" i="15"/>
  <c r="Q294" i="15"/>
  <c r="J294" i="15"/>
  <c r="I294" i="15"/>
  <c r="H294" i="15"/>
  <c r="G294" i="15"/>
  <c r="AE292" i="15"/>
  <c r="AD292" i="15"/>
  <c r="AC292" i="15"/>
  <c r="AB292" i="15"/>
  <c r="AB296" i="15" s="1"/>
  <c r="W292" i="15"/>
  <c r="V292" i="15"/>
  <c r="U292" i="15"/>
  <c r="T292" i="15"/>
  <c r="R292" i="15"/>
  <c r="Q292" i="15"/>
  <c r="P292" i="15"/>
  <c r="J292" i="15"/>
  <c r="I292" i="15"/>
  <c r="H292" i="15"/>
  <c r="G292" i="15"/>
  <c r="O290" i="15"/>
  <c r="AB212" i="15"/>
  <c r="O212" i="15"/>
  <c r="AB176" i="15"/>
  <c r="O176" i="15"/>
  <c r="AE171" i="15"/>
  <c r="R171" i="15"/>
  <c r="AE170" i="15"/>
  <c r="R170" i="15"/>
  <c r="AE169" i="15"/>
  <c r="R169" i="15"/>
  <c r="AE168" i="15"/>
  <c r="R168" i="15"/>
  <c r="AE167" i="15"/>
  <c r="R167" i="15"/>
  <c r="AE166" i="15"/>
  <c r="R166" i="15"/>
  <c r="AE165" i="15"/>
  <c r="R165" i="15"/>
  <c r="AE164" i="15"/>
  <c r="R164" i="15"/>
  <c r="AE163" i="15"/>
  <c r="R163" i="15"/>
  <c r="AE162" i="15"/>
  <c r="R162" i="15"/>
  <c r="AE161" i="15"/>
  <c r="R161" i="15"/>
  <c r="AE160" i="15"/>
  <c r="R160" i="15"/>
  <c r="AE159" i="15"/>
  <c r="AD159" i="15"/>
  <c r="AC159" i="15"/>
  <c r="AB159" i="15"/>
  <c r="AA159" i="15"/>
  <c r="Z159" i="15"/>
  <c r="W159" i="15"/>
  <c r="V159" i="15"/>
  <c r="U159" i="15"/>
  <c r="T159" i="15"/>
  <c r="R159" i="15"/>
  <c r="Q159" i="15"/>
  <c r="P159" i="15"/>
  <c r="O159" i="15"/>
  <c r="N159" i="15"/>
  <c r="J159" i="15"/>
  <c r="I159" i="15"/>
  <c r="H159" i="15"/>
  <c r="G159" i="15"/>
  <c r="F159" i="15"/>
  <c r="M159" i="15" s="1"/>
  <c r="E159" i="15"/>
  <c r="AE158" i="15"/>
  <c r="AD158" i="15"/>
  <c r="AC158" i="15"/>
  <c r="AB158" i="15"/>
  <c r="AA158" i="15"/>
  <c r="Z158" i="15"/>
  <c r="W158" i="15"/>
  <c r="V158" i="15"/>
  <c r="U158" i="15"/>
  <c r="T158" i="15"/>
  <c r="R158" i="15"/>
  <c r="Q158" i="15"/>
  <c r="P158" i="15"/>
  <c r="O158" i="15"/>
  <c r="N158" i="15"/>
  <c r="J158" i="15"/>
  <c r="I158" i="15"/>
  <c r="H158" i="15"/>
  <c r="G158" i="15"/>
  <c r="F158" i="15"/>
  <c r="M158" i="15" s="1"/>
  <c r="E158" i="15"/>
  <c r="AE157" i="15"/>
  <c r="AD157" i="15"/>
  <c r="AC157" i="15"/>
  <c r="AB157" i="15"/>
  <c r="AA157" i="15"/>
  <c r="Z157" i="15"/>
  <c r="W157" i="15"/>
  <c r="V157" i="15"/>
  <c r="U157" i="15"/>
  <c r="T157" i="15"/>
  <c r="R157" i="15"/>
  <c r="Q157" i="15"/>
  <c r="P157" i="15"/>
  <c r="O157" i="15"/>
  <c r="N157" i="15"/>
  <c r="J157" i="15"/>
  <c r="I157" i="15"/>
  <c r="H157" i="15"/>
  <c r="G157" i="15"/>
  <c r="F157" i="15"/>
  <c r="M157" i="15" s="1"/>
  <c r="E157" i="15"/>
  <c r="AE156" i="15"/>
  <c r="AD156" i="15"/>
  <c r="AC156" i="15"/>
  <c r="AB156" i="15"/>
  <c r="AA156" i="15"/>
  <c r="Z156" i="15"/>
  <c r="W156" i="15"/>
  <c r="V156" i="15"/>
  <c r="R156" i="15"/>
  <c r="Q156" i="15"/>
  <c r="P156" i="15"/>
  <c r="O156" i="15"/>
  <c r="N156" i="15"/>
  <c r="J156" i="15"/>
  <c r="I156" i="15"/>
  <c r="F156" i="15"/>
  <c r="M156" i="15" s="1"/>
  <c r="E156" i="15"/>
  <c r="AE155" i="15"/>
  <c r="AD155" i="15"/>
  <c r="AC155" i="15"/>
  <c r="AB155" i="15"/>
  <c r="AA155" i="15"/>
  <c r="Z155" i="15"/>
  <c r="W155" i="15"/>
  <c r="V155" i="15"/>
  <c r="U155" i="15"/>
  <c r="T155" i="15"/>
  <c r="R155" i="15"/>
  <c r="R154" i="15"/>
  <c r="Q155" i="15"/>
  <c r="P155" i="15"/>
  <c r="O155" i="15"/>
  <c r="N155" i="15"/>
  <c r="J155" i="15"/>
  <c r="I155" i="15"/>
  <c r="H155" i="15"/>
  <c r="G155" i="15"/>
  <c r="F155" i="15"/>
  <c r="M155" i="15" s="1"/>
  <c r="E155" i="15"/>
  <c r="AE154" i="15"/>
  <c r="AD154" i="15"/>
  <c r="AC154" i="15"/>
  <c r="AB154" i="15"/>
  <c r="AA154" i="15"/>
  <c r="Z154" i="15"/>
  <c r="W154" i="15"/>
  <c r="V154" i="15"/>
  <c r="U154" i="15"/>
  <c r="T154" i="15"/>
  <c r="Q154" i="15"/>
  <c r="P154" i="15"/>
  <c r="O154" i="15"/>
  <c r="N154" i="15"/>
  <c r="J154" i="15"/>
  <c r="I154" i="15"/>
  <c r="H154" i="15"/>
  <c r="G154" i="15"/>
  <c r="F154" i="15"/>
  <c r="M154" i="15" s="1"/>
  <c r="E154" i="15"/>
  <c r="AE152" i="15"/>
  <c r="AD152" i="15"/>
  <c r="AB152" i="15"/>
  <c r="W152" i="15"/>
  <c r="V152" i="15"/>
  <c r="U152" i="15"/>
  <c r="T152" i="15"/>
  <c r="R152" i="15"/>
  <c r="Q152" i="15"/>
  <c r="O152" i="15"/>
  <c r="J152" i="15"/>
  <c r="I152" i="15"/>
  <c r="H152" i="15"/>
  <c r="G152" i="15"/>
  <c r="AE151" i="15"/>
  <c r="AD151" i="15"/>
  <c r="W151" i="15"/>
  <c r="V151" i="15"/>
  <c r="R151" i="15"/>
  <c r="Q151" i="15"/>
  <c r="J151" i="15"/>
  <c r="I151" i="15"/>
  <c r="H151" i="15"/>
  <c r="G151" i="15"/>
  <c r="AE150" i="15"/>
  <c r="AD150" i="15"/>
  <c r="W150" i="15"/>
  <c r="V150" i="15"/>
  <c r="U150" i="15"/>
  <c r="T150" i="15"/>
  <c r="R150" i="15"/>
  <c r="Q150" i="15"/>
  <c r="J150" i="15"/>
  <c r="I150" i="15"/>
  <c r="H150" i="15"/>
  <c r="G150" i="15"/>
  <c r="AE148" i="15"/>
  <c r="AD148" i="15"/>
  <c r="AC148" i="15"/>
  <c r="AA148" i="15"/>
  <c r="Z148" i="15"/>
  <c r="W148" i="15"/>
  <c r="V148" i="15"/>
  <c r="U148" i="15"/>
  <c r="T148" i="15"/>
  <c r="R148" i="15"/>
  <c r="Q148" i="15"/>
  <c r="N148" i="15"/>
  <c r="M148" i="15"/>
  <c r="J148" i="15"/>
  <c r="I148" i="15"/>
  <c r="H148" i="15"/>
  <c r="G148" i="15"/>
  <c r="AB146" i="15"/>
  <c r="O146" i="15"/>
  <c r="AB140" i="15"/>
  <c r="O140" i="15"/>
  <c r="AB134" i="15"/>
  <c r="O134" i="15"/>
  <c r="AB122" i="15"/>
  <c r="O122" i="15"/>
  <c r="AB110" i="15"/>
  <c r="O110" i="15"/>
  <c r="O105" i="15"/>
  <c r="O104" i="15"/>
  <c r="AB98" i="15"/>
  <c r="O98" i="15"/>
  <c r="AB92" i="15"/>
  <c r="O92" i="15"/>
  <c r="AB86" i="15"/>
  <c r="O86" i="15"/>
  <c r="AB80" i="15"/>
  <c r="O80" i="15"/>
  <c r="AB74" i="15"/>
  <c r="O74" i="15"/>
  <c r="AB68" i="15"/>
  <c r="O68" i="15"/>
  <c r="AB62" i="15"/>
  <c r="O62" i="15"/>
  <c r="AB50" i="15"/>
  <c r="O50" i="15"/>
  <c r="AB38" i="15"/>
  <c r="O38" i="15"/>
  <c r="AB20" i="15"/>
  <c r="O20" i="15"/>
  <c r="AE15" i="15"/>
  <c r="AD15" i="15"/>
  <c r="AC15" i="15"/>
  <c r="AB15" i="15"/>
  <c r="AA15" i="15"/>
  <c r="Z15" i="15"/>
  <c r="W15" i="15"/>
  <c r="V15" i="15"/>
  <c r="U15" i="15"/>
  <c r="T15" i="15"/>
  <c r="R15" i="15"/>
  <c r="Q15" i="15"/>
  <c r="P15" i="15"/>
  <c r="O15" i="15"/>
  <c r="N15" i="15"/>
  <c r="J15" i="15"/>
  <c r="I15" i="15"/>
  <c r="H15" i="15"/>
  <c r="G15" i="15"/>
  <c r="F15" i="15"/>
  <c r="M15" i="15" s="1"/>
  <c r="E15" i="15"/>
  <c r="AE14" i="15"/>
  <c r="AD14" i="15"/>
  <c r="AC14" i="15"/>
  <c r="AB14" i="15"/>
  <c r="AA14" i="15"/>
  <c r="Z14" i="15"/>
  <c r="W14" i="15"/>
  <c r="V14" i="15"/>
  <c r="U14" i="15"/>
  <c r="T14" i="15"/>
  <c r="R14" i="15"/>
  <c r="Q14" i="15"/>
  <c r="P14" i="15"/>
  <c r="O14" i="15"/>
  <c r="N14" i="15"/>
  <c r="J14" i="15"/>
  <c r="I14" i="15"/>
  <c r="H14" i="15"/>
  <c r="G14" i="15"/>
  <c r="F14" i="15"/>
  <c r="M14" i="15" s="1"/>
  <c r="E14" i="15"/>
  <c r="AE13" i="15"/>
  <c r="AD13" i="15"/>
  <c r="AC13" i="15"/>
  <c r="AB13" i="15"/>
  <c r="AA13" i="15"/>
  <c r="Z13" i="15"/>
  <c r="W13" i="15"/>
  <c r="V13" i="15"/>
  <c r="U13" i="15"/>
  <c r="U25" i="15" s="1"/>
  <c r="T13" i="15"/>
  <c r="R13" i="15"/>
  <c r="Q13" i="15"/>
  <c r="P13" i="15"/>
  <c r="O13" i="15"/>
  <c r="N13" i="15"/>
  <c r="J13" i="15"/>
  <c r="I13" i="15"/>
  <c r="H13" i="15"/>
  <c r="G13" i="15"/>
  <c r="F13" i="15"/>
  <c r="M13" i="15" s="1"/>
  <c r="E13" i="15"/>
  <c r="AE12" i="15"/>
  <c r="AD12" i="15"/>
  <c r="AC12" i="15"/>
  <c r="AB12" i="15"/>
  <c r="AA12" i="15"/>
  <c r="Z12" i="15"/>
  <c r="W12" i="15"/>
  <c r="V12" i="15"/>
  <c r="R12" i="15"/>
  <c r="Q12" i="15"/>
  <c r="P12" i="15"/>
  <c r="O12" i="15"/>
  <c r="N12" i="15"/>
  <c r="J12" i="15"/>
  <c r="I12" i="15"/>
  <c r="F12" i="15"/>
  <c r="M12" i="15" s="1"/>
  <c r="E12" i="15"/>
  <c r="AE11" i="15"/>
  <c r="AD11" i="15"/>
  <c r="AD10" i="15"/>
  <c r="AC11" i="15"/>
  <c r="AB11" i="15"/>
  <c r="AA11" i="15"/>
  <c r="Z11" i="15"/>
  <c r="W11" i="15"/>
  <c r="V11" i="15"/>
  <c r="V93" i="15" s="1"/>
  <c r="U11" i="15"/>
  <c r="T11" i="15"/>
  <c r="R11" i="15"/>
  <c r="Q11" i="15"/>
  <c r="P11" i="15"/>
  <c r="O11" i="15"/>
  <c r="N11" i="15"/>
  <c r="J11" i="15"/>
  <c r="J21" i="15" s="1"/>
  <c r="I11" i="15"/>
  <c r="H11" i="15"/>
  <c r="G11" i="15"/>
  <c r="F11" i="15"/>
  <c r="M11" i="15" s="1"/>
  <c r="E11" i="15"/>
  <c r="AE10" i="15"/>
  <c r="AC10" i="15"/>
  <c r="AB10" i="15"/>
  <c r="AA10" i="15"/>
  <c r="Z10" i="15"/>
  <c r="W10" i="15"/>
  <c r="V10" i="15"/>
  <c r="U10" i="15"/>
  <c r="T10" i="15"/>
  <c r="R10" i="15"/>
  <c r="Q10" i="15"/>
  <c r="P10" i="15"/>
  <c r="O10" i="15"/>
  <c r="N10" i="15"/>
  <c r="J10" i="15"/>
  <c r="I10" i="15"/>
  <c r="H10" i="15"/>
  <c r="G10" i="15"/>
  <c r="F10" i="15"/>
  <c r="M10" i="15" s="1"/>
  <c r="E10" i="15"/>
  <c r="V317" i="15"/>
  <c r="AB681" i="15"/>
  <c r="I798" i="15"/>
  <c r="J798" i="15"/>
  <c r="BF80" i="6"/>
  <c r="BG80" i="6"/>
  <c r="BH80" i="6"/>
  <c r="BI80" i="6"/>
  <c r="BJ80" i="6"/>
  <c r="BK80" i="6"/>
  <c r="BL80" i="6"/>
  <c r="BM80" i="6"/>
  <c r="BN80" i="6"/>
  <c r="BO80" i="6"/>
  <c r="BP80" i="6"/>
  <c r="BQ80" i="6"/>
  <c r="BR80" i="6"/>
  <c r="BS80" i="6"/>
  <c r="BT80" i="6"/>
  <c r="BU80" i="6"/>
  <c r="BV80" i="6"/>
  <c r="BW80" i="6"/>
  <c r="BX80" i="6"/>
  <c r="BY80" i="6"/>
  <c r="BZ80" i="6"/>
  <c r="CA80" i="6"/>
  <c r="CB80" i="6"/>
  <c r="CC80" i="6"/>
  <c r="CD80" i="6"/>
  <c r="CE80" i="6"/>
  <c r="CF80" i="6"/>
  <c r="CG80" i="6"/>
  <c r="CH80" i="6"/>
  <c r="CI80" i="6"/>
  <c r="CK80" i="6"/>
  <c r="CL80" i="6"/>
  <c r="CM80" i="6"/>
  <c r="CN80" i="6"/>
  <c r="CO80" i="6"/>
  <c r="CP80" i="6"/>
  <c r="CQ80" i="6"/>
  <c r="CR80" i="6"/>
  <c r="CS80" i="6"/>
  <c r="CT80" i="6"/>
  <c r="CU80" i="6"/>
  <c r="CV80" i="6"/>
  <c r="CW80" i="6"/>
  <c r="CX80" i="6"/>
  <c r="CY80" i="6"/>
  <c r="CZ80" i="6"/>
  <c r="DA80" i="6"/>
  <c r="DB80" i="6"/>
  <c r="DC80" i="6"/>
  <c r="DD80" i="6"/>
  <c r="DE80" i="6"/>
  <c r="DF80" i="6"/>
  <c r="DG80" i="6"/>
  <c r="DH80" i="6"/>
  <c r="DN80" i="6"/>
  <c r="BF81" i="6"/>
  <c r="BG81" i="6"/>
  <c r="BH81" i="6"/>
  <c r="BI81" i="6"/>
  <c r="BJ81" i="6"/>
  <c r="BK81" i="6"/>
  <c r="BL81" i="6"/>
  <c r="BM81" i="6"/>
  <c r="BN81" i="6"/>
  <c r="BO81" i="6"/>
  <c r="BP81" i="6"/>
  <c r="BQ81" i="6"/>
  <c r="BR81" i="6"/>
  <c r="BS81" i="6"/>
  <c r="BT81" i="6"/>
  <c r="BU81" i="6"/>
  <c r="BV81" i="6"/>
  <c r="BW81" i="6"/>
  <c r="BX81" i="6"/>
  <c r="BY81" i="6"/>
  <c r="BZ81" i="6"/>
  <c r="CA81" i="6"/>
  <c r="CB81" i="6"/>
  <c r="CC81" i="6"/>
  <c r="CD81" i="6"/>
  <c r="CE81" i="6"/>
  <c r="CF81" i="6"/>
  <c r="CG81" i="6"/>
  <c r="CH81" i="6"/>
  <c r="CI81" i="6"/>
  <c r="CJ81" i="6"/>
  <c r="CK81" i="6"/>
  <c r="CL81" i="6"/>
  <c r="CM81" i="6"/>
  <c r="CN81" i="6"/>
  <c r="CO81" i="6"/>
  <c r="CP81" i="6"/>
  <c r="CQ81" i="6"/>
  <c r="CR81" i="6"/>
  <c r="CS81" i="6"/>
  <c r="CT81" i="6"/>
  <c r="CU81" i="6"/>
  <c r="CV81" i="6"/>
  <c r="CW81" i="6"/>
  <c r="CX81" i="6"/>
  <c r="CY81" i="6"/>
  <c r="CZ81" i="6"/>
  <c r="DA81" i="6"/>
  <c r="DB81" i="6"/>
  <c r="DC81" i="6"/>
  <c r="DD81" i="6"/>
  <c r="DE81" i="6"/>
  <c r="DF81" i="6"/>
  <c r="DG81" i="6"/>
  <c r="DH81" i="6"/>
  <c r="DI81" i="6"/>
  <c r="DJ81" i="6"/>
  <c r="DK81" i="6"/>
  <c r="DL81" i="6"/>
  <c r="DM81" i="6"/>
  <c r="DN81" i="6"/>
  <c r="BF82" i="6"/>
  <c r="BG82" i="6"/>
  <c r="BH82" i="6"/>
  <c r="BI82" i="6"/>
  <c r="BJ82" i="6"/>
  <c r="BK82" i="6"/>
  <c r="BL82" i="6"/>
  <c r="BM82" i="6"/>
  <c r="BN82" i="6"/>
  <c r="BO82" i="6"/>
  <c r="BP82" i="6"/>
  <c r="BQ82" i="6"/>
  <c r="BR82" i="6"/>
  <c r="BS82" i="6"/>
  <c r="BT82" i="6"/>
  <c r="BU82" i="6"/>
  <c r="BV82" i="6"/>
  <c r="BW82" i="6"/>
  <c r="BX82" i="6"/>
  <c r="BY82" i="6"/>
  <c r="BZ82" i="6"/>
  <c r="CA82" i="6"/>
  <c r="CB82" i="6"/>
  <c r="CC82" i="6"/>
  <c r="CD82" i="6"/>
  <c r="CE82" i="6"/>
  <c r="CF82" i="6"/>
  <c r="CG82" i="6"/>
  <c r="CH82" i="6"/>
  <c r="CI82" i="6"/>
  <c r="CJ82" i="6"/>
  <c r="CK82" i="6"/>
  <c r="CL82" i="6"/>
  <c r="CM82" i="6"/>
  <c r="CN82" i="6"/>
  <c r="CO82" i="6"/>
  <c r="CP82" i="6"/>
  <c r="CQ82" i="6"/>
  <c r="CR82" i="6"/>
  <c r="CS82" i="6"/>
  <c r="CT82" i="6"/>
  <c r="CU82" i="6"/>
  <c r="CV82" i="6"/>
  <c r="CW82" i="6"/>
  <c r="CX82" i="6"/>
  <c r="CY82" i="6"/>
  <c r="CZ82" i="6"/>
  <c r="DA82" i="6"/>
  <c r="DB82" i="6"/>
  <c r="DC82" i="6"/>
  <c r="DD82" i="6"/>
  <c r="DE82" i="6"/>
  <c r="DF82" i="6"/>
  <c r="DG82" i="6"/>
  <c r="DH82" i="6"/>
  <c r="DN82" i="6"/>
  <c r="AJ80" i="6"/>
  <c r="AR79" i="6"/>
  <c r="AT79" i="6"/>
  <c r="AV79" i="6"/>
  <c r="AX79" i="6"/>
  <c r="AZ79" i="6"/>
  <c r="AL80" i="6"/>
  <c r="AM80" i="6"/>
  <c r="AN80" i="6"/>
  <c r="AO80" i="6"/>
  <c r="AR80" i="6"/>
  <c r="AX80" i="6"/>
  <c r="AZ80" i="6"/>
  <c r="AL81" i="6"/>
  <c r="AM81" i="6"/>
  <c r="AP81" i="6"/>
  <c r="AQ81" i="6"/>
  <c r="AR81" i="6"/>
  <c r="AS81" i="6"/>
  <c r="AT81" i="6"/>
  <c r="AV81" i="6"/>
  <c r="AW81" i="6"/>
  <c r="AX81" i="6"/>
  <c r="AY81" i="6"/>
  <c r="AZ81" i="6"/>
  <c r="AB79" i="6"/>
  <c r="K720" i="15" s="1"/>
  <c r="AB72" i="6"/>
  <c r="K713" i="15" s="1"/>
  <c r="AB65" i="6"/>
  <c r="K706" i="15" s="1"/>
  <c r="AB58" i="6"/>
  <c r="AB51" i="6"/>
  <c r="AB44" i="6"/>
  <c r="AJ37" i="6"/>
  <c r="AH37" i="6"/>
  <c r="AF37" i="6"/>
  <c r="AD37" i="6"/>
  <c r="AB37" i="6"/>
  <c r="H81" i="6"/>
  <c r="I81" i="6"/>
  <c r="J81" i="6"/>
  <c r="K81" i="6"/>
  <c r="L81" i="6"/>
  <c r="M81" i="6"/>
  <c r="N81" i="6"/>
  <c r="O81" i="6"/>
  <c r="P81" i="6"/>
  <c r="Q81" i="6"/>
  <c r="R81" i="6"/>
  <c r="S81" i="6"/>
  <c r="T81" i="6"/>
  <c r="U81" i="6"/>
  <c r="V81" i="6"/>
  <c r="AB81" i="6"/>
  <c r="K722" i="15" s="1"/>
  <c r="AC81" i="6"/>
  <c r="AD81" i="6"/>
  <c r="AF81" i="6"/>
  <c r="AH81" i="6"/>
  <c r="AJ81" i="6"/>
  <c r="H80" i="6"/>
  <c r="I80" i="6"/>
  <c r="J80" i="6"/>
  <c r="K80" i="6"/>
  <c r="L80" i="6"/>
  <c r="M80" i="6"/>
  <c r="N80" i="6"/>
  <c r="O80" i="6"/>
  <c r="P80" i="6"/>
  <c r="Q80" i="6"/>
  <c r="R80" i="6"/>
  <c r="S80" i="6"/>
  <c r="T80" i="6"/>
  <c r="U80" i="6"/>
  <c r="V80" i="6"/>
  <c r="AC80" i="6"/>
  <c r="AD80" i="6"/>
  <c r="AE80" i="6"/>
  <c r="AF80" i="6"/>
  <c r="AH80" i="6"/>
  <c r="AB30" i="6"/>
  <c r="AB23" i="6"/>
  <c r="AB16" i="6"/>
  <c r="BD69" i="6"/>
  <c r="BD68" i="6"/>
  <c r="BA68" i="6"/>
  <c r="EM37" i="6"/>
  <c r="EQ36" i="6"/>
  <c r="EP36" i="6"/>
  <c r="EO36" i="6"/>
  <c r="EM36" i="6"/>
  <c r="EQ35" i="6"/>
  <c r="EP35" i="6"/>
  <c r="EO35" i="6"/>
  <c r="EN35" i="6"/>
  <c r="EM35" i="6"/>
  <c r="EP34" i="6"/>
  <c r="EO34" i="6"/>
  <c r="EN34" i="6"/>
  <c r="EM34" i="6"/>
  <c r="DL34" i="6"/>
  <c r="DK34" i="6"/>
  <c r="DJ34" i="6"/>
  <c r="DI34" i="6"/>
  <c r="EQ33" i="6"/>
  <c r="EP33" i="6"/>
  <c r="EO33" i="6"/>
  <c r="EN33" i="6"/>
  <c r="EM33" i="6"/>
  <c r="DM33" i="6"/>
  <c r="DL33" i="6"/>
  <c r="DK33" i="6"/>
  <c r="DJ33" i="6"/>
  <c r="DI33" i="6"/>
  <c r="EQ32" i="6"/>
  <c r="EP32" i="6"/>
  <c r="EO32" i="6"/>
  <c r="EN32" i="6"/>
  <c r="EM32" i="6"/>
  <c r="DM32" i="6"/>
  <c r="DL32" i="6"/>
  <c r="DK32" i="6"/>
  <c r="DJ32" i="6"/>
  <c r="DI32" i="6"/>
  <c r="EQ31" i="6"/>
  <c r="EP31" i="6"/>
  <c r="EO31" i="6"/>
  <c r="EN31" i="6"/>
  <c r="EM31" i="6"/>
  <c r="DM31" i="6"/>
  <c r="DL31" i="6"/>
  <c r="DK31" i="6"/>
  <c r="DJ31" i="6"/>
  <c r="DI31" i="6"/>
  <c r="EM30" i="6"/>
  <c r="EQ29" i="6"/>
  <c r="EP29" i="6"/>
  <c r="EO29" i="6"/>
  <c r="EM29" i="6"/>
  <c r="EQ28" i="6"/>
  <c r="EP28" i="6"/>
  <c r="EO28" i="6"/>
  <c r="EN28" i="6"/>
  <c r="EM28" i="6"/>
  <c r="EP27" i="6"/>
  <c r="EO27" i="6"/>
  <c r="EN27" i="6"/>
  <c r="EM27" i="6"/>
  <c r="DL27" i="6"/>
  <c r="DK27" i="6"/>
  <c r="DJ27" i="6"/>
  <c r="DI27" i="6"/>
  <c r="EQ26" i="6"/>
  <c r="EP26" i="6"/>
  <c r="EO26" i="6"/>
  <c r="EN26" i="6"/>
  <c r="EM26" i="6"/>
  <c r="DM26" i="6"/>
  <c r="DL26" i="6"/>
  <c r="DK26" i="6"/>
  <c r="DJ26" i="6"/>
  <c r="DI26" i="6"/>
  <c r="EQ25" i="6"/>
  <c r="EP25" i="6"/>
  <c r="EO25" i="6"/>
  <c r="EN25" i="6"/>
  <c r="EM25" i="6"/>
  <c r="DM25" i="6"/>
  <c r="DL25" i="6"/>
  <c r="DK25" i="6"/>
  <c r="DJ25" i="6"/>
  <c r="DI25" i="6"/>
  <c r="EQ24" i="6"/>
  <c r="EP24" i="6"/>
  <c r="EO24" i="6"/>
  <c r="EN24" i="6"/>
  <c r="EM24" i="6"/>
  <c r="DM24" i="6"/>
  <c r="DL24" i="6"/>
  <c r="DK24" i="6"/>
  <c r="DJ24" i="6"/>
  <c r="DI24" i="6"/>
  <c r="EM23" i="6"/>
  <c r="EQ22" i="6"/>
  <c r="EP22" i="6"/>
  <c r="EO22" i="6"/>
  <c r="EN22" i="6"/>
  <c r="EM22" i="6"/>
  <c r="EQ21" i="6"/>
  <c r="EP21" i="6"/>
  <c r="EO21" i="6"/>
  <c r="EN21" i="6"/>
  <c r="EM21" i="6"/>
  <c r="EQ20" i="6"/>
  <c r="EP20" i="6"/>
  <c r="EO20" i="6"/>
  <c r="EN20" i="6"/>
  <c r="EM20" i="6"/>
  <c r="DM20" i="6"/>
  <c r="DL20" i="6"/>
  <c r="DK20" i="6"/>
  <c r="DJ20" i="6"/>
  <c r="DI20" i="6"/>
  <c r="EQ19" i="6"/>
  <c r="EP19" i="6"/>
  <c r="EO19" i="6"/>
  <c r="EN19" i="6"/>
  <c r="EM19" i="6"/>
  <c r="DM19" i="6"/>
  <c r="DL19" i="6"/>
  <c r="DK19" i="6"/>
  <c r="DJ19" i="6"/>
  <c r="DI19" i="6"/>
  <c r="EQ18" i="6"/>
  <c r="EP18" i="6"/>
  <c r="EO18" i="6"/>
  <c r="EN18" i="6"/>
  <c r="EM18" i="6"/>
  <c r="DM18" i="6"/>
  <c r="DL18" i="6"/>
  <c r="DK18" i="6"/>
  <c r="DJ18" i="6"/>
  <c r="DI18" i="6"/>
  <c r="EQ17" i="6"/>
  <c r="EP17" i="6"/>
  <c r="EO17" i="6"/>
  <c r="EN17" i="6"/>
  <c r="EM17" i="6"/>
  <c r="DM17" i="6"/>
  <c r="DL17" i="6"/>
  <c r="DK17" i="6"/>
  <c r="DJ17" i="6"/>
  <c r="DI17" i="6"/>
  <c r="EM51" i="6"/>
  <c r="EQ50" i="6"/>
  <c r="EP50" i="6"/>
  <c r="EO50" i="6"/>
  <c r="EM50" i="6"/>
  <c r="EQ49" i="6"/>
  <c r="EP49" i="6"/>
  <c r="EO49" i="6"/>
  <c r="EN49" i="6"/>
  <c r="EM49" i="6"/>
  <c r="EP48" i="6"/>
  <c r="EO48" i="6"/>
  <c r="EN48" i="6"/>
  <c r="EM48" i="6"/>
  <c r="DL48" i="6"/>
  <c r="DK48" i="6"/>
  <c r="DJ48" i="6"/>
  <c r="DI48" i="6"/>
  <c r="EQ47" i="6"/>
  <c r="EP47" i="6"/>
  <c r="EO47" i="6"/>
  <c r="EN47" i="6"/>
  <c r="EM47" i="6"/>
  <c r="DM47" i="6"/>
  <c r="DL47" i="6"/>
  <c r="DK47" i="6"/>
  <c r="DJ47" i="6"/>
  <c r="DI47" i="6"/>
  <c r="EQ46" i="6"/>
  <c r="EP46" i="6"/>
  <c r="EO46" i="6"/>
  <c r="EN46" i="6"/>
  <c r="EM46" i="6"/>
  <c r="DM46" i="6"/>
  <c r="DL46" i="6"/>
  <c r="DK46" i="6"/>
  <c r="DJ46" i="6"/>
  <c r="DI46" i="6"/>
  <c r="EQ45" i="6"/>
  <c r="EP45" i="6"/>
  <c r="EO45" i="6"/>
  <c r="EN45" i="6"/>
  <c r="EM45" i="6"/>
  <c r="DM45" i="6"/>
  <c r="DL45" i="6"/>
  <c r="DK45" i="6"/>
  <c r="DJ45" i="6"/>
  <c r="DI45" i="6"/>
  <c r="EM44" i="6"/>
  <c r="EQ43" i="6"/>
  <c r="EP43" i="6"/>
  <c r="EO43" i="6"/>
  <c r="EN43" i="6"/>
  <c r="EM43" i="6"/>
  <c r="EQ42" i="6"/>
  <c r="EP42" i="6"/>
  <c r="EO42" i="6"/>
  <c r="EN42" i="6"/>
  <c r="EM42" i="6"/>
  <c r="EQ41" i="6"/>
  <c r="EP41" i="6"/>
  <c r="EO41" i="6"/>
  <c r="EN41" i="6"/>
  <c r="EM41" i="6"/>
  <c r="DM41" i="6"/>
  <c r="DL41" i="6"/>
  <c r="DK41" i="6"/>
  <c r="DJ41" i="6"/>
  <c r="DI41" i="6"/>
  <c r="EQ40" i="6"/>
  <c r="EP40" i="6"/>
  <c r="EO40" i="6"/>
  <c r="EN40" i="6"/>
  <c r="EM40" i="6"/>
  <c r="DM40" i="6"/>
  <c r="DL40" i="6"/>
  <c r="DK40" i="6"/>
  <c r="DJ40" i="6"/>
  <c r="DI40" i="6"/>
  <c r="EQ39" i="6"/>
  <c r="EP39" i="6"/>
  <c r="EO39" i="6"/>
  <c r="EN39" i="6"/>
  <c r="EM39" i="6"/>
  <c r="DM39" i="6"/>
  <c r="DL39" i="6"/>
  <c r="DK39" i="6"/>
  <c r="DJ39" i="6"/>
  <c r="DI39" i="6"/>
  <c r="EQ38" i="6"/>
  <c r="EP38" i="6"/>
  <c r="EO38" i="6"/>
  <c r="EN38" i="6"/>
  <c r="EM38" i="6"/>
  <c r="DM38" i="6"/>
  <c r="DL38" i="6"/>
  <c r="DK38" i="6"/>
  <c r="DJ38" i="6"/>
  <c r="DI38" i="6"/>
  <c r="EM65" i="6"/>
  <c r="EQ64" i="6"/>
  <c r="EP64" i="6"/>
  <c r="EO64" i="6"/>
  <c r="EM64" i="6"/>
  <c r="EQ63" i="6"/>
  <c r="EP63" i="6"/>
  <c r="EO63" i="6"/>
  <c r="EN63" i="6"/>
  <c r="EM63" i="6"/>
  <c r="EP62" i="6"/>
  <c r="EO62" i="6"/>
  <c r="EN62" i="6"/>
  <c r="EM62" i="6"/>
  <c r="DL62" i="6"/>
  <c r="DK62" i="6"/>
  <c r="DJ62" i="6"/>
  <c r="DI62" i="6"/>
  <c r="EQ61" i="6"/>
  <c r="EP61" i="6"/>
  <c r="EO61" i="6"/>
  <c r="EN61" i="6"/>
  <c r="EM61" i="6"/>
  <c r="DM61" i="6"/>
  <c r="DL61" i="6"/>
  <c r="DK61" i="6"/>
  <c r="DJ61" i="6"/>
  <c r="DI61" i="6"/>
  <c r="EQ60" i="6"/>
  <c r="EP60" i="6"/>
  <c r="EO60" i="6"/>
  <c r="EN60" i="6"/>
  <c r="EM60" i="6"/>
  <c r="DM60" i="6"/>
  <c r="DL60" i="6"/>
  <c r="DK60" i="6"/>
  <c r="DJ60" i="6"/>
  <c r="DI60" i="6"/>
  <c r="EQ59" i="6"/>
  <c r="EP59" i="6"/>
  <c r="EO59" i="6"/>
  <c r="EN59" i="6"/>
  <c r="EM59" i="6"/>
  <c r="DM59" i="6"/>
  <c r="DL59" i="6"/>
  <c r="DK59" i="6"/>
  <c r="DJ59" i="6"/>
  <c r="DI59" i="6"/>
  <c r="EM58" i="6"/>
  <c r="EQ57" i="6"/>
  <c r="EP57" i="6"/>
  <c r="EO57" i="6"/>
  <c r="EN57" i="6"/>
  <c r="EM57" i="6"/>
  <c r="EQ56" i="6"/>
  <c r="EP56" i="6"/>
  <c r="EO56" i="6"/>
  <c r="EN56" i="6"/>
  <c r="EM56" i="6"/>
  <c r="EQ55" i="6"/>
  <c r="EP55" i="6"/>
  <c r="EO55" i="6"/>
  <c r="EN55" i="6"/>
  <c r="EM55" i="6"/>
  <c r="DM55" i="6"/>
  <c r="DL55" i="6"/>
  <c r="DK55" i="6"/>
  <c r="DJ55" i="6"/>
  <c r="DI55" i="6"/>
  <c r="EQ54" i="6"/>
  <c r="EP54" i="6"/>
  <c r="EO54" i="6"/>
  <c r="EN54" i="6"/>
  <c r="EM54" i="6"/>
  <c r="DM54" i="6"/>
  <c r="DL54" i="6"/>
  <c r="DK54" i="6"/>
  <c r="DJ54" i="6"/>
  <c r="DI54" i="6"/>
  <c r="EQ53" i="6"/>
  <c r="EP53" i="6"/>
  <c r="EO53" i="6"/>
  <c r="EN53" i="6"/>
  <c r="EM53" i="6"/>
  <c r="DM53" i="6"/>
  <c r="DL53" i="6"/>
  <c r="DK53" i="6"/>
  <c r="DJ53" i="6"/>
  <c r="DI53" i="6"/>
  <c r="EQ52" i="6"/>
  <c r="EP52" i="6"/>
  <c r="EO52" i="6"/>
  <c r="EN52" i="6"/>
  <c r="EM52" i="6"/>
  <c r="DM52" i="6"/>
  <c r="DL52" i="6"/>
  <c r="DK52" i="6"/>
  <c r="DJ52" i="6"/>
  <c r="DI52" i="6"/>
  <c r="Z16" i="5"/>
  <c r="Z17" i="5"/>
  <c r="Z13" i="5"/>
  <c r="EM79" i="6"/>
  <c r="EQ78" i="6"/>
  <c r="EP78" i="6"/>
  <c r="EO78" i="6"/>
  <c r="EM78" i="6"/>
  <c r="EQ77" i="6"/>
  <c r="EQ74" i="6"/>
  <c r="EP77" i="6"/>
  <c r="EO77" i="6"/>
  <c r="EN77" i="6"/>
  <c r="EM77" i="6"/>
  <c r="EP76" i="6"/>
  <c r="EO76" i="6"/>
  <c r="EN76" i="6"/>
  <c r="EM76" i="6"/>
  <c r="EQ75" i="6"/>
  <c r="EP75" i="6"/>
  <c r="EO75" i="6"/>
  <c r="EN75" i="6"/>
  <c r="EM75" i="6"/>
  <c r="EP74" i="6"/>
  <c r="EO74" i="6"/>
  <c r="EN74" i="6"/>
  <c r="EM74" i="6"/>
  <c r="EQ73" i="6"/>
  <c r="EP73" i="6"/>
  <c r="EO73" i="6"/>
  <c r="EN73" i="6"/>
  <c r="EM73" i="6"/>
  <c r="EM72" i="6"/>
  <c r="EQ71" i="6"/>
  <c r="EP71" i="6"/>
  <c r="EO71" i="6"/>
  <c r="EN71" i="6"/>
  <c r="EM71" i="6"/>
  <c r="EQ70" i="6"/>
  <c r="EP70" i="6"/>
  <c r="EO70" i="6"/>
  <c r="EN70" i="6"/>
  <c r="EM70" i="6"/>
  <c r="EQ69" i="6"/>
  <c r="EP69" i="6"/>
  <c r="EO69" i="6"/>
  <c r="EN69" i="6"/>
  <c r="EM69" i="6"/>
  <c r="EQ68" i="6"/>
  <c r="EP68" i="6"/>
  <c r="EO68" i="6"/>
  <c r="EN68" i="6"/>
  <c r="EM68" i="6"/>
  <c r="EQ67" i="6"/>
  <c r="EP67" i="6"/>
  <c r="EO67" i="6"/>
  <c r="EN67" i="6"/>
  <c r="EM67" i="6"/>
  <c r="EQ66" i="6"/>
  <c r="EP66" i="6"/>
  <c r="EO66" i="6"/>
  <c r="EN66" i="6"/>
  <c r="EM66" i="6"/>
  <c r="EM16" i="6"/>
  <c r="EQ14" i="6"/>
  <c r="EP14" i="6"/>
  <c r="EO14" i="6"/>
  <c r="EN14" i="6"/>
  <c r="EM14" i="6"/>
  <c r="EP13" i="6"/>
  <c r="EO13" i="6"/>
  <c r="EN13" i="6"/>
  <c r="EQ12" i="6"/>
  <c r="EP12" i="6"/>
  <c r="EO12" i="6"/>
  <c r="EN12" i="6"/>
  <c r="EM12" i="6"/>
  <c r="EQ11" i="6"/>
  <c r="EP11" i="6"/>
  <c r="EO11" i="6"/>
  <c r="EN11" i="6"/>
  <c r="EM11" i="6"/>
  <c r="EO10" i="6"/>
  <c r="EQ10" i="6" s="1"/>
  <c r="EQ15" i="6" s="1"/>
  <c r="EN10" i="6"/>
  <c r="EM10" i="6"/>
  <c r="EP10" i="6" s="1"/>
  <c r="DJ10" i="6"/>
  <c r="DI10" i="6"/>
  <c r="DL10" i="6" s="1"/>
  <c r="DK10" i="6"/>
  <c r="DM10" i="6" s="1"/>
  <c r="DI11" i="6"/>
  <c r="DJ11" i="6"/>
  <c r="DK11" i="6"/>
  <c r="DL11" i="6"/>
  <c r="DM11" i="6"/>
  <c r="DI12" i="6"/>
  <c r="DJ12" i="6"/>
  <c r="DK12" i="6"/>
  <c r="DL12" i="6"/>
  <c r="DM12" i="6"/>
  <c r="DJ13" i="6"/>
  <c r="DK13" i="6"/>
  <c r="DL13" i="6"/>
  <c r="DI66" i="6"/>
  <c r="DJ66" i="6"/>
  <c r="DK66" i="6"/>
  <c r="DL66" i="6"/>
  <c r="DM66" i="6"/>
  <c r="DI67" i="6"/>
  <c r="DJ67" i="6"/>
  <c r="DJ72" i="6" s="1"/>
  <c r="DJ82" i="6" s="1"/>
  <c r="DK67" i="6"/>
  <c r="DK72" i="6" s="1"/>
  <c r="DK82" i="6" s="1"/>
  <c r="DL67" i="6"/>
  <c r="DL72" i="6" s="1"/>
  <c r="DL82" i="6" s="1"/>
  <c r="DM67" i="6"/>
  <c r="DM72" i="6" s="1"/>
  <c r="DM82" i="6" s="1"/>
  <c r="DI68" i="6"/>
  <c r="DJ68" i="6"/>
  <c r="DK68" i="6"/>
  <c r="DL68" i="6"/>
  <c r="DM68" i="6"/>
  <c r="DI69" i="6"/>
  <c r="DJ69" i="6"/>
  <c r="DK69" i="6"/>
  <c r="DL69" i="6"/>
  <c r="DM69" i="6"/>
  <c r="DI71" i="6"/>
  <c r="DJ71" i="6"/>
  <c r="DK71" i="6"/>
  <c r="DL71" i="6"/>
  <c r="DM71" i="6"/>
  <c r="DI72" i="6"/>
  <c r="DI82" i="6" s="1"/>
  <c r="DI73" i="6"/>
  <c r="DJ73" i="6"/>
  <c r="DK73" i="6"/>
  <c r="DL73" i="6"/>
  <c r="DM73" i="6"/>
  <c r="DI74" i="6"/>
  <c r="DJ74" i="6"/>
  <c r="DK74" i="6"/>
  <c r="DL74" i="6"/>
  <c r="DM74" i="6"/>
  <c r="DI75" i="6"/>
  <c r="DJ75" i="6"/>
  <c r="DK75" i="6"/>
  <c r="DL75" i="6"/>
  <c r="DM75" i="6"/>
  <c r="DI76" i="6"/>
  <c r="DJ76" i="6"/>
  <c r="DK76" i="6"/>
  <c r="DL76" i="6"/>
  <c r="AO81" i="6"/>
  <c r="BD76" i="6"/>
  <c r="AN44" i="6"/>
  <c r="AN81" i="6"/>
  <c r="L796" i="16"/>
  <c r="I147" i="15"/>
  <c r="W581" i="15"/>
  <c r="W543" i="15"/>
  <c r="I117" i="15"/>
  <c r="I87" i="15"/>
  <c r="I69" i="15"/>
  <c r="X705" i="15"/>
  <c r="X771" i="15" s="1"/>
  <c r="W563" i="15"/>
  <c r="I141" i="15"/>
  <c r="I75" i="15"/>
  <c r="I77" i="15"/>
  <c r="X700" i="15"/>
  <c r="X766" i="15" s="1"/>
  <c r="W515" i="15"/>
  <c r="W575" i="15"/>
  <c r="W353" i="15"/>
  <c r="I143" i="15"/>
  <c r="J65" i="15"/>
  <c r="I123" i="15"/>
  <c r="I35" i="15"/>
  <c r="BD59" i="6"/>
  <c r="BD64" i="6" s="1"/>
  <c r="Z669" i="16"/>
  <c r="BE15" i="6"/>
  <c r="EV15" i="6" s="1"/>
  <c r="ES15" i="6"/>
  <c r="Z891" i="16"/>
  <c r="Y723" i="16"/>
  <c r="L892" i="16"/>
  <c r="L958" i="16" s="1"/>
  <c r="AW80" i="6"/>
  <c r="ES13" i="6"/>
  <c r="ES38" i="6"/>
  <c r="Y77" i="16"/>
  <c r="L302" i="16"/>
  <c r="EV67" i="6"/>
  <c r="X490" i="15"/>
  <c r="X496" i="15" s="1"/>
  <c r="Y581" i="16"/>
  <c r="ES43" i="6"/>
  <c r="Y789" i="16"/>
  <c r="BA19" i="6"/>
  <c r="BD19" i="6" s="1"/>
  <c r="Y39" i="16"/>
  <c r="ES28" i="6"/>
  <c r="ES48" i="6"/>
  <c r="ES67" i="6"/>
  <c r="ES62" i="6"/>
  <c r="Y851" i="16"/>
  <c r="BA36" i="6"/>
  <c r="BD36" i="6" s="1"/>
  <c r="L662" i="16" s="1"/>
  <c r="L668" i="16" s="1"/>
  <c r="K490" i="15"/>
  <c r="K496" i="15" s="1"/>
  <c r="AW79" i="6"/>
  <c r="Y117" i="16"/>
  <c r="Y747" i="16"/>
  <c r="Y664" i="16"/>
  <c r="Y831" i="16"/>
  <c r="Y165" i="16"/>
  <c r="J147" i="15"/>
  <c r="Y359" i="16"/>
  <c r="Y443" i="16"/>
  <c r="Y887" i="16"/>
  <c r="Y845" i="16"/>
  <c r="Y833" i="16"/>
  <c r="Y849" i="16"/>
  <c r="Y827" i="16"/>
  <c r="Y837" i="16"/>
  <c r="Y809" i="16"/>
  <c r="Y855" i="16"/>
  <c r="Y813" i="16"/>
  <c r="Y665" i="16"/>
  <c r="Y591" i="16"/>
  <c r="Y453" i="16"/>
  <c r="Y369" i="16"/>
  <c r="Y587" i="16"/>
  <c r="Y449" i="16"/>
  <c r="Y365" i="16"/>
  <c r="Y585" i="16"/>
  <c r="Y447" i="16"/>
  <c r="Y363" i="16"/>
  <c r="Y531" i="16"/>
  <c r="Y441" i="16"/>
  <c r="Y357" i="16"/>
  <c r="Y527" i="16"/>
  <c r="Y437" i="16"/>
  <c r="Y353" i="16"/>
  <c r="Y483" i="16"/>
  <c r="Y375" i="16"/>
  <c r="Y351" i="16"/>
  <c r="Y479" i="16"/>
  <c r="Y371" i="16"/>
  <c r="Y347" i="16"/>
  <c r="Y755" i="16"/>
  <c r="Y731" i="16"/>
  <c r="Y687" i="16"/>
  <c r="Y753" i="16"/>
  <c r="Y729" i="16"/>
  <c r="Y683" i="16"/>
  <c r="Y749" i="16"/>
  <c r="Y725" i="16"/>
  <c r="Y785" i="16"/>
  <c r="Y743" i="16"/>
  <c r="Y719" i="16"/>
  <c r="Y771" i="16"/>
  <c r="Y741" i="16"/>
  <c r="Y707" i="16"/>
  <c r="Y767" i="16"/>
  <c r="Y737" i="16"/>
  <c r="Y693" i="16"/>
  <c r="Y759" i="16"/>
  <c r="Y735" i="16"/>
  <c r="Y689" i="16"/>
  <c r="Y89" i="16"/>
  <c r="Y35" i="16"/>
  <c r="Y137" i="16"/>
  <c r="Y131" i="16"/>
  <c r="Y119" i="16"/>
  <c r="Y113" i="16"/>
  <c r="Y95" i="16"/>
  <c r="Y83" i="16"/>
  <c r="Y71" i="16"/>
  <c r="Y65" i="16"/>
  <c r="Y47" i="16"/>
  <c r="Y41" i="16"/>
  <c r="Y23" i="16"/>
  <c r="Y141" i="16"/>
  <c r="Y69" i="16"/>
  <c r="Y135" i="16"/>
  <c r="Y51" i="16"/>
  <c r="Y123" i="16"/>
  <c r="Y45" i="16"/>
  <c r="Y93" i="16"/>
  <c r="Y27" i="16"/>
  <c r="Y87" i="16"/>
  <c r="Y21" i="16"/>
  <c r="Y99" i="16"/>
  <c r="Y81" i="16"/>
  <c r="Y75" i="16"/>
  <c r="BA49" i="6"/>
  <c r="BD49" i="6" s="1"/>
  <c r="Y213" i="16"/>
  <c r="Y173" i="16"/>
  <c r="Y231" i="16"/>
  <c r="Y215" i="16"/>
  <c r="Y221" i="16"/>
  <c r="Y263" i="16"/>
  <c r="Y201" i="16"/>
  <c r="Y269" i="16"/>
  <c r="Y209" i="16"/>
  <c r="Y279" i="16"/>
  <c r="Y207" i="16"/>
  <c r="Y167" i="16"/>
  <c r="Y255" i="16"/>
  <c r="Y171" i="16"/>
  <c r="Y203" i="16"/>
  <c r="Y251" i="16"/>
  <c r="Y197" i="16"/>
  <c r="Y227" i="16"/>
  <c r="Y237" i="16"/>
  <c r="Y273" i="16"/>
  <c r="Y225" i="16"/>
  <c r="Y233" i="16"/>
  <c r="Y177" i="16"/>
  <c r="Y267" i="16"/>
  <c r="Y275" i="16"/>
  <c r="Y219" i="16"/>
  <c r="Y161" i="16"/>
  <c r="Y891" i="16"/>
  <c r="Y963" i="16"/>
  <c r="Y987" i="16"/>
  <c r="Y668" i="16"/>
  <c r="Y669" i="16"/>
  <c r="AE44" i="6"/>
  <c r="AE51" i="6"/>
  <c r="AB488" i="15"/>
  <c r="J233" i="15"/>
  <c r="J177" i="15"/>
  <c r="J171" i="15"/>
  <c r="W221" i="15"/>
  <c r="W207" i="15"/>
  <c r="W35" i="15"/>
  <c r="W119" i="15"/>
  <c r="AU16" i="6"/>
  <c r="BB11" i="6" l="1"/>
  <c r="J143" i="15"/>
  <c r="N959" i="16"/>
  <c r="V27" i="15"/>
  <c r="J51" i="15"/>
  <c r="BB51" i="6"/>
  <c r="BB63" i="6"/>
  <c r="BB74" i="6"/>
  <c r="J77" i="15"/>
  <c r="J131" i="15"/>
  <c r="J117" i="15"/>
  <c r="V353" i="15"/>
  <c r="BB14" i="6"/>
  <c r="ES14" i="6" s="1"/>
  <c r="BB21" i="6"/>
  <c r="V141" i="15"/>
  <c r="V131" i="15"/>
  <c r="V39" i="15"/>
  <c r="V417" i="15"/>
  <c r="BC65" i="6"/>
  <c r="BB61" i="6"/>
  <c r="BB72" i="6"/>
  <c r="BB79" i="6"/>
  <c r="V419" i="15"/>
  <c r="AK44" i="6"/>
  <c r="BA39" i="6"/>
  <c r="BB41" i="6" s="1"/>
  <c r="ES41" i="6" s="1"/>
  <c r="V341" i="15"/>
  <c r="AG65" i="6"/>
  <c r="BB60" i="6"/>
  <c r="AE79" i="6"/>
  <c r="BB77" i="6"/>
  <c r="V345" i="15"/>
  <c r="I113" i="15"/>
  <c r="ER16" i="6"/>
  <c r="BC79" i="6"/>
  <c r="BB18" i="6"/>
  <c r="BB39" i="6"/>
  <c r="EU39" i="6" s="1"/>
  <c r="BB75" i="6"/>
  <c r="AE72" i="6"/>
  <c r="BB70" i="6"/>
  <c r="BB42" i="6"/>
  <c r="BB56" i="6"/>
  <c r="BB30" i="6"/>
  <c r="V351" i="15"/>
  <c r="V413" i="15"/>
  <c r="V339" i="15"/>
  <c r="V333" i="15"/>
  <c r="J75" i="15"/>
  <c r="V51" i="15"/>
  <c r="V233" i="15"/>
  <c r="I353" i="15"/>
  <c r="V663" i="15"/>
  <c r="BA74" i="6"/>
  <c r="V591" i="15"/>
  <c r="ET76" i="6"/>
  <c r="V423" i="15"/>
  <c r="V323" i="15"/>
  <c r="V581" i="15"/>
  <c r="BA47" i="6"/>
  <c r="BD47" i="6" s="1"/>
  <c r="V357" i="15"/>
  <c r="V321" i="15"/>
  <c r="BA26" i="6"/>
  <c r="BD26" i="6" s="1"/>
  <c r="ET26" i="6" s="1"/>
  <c r="V347" i="15"/>
  <c r="V329" i="15"/>
  <c r="BD28" i="6"/>
  <c r="ET28" i="6" s="1"/>
  <c r="V335" i="15"/>
  <c r="V327" i="15"/>
  <c r="AC23" i="15"/>
  <c r="V135" i="15"/>
  <c r="J71" i="15"/>
  <c r="J119" i="15"/>
  <c r="J89" i="15"/>
  <c r="J41" i="15"/>
  <c r="J123" i="15"/>
  <c r="V123" i="15"/>
  <c r="I93" i="15"/>
  <c r="V21" i="15"/>
  <c r="V75" i="15"/>
  <c r="I47" i="15"/>
  <c r="J69" i="15"/>
  <c r="J81" i="15"/>
  <c r="J45" i="15"/>
  <c r="I65" i="15"/>
  <c r="I71" i="15"/>
  <c r="I81" i="15"/>
  <c r="I131" i="15"/>
  <c r="J35" i="15"/>
  <c r="J47" i="15"/>
  <c r="I335" i="15"/>
  <c r="J23" i="15"/>
  <c r="J141" i="15"/>
  <c r="V89" i="15"/>
  <c r="V113" i="15"/>
  <c r="V71" i="15"/>
  <c r="V173" i="15"/>
  <c r="J83" i="15"/>
  <c r="J135" i="15"/>
  <c r="V81" i="15"/>
  <c r="V137" i="15"/>
  <c r="V65" i="15"/>
  <c r="V117" i="15"/>
  <c r="V119" i="15"/>
  <c r="J17" i="15"/>
  <c r="V17" i="15"/>
  <c r="J93" i="15"/>
  <c r="I137" i="15"/>
  <c r="I17" i="15"/>
  <c r="V69" i="15"/>
  <c r="I51" i="15"/>
  <c r="I317" i="15"/>
  <c r="J87" i="15"/>
  <c r="V23" i="15"/>
  <c r="J39" i="15"/>
  <c r="J137" i="15"/>
  <c r="I119" i="15"/>
  <c r="V77" i="15"/>
  <c r="J27" i="15"/>
  <c r="V35" i="15"/>
  <c r="V83" i="15"/>
  <c r="V47" i="15"/>
  <c r="W389" i="15"/>
  <c r="I591" i="15"/>
  <c r="BA61" i="6"/>
  <c r="X702" i="15" s="1"/>
  <c r="X768" i="15" s="1"/>
  <c r="EV17" i="6"/>
  <c r="I675" i="15"/>
  <c r="ET33" i="6"/>
  <c r="AC59" i="15"/>
  <c r="R213" i="15"/>
  <c r="ES12" i="6"/>
  <c r="BA53" i="6"/>
  <c r="L453" i="16"/>
  <c r="M967" i="16"/>
  <c r="M973" i="16" s="1"/>
  <c r="ES77" i="6"/>
  <c r="BC81" i="6"/>
  <c r="R207" i="15"/>
  <c r="R231" i="15"/>
  <c r="R209" i="15"/>
  <c r="R291" i="15"/>
  <c r="R281" i="15"/>
  <c r="R221" i="15"/>
  <c r="R263" i="15"/>
  <c r="R273" i="15"/>
  <c r="R227" i="15"/>
  <c r="EV53" i="6"/>
  <c r="O599" i="15"/>
  <c r="O603" i="15" s="1"/>
  <c r="ER79" i="6"/>
  <c r="I581" i="15"/>
  <c r="AC281" i="15"/>
  <c r="BD38" i="6"/>
  <c r="ET38" i="6" s="1"/>
  <c r="BA78" i="6"/>
  <c r="L980" i="16" s="1"/>
  <c r="L986" i="16" s="1"/>
  <c r="BA14" i="6"/>
  <c r="BD14" i="6" s="1"/>
  <c r="ET14" i="6" s="1"/>
  <c r="J521" i="15"/>
  <c r="ET41" i="6"/>
  <c r="J575" i="15"/>
  <c r="V213" i="15"/>
  <c r="I659" i="15"/>
  <c r="L525" i="16"/>
  <c r="L521" i="16"/>
  <c r="O623" i="15"/>
  <c r="O627" i="15" s="1"/>
  <c r="AD101" i="15"/>
  <c r="AC89" i="15"/>
  <c r="AC173" i="15"/>
  <c r="R269" i="15"/>
  <c r="V675" i="15"/>
  <c r="EU45" i="6"/>
  <c r="AI80" i="6"/>
  <c r="AA990" i="16"/>
  <c r="W123" i="15"/>
  <c r="W263" i="15"/>
  <c r="J357" i="15"/>
  <c r="Z81" i="6"/>
  <c r="BA42" i="6"/>
  <c r="W573" i="15"/>
  <c r="EP15" i="6"/>
  <c r="AA959" i="16"/>
  <c r="EO23" i="6"/>
  <c r="I323" i="15"/>
  <c r="J567" i="15"/>
  <c r="V621" i="15"/>
  <c r="EV16" i="5"/>
  <c r="ET48" i="6"/>
  <c r="AC82" i="6"/>
  <c r="M690" i="15"/>
  <c r="M696" i="15" s="1"/>
  <c r="I177" i="15"/>
  <c r="W585" i="15"/>
  <c r="J389" i="15"/>
  <c r="I623" i="15"/>
  <c r="EN23" i="6"/>
  <c r="ET68" i="6"/>
  <c r="EN72" i="6"/>
  <c r="EP72" i="6"/>
  <c r="EN58" i="6"/>
  <c r="EQ51" i="6"/>
  <c r="EP23" i="6"/>
  <c r="EN30" i="6"/>
  <c r="EN37" i="6"/>
  <c r="ET69" i="6"/>
  <c r="BA56" i="6"/>
  <c r="BD56" i="6" s="1"/>
  <c r="ET56" i="6" s="1"/>
  <c r="EQ72" i="6"/>
  <c r="BA30" i="6"/>
  <c r="L303" i="16" s="1"/>
  <c r="EP51" i="6"/>
  <c r="Z80" i="6"/>
  <c r="K495" i="15"/>
  <c r="K501" i="15" s="1"/>
  <c r="AO82" i="6"/>
  <c r="EV73" i="6"/>
  <c r="ES78" i="6"/>
  <c r="EO44" i="6"/>
  <c r="AR82" i="6"/>
  <c r="BA12" i="6"/>
  <c r="EP16" i="6"/>
  <c r="EU59" i="6"/>
  <c r="BE22" i="6"/>
  <c r="EV22" i="6" s="1"/>
  <c r="W197" i="15"/>
  <c r="I357" i="15"/>
  <c r="AL82" i="6"/>
  <c r="AG23" i="6"/>
  <c r="AG58" i="6"/>
  <c r="W27" i="15"/>
  <c r="W213" i="15"/>
  <c r="W201" i="15"/>
  <c r="W167" i="15"/>
  <c r="V569" i="15"/>
  <c r="V567" i="15"/>
  <c r="V201" i="15"/>
  <c r="AC135" i="15"/>
  <c r="AC35" i="15"/>
  <c r="EU38" i="6"/>
  <c r="AC107" i="15"/>
  <c r="W561" i="15"/>
  <c r="EW15" i="5"/>
  <c r="J479" i="15"/>
  <c r="I417" i="15"/>
  <c r="I599" i="15"/>
  <c r="J551" i="15"/>
  <c r="J581" i="15"/>
  <c r="J585" i="15"/>
  <c r="I483" i="15"/>
  <c r="I23" i="15"/>
  <c r="AD82" i="6"/>
  <c r="W47" i="15"/>
  <c r="W117" i="15"/>
  <c r="W215" i="15"/>
  <c r="W227" i="15"/>
  <c r="W237" i="15"/>
  <c r="V197" i="15"/>
  <c r="V587" i="15"/>
  <c r="V515" i="15"/>
  <c r="W555" i="15"/>
  <c r="AC51" i="15"/>
  <c r="AC77" i="15"/>
  <c r="AE81" i="6"/>
  <c r="AC33" i="15"/>
  <c r="W567" i="15"/>
  <c r="W519" i="15"/>
  <c r="EQ16" i="6"/>
  <c r="K492" i="15"/>
  <c r="K498" i="15" s="1"/>
  <c r="I419" i="15"/>
  <c r="I345" i="15"/>
  <c r="I567" i="15"/>
  <c r="I321" i="15"/>
  <c r="J515" i="15"/>
  <c r="J555" i="15"/>
  <c r="J599" i="15"/>
  <c r="J603" i="15"/>
  <c r="J113" i="15"/>
  <c r="V87" i="15"/>
  <c r="R225" i="15"/>
  <c r="AE437" i="15"/>
  <c r="J675" i="15"/>
  <c r="AA81" i="6"/>
  <c r="W80" i="6"/>
  <c r="X81" i="6"/>
  <c r="EV24" i="6"/>
  <c r="AZ82" i="6"/>
  <c r="ER23" i="6"/>
  <c r="ER30" i="6"/>
  <c r="EU67" i="6"/>
  <c r="BE23" i="6"/>
  <c r="EV23" i="6" s="1"/>
  <c r="AY82" i="6"/>
  <c r="EU66" i="6"/>
  <c r="W75" i="15"/>
  <c r="W177" i="15"/>
  <c r="V579" i="15"/>
  <c r="EO72" i="6"/>
  <c r="I423" i="15"/>
  <c r="J579" i="15"/>
  <c r="W69" i="15"/>
  <c r="W135" i="15"/>
  <c r="W219" i="15"/>
  <c r="W251" i="15"/>
  <c r="W165" i="15"/>
  <c r="V165" i="15"/>
  <c r="V551" i="15"/>
  <c r="V599" i="15"/>
  <c r="V575" i="15"/>
  <c r="W579" i="15"/>
  <c r="BD25" i="6"/>
  <c r="ET25" i="6" s="1"/>
  <c r="W525" i="15"/>
  <c r="AC39" i="15"/>
  <c r="AC87" i="15"/>
  <c r="W587" i="15"/>
  <c r="W603" i="15"/>
  <c r="I413" i="15"/>
  <c r="I341" i="15"/>
  <c r="I557" i="15"/>
  <c r="I351" i="15"/>
  <c r="J543" i="15"/>
  <c r="J569" i="15"/>
  <c r="J519" i="15"/>
  <c r="J621" i="15"/>
  <c r="I333" i="15"/>
  <c r="AC143" i="15"/>
  <c r="EV15" i="5"/>
  <c r="V521" i="15"/>
  <c r="J525" i="15"/>
  <c r="W203" i="15"/>
  <c r="V539" i="15"/>
  <c r="V563" i="15"/>
  <c r="W551" i="15"/>
  <c r="AC71" i="15"/>
  <c r="W621" i="15"/>
  <c r="W557" i="15"/>
  <c r="W599" i="15"/>
  <c r="I327" i="15"/>
  <c r="I329" i="15"/>
  <c r="I617" i="15"/>
  <c r="J539" i="15"/>
  <c r="J591" i="15"/>
  <c r="J561" i="15"/>
  <c r="I173" i="15"/>
  <c r="J353" i="15"/>
  <c r="W675" i="15"/>
  <c r="W77" i="15"/>
  <c r="AC69" i="15"/>
  <c r="ET24" i="6"/>
  <c r="J587" i="15"/>
  <c r="W21" i="15"/>
  <c r="W209" i="15"/>
  <c r="V557" i="15"/>
  <c r="W45" i="15"/>
  <c r="W87" i="15"/>
  <c r="W233" i="15"/>
  <c r="W173" i="15"/>
  <c r="W161" i="15"/>
  <c r="V225" i="15"/>
  <c r="V573" i="15"/>
  <c r="V585" i="15"/>
  <c r="V525" i="15"/>
  <c r="W89" i="15"/>
  <c r="W591" i="15"/>
  <c r="AC47" i="15"/>
  <c r="I167" i="15"/>
  <c r="W569" i="15"/>
  <c r="EQ65" i="6"/>
  <c r="EN51" i="6"/>
  <c r="V519" i="15"/>
  <c r="I569" i="15"/>
  <c r="I339" i="15"/>
  <c r="J557" i="15"/>
  <c r="J623" i="15"/>
  <c r="J563" i="15"/>
  <c r="W41" i="15"/>
  <c r="ER11" i="6"/>
  <c r="AU80" i="6"/>
  <c r="W231" i="15"/>
  <c r="V603" i="15"/>
  <c r="V555" i="15"/>
  <c r="AC111" i="15"/>
  <c r="W141" i="15"/>
  <c r="W273" i="15"/>
  <c r="V237" i="15"/>
  <c r="W51" i="15"/>
  <c r="W131" i="15"/>
  <c r="W267" i="15"/>
  <c r="W255" i="15"/>
  <c r="V617" i="15"/>
  <c r="V561" i="15"/>
  <c r="AC123" i="15"/>
  <c r="W617" i="15"/>
  <c r="W539" i="15"/>
  <c r="W521" i="15"/>
  <c r="EQ44" i="6"/>
  <c r="EO51" i="6"/>
  <c r="I479" i="15"/>
  <c r="I563" i="15"/>
  <c r="I347" i="15"/>
  <c r="J617" i="15"/>
  <c r="J627" i="15"/>
  <c r="ER65" i="6"/>
  <c r="AU82" i="6"/>
  <c r="BA51" i="6"/>
  <c r="L807" i="16" s="1"/>
  <c r="BD66" i="6"/>
  <c r="BD71" i="6" s="1"/>
  <c r="ET71" i="6" s="1"/>
  <c r="BC29" i="6"/>
  <c r="ES29" i="6" s="1"/>
  <c r="EN79" i="6"/>
  <c r="EP44" i="6"/>
  <c r="ES35" i="6"/>
  <c r="X692" i="15"/>
  <c r="X698" i="15" s="1"/>
  <c r="ES75" i="6"/>
  <c r="AM82" i="6"/>
  <c r="EV66" i="6"/>
  <c r="BA50" i="6"/>
  <c r="L806" i="16" s="1"/>
  <c r="EV59" i="6"/>
  <c r="BD45" i="6"/>
  <c r="BD50" i="6" s="1"/>
  <c r="ET50" i="6" s="1"/>
  <c r="EN15" i="6"/>
  <c r="EP79" i="6"/>
  <c r="BA70" i="6"/>
  <c r="EU24" i="6"/>
  <c r="BE44" i="6"/>
  <c r="K491" i="15"/>
  <c r="K497" i="15" s="1"/>
  <c r="AJ82" i="6"/>
  <c r="Y81" i="6"/>
  <c r="ER72" i="6"/>
  <c r="BA72" i="6"/>
  <c r="L969" i="16" s="1"/>
  <c r="L975" i="16" s="1"/>
  <c r="BA71" i="6"/>
  <c r="L968" i="16" s="1"/>
  <c r="L974" i="16" s="1"/>
  <c r="BD39" i="6"/>
  <c r="L671" i="16" s="1"/>
  <c r="DM80" i="6"/>
  <c r="DI80" i="6"/>
  <c r="EP58" i="6"/>
  <c r="EO58" i="6"/>
  <c r="EN65" i="6"/>
  <c r="EQ23" i="6"/>
  <c r="EO30" i="6"/>
  <c r="EO37" i="6"/>
  <c r="EP37" i="6"/>
  <c r="ER58" i="6"/>
  <c r="L803" i="16"/>
  <c r="L827" i="16" s="1"/>
  <c r="ET49" i="6"/>
  <c r="AC119" i="15"/>
  <c r="AC27" i="15"/>
  <c r="AC93" i="15"/>
  <c r="T19" i="15"/>
  <c r="AC137" i="15"/>
  <c r="AC153" i="15"/>
  <c r="AC81" i="15"/>
  <c r="AC131" i="15"/>
  <c r="AC65" i="15"/>
  <c r="AC29" i="15"/>
  <c r="H113" i="15"/>
  <c r="G621" i="15"/>
  <c r="R525" i="15"/>
  <c r="AC17" i="15"/>
  <c r="AC141" i="15"/>
  <c r="AC75" i="15"/>
  <c r="AC83" i="15"/>
  <c r="AC285" i="15"/>
  <c r="U225" i="15"/>
  <c r="AC646" i="15"/>
  <c r="P593" i="15"/>
  <c r="EV17" i="5"/>
  <c r="AC149" i="15"/>
  <c r="AC177" i="15"/>
  <c r="R203" i="15"/>
  <c r="AC209" i="15"/>
  <c r="AC21" i="15"/>
  <c r="R267" i="15"/>
  <c r="AC63" i="15"/>
  <c r="EU73" i="6"/>
  <c r="AC275" i="15"/>
  <c r="U323" i="15"/>
  <c r="AC279" i="15"/>
  <c r="AC213" i="15"/>
  <c r="N83" i="15"/>
  <c r="AE135" i="15"/>
  <c r="K153" i="16"/>
  <c r="L585" i="16"/>
  <c r="EM15" i="6"/>
  <c r="J341" i="15"/>
  <c r="J351" i="15"/>
  <c r="J483" i="15"/>
  <c r="J317" i="15"/>
  <c r="J321" i="15"/>
  <c r="ET40" i="6"/>
  <c r="AD23" i="15"/>
  <c r="I273" i="15"/>
  <c r="G599" i="15"/>
  <c r="W333" i="15"/>
  <c r="DJ80" i="6"/>
  <c r="DL80" i="6"/>
  <c r="W669" i="15"/>
  <c r="J419" i="15"/>
  <c r="J335" i="15"/>
  <c r="AB686" i="15"/>
  <c r="AI65" i="6"/>
  <c r="L658" i="16"/>
  <c r="L664" i="16" s="1"/>
  <c r="U121" i="15"/>
  <c r="I209" i="15"/>
  <c r="I287" i="15"/>
  <c r="W323" i="15"/>
  <c r="J339" i="15"/>
  <c r="J413" i="15"/>
  <c r="AB632" i="15"/>
  <c r="L976" i="16"/>
  <c r="L982" i="16" s="1"/>
  <c r="BA77" i="6"/>
  <c r="L979" i="16" s="1"/>
  <c r="L985" i="16" s="1"/>
  <c r="W327" i="15"/>
  <c r="W317" i="15"/>
  <c r="W423" i="15"/>
  <c r="P551" i="15"/>
  <c r="I27" i="15"/>
  <c r="J197" i="15"/>
  <c r="ES63" i="6"/>
  <c r="I233" i="15"/>
  <c r="I231" i="15"/>
  <c r="P567" i="15"/>
  <c r="M494" i="15"/>
  <c r="W393" i="15"/>
  <c r="EN16" i="6"/>
  <c r="EO79" i="6"/>
  <c r="EO65" i="6"/>
  <c r="EP65" i="6"/>
  <c r="EQ30" i="6"/>
  <c r="EQ37" i="6"/>
  <c r="J345" i="15"/>
  <c r="J393" i="15"/>
  <c r="J423" i="15"/>
  <c r="J333" i="15"/>
  <c r="I39" i="15"/>
  <c r="T201" i="15"/>
  <c r="V221" i="15"/>
  <c r="R521" i="15"/>
  <c r="I519" i="15"/>
  <c r="ET62" i="6"/>
  <c r="AE16" i="6"/>
  <c r="BB16" i="6" s="1"/>
  <c r="ES21" i="6"/>
  <c r="M969" i="16"/>
  <c r="M975" i="16" s="1"/>
  <c r="P581" i="15"/>
  <c r="W345" i="15"/>
  <c r="P543" i="15"/>
  <c r="W641" i="15"/>
  <c r="J417" i="15"/>
  <c r="J323" i="15"/>
  <c r="I135" i="15"/>
  <c r="J347" i="15"/>
  <c r="W137" i="15"/>
  <c r="W269" i="15"/>
  <c r="AG44" i="6"/>
  <c r="BB44" i="6" s="1"/>
  <c r="J327" i="15"/>
  <c r="J329" i="15"/>
  <c r="ET29" i="6"/>
  <c r="ES19" i="6"/>
  <c r="AE37" i="6"/>
  <c r="BC37" i="6"/>
  <c r="W81" i="15"/>
  <c r="O632" i="15"/>
  <c r="K797" i="15"/>
  <c r="K798" i="15" s="1"/>
  <c r="AF82" i="6"/>
  <c r="ET59" i="6"/>
  <c r="AB82" i="6"/>
  <c r="K723" i="15" s="1"/>
  <c r="W39" i="15"/>
  <c r="W113" i="15"/>
  <c r="V797" i="15"/>
  <c r="V798" i="15" s="1"/>
  <c r="W671" i="15"/>
  <c r="BE79" i="6"/>
  <c r="ES47" i="6"/>
  <c r="U273" i="15"/>
  <c r="AE221" i="15"/>
  <c r="O677" i="15"/>
  <c r="O681" i="15" s="1"/>
  <c r="O686" i="15"/>
  <c r="ES26" i="6"/>
  <c r="BD61" i="6"/>
  <c r="ET61" i="6" s="1"/>
  <c r="W23" i="15"/>
  <c r="W83" i="15"/>
  <c r="I221" i="15"/>
  <c r="P279" i="15"/>
  <c r="AC335" i="15"/>
  <c r="W81" i="6"/>
  <c r="BC30" i="6"/>
  <c r="AV82" i="6"/>
  <c r="K879" i="16"/>
  <c r="EV14" i="5"/>
  <c r="W65" i="15"/>
  <c r="AX82" i="6"/>
  <c r="AE58" i="6"/>
  <c r="BC44" i="6"/>
  <c r="EV44" i="6" s="1"/>
  <c r="EO15" i="6"/>
  <c r="EO16" i="6"/>
  <c r="W71" i="15"/>
  <c r="I21" i="15"/>
  <c r="W93" i="15"/>
  <c r="W17" i="15"/>
  <c r="AA80" i="6"/>
  <c r="BC58" i="6"/>
  <c r="EV58" i="6" s="1"/>
  <c r="AW82" i="6"/>
  <c r="EQ79" i="6"/>
  <c r="ET15" i="6"/>
  <c r="ET67" i="6"/>
  <c r="AQ82" i="6"/>
  <c r="BD42" i="6"/>
  <c r="BA75" i="6"/>
  <c r="BD75" i="6" s="1"/>
  <c r="ET75" i="6" s="1"/>
  <c r="R561" i="15"/>
  <c r="Z47" i="15"/>
  <c r="P657" i="15"/>
  <c r="R597" i="15"/>
  <c r="N131" i="15"/>
  <c r="AD393" i="15"/>
  <c r="AE567" i="15"/>
  <c r="R539" i="15"/>
  <c r="N119" i="15"/>
  <c r="O653" i="15"/>
  <c r="O657" i="15" s="1"/>
  <c r="R543" i="15"/>
  <c r="N77" i="15"/>
  <c r="N107" i="15"/>
  <c r="R591" i="15"/>
  <c r="R519" i="15"/>
  <c r="AE45" i="15"/>
  <c r="U335" i="15"/>
  <c r="M635" i="15"/>
  <c r="M683" i="15" s="1"/>
  <c r="AD389" i="15"/>
  <c r="R279" i="15"/>
  <c r="AD437" i="15"/>
  <c r="U353" i="15"/>
  <c r="F682" i="15"/>
  <c r="P83" i="15"/>
  <c r="AD111" i="15"/>
  <c r="U347" i="15"/>
  <c r="AE231" i="15"/>
  <c r="N329" i="15"/>
  <c r="Q335" i="15"/>
  <c r="H661" i="15"/>
  <c r="P173" i="15"/>
  <c r="U339" i="15"/>
  <c r="M785" i="15"/>
  <c r="M791" i="15" s="1"/>
  <c r="AC99" i="15"/>
  <c r="P321" i="15"/>
  <c r="AE646" i="15"/>
  <c r="AE682" i="15" s="1"/>
  <c r="F794" i="15"/>
  <c r="AE593" i="15"/>
  <c r="AD646" i="15"/>
  <c r="AD682" i="15" s="1"/>
  <c r="EX17" i="5"/>
  <c r="EW17" i="5"/>
  <c r="AK23" i="6"/>
  <c r="AK80" i="6"/>
  <c r="BA18" i="6"/>
  <c r="BD18" i="6" s="1"/>
  <c r="J219" i="15"/>
  <c r="EX16" i="5"/>
  <c r="EW16" i="5"/>
  <c r="AG80" i="6"/>
  <c r="AG16" i="6"/>
  <c r="AI81" i="6"/>
  <c r="BA21" i="6"/>
  <c r="BD21" i="6" s="1"/>
  <c r="ET21" i="6" s="1"/>
  <c r="AI23" i="6"/>
  <c r="N964" i="16"/>
  <c r="N970" i="16" s="1"/>
  <c r="ES66" i="6"/>
  <c r="Y964" i="16"/>
  <c r="Y970" i="16" s="1"/>
  <c r="BE72" i="6"/>
  <c r="BC72" i="6"/>
  <c r="Y969" i="16" s="1"/>
  <c r="Y975" i="16" s="1"/>
  <c r="U237" i="15"/>
  <c r="U201" i="15"/>
  <c r="U213" i="15"/>
  <c r="U231" i="15"/>
  <c r="U171" i="15"/>
  <c r="U219" i="15"/>
  <c r="U269" i="15"/>
  <c r="U221" i="15"/>
  <c r="U167" i="15"/>
  <c r="U227" i="15"/>
  <c r="G323" i="15"/>
  <c r="G339" i="15"/>
  <c r="J251" i="15"/>
  <c r="U215" i="15"/>
  <c r="U209" i="15"/>
  <c r="W797" i="15"/>
  <c r="W798" i="15" s="1"/>
  <c r="J209" i="15"/>
  <c r="J227" i="15"/>
  <c r="J213" i="15"/>
  <c r="V161" i="15"/>
  <c r="V219" i="15"/>
  <c r="V203" i="15"/>
  <c r="J669" i="15"/>
  <c r="AE245" i="15"/>
  <c r="U197" i="15"/>
  <c r="DK80" i="6"/>
  <c r="G569" i="15"/>
  <c r="G557" i="15"/>
  <c r="G567" i="15"/>
  <c r="R581" i="15"/>
  <c r="R599" i="15"/>
  <c r="R621" i="15"/>
  <c r="AC539" i="15"/>
  <c r="AC563" i="15"/>
  <c r="V659" i="15"/>
  <c r="V665" i="15"/>
  <c r="V669" i="15"/>
  <c r="V687" i="15" s="1"/>
  <c r="V671" i="15"/>
  <c r="AE65" i="6"/>
  <c r="Q339" i="15"/>
  <c r="Q333" i="15"/>
  <c r="F792" i="15"/>
  <c r="M786" i="15"/>
  <c r="M792" i="15" s="1"/>
  <c r="AE225" i="15"/>
  <c r="I677" i="15"/>
  <c r="I669" i="15"/>
  <c r="I681" i="15"/>
  <c r="J659" i="15"/>
  <c r="J671" i="15"/>
  <c r="J677" i="15"/>
  <c r="J681" i="15"/>
  <c r="J645" i="15"/>
  <c r="J641" i="15"/>
  <c r="J255" i="15"/>
  <c r="J273" i="15"/>
  <c r="J173" i="15"/>
  <c r="V269" i="15"/>
  <c r="V171" i="15"/>
  <c r="AE273" i="15"/>
  <c r="L805" i="16"/>
  <c r="AE201" i="15"/>
  <c r="AH82" i="6"/>
  <c r="BD51" i="6"/>
  <c r="EQ58" i="6"/>
  <c r="EN44" i="6"/>
  <c r="EP30" i="6"/>
  <c r="Q567" i="15"/>
  <c r="Q513" i="15"/>
  <c r="BD43" i="6"/>
  <c r="L670" i="16"/>
  <c r="BA57" i="6"/>
  <c r="L884" i="16" s="1"/>
  <c r="L890" i="16" s="1"/>
  <c r="L880" i="16"/>
  <c r="L886" i="16" s="1"/>
  <c r="BA11" i="6"/>
  <c r="AS80" i="6"/>
  <c r="AS16" i="6"/>
  <c r="J663" i="15"/>
  <c r="AA17" i="15"/>
  <c r="BE30" i="6"/>
  <c r="EV30" i="6" s="1"/>
  <c r="L647" i="16"/>
  <c r="L447" i="16"/>
  <c r="EU17" i="6"/>
  <c r="ET47" i="6"/>
  <c r="AK81" i="6"/>
  <c r="BA63" i="6"/>
  <c r="J291" i="15"/>
  <c r="BE37" i="6"/>
  <c r="EV37" i="6" s="1"/>
  <c r="V207" i="15"/>
  <c r="J237" i="15"/>
  <c r="J231" i="15"/>
  <c r="J207" i="15"/>
  <c r="V209" i="15"/>
  <c r="V227" i="15"/>
  <c r="I665" i="15"/>
  <c r="BD78" i="6"/>
  <c r="ET78" i="6" s="1"/>
  <c r="ET73" i="6"/>
  <c r="EU14" i="5"/>
  <c r="EX14" i="5"/>
  <c r="EV46" i="6"/>
  <c r="ET19" i="6"/>
  <c r="AI44" i="6"/>
  <c r="ES74" i="6"/>
  <c r="AG79" i="6"/>
  <c r="BA79" i="6" s="1"/>
  <c r="AE249" i="15"/>
  <c r="AE267" i="15"/>
  <c r="AE173" i="15"/>
  <c r="AE279" i="15"/>
  <c r="AE285" i="15"/>
  <c r="AE215" i="15"/>
  <c r="AE281" i="15"/>
  <c r="AE269" i="15"/>
  <c r="AE213" i="15"/>
  <c r="AE219" i="15"/>
  <c r="AE207" i="15"/>
  <c r="J201" i="15"/>
  <c r="AE263" i="15"/>
  <c r="J263" i="15"/>
  <c r="J203" i="15"/>
  <c r="J161" i="15"/>
  <c r="J225" i="15"/>
  <c r="V167" i="15"/>
  <c r="V215" i="15"/>
  <c r="I663" i="15"/>
  <c r="AE275" i="15"/>
  <c r="AE227" i="15"/>
  <c r="J665" i="15"/>
  <c r="J215" i="15"/>
  <c r="R27" i="15"/>
  <c r="R117" i="15"/>
  <c r="R21" i="15"/>
  <c r="R35" i="15"/>
  <c r="R63" i="15"/>
  <c r="Y80" i="6"/>
  <c r="BC51" i="6"/>
  <c r="K293" i="16"/>
  <c r="X801" i="16"/>
  <c r="X875" i="16"/>
  <c r="AG37" i="6"/>
  <c r="AG81" i="6"/>
  <c r="BA35" i="6"/>
  <c r="J165" i="15"/>
  <c r="J167" i="15"/>
  <c r="AE203" i="15"/>
  <c r="J267" i="15"/>
  <c r="J269" i="15"/>
  <c r="J221" i="15"/>
  <c r="J287" i="15"/>
  <c r="V231" i="15"/>
  <c r="V273" i="15"/>
  <c r="I671" i="15"/>
  <c r="AE209" i="15"/>
  <c r="AE197" i="15"/>
  <c r="AE177" i="15"/>
  <c r="W419" i="15"/>
  <c r="W347" i="15"/>
  <c r="W341" i="15"/>
  <c r="W351" i="15"/>
  <c r="W329" i="15"/>
  <c r="W413" i="15"/>
  <c r="W339" i="15"/>
  <c r="W335" i="15"/>
  <c r="W417" i="15"/>
  <c r="W357" i="15"/>
  <c r="W321" i="15"/>
  <c r="P479" i="15"/>
  <c r="P437" i="15"/>
  <c r="X80" i="6"/>
  <c r="BC23" i="6"/>
  <c r="AN82" i="6"/>
  <c r="EV65" i="6"/>
  <c r="BE65" i="6"/>
  <c r="Q399" i="15"/>
  <c r="AE657" i="15"/>
  <c r="X293" i="16"/>
  <c r="ET64" i="6"/>
  <c r="ET54" i="6"/>
  <c r="AA153" i="16"/>
  <c r="I165" i="15"/>
  <c r="I215" i="15"/>
  <c r="W665" i="15"/>
  <c r="W663" i="15"/>
  <c r="I515" i="15"/>
  <c r="I627" i="15"/>
  <c r="I573" i="15"/>
  <c r="X879" i="16"/>
  <c r="Z797" i="16"/>
  <c r="EU25" i="6"/>
  <c r="ES42" i="6"/>
  <c r="ET17" i="6"/>
  <c r="I201" i="15"/>
  <c r="I291" i="15"/>
  <c r="W171" i="15"/>
  <c r="W659" i="15"/>
  <c r="I521" i="15"/>
  <c r="I539" i="15"/>
  <c r="I587" i="15"/>
  <c r="W645" i="15"/>
  <c r="Z959" i="16"/>
  <c r="ET52" i="6"/>
  <c r="BA60" i="6"/>
  <c r="I225" i="15"/>
  <c r="I161" i="15"/>
  <c r="I203" i="15"/>
  <c r="I561" i="15"/>
  <c r="I525" i="15"/>
  <c r="I543" i="15"/>
  <c r="I585" i="15"/>
  <c r="I269" i="15"/>
  <c r="W225" i="15"/>
  <c r="BE58" i="6"/>
  <c r="EW13" i="5"/>
  <c r="EX13" i="5"/>
  <c r="ES73" i="6"/>
  <c r="I197" i="15"/>
  <c r="I227" i="15"/>
  <c r="I237" i="15"/>
  <c r="I213" i="15"/>
  <c r="I551" i="15"/>
  <c r="I575" i="15"/>
  <c r="I603" i="15"/>
  <c r="I219" i="15"/>
  <c r="EV64" i="6"/>
  <c r="ES49" i="6"/>
  <c r="M963" i="16"/>
  <c r="EV10" i="6"/>
  <c r="EU10" i="6"/>
  <c r="I171" i="15"/>
  <c r="I207" i="15"/>
  <c r="I555" i="15"/>
  <c r="I579" i="15"/>
  <c r="I621" i="15"/>
  <c r="K801" i="16"/>
  <c r="ES18" i="6"/>
  <c r="EV45" i="6"/>
  <c r="EV52" i="6"/>
  <c r="ET10" i="6"/>
  <c r="Q225" i="15"/>
  <c r="AE347" i="15"/>
  <c r="Q657" i="15"/>
  <c r="Q107" i="15"/>
  <c r="AA71" i="15"/>
  <c r="AD279" i="15"/>
  <c r="O293" i="15"/>
  <c r="O297" i="15" s="1"/>
  <c r="AA323" i="15"/>
  <c r="H335" i="15"/>
  <c r="AC461" i="15"/>
  <c r="AC567" i="15"/>
  <c r="T323" i="15"/>
  <c r="T485" i="15" s="1"/>
  <c r="AD347" i="15"/>
  <c r="Q563" i="15"/>
  <c r="AD533" i="15"/>
  <c r="AA77" i="15"/>
  <c r="AD173" i="15"/>
  <c r="Q627" i="15"/>
  <c r="AC551" i="15"/>
  <c r="AC557" i="15"/>
  <c r="Q561" i="15"/>
  <c r="Q81" i="15"/>
  <c r="AC653" i="15"/>
  <c r="AC683" i="15" s="1"/>
  <c r="P153" i="15"/>
  <c r="AD221" i="15"/>
  <c r="Q533" i="15"/>
  <c r="AC599" i="15"/>
  <c r="AC585" i="15"/>
  <c r="AC581" i="15"/>
  <c r="AC603" i="15"/>
  <c r="AC533" i="15"/>
  <c r="H539" i="15"/>
  <c r="AD657" i="15"/>
  <c r="AD687" i="15" s="1"/>
  <c r="AB653" i="15"/>
  <c r="AB657" i="15" s="1"/>
  <c r="AB687" i="15" s="1"/>
  <c r="Q621" i="15"/>
  <c r="AC509" i="15"/>
  <c r="AC561" i="15"/>
  <c r="R333" i="15"/>
  <c r="P677" i="15"/>
  <c r="Q599" i="15"/>
  <c r="AC543" i="15"/>
  <c r="AC513" i="15"/>
  <c r="U17" i="15"/>
  <c r="AD135" i="15"/>
  <c r="U349" i="15"/>
  <c r="O581" i="15"/>
  <c r="O585" i="15" s="1"/>
  <c r="AA65" i="15"/>
  <c r="AC515" i="15"/>
  <c r="Q537" i="15"/>
  <c r="Q623" i="15"/>
  <c r="AC555" i="15"/>
  <c r="AC597" i="15"/>
  <c r="AD219" i="15"/>
  <c r="N47" i="15"/>
  <c r="AE51" i="15"/>
  <c r="AA35" i="15"/>
  <c r="AC593" i="15"/>
  <c r="Q581" i="15"/>
  <c r="Q519" i="15"/>
  <c r="AC537" i="15"/>
  <c r="H209" i="15"/>
  <c r="N395" i="15"/>
  <c r="Q551" i="15"/>
  <c r="AC519" i="15"/>
  <c r="O395" i="15"/>
  <c r="O399" i="15" s="1"/>
  <c r="G561" i="15"/>
  <c r="AB581" i="15"/>
  <c r="AB585" i="15" s="1"/>
  <c r="AD539" i="15"/>
  <c r="G351" i="15"/>
  <c r="U329" i="15"/>
  <c r="AC657" i="15"/>
  <c r="AC687" i="15" s="1"/>
  <c r="H543" i="15"/>
  <c r="H585" i="15"/>
  <c r="M784" i="15"/>
  <c r="M790" i="15" s="1"/>
  <c r="Q889" i="16"/>
  <c r="U47" i="15"/>
  <c r="AD561" i="15"/>
  <c r="G603" i="15"/>
  <c r="P623" i="15"/>
  <c r="AE651" i="15"/>
  <c r="G623" i="15"/>
  <c r="Q617" i="15"/>
  <c r="U89" i="15"/>
  <c r="M637" i="15"/>
  <c r="M685" i="15" s="1"/>
  <c r="R515" i="15"/>
  <c r="T583" i="15"/>
  <c r="U113" i="15"/>
  <c r="Q465" i="15"/>
  <c r="O557" i="15"/>
  <c r="O561" i="15" s="1"/>
  <c r="O515" i="15"/>
  <c r="O519" i="15" s="1"/>
  <c r="R461" i="15"/>
  <c r="Q321" i="15"/>
  <c r="P585" i="15"/>
  <c r="G663" i="15"/>
  <c r="AD99" i="15"/>
  <c r="AE63" i="15"/>
  <c r="T79" i="15"/>
  <c r="AD89" i="15"/>
  <c r="T17" i="15"/>
  <c r="Q341" i="15"/>
  <c r="O209" i="15"/>
  <c r="O213" i="15" s="1"/>
  <c r="Q345" i="15"/>
  <c r="R483" i="15"/>
  <c r="Q405" i="15"/>
  <c r="AE33" i="15"/>
  <c r="Q317" i="15"/>
  <c r="Q521" i="15"/>
  <c r="Q591" i="15"/>
  <c r="AD405" i="15"/>
  <c r="Q323" i="15"/>
  <c r="F695" i="15"/>
  <c r="AD119" i="15"/>
  <c r="AE642" i="15"/>
  <c r="AE684" i="15" s="1"/>
  <c r="R275" i="15"/>
  <c r="R201" i="15"/>
  <c r="P555" i="15"/>
  <c r="P681" i="15"/>
  <c r="U27" i="15"/>
  <c r="N317" i="15"/>
  <c r="N71" i="15"/>
  <c r="N65" i="15"/>
  <c r="AE59" i="15"/>
  <c r="U65" i="15"/>
  <c r="AE395" i="15"/>
  <c r="U327" i="15"/>
  <c r="Q437" i="15"/>
  <c r="Q351" i="15"/>
  <c r="P645" i="15"/>
  <c r="Q539" i="15"/>
  <c r="AE653" i="15"/>
  <c r="Q603" i="15"/>
  <c r="M495" i="15"/>
  <c r="AE71" i="15"/>
  <c r="F698" i="15"/>
  <c r="N311" i="15"/>
  <c r="P533" i="15"/>
  <c r="G585" i="15"/>
  <c r="O107" i="15"/>
  <c r="O111" i="15" s="1"/>
  <c r="R197" i="15"/>
  <c r="AE329" i="15"/>
  <c r="N797" i="15"/>
  <c r="N798" i="15" s="1"/>
  <c r="R513" i="15"/>
  <c r="U671" i="15"/>
  <c r="Q441" i="15"/>
  <c r="AD29" i="15"/>
  <c r="Q455" i="15"/>
  <c r="Q677" i="15"/>
  <c r="Q681" i="15"/>
  <c r="P653" i="15"/>
  <c r="Q347" i="15"/>
  <c r="AD77" i="15"/>
  <c r="M636" i="15"/>
  <c r="M684" i="15" s="1"/>
  <c r="Q483" i="15"/>
  <c r="G479" i="15"/>
  <c r="N137" i="15"/>
  <c r="AE335" i="15"/>
  <c r="Q311" i="15"/>
  <c r="Q587" i="15"/>
  <c r="Q279" i="15"/>
  <c r="AD465" i="15"/>
  <c r="P603" i="15"/>
  <c r="AD21" i="15"/>
  <c r="AD131" i="15"/>
  <c r="T23" i="15"/>
  <c r="R551" i="15"/>
  <c r="R555" i="15"/>
  <c r="AC642" i="15"/>
  <c r="AC684" i="15" s="1"/>
  <c r="G347" i="15"/>
  <c r="R215" i="15"/>
  <c r="R249" i="15"/>
  <c r="T121" i="15"/>
  <c r="R557" i="15"/>
  <c r="G333" i="15"/>
  <c r="R173" i="15"/>
  <c r="R219" i="15"/>
  <c r="P519" i="15"/>
  <c r="P599" i="15"/>
  <c r="AE23" i="15"/>
  <c r="N323" i="15"/>
  <c r="H339" i="15"/>
  <c r="N89" i="15"/>
  <c r="N143" i="15"/>
  <c r="U69" i="15"/>
  <c r="U123" i="15"/>
  <c r="U333" i="15"/>
  <c r="Q479" i="15"/>
  <c r="Q461" i="15"/>
  <c r="Q329" i="15"/>
  <c r="U67" i="15"/>
  <c r="T21" i="15"/>
  <c r="T81" i="15"/>
  <c r="T119" i="15"/>
  <c r="Q557" i="15"/>
  <c r="U93" i="15"/>
  <c r="G543" i="15"/>
  <c r="AD87" i="15"/>
  <c r="U77" i="15"/>
  <c r="N35" i="15"/>
  <c r="U351" i="15"/>
  <c r="R285" i="15"/>
  <c r="G627" i="15"/>
  <c r="H237" i="15"/>
  <c r="R327" i="15"/>
  <c r="G269" i="15"/>
  <c r="T219" i="15"/>
  <c r="AD177" i="15"/>
  <c r="H603" i="15"/>
  <c r="T565" i="15"/>
  <c r="U569" i="15"/>
  <c r="AD537" i="15"/>
  <c r="AD75" i="15"/>
  <c r="AD113" i="15"/>
  <c r="Q459" i="15"/>
  <c r="Q393" i="15"/>
  <c r="P539" i="15"/>
  <c r="P515" i="15"/>
  <c r="Q653" i="15"/>
  <c r="Q389" i="15"/>
  <c r="N479" i="15"/>
  <c r="H171" i="15"/>
  <c r="N17" i="15"/>
  <c r="AE65" i="15"/>
  <c r="U23" i="15"/>
  <c r="U21" i="15"/>
  <c r="U317" i="15"/>
  <c r="Q327" i="15"/>
  <c r="Q395" i="15"/>
  <c r="Q315" i="15"/>
  <c r="Q593" i="15"/>
  <c r="T27" i="15"/>
  <c r="U19" i="15"/>
  <c r="T69" i="15"/>
  <c r="Q543" i="15"/>
  <c r="AD642" i="15"/>
  <c r="AD684" i="15" s="1"/>
  <c r="Q597" i="15"/>
  <c r="T67" i="15"/>
  <c r="G581" i="15"/>
  <c r="G539" i="15"/>
  <c r="G617" i="15"/>
  <c r="AD65" i="15"/>
  <c r="AA317" i="15"/>
  <c r="N461" i="15"/>
  <c r="AD59" i="15"/>
  <c r="G147" i="15"/>
  <c r="AA311" i="15"/>
  <c r="U117" i="15"/>
  <c r="AD339" i="15"/>
  <c r="U51" i="15"/>
  <c r="AD395" i="15"/>
  <c r="AD71" i="15"/>
  <c r="N95" i="15"/>
  <c r="U119" i="15"/>
  <c r="U321" i="15"/>
  <c r="P513" i="15"/>
  <c r="Q509" i="15"/>
  <c r="Q515" i="15"/>
  <c r="G573" i="15"/>
  <c r="P537" i="15"/>
  <c r="AD47" i="15"/>
  <c r="R567" i="15"/>
  <c r="G483" i="15"/>
  <c r="R245" i="15"/>
  <c r="R287" i="15"/>
  <c r="R603" i="15"/>
  <c r="R585" i="15"/>
  <c r="R177" i="15"/>
  <c r="P509" i="15"/>
  <c r="P557" i="15"/>
  <c r="H673" i="15"/>
  <c r="U357" i="15"/>
  <c r="Q401" i="15"/>
  <c r="Q585" i="15"/>
  <c r="U79" i="15"/>
  <c r="T77" i="15"/>
  <c r="G555" i="15"/>
  <c r="G551" i="15"/>
  <c r="M787" i="15"/>
  <c r="M793" i="15" s="1"/>
  <c r="N967" i="16"/>
  <c r="N989" i="16" s="1"/>
  <c r="EV70" i="6"/>
  <c r="EV35" i="6"/>
  <c r="EV18" i="6"/>
  <c r="EV39" i="6"/>
  <c r="ES31" i="6"/>
  <c r="Z976" i="16"/>
  <c r="Z982" i="16" s="1"/>
  <c r="N971" i="16"/>
  <c r="N988" i="16"/>
  <c r="EU52" i="6"/>
  <c r="Y971" i="16"/>
  <c r="ES17" i="6"/>
  <c r="BE81" i="6"/>
  <c r="ES76" i="6"/>
  <c r="BE51" i="6"/>
  <c r="EV14" i="6"/>
  <c r="EU18" i="6"/>
  <c r="ES71" i="6"/>
  <c r="Y968" i="16"/>
  <c r="Y974" i="16" s="1"/>
  <c r="AP82" i="6"/>
  <c r="Z985" i="16"/>
  <c r="Z989" i="16"/>
  <c r="Z988" i="16"/>
  <c r="Z983" i="16"/>
  <c r="EV74" i="6"/>
  <c r="ES46" i="6"/>
  <c r="EU46" i="6"/>
  <c r="EV32" i="6"/>
  <c r="ET32" i="6"/>
  <c r="EV25" i="6"/>
  <c r="ES25" i="6"/>
  <c r="M89" i="15"/>
  <c r="M65" i="15"/>
  <c r="M47" i="15"/>
  <c r="AB485" i="15"/>
  <c r="AB489" i="15" s="1"/>
  <c r="R105" i="15"/>
  <c r="O323" i="15"/>
  <c r="O327" i="15" s="1"/>
  <c r="R87" i="15"/>
  <c r="R93" i="15"/>
  <c r="R99" i="15"/>
  <c r="R59" i="15"/>
  <c r="R119" i="15"/>
  <c r="AD225" i="15"/>
  <c r="AD215" i="15"/>
  <c r="T273" i="15"/>
  <c r="AE399" i="15"/>
  <c r="AE317" i="15"/>
  <c r="M693" i="15"/>
  <c r="M699" i="15" s="1"/>
  <c r="T231" i="15"/>
  <c r="AD519" i="15"/>
  <c r="AD567" i="15"/>
  <c r="AE465" i="15"/>
  <c r="AE321" i="15"/>
  <c r="AD509" i="15"/>
  <c r="AD555" i="15"/>
  <c r="AD543" i="15"/>
  <c r="H51" i="15"/>
  <c r="P93" i="15"/>
  <c r="P797" i="15"/>
  <c r="P798" i="15" s="1"/>
  <c r="H663" i="15"/>
  <c r="R645" i="15"/>
  <c r="AD551" i="15"/>
  <c r="H579" i="15"/>
  <c r="O311" i="15"/>
  <c r="O315" i="15" s="1"/>
  <c r="R77" i="15"/>
  <c r="R29" i="15"/>
  <c r="R107" i="15"/>
  <c r="R131" i="15"/>
  <c r="U796" i="15"/>
  <c r="R45" i="15"/>
  <c r="AD269" i="15"/>
  <c r="AD281" i="15"/>
  <c r="AE345" i="15"/>
  <c r="AE459" i="15"/>
  <c r="AD617" i="15"/>
  <c r="AD585" i="15"/>
  <c r="T601" i="15"/>
  <c r="T221" i="15"/>
  <c r="O485" i="15"/>
  <c r="O489" i="15" s="1"/>
  <c r="R39" i="15"/>
  <c r="R95" i="15"/>
  <c r="R17" i="15"/>
  <c r="AE333" i="15"/>
  <c r="AD213" i="15"/>
  <c r="T215" i="15"/>
  <c r="AE311" i="15"/>
  <c r="AE341" i="15"/>
  <c r="AD263" i="15"/>
  <c r="T553" i="15"/>
  <c r="AD621" i="15"/>
  <c r="AD557" i="15"/>
  <c r="AD581" i="15"/>
  <c r="H589" i="15"/>
  <c r="T559" i="15"/>
  <c r="T225" i="15"/>
  <c r="T65" i="15"/>
  <c r="T25" i="15"/>
  <c r="U591" i="15"/>
  <c r="AE621" i="15"/>
  <c r="H557" i="15"/>
  <c r="AD513" i="15"/>
  <c r="R47" i="15"/>
  <c r="R89" i="15"/>
  <c r="R33" i="15"/>
  <c r="G69" i="15"/>
  <c r="AE389" i="15"/>
  <c r="AE441" i="15"/>
  <c r="M639" i="15"/>
  <c r="M687" i="15" s="1"/>
  <c r="AD267" i="15"/>
  <c r="T227" i="15"/>
  <c r="AE393" i="15"/>
  <c r="AE323" i="15"/>
  <c r="AD525" i="15"/>
  <c r="AD563" i="15"/>
  <c r="T571" i="15"/>
  <c r="R75" i="15"/>
  <c r="O479" i="15"/>
  <c r="O483" i="15" s="1"/>
  <c r="R71" i="15"/>
  <c r="U675" i="15"/>
  <c r="R135" i="15"/>
  <c r="R23" i="15"/>
  <c r="R81" i="15"/>
  <c r="R123" i="15"/>
  <c r="AD209" i="15"/>
  <c r="T197" i="15"/>
  <c r="AE351" i="15"/>
  <c r="AE327" i="15"/>
  <c r="AD587" i="15"/>
  <c r="T541" i="15"/>
  <c r="AD599" i="15"/>
  <c r="AD95" i="15"/>
  <c r="R141" i="15"/>
  <c r="O461" i="15"/>
  <c r="O465" i="15" s="1"/>
  <c r="R41" i="15"/>
  <c r="R51" i="15"/>
  <c r="R65" i="15"/>
  <c r="R83" i="15"/>
  <c r="AD285" i="15"/>
  <c r="AD275" i="15"/>
  <c r="T269" i="15"/>
  <c r="AE455" i="15"/>
  <c r="AE315" i="15"/>
  <c r="U663" i="15"/>
  <c r="R111" i="15"/>
  <c r="AD603" i="15"/>
  <c r="H515" i="15"/>
  <c r="AD515" i="15"/>
  <c r="H617" i="15"/>
  <c r="AD593" i="15"/>
  <c r="AE401" i="15"/>
  <c r="U621" i="15"/>
  <c r="H797" i="15"/>
  <c r="T661" i="15"/>
  <c r="T685" i="15" s="1"/>
  <c r="AD653" i="15"/>
  <c r="AD683" i="15" s="1"/>
  <c r="O329" i="15"/>
  <c r="O333" i="15" s="1"/>
  <c r="R69" i="15"/>
  <c r="R113" i="15"/>
  <c r="R101" i="15"/>
  <c r="R137" i="15"/>
  <c r="AE461" i="15"/>
  <c r="AD273" i="15"/>
  <c r="AE339" i="15"/>
  <c r="AE405" i="15"/>
  <c r="AD521" i="15"/>
  <c r="AD591" i="15"/>
  <c r="T619" i="15"/>
  <c r="AD597" i="15"/>
  <c r="G225" i="15"/>
  <c r="Q173" i="15"/>
  <c r="AD341" i="15"/>
  <c r="Z35" i="15"/>
  <c r="O143" i="15"/>
  <c r="O147" i="15" s="1"/>
  <c r="AA329" i="15"/>
  <c r="P347" i="15"/>
  <c r="P147" i="15"/>
  <c r="P71" i="15"/>
  <c r="P141" i="15"/>
  <c r="M77" i="15"/>
  <c r="G215" i="15"/>
  <c r="AE796" i="15"/>
  <c r="AE798" i="15" s="1"/>
  <c r="Q269" i="15"/>
  <c r="AE633" i="15"/>
  <c r="Q285" i="15"/>
  <c r="O47" i="15"/>
  <c r="O51" i="15" s="1"/>
  <c r="P333" i="15"/>
  <c r="P341" i="15"/>
  <c r="G231" i="15"/>
  <c r="Q275" i="15"/>
  <c r="P351" i="15"/>
  <c r="U557" i="15"/>
  <c r="U603" i="15"/>
  <c r="U579" i="15"/>
  <c r="AB209" i="15"/>
  <c r="AB213" i="15" s="1"/>
  <c r="H221" i="15"/>
  <c r="H659" i="15"/>
  <c r="U673" i="15"/>
  <c r="U685" i="15" s="1"/>
  <c r="AA395" i="15"/>
  <c r="P483" i="15"/>
  <c r="P81" i="15"/>
  <c r="P87" i="15"/>
  <c r="AE603" i="15"/>
  <c r="AE515" i="15"/>
  <c r="AE591" i="15"/>
  <c r="G227" i="15"/>
  <c r="Q213" i="15"/>
  <c r="AE581" i="15"/>
  <c r="H143" i="15"/>
  <c r="P329" i="15"/>
  <c r="P459" i="15"/>
  <c r="F694" i="15"/>
  <c r="U587" i="15"/>
  <c r="U519" i="15"/>
  <c r="U539" i="15"/>
  <c r="U567" i="15"/>
  <c r="U659" i="15"/>
  <c r="P95" i="15"/>
  <c r="Q209" i="15"/>
  <c r="AE557" i="15"/>
  <c r="AE519" i="15"/>
  <c r="AE585" i="15"/>
  <c r="AA796" i="15"/>
  <c r="Q281" i="15"/>
  <c r="AE597" i="15"/>
  <c r="P317" i="15"/>
  <c r="Q273" i="15"/>
  <c r="AE543" i="15"/>
  <c r="U551" i="15"/>
  <c r="AE525" i="15"/>
  <c r="M17" i="15"/>
  <c r="O77" i="15"/>
  <c r="O81" i="15" s="1"/>
  <c r="P323" i="15"/>
  <c r="P111" i="15"/>
  <c r="P27" i="15"/>
  <c r="G677" i="15"/>
  <c r="H147" i="15"/>
  <c r="AE521" i="15"/>
  <c r="AE587" i="15"/>
  <c r="P149" i="15"/>
  <c r="Q219" i="15"/>
  <c r="Q177" i="15"/>
  <c r="AE551" i="15"/>
  <c r="P399" i="15"/>
  <c r="P465" i="15"/>
  <c r="P441" i="15"/>
  <c r="U589" i="15"/>
  <c r="U617" i="15"/>
  <c r="U573" i="15"/>
  <c r="U555" i="15"/>
  <c r="Q525" i="15"/>
  <c r="P311" i="15"/>
  <c r="M137" i="15"/>
  <c r="O71" i="15"/>
  <c r="O75" i="15" s="1"/>
  <c r="P455" i="15"/>
  <c r="P89" i="15"/>
  <c r="P63" i="15"/>
  <c r="AE563" i="15"/>
  <c r="AE533" i="15"/>
  <c r="Q221" i="15"/>
  <c r="Q287" i="15"/>
  <c r="P327" i="15"/>
  <c r="P395" i="15"/>
  <c r="P335" i="15"/>
  <c r="P315" i="15"/>
  <c r="U599" i="15"/>
  <c r="Q267" i="15"/>
  <c r="U561" i="15"/>
  <c r="U575" i="15"/>
  <c r="U81" i="15"/>
  <c r="P143" i="15"/>
  <c r="P461" i="15"/>
  <c r="P51" i="15"/>
  <c r="P17" i="15"/>
  <c r="G273" i="15"/>
  <c r="AE539" i="15"/>
  <c r="AE555" i="15"/>
  <c r="AE561" i="15"/>
  <c r="AE537" i="15"/>
  <c r="AE599" i="15"/>
  <c r="Q215" i="15"/>
  <c r="Q291" i="15"/>
  <c r="AA461" i="15"/>
  <c r="P345" i="15"/>
  <c r="Q263" i="15"/>
  <c r="U543" i="15"/>
  <c r="AE111" i="15"/>
  <c r="M83" i="15"/>
  <c r="M143" i="15"/>
  <c r="P339" i="15"/>
  <c r="P65" i="15"/>
  <c r="AE509" i="15"/>
  <c r="AE513" i="15"/>
  <c r="AE617" i="15"/>
  <c r="Z83" i="15"/>
  <c r="H77" i="15"/>
  <c r="O797" i="15"/>
  <c r="O798" i="15" s="1"/>
  <c r="U563" i="15"/>
  <c r="U585" i="15"/>
  <c r="U581" i="15"/>
  <c r="U515" i="15"/>
  <c r="G119" i="15"/>
  <c r="P209" i="15"/>
  <c r="M691" i="15"/>
  <c r="M697" i="15" s="1"/>
  <c r="L651" i="16"/>
  <c r="N153" i="16"/>
  <c r="AA293" i="16"/>
  <c r="N657" i="16"/>
  <c r="AA653" i="16"/>
  <c r="N797" i="16"/>
  <c r="AA797" i="16"/>
  <c r="N875" i="16"/>
  <c r="AA963" i="16"/>
  <c r="AA657" i="16"/>
  <c r="AA801" i="16"/>
  <c r="N879" i="16"/>
  <c r="Z297" i="16"/>
  <c r="L365" i="16"/>
  <c r="AA958" i="16"/>
  <c r="L437" i="16"/>
  <c r="Y149" i="16"/>
  <c r="M153" i="16"/>
  <c r="M149" i="16"/>
  <c r="Z801" i="16"/>
  <c r="L527" i="16"/>
  <c r="Y653" i="16"/>
  <c r="K297" i="16"/>
  <c r="K653" i="16"/>
  <c r="M801" i="16"/>
  <c r="X149" i="16"/>
  <c r="X297" i="16"/>
  <c r="X653" i="16"/>
  <c r="K657" i="16"/>
  <c r="K875" i="16"/>
  <c r="L581" i="16"/>
  <c r="L479" i="16"/>
  <c r="L359" i="16"/>
  <c r="L483" i="16"/>
  <c r="Y657" i="16"/>
  <c r="Y879" i="16"/>
  <c r="L351" i="16"/>
  <c r="L849" i="16"/>
  <c r="Z293" i="16"/>
  <c r="Z963" i="16"/>
  <c r="Y797" i="16"/>
  <c r="Z653" i="16"/>
  <c r="Z657" i="16"/>
  <c r="N149" i="16"/>
  <c r="N297" i="16"/>
  <c r="AA297" i="16"/>
  <c r="N653" i="16"/>
  <c r="L587" i="16"/>
  <c r="L357" i="16"/>
  <c r="L591" i="16"/>
  <c r="AD701" i="16"/>
  <c r="Y153" i="16"/>
  <c r="Y989" i="16"/>
  <c r="Y990" i="16" s="1"/>
  <c r="X153" i="16"/>
  <c r="X657" i="16"/>
  <c r="K797" i="16"/>
  <c r="L149" i="16"/>
  <c r="L297" i="16"/>
  <c r="Z879" i="16"/>
  <c r="AA879" i="16"/>
  <c r="M875" i="16"/>
  <c r="Y801" i="16"/>
  <c r="L347" i="16"/>
  <c r="L363" i="16"/>
  <c r="Y297" i="16"/>
  <c r="Y293" i="16"/>
  <c r="K149" i="16"/>
  <c r="X797" i="16"/>
  <c r="L153" i="16"/>
  <c r="L293" i="16"/>
  <c r="M293" i="16"/>
  <c r="M797" i="16"/>
  <c r="Y875" i="16"/>
  <c r="L353" i="16"/>
  <c r="L369" i="16"/>
  <c r="Z153" i="16"/>
  <c r="L371" i="16"/>
  <c r="L375" i="16"/>
  <c r="L449" i="16"/>
  <c r="Z149" i="16"/>
  <c r="Z875" i="16"/>
  <c r="M959" i="16"/>
  <c r="AA149" i="16"/>
  <c r="N293" i="16"/>
  <c r="AA875" i="16"/>
  <c r="N963" i="16"/>
  <c r="L443" i="16"/>
  <c r="L441" i="16"/>
  <c r="L531" i="16"/>
  <c r="M297" i="16"/>
  <c r="M879" i="16"/>
  <c r="N801" i="16"/>
  <c r="M971" i="16"/>
  <c r="L869" i="16"/>
  <c r="L845" i="16"/>
  <c r="L837" i="16"/>
  <c r="ES45" i="6"/>
  <c r="M490" i="15"/>
  <c r="R683" i="15"/>
  <c r="U583" i="15"/>
  <c r="H681" i="15"/>
  <c r="G143" i="15"/>
  <c r="R677" i="15"/>
  <c r="H675" i="15"/>
  <c r="M491" i="15"/>
  <c r="G659" i="15"/>
  <c r="H517" i="15"/>
  <c r="U577" i="15"/>
  <c r="U559" i="15"/>
  <c r="H559" i="15"/>
  <c r="H577" i="15"/>
  <c r="G81" i="15"/>
  <c r="R647" i="15"/>
  <c r="AD796" i="15"/>
  <c r="AD798" i="15" s="1"/>
  <c r="R657" i="15"/>
  <c r="U517" i="15"/>
  <c r="R681" i="15"/>
  <c r="U619" i="15"/>
  <c r="H671" i="15"/>
  <c r="Q797" i="15"/>
  <c r="Q798" i="15" s="1"/>
  <c r="G796" i="15"/>
  <c r="R687" i="15"/>
  <c r="Q555" i="15"/>
  <c r="T123" i="15"/>
  <c r="H677" i="15"/>
  <c r="M492" i="15"/>
  <c r="U601" i="15"/>
  <c r="G563" i="15"/>
  <c r="H601" i="15"/>
  <c r="P627" i="15"/>
  <c r="P597" i="15"/>
  <c r="R797" i="15"/>
  <c r="R798" i="15" s="1"/>
  <c r="G797" i="15"/>
  <c r="R651" i="15"/>
  <c r="M789" i="15"/>
  <c r="M795" i="15" s="1"/>
  <c r="H565" i="15"/>
  <c r="H201" i="15"/>
  <c r="U571" i="15"/>
  <c r="P563" i="15"/>
  <c r="P561" i="15"/>
  <c r="H553" i="15"/>
  <c r="G335" i="15"/>
  <c r="T796" i="15"/>
  <c r="U337" i="15"/>
  <c r="U233" i="15"/>
  <c r="M638" i="15"/>
  <c r="M686" i="15" s="1"/>
  <c r="AC796" i="15"/>
  <c r="AC798" i="15" s="1"/>
  <c r="H619" i="15"/>
  <c r="U553" i="15"/>
  <c r="H571" i="15"/>
  <c r="G681" i="15"/>
  <c r="U797" i="15"/>
  <c r="R653" i="15"/>
  <c r="H541" i="15"/>
  <c r="U565" i="15"/>
  <c r="H583" i="15"/>
  <c r="Q645" i="15"/>
  <c r="ES36" i="6"/>
  <c r="EV36" i="6"/>
  <c r="ET36" i="6"/>
  <c r="ET31" i="6"/>
  <c r="EV31" i="6"/>
  <c r="EU31" i="6"/>
  <c r="Q95" i="15"/>
  <c r="Q111" i="15"/>
  <c r="Q147" i="15"/>
  <c r="Q141" i="15"/>
  <c r="Q23" i="15"/>
  <c r="Q117" i="15"/>
  <c r="Q33" i="15"/>
  <c r="Q77" i="15"/>
  <c r="Q135" i="15"/>
  <c r="Q27" i="15"/>
  <c r="Q83" i="15"/>
  <c r="Q69" i="15"/>
  <c r="Q93" i="15"/>
  <c r="Q89" i="15"/>
  <c r="Q123" i="15"/>
  <c r="Q59" i="15"/>
  <c r="Q75" i="15"/>
  <c r="Q21" i="15"/>
  <c r="Q131" i="15"/>
  <c r="Q17" i="15"/>
  <c r="Q35" i="15"/>
  <c r="Q105" i="15"/>
  <c r="Q29" i="15"/>
  <c r="AB35" i="15"/>
  <c r="AB39" i="15" s="1"/>
  <c r="AB65" i="15"/>
  <c r="AB69" i="15" s="1"/>
  <c r="AB89" i="15"/>
  <c r="AB93" i="15" s="1"/>
  <c r="AB137" i="15"/>
  <c r="AB141" i="15" s="1"/>
  <c r="AB59" i="15"/>
  <c r="AB63" i="15" s="1"/>
  <c r="AB77" i="15"/>
  <c r="AB81" i="15" s="1"/>
  <c r="AB47" i="15"/>
  <c r="AB51" i="15" s="1"/>
  <c r="AB131" i="15"/>
  <c r="AB135" i="15" s="1"/>
  <c r="AB119" i="15"/>
  <c r="AB123" i="15" s="1"/>
  <c r="AB83" i="15"/>
  <c r="AB87" i="15" s="1"/>
  <c r="AB107" i="15"/>
  <c r="AB111" i="15" s="1"/>
  <c r="AB143" i="15"/>
  <c r="AB147" i="15" s="1"/>
  <c r="AB95" i="15"/>
  <c r="AB99" i="15" s="1"/>
  <c r="AB71" i="15"/>
  <c r="AB75" i="15" s="1"/>
  <c r="AB317" i="15"/>
  <c r="AB321" i="15" s="1"/>
  <c r="AB323" i="15"/>
  <c r="AB327" i="15" s="1"/>
  <c r="AB311" i="15"/>
  <c r="AB315" i="15" s="1"/>
  <c r="AB461" i="15"/>
  <c r="AB465" i="15" s="1"/>
  <c r="AB329" i="15"/>
  <c r="AB333" i="15" s="1"/>
  <c r="H347" i="15"/>
  <c r="H351" i="15"/>
  <c r="H357" i="15"/>
  <c r="H479" i="15"/>
  <c r="H327" i="15"/>
  <c r="H353" i="15"/>
  <c r="H333" i="15"/>
  <c r="H329" i="15"/>
  <c r="H323" i="15"/>
  <c r="H317" i="15"/>
  <c r="R351" i="15"/>
  <c r="R393" i="15"/>
  <c r="R335" i="15"/>
  <c r="R341" i="15"/>
  <c r="R321" i="15"/>
  <c r="R465" i="15"/>
  <c r="R399" i="15"/>
  <c r="R347" i="15"/>
  <c r="R323" i="15"/>
  <c r="R395" i="15"/>
  <c r="R315" i="15"/>
  <c r="R345" i="15"/>
  <c r="R455" i="15"/>
  <c r="R459" i="15"/>
  <c r="R441" i="15"/>
  <c r="AC399" i="15"/>
  <c r="AC465" i="15"/>
  <c r="AC455" i="15"/>
  <c r="AC329" i="15"/>
  <c r="AC395" i="15"/>
  <c r="AC315" i="15"/>
  <c r="AC339" i="15"/>
  <c r="AC341" i="15"/>
  <c r="AC459" i="15"/>
  <c r="AC441" i="15"/>
  <c r="AC317" i="15"/>
  <c r="AC323" i="15"/>
  <c r="AC351" i="15"/>
  <c r="AB515" i="15"/>
  <c r="AB599" i="15"/>
  <c r="AB603" i="15" s="1"/>
  <c r="AC311" i="15"/>
  <c r="Q113" i="15"/>
  <c r="H483" i="15"/>
  <c r="R311" i="15"/>
  <c r="R339" i="15"/>
  <c r="U235" i="15"/>
  <c r="U217" i="15"/>
  <c r="U223" i="15"/>
  <c r="U271" i="15"/>
  <c r="U169" i="15"/>
  <c r="U229" i="15"/>
  <c r="U211" i="15"/>
  <c r="AC333" i="15"/>
  <c r="R405" i="15"/>
  <c r="H321" i="15"/>
  <c r="Q71" i="15"/>
  <c r="U199" i="15"/>
  <c r="AD69" i="15"/>
  <c r="AD141" i="15"/>
  <c r="AD27" i="15"/>
  <c r="AD35" i="15"/>
  <c r="AD107" i="15"/>
  <c r="AD51" i="15"/>
  <c r="AD39" i="15"/>
  <c r="AD33" i="15"/>
  <c r="AD63" i="15"/>
  <c r="AD93" i="15"/>
  <c r="AD81" i="15"/>
  <c r="AD137" i="15"/>
  <c r="AD17" i="15"/>
  <c r="AD105" i="15"/>
  <c r="AD117" i="15"/>
  <c r="AD83" i="15"/>
  <c r="AD123" i="15"/>
  <c r="AB791" i="15"/>
  <c r="AB796" i="15"/>
  <c r="AC347" i="15"/>
  <c r="R479" i="15"/>
  <c r="Q137" i="15"/>
  <c r="Q65" i="15"/>
  <c r="Q51" i="15"/>
  <c r="Q143" i="15"/>
  <c r="Q87" i="15"/>
  <c r="M119" i="15"/>
  <c r="M35" i="15"/>
  <c r="M131" i="15"/>
  <c r="O173" i="15"/>
  <c r="O177" i="15" s="1"/>
  <c r="O287" i="15"/>
  <c r="O291" i="15" s="1"/>
  <c r="F499" i="15"/>
  <c r="M499" i="15" s="1"/>
  <c r="M493" i="15"/>
  <c r="AC321" i="15"/>
  <c r="R437" i="15"/>
  <c r="AB17" i="15"/>
  <c r="Q47" i="15"/>
  <c r="Q39" i="15"/>
  <c r="G77" i="15"/>
  <c r="G123" i="15"/>
  <c r="G27" i="15"/>
  <c r="G23" i="15"/>
  <c r="G65" i="15"/>
  <c r="G21" i="15"/>
  <c r="G17" i="15"/>
  <c r="O17" i="15"/>
  <c r="O21" i="15" s="1"/>
  <c r="O131" i="15"/>
  <c r="O135" i="15" s="1"/>
  <c r="O59" i="15"/>
  <c r="O63" i="15" s="1"/>
  <c r="O149" i="15"/>
  <c r="O153" i="15" s="1"/>
  <c r="O119" i="15"/>
  <c r="O123" i="15" s="1"/>
  <c r="O95" i="15"/>
  <c r="O99" i="15" s="1"/>
  <c r="O35" i="15"/>
  <c r="O39" i="15" s="1"/>
  <c r="O137" i="15"/>
  <c r="O141" i="15" s="1"/>
  <c r="O83" i="15"/>
  <c r="O87" i="15" s="1"/>
  <c r="O89" i="15"/>
  <c r="O93" i="15" s="1"/>
  <c r="O65" i="15"/>
  <c r="O69" i="15" s="1"/>
  <c r="AC437" i="15"/>
  <c r="AC345" i="15"/>
  <c r="Q119" i="15"/>
  <c r="R401" i="15"/>
  <c r="H119" i="15"/>
  <c r="H123" i="15"/>
  <c r="H17" i="15"/>
  <c r="H47" i="15"/>
  <c r="H81" i="15"/>
  <c r="H117" i="15"/>
  <c r="H69" i="15"/>
  <c r="H93" i="15"/>
  <c r="H21" i="15"/>
  <c r="H89" i="15"/>
  <c r="H27" i="15"/>
  <c r="H65" i="15"/>
  <c r="H23" i="15"/>
  <c r="H796" i="15"/>
  <c r="P77" i="15"/>
  <c r="P21" i="15"/>
  <c r="P29" i="15"/>
  <c r="P39" i="15"/>
  <c r="P107" i="15"/>
  <c r="P23" i="15"/>
  <c r="P69" i="15"/>
  <c r="P47" i="15"/>
  <c r="P123" i="15"/>
  <c r="P119" i="15"/>
  <c r="P75" i="15"/>
  <c r="P135" i="15"/>
  <c r="P137" i="15"/>
  <c r="P33" i="15"/>
  <c r="P35" i="15"/>
  <c r="P131" i="15"/>
  <c r="P59" i="15"/>
  <c r="P99" i="15"/>
  <c r="G197" i="15"/>
  <c r="G221" i="15"/>
  <c r="G287" i="15"/>
  <c r="G291" i="15"/>
  <c r="G219" i="15"/>
  <c r="AB557" i="15"/>
  <c r="AB561" i="15" s="1"/>
  <c r="R389" i="15"/>
  <c r="AC327" i="15"/>
  <c r="Q99" i="15"/>
  <c r="R317" i="15"/>
  <c r="AB395" i="15"/>
  <c r="AB399" i="15" s="1"/>
  <c r="Q101" i="15"/>
  <c r="Q63" i="15"/>
  <c r="R329" i="15"/>
  <c r="AA119" i="15"/>
  <c r="AA137" i="15"/>
  <c r="AA107" i="15"/>
  <c r="AA95" i="15"/>
  <c r="AA89" i="15"/>
  <c r="AA83" i="15"/>
  <c r="AA47" i="15"/>
  <c r="AA131" i="15"/>
  <c r="G329" i="15"/>
  <c r="AD459" i="15"/>
  <c r="T325" i="15"/>
  <c r="Z119" i="15"/>
  <c r="AE35" i="15"/>
  <c r="H269" i="15"/>
  <c r="P213" i="15"/>
  <c r="AE107" i="15"/>
  <c r="AE117" i="15"/>
  <c r="AE47" i="15"/>
  <c r="AD321" i="15"/>
  <c r="AE21" i="15"/>
  <c r="AD441" i="15"/>
  <c r="AD351" i="15"/>
  <c r="H519" i="15"/>
  <c r="H575" i="15"/>
  <c r="R509" i="15"/>
  <c r="R617" i="15"/>
  <c r="G327" i="15"/>
  <c r="AE141" i="15"/>
  <c r="AE27" i="15"/>
  <c r="AD315" i="15"/>
  <c r="Z17" i="15"/>
  <c r="H227" i="15"/>
  <c r="H287" i="15"/>
  <c r="P281" i="15"/>
  <c r="AE75" i="15"/>
  <c r="AE83" i="15"/>
  <c r="AE39" i="15"/>
  <c r="AD333" i="15"/>
  <c r="AB173" i="15"/>
  <c r="AE137" i="15"/>
  <c r="U331" i="15"/>
  <c r="H599" i="15"/>
  <c r="H213" i="15"/>
  <c r="R563" i="15"/>
  <c r="H225" i="15"/>
  <c r="AE77" i="15"/>
  <c r="U325" i="15"/>
  <c r="H291" i="15"/>
  <c r="T337" i="15"/>
  <c r="Z796" i="15"/>
  <c r="H197" i="15"/>
  <c r="H215" i="15"/>
  <c r="AE29" i="15"/>
  <c r="AE113" i="15"/>
  <c r="AE17" i="15"/>
  <c r="Z131" i="15"/>
  <c r="Z137" i="15"/>
  <c r="AD323" i="15"/>
  <c r="AD345" i="15"/>
  <c r="P285" i="15"/>
  <c r="H563" i="15"/>
  <c r="H573" i="15"/>
  <c r="H231" i="15"/>
  <c r="H273" i="15"/>
  <c r="Z89" i="15"/>
  <c r="H591" i="15"/>
  <c r="AD335" i="15"/>
  <c r="T797" i="15"/>
  <c r="AD461" i="15"/>
  <c r="AD327" i="15"/>
  <c r="T349" i="15"/>
  <c r="Z65" i="15"/>
  <c r="H167" i="15"/>
  <c r="H219" i="15"/>
  <c r="AE105" i="15"/>
  <c r="AE101" i="15"/>
  <c r="AE123" i="15"/>
  <c r="AD455" i="15"/>
  <c r="P177" i="15"/>
  <c r="H581" i="15"/>
  <c r="H569" i="15"/>
  <c r="H555" i="15"/>
  <c r="H627" i="15"/>
  <c r="AE87" i="15"/>
  <c r="AE119" i="15"/>
  <c r="R593" i="15"/>
  <c r="H623" i="15"/>
  <c r="R537" i="15"/>
  <c r="R533" i="15"/>
  <c r="P287" i="15"/>
  <c r="AD311" i="15"/>
  <c r="AD401" i="15"/>
  <c r="AD399" i="15"/>
  <c r="T331" i="15"/>
  <c r="Z77" i="15"/>
  <c r="H233" i="15"/>
  <c r="P291" i="15"/>
  <c r="AE89" i="15"/>
  <c r="AE131" i="15"/>
  <c r="AE93" i="15"/>
  <c r="H561" i="15"/>
  <c r="H567" i="15"/>
  <c r="H587" i="15"/>
  <c r="R587" i="15"/>
  <c r="AE69" i="15"/>
  <c r="O317" i="15"/>
  <c r="O321" i="15" s="1"/>
  <c r="AE41" i="15"/>
  <c r="AD329" i="15"/>
  <c r="AD317" i="15"/>
  <c r="P275" i="15"/>
  <c r="AE99" i="15"/>
  <c r="AE95" i="15"/>
  <c r="AE81" i="15"/>
  <c r="H551" i="15"/>
  <c r="H621" i="15"/>
  <c r="BB80" i="6" l="1"/>
  <c r="BA80" i="6"/>
  <c r="BB23" i="6"/>
  <c r="V149" i="15"/>
  <c r="BB65" i="6"/>
  <c r="ES65" i="6" s="1"/>
  <c r="BB58" i="6"/>
  <c r="EU58" i="6" s="1"/>
  <c r="BB37" i="6"/>
  <c r="V489" i="15"/>
  <c r="ES61" i="6"/>
  <c r="BD12" i="6"/>
  <c r="BA65" i="6"/>
  <c r="V485" i="15"/>
  <c r="BD53" i="6"/>
  <c r="ET53" i="6" s="1"/>
  <c r="J153" i="15"/>
  <c r="V153" i="15"/>
  <c r="BA58" i="6"/>
  <c r="L885" i="16" s="1"/>
  <c r="L891" i="16" s="1"/>
  <c r="L881" i="16"/>
  <c r="L887" i="16" s="1"/>
  <c r="I149" i="15"/>
  <c r="ES39" i="6"/>
  <c r="L897" i="16"/>
  <c r="L963" i="16" s="1"/>
  <c r="ET45" i="6"/>
  <c r="J149" i="15"/>
  <c r="BB81" i="6"/>
  <c r="ET22" i="6"/>
  <c r="BA37" i="6"/>
  <c r="AE647" i="15"/>
  <c r="AE683" i="15" s="1"/>
  <c r="V633" i="15"/>
  <c r="I485" i="15"/>
  <c r="V629" i="15"/>
  <c r="W633" i="15"/>
  <c r="I153" i="15"/>
  <c r="ET39" i="6"/>
  <c r="J629" i="15"/>
  <c r="W629" i="15"/>
  <c r="W293" i="15"/>
  <c r="J633" i="15"/>
  <c r="W683" i="15"/>
  <c r="L883" i="16"/>
  <c r="L889" i="16" s="1"/>
  <c r="L693" i="16"/>
  <c r="L767" i="16"/>
  <c r="L795" i="16"/>
  <c r="L749" i="16"/>
  <c r="L809" i="16"/>
  <c r="L855" i="16"/>
  <c r="L833" i="16"/>
  <c r="N969" i="16"/>
  <c r="N975" i="16" s="1"/>
  <c r="ET66" i="6"/>
  <c r="ES56" i="6"/>
  <c r="BD44" i="6"/>
  <c r="ET44" i="6" s="1"/>
  <c r="L813" i="16"/>
  <c r="L851" i="16"/>
  <c r="BD77" i="6"/>
  <c r="ET77" i="6" s="1"/>
  <c r="BD30" i="6"/>
  <c r="ET30" i="6" s="1"/>
  <c r="L831" i="16"/>
  <c r="L873" i="16"/>
  <c r="I489" i="15"/>
  <c r="W149" i="15"/>
  <c r="AC293" i="15"/>
  <c r="EU51" i="6"/>
  <c r="H685" i="15"/>
  <c r="ES30" i="6"/>
  <c r="ES23" i="6"/>
  <c r="J485" i="15"/>
  <c r="X494" i="15"/>
  <c r="X500" i="15" s="1"/>
  <c r="L737" i="16"/>
  <c r="L771" i="16"/>
  <c r="L725" i="16"/>
  <c r="ES70" i="6"/>
  <c r="L687" i="16"/>
  <c r="L753" i="16"/>
  <c r="BA81" i="6"/>
  <c r="L719" i="16"/>
  <c r="L707" i="16"/>
  <c r="L723" i="16"/>
  <c r="L755" i="16"/>
  <c r="EU44" i="6"/>
  <c r="L967" i="16"/>
  <c r="L973" i="16" s="1"/>
  <c r="BD70" i="6"/>
  <c r="L689" i="16"/>
  <c r="L791" i="16"/>
  <c r="L789" i="16"/>
  <c r="L747" i="16"/>
  <c r="M989" i="16"/>
  <c r="M990" i="16" s="1"/>
  <c r="L731" i="16"/>
  <c r="ES37" i="6"/>
  <c r="ET51" i="6"/>
  <c r="N973" i="16"/>
  <c r="N990" i="16"/>
  <c r="H798" i="15"/>
  <c r="ES51" i="6"/>
  <c r="EV51" i="6"/>
  <c r="U293" i="15"/>
  <c r="AB683" i="15"/>
  <c r="O629" i="15"/>
  <c r="O665" i="15" s="1"/>
  <c r="O683" i="15" s="1"/>
  <c r="L729" i="16"/>
  <c r="L711" i="16"/>
  <c r="L743" i="16"/>
  <c r="L785" i="16"/>
  <c r="L741" i="16"/>
  <c r="L735" i="16"/>
  <c r="L683" i="16"/>
  <c r="W153" i="15"/>
  <c r="EU79" i="6"/>
  <c r="EU53" i="6"/>
  <c r="ES53" i="6"/>
  <c r="X689" i="15"/>
  <c r="X695" i="15" s="1"/>
  <c r="Z990" i="16"/>
  <c r="J489" i="15"/>
  <c r="W485" i="15"/>
  <c r="EU60" i="6"/>
  <c r="ES60" i="6"/>
  <c r="I683" i="15"/>
  <c r="BD74" i="6"/>
  <c r="BD79" i="6" s="1"/>
  <c r="L977" i="16"/>
  <c r="L983" i="16" s="1"/>
  <c r="L673" i="16"/>
  <c r="ET42" i="6"/>
  <c r="V683" i="15"/>
  <c r="V297" i="15"/>
  <c r="L981" i="16"/>
  <c r="L987" i="16" s="1"/>
  <c r="R293" i="15"/>
  <c r="AE297" i="15"/>
  <c r="AC633" i="15"/>
  <c r="AC629" i="15"/>
  <c r="T153" i="15"/>
  <c r="AE293" i="15"/>
  <c r="U297" i="15"/>
  <c r="ET43" i="6"/>
  <c r="L674" i="16"/>
  <c r="AI82" i="6"/>
  <c r="G485" i="15"/>
  <c r="EU74" i="6"/>
  <c r="R297" i="15"/>
  <c r="N485" i="15"/>
  <c r="BD60" i="6"/>
  <c r="X701" i="15"/>
  <c r="L893" i="16"/>
  <c r="I629" i="15"/>
  <c r="BA44" i="6"/>
  <c r="J297" i="15"/>
  <c r="I687" i="15"/>
  <c r="ET46" i="6"/>
  <c r="L675" i="16"/>
  <c r="AE82" i="6"/>
  <c r="U485" i="15"/>
  <c r="BD35" i="6"/>
  <c r="K494" i="15"/>
  <c r="K500" i="15" s="1"/>
  <c r="AS82" i="6"/>
  <c r="BA16" i="6"/>
  <c r="J683" i="15"/>
  <c r="J687" i="15"/>
  <c r="ES72" i="6"/>
  <c r="EV72" i="6"/>
  <c r="EU72" i="6"/>
  <c r="AD489" i="15"/>
  <c r="I633" i="15"/>
  <c r="W297" i="15"/>
  <c r="BD11" i="6"/>
  <c r="AG82" i="6"/>
  <c r="I297" i="15"/>
  <c r="J293" i="15"/>
  <c r="X704" i="15"/>
  <c r="X770" i="15" s="1"/>
  <c r="BD63" i="6"/>
  <c r="ET63" i="6" s="1"/>
  <c r="L895" i="16"/>
  <c r="L961" i="16" s="1"/>
  <c r="ET18" i="6"/>
  <c r="BD23" i="6"/>
  <c r="ET23" i="6" s="1"/>
  <c r="G489" i="15"/>
  <c r="AE687" i="15"/>
  <c r="I293" i="15"/>
  <c r="W687" i="15"/>
  <c r="W489" i="15"/>
  <c r="L759" i="16"/>
  <c r="V293" i="15"/>
  <c r="BA23" i="6"/>
  <c r="AK82" i="6"/>
  <c r="U683" i="15"/>
  <c r="O633" i="15"/>
  <c r="N149" i="15"/>
  <c r="U798" i="15"/>
  <c r="Q629" i="15"/>
  <c r="Q665" i="15" s="1"/>
  <c r="U489" i="15"/>
  <c r="U151" i="15"/>
  <c r="Q485" i="15"/>
  <c r="G633" i="15"/>
  <c r="U149" i="15"/>
  <c r="T151" i="15"/>
  <c r="T149" i="15"/>
  <c r="G687" i="15"/>
  <c r="U153" i="15"/>
  <c r="U687" i="15"/>
  <c r="T297" i="15"/>
  <c r="T293" i="15"/>
  <c r="P629" i="15"/>
  <c r="P665" i="15" s="1"/>
  <c r="AE485" i="15"/>
  <c r="AD293" i="15"/>
  <c r="Q633" i="15"/>
  <c r="T631" i="15"/>
  <c r="R153" i="15"/>
  <c r="AD629" i="15"/>
  <c r="AD633" i="15"/>
  <c r="R633" i="15"/>
  <c r="AD297" i="15"/>
  <c r="Q489" i="15"/>
  <c r="G629" i="15"/>
  <c r="Z981" i="16"/>
  <c r="Z987" i="16" s="1"/>
  <c r="ES79" i="6"/>
  <c r="EV79" i="6"/>
  <c r="U631" i="15"/>
  <c r="AE489" i="15"/>
  <c r="AA149" i="15"/>
  <c r="P293" i="15"/>
  <c r="T798" i="15"/>
  <c r="G683" i="15"/>
  <c r="AE629" i="15"/>
  <c r="U633" i="15"/>
  <c r="R149" i="15"/>
  <c r="P633" i="15"/>
  <c r="Q293" i="15"/>
  <c r="H683" i="15"/>
  <c r="Q297" i="15"/>
  <c r="AA485" i="15"/>
  <c r="G798" i="15"/>
  <c r="P489" i="15"/>
  <c r="M149" i="15"/>
  <c r="Q153" i="15"/>
  <c r="AD153" i="15"/>
  <c r="P485" i="15"/>
  <c r="M797" i="15"/>
  <c r="M798" i="15" s="1"/>
  <c r="R489" i="15"/>
  <c r="U629" i="15"/>
  <c r="R485" i="15"/>
  <c r="L653" i="16"/>
  <c r="L657" i="16"/>
  <c r="H631" i="15"/>
  <c r="H687" i="15"/>
  <c r="H629" i="15"/>
  <c r="U487" i="15"/>
  <c r="H633" i="15"/>
  <c r="AE149" i="15"/>
  <c r="G293" i="15"/>
  <c r="H153" i="15"/>
  <c r="G153" i="15"/>
  <c r="AC485" i="15"/>
  <c r="H489" i="15"/>
  <c r="AD485" i="15"/>
  <c r="AE153" i="15"/>
  <c r="Z149" i="15"/>
  <c r="AB519" i="15"/>
  <c r="AB633" i="15" s="1"/>
  <c r="AB629" i="15"/>
  <c r="G149" i="15"/>
  <c r="H297" i="15"/>
  <c r="T487" i="15"/>
  <c r="G297" i="15"/>
  <c r="AB149" i="15"/>
  <c r="AB153" i="15" s="1"/>
  <c r="AB21" i="15"/>
  <c r="AB177" i="15"/>
  <c r="AB293" i="15"/>
  <c r="AB297" i="15" s="1"/>
  <c r="AD149" i="15"/>
  <c r="Q149" i="15"/>
  <c r="U295" i="15"/>
  <c r="H293" i="15"/>
  <c r="R629" i="15"/>
  <c r="R665" i="15" s="1"/>
  <c r="H149" i="15"/>
  <c r="AC489" i="15"/>
  <c r="H485" i="15"/>
  <c r="BD58" i="6" l="1"/>
  <c r="ET58" i="6" s="1"/>
  <c r="ES58" i="6"/>
  <c r="ET12" i="6"/>
  <c r="O669" i="15"/>
  <c r="O687" i="15" s="1"/>
  <c r="BB55" i="6"/>
  <c r="BD55" i="6"/>
  <c r="BB82" i="6"/>
  <c r="BD81" i="6"/>
  <c r="L875" i="16"/>
  <c r="L879" i="16"/>
  <c r="L797" i="16"/>
  <c r="L801" i="16"/>
  <c r="EU65" i="6"/>
  <c r="ES44" i="6"/>
  <c r="BD72" i="6"/>
  <c r="ET72" i="6" s="1"/>
  <c r="ET70" i="6"/>
  <c r="ET74" i="6"/>
  <c r="ET79" i="6"/>
  <c r="X796" i="15"/>
  <c r="X767" i="15"/>
  <c r="BA82" i="6"/>
  <c r="BD65" i="6"/>
  <c r="ET65" i="6" s="1"/>
  <c r="ET60" i="6"/>
  <c r="BD80" i="6"/>
  <c r="BD16" i="6"/>
  <c r="BD37" i="6"/>
  <c r="L661" i="16"/>
  <c r="ET35" i="6"/>
  <c r="L959" i="16"/>
  <c r="L988" i="16"/>
  <c r="BE11" i="6"/>
  <c r="ET11" i="6" s="1"/>
  <c r="AT16" i="6"/>
  <c r="AT80" i="6"/>
  <c r="BC80" i="6"/>
  <c r="ET55" i="6" l="1"/>
  <c r="BD57" i="6"/>
  <c r="ET57" i="6" s="1"/>
  <c r="X691" i="15"/>
  <c r="X697" i="15" s="1"/>
  <c r="ES55" i="6"/>
  <c r="BD82" i="6"/>
  <c r="L663" i="16"/>
  <c r="L669" i="16" s="1"/>
  <c r="ET37" i="6"/>
  <c r="BC16" i="6"/>
  <c r="ES16" i="6" s="1"/>
  <c r="L667" i="16"/>
  <c r="L989" i="16"/>
  <c r="L990" i="16" s="1"/>
  <c r="AT82" i="6"/>
  <c r="BE80" i="6"/>
  <c r="EU11" i="6"/>
  <c r="BE16" i="6"/>
  <c r="EV11" i="6"/>
  <c r="ES11" i="6"/>
  <c r="BC82" i="6" l="1"/>
  <c r="BE82" i="6"/>
  <c r="ET16" i="6"/>
  <c r="EV16" i="6"/>
  <c r="P687" i="15" l="1"/>
  <c r="P663" i="15"/>
  <c r="Q687" i="15"/>
  <c r="Q663" i="15"/>
  <c r="Q683" i="15"/>
  <c r="Q671" i="15"/>
  <c r="Q669" i="15"/>
  <c r="Q675" i="15"/>
  <c r="Q641" i="15"/>
  <c r="Q659" i="15"/>
  <c r="P675" i="15"/>
  <c r="P659" i="15"/>
  <c r="P683" i="15"/>
  <c r="P671" i="15"/>
  <c r="P641" i="15"/>
  <c r="P669" i="15"/>
  <c r="R663" i="15"/>
  <c r="R671" i="15"/>
  <c r="R659" i="15"/>
  <c r="R675" i="15"/>
  <c r="R641" i="15"/>
  <c r="R669"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A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B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F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2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1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22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6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8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00000000-0006-0000-0100-000029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2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2D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2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2F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33" authorId="0" shapeId="0" xr:uid="{00000000-0006-0000-0100-000030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3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00000000-0006-0000-0100-000032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100-00003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34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3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00000000-0006-0000-0100-000036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40" authorId="0" shapeId="0" xr:uid="{00000000-0006-0000-0100-000038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00000000-0006-0000-0100-00003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2" authorId="0" shapeId="0" xr:uid="{00000000-0006-0000-0100-00003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43" authorId="0" shapeId="0" xr:uid="{00000000-0006-0000-0100-00003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00000000-0006-0000-0100-00003C000000}">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0000000-0006-0000-0100-00003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46" authorId="0" shapeId="0" xr:uid="{00000000-0006-0000-0100-00003E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47" authorId="0" shapeId="0" xr:uid="{00000000-0006-0000-0100-00003F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8" authorId="0" shapeId="0" xr:uid="{00000000-0006-0000-0100-00004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9" authorId="0" shapeId="0" xr:uid="{00000000-0006-0000-0100-00004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50" authorId="0" shapeId="0" xr:uid="{00000000-0006-0000-0100-00004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51" authorId="0" shapeId="0" xr:uid="{00000000-0006-0000-0100-000043000000}">
      <text>
        <r>
          <rPr>
            <b/>
            <sz val="9"/>
            <color indexed="81"/>
            <rFont val="Tahoma"/>
            <family val="2"/>
          </rPr>
          <t>YULIED.PENARANDA:</t>
        </r>
        <r>
          <rPr>
            <sz val="9"/>
            <color indexed="81"/>
            <rFont val="Tahoma"/>
            <family val="2"/>
          </rPr>
          <t xml:space="preserve">
Se suma los recursos presupuestales (vigencia + reservas)</t>
        </r>
      </text>
    </comment>
    <comment ref="F52" authorId="0" shapeId="0" xr:uid="{00000000-0006-0000-0100-00004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53" authorId="0" shapeId="0" xr:uid="{00000000-0006-0000-0100-000045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54" authorId="0" shapeId="0" xr:uid="{00000000-0006-0000-0100-000046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55" authorId="0" shapeId="0" xr:uid="{00000000-0006-0000-0100-00004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56" authorId="0" shapeId="0" xr:uid="{00000000-0006-0000-0100-00004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57" authorId="0" shapeId="0" xr:uid="{00000000-0006-0000-0100-00004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58" authorId="0" shapeId="0" xr:uid="{00000000-0006-0000-0100-00004A000000}">
      <text>
        <r>
          <rPr>
            <b/>
            <sz val="9"/>
            <color indexed="81"/>
            <rFont val="Tahoma"/>
            <family val="2"/>
          </rPr>
          <t>YULIED.PENARANDA:</t>
        </r>
        <r>
          <rPr>
            <sz val="9"/>
            <color indexed="81"/>
            <rFont val="Tahoma"/>
            <family val="2"/>
          </rPr>
          <t xml:space="preserve">
Se suma los recursos presupuestales (vigencia + reservas)</t>
        </r>
      </text>
    </comment>
    <comment ref="F59" authorId="0" shapeId="0" xr:uid="{00000000-0006-0000-0100-00004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60" authorId="0" shapeId="0" xr:uid="{00000000-0006-0000-0100-00004C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61" authorId="0" shapeId="0" xr:uid="{00000000-0006-0000-0100-00004D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62" authorId="0" shapeId="0" xr:uid="{00000000-0006-0000-0100-00004E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63" authorId="0" shapeId="0" xr:uid="{00000000-0006-0000-0100-00004F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64" authorId="0" shapeId="0" xr:uid="{00000000-0006-0000-0100-000050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65" authorId="0" shapeId="0" xr:uid="{00000000-0006-0000-0100-000051000000}">
      <text>
        <r>
          <rPr>
            <b/>
            <sz val="9"/>
            <color indexed="81"/>
            <rFont val="Tahoma"/>
            <family val="2"/>
          </rPr>
          <t>YULIED.PENARANDA:</t>
        </r>
        <r>
          <rPr>
            <sz val="9"/>
            <color indexed="81"/>
            <rFont val="Tahoma"/>
            <family val="2"/>
          </rPr>
          <t xml:space="preserve">
Se suma los recursos presupuestales (vigencia + reservas)</t>
        </r>
      </text>
    </comment>
    <comment ref="F66" authorId="0" shapeId="0" xr:uid="{00000000-0006-0000-0100-00005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67" authorId="0" shapeId="0" xr:uid="{00000000-0006-0000-0100-000053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68" authorId="0" shapeId="0" xr:uid="{00000000-0006-0000-0100-000054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69" authorId="0" shapeId="0" xr:uid="{00000000-0006-0000-0100-00005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70" authorId="0" shapeId="0" xr:uid="{00000000-0006-0000-0100-00005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71" authorId="0" shapeId="0" xr:uid="{00000000-0006-0000-0100-00005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72" authorId="0" shapeId="0" xr:uid="{00000000-0006-0000-0100-000058000000}">
      <text>
        <r>
          <rPr>
            <b/>
            <sz val="9"/>
            <color indexed="81"/>
            <rFont val="Tahoma"/>
            <family val="2"/>
          </rPr>
          <t>YULIED.PENARANDA:</t>
        </r>
        <r>
          <rPr>
            <sz val="9"/>
            <color indexed="81"/>
            <rFont val="Tahoma"/>
            <family val="2"/>
          </rPr>
          <t xml:space="preserve">
Se suma los recursos presupuestales (vigencia + reservas)</t>
        </r>
      </text>
    </comment>
    <comment ref="F73" authorId="0" shapeId="0" xr:uid="{00000000-0006-0000-0100-00005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74" authorId="0" shapeId="0" xr:uid="{00000000-0006-0000-0100-00005A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75" authorId="0" shapeId="0" xr:uid="{00000000-0006-0000-0100-00005B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76" authorId="0" shapeId="0" xr:uid="{00000000-0006-0000-0100-00005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77" authorId="0" shapeId="0" xr:uid="{00000000-0006-0000-0100-00005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78" authorId="0" shapeId="0" xr:uid="{00000000-0006-0000-0100-00005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79" authorId="0" shapeId="0" xr:uid="{00000000-0006-0000-0100-00005F000000}">
      <text>
        <r>
          <rPr>
            <b/>
            <sz val="9"/>
            <color indexed="81"/>
            <rFont val="Tahoma"/>
            <family val="2"/>
          </rPr>
          <t>YULIED.PENARANDA:</t>
        </r>
        <r>
          <rPr>
            <sz val="9"/>
            <color indexed="81"/>
            <rFont val="Tahoma"/>
            <family val="2"/>
          </rPr>
          <t xml:space="preserve">
Se suma los recursos presupuestales (vigencia + reservas)</t>
        </r>
      </text>
    </comment>
    <comment ref="F80" authorId="0" shapeId="0" xr:uid="{00000000-0006-0000-0100-000060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81" authorId="0" shapeId="0" xr:uid="{00000000-0006-0000-0100-000061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82" authorId="0" shapeId="0" xr:uid="{00000000-0006-0000-0100-000062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NanaWayuu</author>
    <author>YULIED.PENARANDA</author>
  </authors>
  <commentList>
    <comment ref="AF9" authorId="0" shapeId="0" xr:uid="{00000000-0006-0000-0300-000001000000}">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0" shapeId="0" xr:uid="{00000000-0006-0000-0300-000002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0" shapeId="0" xr:uid="{00000000-0006-0000-0300-000003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0" shapeId="0" xr:uid="{00000000-0006-0000-0300-00000400000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0" shapeId="0" xr:uid="{00000000-0006-0000-0300-000005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0" shapeId="0" xr:uid="{00000000-0006-0000-0300-000006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1" shapeId="0" xr:uid="{00000000-0006-0000-0300-000007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0" shapeId="0" xr:uid="{00000000-0006-0000-0300-000008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1" shapeId="0" xr:uid="{00000000-0006-0000-0300-000009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0" shapeId="0" xr:uid="{00000000-0006-0000-0300-00000A000000}">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1" shapeId="0" xr:uid="{00000000-0006-0000-0300-00000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1" shapeId="0" xr:uid="{00000000-0006-0000-0300-00000C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1" shapeId="0" xr:uid="{00000000-0006-0000-0300-00000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1" shapeId="0" xr:uid="{00000000-0006-0000-0300-00000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1" shapeId="0" xr:uid="{00000000-0006-0000-0300-00000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1" shapeId="0" xr:uid="{00000000-0006-0000-0300-000010000000}">
      <text>
        <r>
          <rPr>
            <b/>
            <sz val="9"/>
            <color indexed="81"/>
            <rFont val="Tahoma"/>
            <family val="2"/>
          </rPr>
          <t>YULIED.PENARANDA:</t>
        </r>
        <r>
          <rPr>
            <sz val="9"/>
            <color indexed="81"/>
            <rFont val="Tahoma"/>
            <family val="2"/>
          </rPr>
          <t xml:space="preserve">
Se suma los recursos presupuestales (vigencia + reservas)</t>
        </r>
      </text>
    </comment>
    <comment ref="D16" authorId="1" shapeId="0" xr:uid="{00000000-0006-0000-0300-00001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1" shapeId="0" xr:uid="{00000000-0006-0000-0300-00001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1" shapeId="0" xr:uid="{00000000-0006-0000-0300-00001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1" shapeId="0" xr:uid="{00000000-0006-0000-0300-00001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1" shapeId="0" xr:uid="{00000000-0006-0000-0300-00001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1" shapeId="0" xr:uid="{00000000-0006-0000-0300-000016000000}">
      <text>
        <r>
          <rPr>
            <b/>
            <sz val="9"/>
            <color indexed="81"/>
            <rFont val="Tahoma"/>
            <family val="2"/>
          </rPr>
          <t>YULIED.PENARANDA:</t>
        </r>
        <r>
          <rPr>
            <sz val="9"/>
            <color indexed="81"/>
            <rFont val="Tahoma"/>
            <family val="2"/>
          </rPr>
          <t xml:space="preserve">
Se suma los recursos presupuestales (vigencia + reservas)</t>
        </r>
      </text>
    </comment>
    <comment ref="D22" authorId="1" shapeId="0" xr:uid="{00000000-0006-0000-0300-00001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1" shapeId="0" xr:uid="{00000000-0006-0000-0300-00001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1" shapeId="0" xr:uid="{00000000-0006-0000-0300-00001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1" shapeId="0" xr:uid="{00000000-0006-0000-0300-00001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1" shapeId="0" xr:uid="{00000000-0006-0000-0300-00001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1" shapeId="0" xr:uid="{00000000-0006-0000-0300-00001C000000}">
      <text>
        <r>
          <rPr>
            <b/>
            <sz val="9"/>
            <color indexed="81"/>
            <rFont val="Tahoma"/>
            <family val="2"/>
          </rPr>
          <t>YULIED.PENARANDA:</t>
        </r>
        <r>
          <rPr>
            <sz val="9"/>
            <color indexed="81"/>
            <rFont val="Tahoma"/>
            <family val="2"/>
          </rPr>
          <t xml:space="preserve">
Se suma los recursos presupuestales (vigencia + reservas)</t>
        </r>
      </text>
    </comment>
    <comment ref="D28" authorId="1" shapeId="0" xr:uid="{00000000-0006-0000-0300-00001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1" shapeId="0" xr:uid="{00000000-0006-0000-0300-00001E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1" shapeId="0" xr:uid="{00000000-0006-0000-0300-00001F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1" shapeId="0" xr:uid="{00000000-0006-0000-0300-000020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1" shapeId="0" xr:uid="{00000000-0006-0000-0300-000021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1" shapeId="0" xr:uid="{00000000-0006-0000-0300-000022000000}">
      <text>
        <r>
          <rPr>
            <b/>
            <sz val="9"/>
            <color indexed="81"/>
            <rFont val="Tahoma"/>
            <family val="2"/>
          </rPr>
          <t>YULIED.PENARANDA:</t>
        </r>
        <r>
          <rPr>
            <sz val="9"/>
            <color indexed="81"/>
            <rFont val="Tahoma"/>
            <family val="2"/>
          </rPr>
          <t xml:space="preserve">
Se suma los recursos presupuestales (vigencia + reservas)</t>
        </r>
      </text>
    </comment>
    <comment ref="D34" authorId="1" shapeId="0" xr:uid="{00000000-0006-0000-0300-00002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1" shapeId="0" xr:uid="{00000000-0006-0000-0300-000024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1" shapeId="0" xr:uid="{00000000-0006-0000-0300-00002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1" shapeId="0" xr:uid="{00000000-0006-0000-0300-00002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1" shapeId="0" xr:uid="{00000000-0006-0000-0300-00002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1" shapeId="0" xr:uid="{00000000-0006-0000-0300-000028000000}">
      <text>
        <r>
          <rPr>
            <b/>
            <sz val="9"/>
            <color indexed="81"/>
            <rFont val="Tahoma"/>
            <family val="2"/>
          </rPr>
          <t>YULIED.PENARANDA:</t>
        </r>
        <r>
          <rPr>
            <sz val="9"/>
            <color indexed="81"/>
            <rFont val="Tahoma"/>
            <family val="2"/>
          </rPr>
          <t xml:space="preserve">
Se suma los recursos presupuestales (vigencia + reservas)</t>
        </r>
      </text>
    </comment>
    <comment ref="D40" authorId="1" shapeId="0" xr:uid="{00000000-0006-0000-0300-00002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1" shapeId="0" xr:uid="{00000000-0006-0000-0300-00002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 authorId="1" shapeId="0" xr:uid="{00000000-0006-0000-0300-00002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 authorId="1" shapeId="0" xr:uid="{00000000-0006-0000-0300-00002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1" shapeId="0" xr:uid="{00000000-0006-0000-0300-00002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 authorId="1" shapeId="0" xr:uid="{00000000-0006-0000-0300-00002E000000}">
      <text>
        <r>
          <rPr>
            <b/>
            <sz val="9"/>
            <color indexed="81"/>
            <rFont val="Tahoma"/>
            <family val="2"/>
          </rPr>
          <t>YULIED.PENARANDA:</t>
        </r>
        <r>
          <rPr>
            <sz val="9"/>
            <color indexed="81"/>
            <rFont val="Tahoma"/>
            <family val="2"/>
          </rPr>
          <t xml:space="preserve">
Se suma los recursos presupuestales (vigencia + reservas)</t>
        </r>
      </text>
    </comment>
    <comment ref="D46" authorId="1" shapeId="0" xr:uid="{00000000-0006-0000-0300-00002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 authorId="1" shapeId="0" xr:uid="{00000000-0006-0000-0300-000030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 authorId="1" shapeId="0" xr:uid="{00000000-0006-0000-0300-00003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 authorId="1" shapeId="0" xr:uid="{00000000-0006-0000-0300-000032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 authorId="1" shapeId="0" xr:uid="{00000000-0006-0000-0300-00003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 authorId="1" shapeId="0" xr:uid="{00000000-0006-0000-0300-000034000000}">
      <text>
        <r>
          <rPr>
            <b/>
            <sz val="9"/>
            <color indexed="81"/>
            <rFont val="Tahoma"/>
            <family val="2"/>
          </rPr>
          <t>YULIED.PENARANDA:</t>
        </r>
        <r>
          <rPr>
            <sz val="9"/>
            <color indexed="81"/>
            <rFont val="Tahoma"/>
            <family val="2"/>
          </rPr>
          <t xml:space="preserve">
Se suma los recursos presupuestales (vigencia + reservas)</t>
        </r>
      </text>
    </comment>
    <comment ref="D52" authorId="1" shapeId="0" xr:uid="{00000000-0006-0000-0300-00003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 authorId="1" shapeId="0" xr:uid="{00000000-0006-0000-0300-000036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 authorId="1" shapeId="0" xr:uid="{00000000-0006-0000-0300-00003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 authorId="1" shapeId="0" xr:uid="{00000000-0006-0000-0300-00003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 authorId="1" shapeId="0" xr:uid="{00000000-0006-0000-0300-00003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 authorId="1" shapeId="0" xr:uid="{00000000-0006-0000-0300-00003A000000}">
      <text>
        <r>
          <rPr>
            <b/>
            <sz val="9"/>
            <color indexed="81"/>
            <rFont val="Tahoma"/>
            <family val="2"/>
          </rPr>
          <t>YULIED.PENARANDA:</t>
        </r>
        <r>
          <rPr>
            <sz val="9"/>
            <color indexed="81"/>
            <rFont val="Tahoma"/>
            <family val="2"/>
          </rPr>
          <t xml:space="preserve">
Se suma los recursos presupuestales (vigencia + reservas)</t>
        </r>
      </text>
    </comment>
    <comment ref="D58" authorId="1" shapeId="0" xr:uid="{00000000-0006-0000-0300-00003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 authorId="1" shapeId="0" xr:uid="{00000000-0006-0000-0300-00003C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0" authorId="1" shapeId="0" xr:uid="{00000000-0006-0000-0300-00003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1" authorId="1" shapeId="0" xr:uid="{00000000-0006-0000-0300-00003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 authorId="1" shapeId="0" xr:uid="{00000000-0006-0000-0300-00003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 authorId="1" shapeId="0" xr:uid="{00000000-0006-0000-0300-000040000000}">
      <text>
        <r>
          <rPr>
            <b/>
            <sz val="9"/>
            <color indexed="81"/>
            <rFont val="Tahoma"/>
            <family val="2"/>
          </rPr>
          <t>YULIED.PENARANDA:</t>
        </r>
        <r>
          <rPr>
            <sz val="9"/>
            <color indexed="81"/>
            <rFont val="Tahoma"/>
            <family val="2"/>
          </rPr>
          <t xml:space="preserve">
Se suma los recursos presupuestales (vigencia + reservas)</t>
        </r>
      </text>
    </comment>
    <comment ref="D64" authorId="1" shapeId="0" xr:uid="{00000000-0006-0000-0300-00004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5" authorId="1" shapeId="0" xr:uid="{00000000-0006-0000-0300-00004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6" authorId="1" shapeId="0" xr:uid="{00000000-0006-0000-0300-00004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7" authorId="1" shapeId="0" xr:uid="{00000000-0006-0000-0300-00004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 authorId="1" shapeId="0" xr:uid="{00000000-0006-0000-0300-00004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 authorId="1" shapeId="0" xr:uid="{00000000-0006-0000-0300-000046000000}">
      <text>
        <r>
          <rPr>
            <b/>
            <sz val="9"/>
            <color indexed="81"/>
            <rFont val="Tahoma"/>
            <family val="2"/>
          </rPr>
          <t>YULIED.PENARANDA:</t>
        </r>
        <r>
          <rPr>
            <sz val="9"/>
            <color indexed="81"/>
            <rFont val="Tahoma"/>
            <family val="2"/>
          </rPr>
          <t xml:space="preserve">
Se suma los recursos presupuestales (vigencia + reservas)</t>
        </r>
      </text>
    </comment>
    <comment ref="D70" authorId="1" shapeId="0" xr:uid="{00000000-0006-0000-0300-00004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1" authorId="1" shapeId="0" xr:uid="{00000000-0006-0000-0300-00004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2" authorId="1" shapeId="0" xr:uid="{00000000-0006-0000-0300-00004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3" authorId="1" shapeId="0" xr:uid="{00000000-0006-0000-0300-00004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4" authorId="1" shapeId="0" xr:uid="{00000000-0006-0000-0300-00004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5" authorId="1" shapeId="0" xr:uid="{00000000-0006-0000-0300-00004C000000}">
      <text>
        <r>
          <rPr>
            <b/>
            <sz val="9"/>
            <color indexed="81"/>
            <rFont val="Tahoma"/>
            <family val="2"/>
          </rPr>
          <t>YULIED.PENARANDA:</t>
        </r>
        <r>
          <rPr>
            <sz val="9"/>
            <color indexed="81"/>
            <rFont val="Tahoma"/>
            <family val="2"/>
          </rPr>
          <t xml:space="preserve">
Se suma los recursos presupuestales (vigencia + reservas)</t>
        </r>
      </text>
    </comment>
    <comment ref="D76" authorId="1" shapeId="0" xr:uid="{00000000-0006-0000-0300-00004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 authorId="1" shapeId="0" xr:uid="{00000000-0006-0000-0300-00004E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 authorId="1" shapeId="0" xr:uid="{00000000-0006-0000-0300-00004F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9" authorId="1" shapeId="0" xr:uid="{00000000-0006-0000-0300-000050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0" authorId="1" shapeId="0" xr:uid="{00000000-0006-0000-0300-000051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1" authorId="1" shapeId="0" xr:uid="{00000000-0006-0000-0300-000052000000}">
      <text>
        <r>
          <rPr>
            <b/>
            <sz val="9"/>
            <color indexed="81"/>
            <rFont val="Tahoma"/>
            <family val="2"/>
          </rPr>
          <t>YULIED.PENARANDA:</t>
        </r>
        <r>
          <rPr>
            <sz val="9"/>
            <color indexed="81"/>
            <rFont val="Tahoma"/>
            <family val="2"/>
          </rPr>
          <t xml:space="preserve">
Se suma los recursos presupuestales (vigencia + reservas)</t>
        </r>
      </text>
    </comment>
    <comment ref="D82" authorId="1" shapeId="0" xr:uid="{00000000-0006-0000-0300-00005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3" authorId="1" shapeId="0" xr:uid="{00000000-0006-0000-0300-000054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4" authorId="1" shapeId="0" xr:uid="{00000000-0006-0000-0300-00005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5" authorId="1" shapeId="0" xr:uid="{00000000-0006-0000-0300-00005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6" authorId="1" shapeId="0" xr:uid="{00000000-0006-0000-0300-00005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7" authorId="1" shapeId="0" xr:uid="{00000000-0006-0000-0300-000058000000}">
      <text>
        <r>
          <rPr>
            <b/>
            <sz val="9"/>
            <color indexed="81"/>
            <rFont val="Tahoma"/>
            <family val="2"/>
          </rPr>
          <t>YULIED.PENARANDA:</t>
        </r>
        <r>
          <rPr>
            <sz val="9"/>
            <color indexed="81"/>
            <rFont val="Tahoma"/>
            <family val="2"/>
          </rPr>
          <t xml:space="preserve">
Se suma los recursos presupuestales (vigencia + reservas)</t>
        </r>
      </text>
    </comment>
    <comment ref="D88" authorId="1" shapeId="0" xr:uid="{00000000-0006-0000-0300-00005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9" authorId="1" shapeId="0" xr:uid="{00000000-0006-0000-0300-00005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0" authorId="1" shapeId="0" xr:uid="{00000000-0006-0000-0300-00005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1" authorId="1" shapeId="0" xr:uid="{00000000-0006-0000-0300-00005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2" authorId="1" shapeId="0" xr:uid="{00000000-0006-0000-0300-00005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3" authorId="1" shapeId="0" xr:uid="{00000000-0006-0000-0300-00005E000000}">
      <text>
        <r>
          <rPr>
            <b/>
            <sz val="9"/>
            <color indexed="81"/>
            <rFont val="Tahoma"/>
            <family val="2"/>
          </rPr>
          <t>YULIED.PENARANDA:</t>
        </r>
        <r>
          <rPr>
            <sz val="9"/>
            <color indexed="81"/>
            <rFont val="Tahoma"/>
            <family val="2"/>
          </rPr>
          <t xml:space="preserve">
Se suma los recursos presupuestales (vigencia + reservas)</t>
        </r>
      </text>
    </comment>
    <comment ref="D94" authorId="1" shapeId="0" xr:uid="{00000000-0006-0000-0300-00005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5" authorId="1" shapeId="0" xr:uid="{00000000-0006-0000-0300-000060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6" authorId="1" shapeId="0" xr:uid="{00000000-0006-0000-0300-00006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7" authorId="1" shapeId="0" xr:uid="{00000000-0006-0000-0300-000062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8" authorId="1" shapeId="0" xr:uid="{00000000-0006-0000-0300-00006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9" authorId="1" shapeId="0" xr:uid="{00000000-0006-0000-0300-000064000000}">
      <text>
        <r>
          <rPr>
            <b/>
            <sz val="9"/>
            <color indexed="81"/>
            <rFont val="Tahoma"/>
            <family val="2"/>
          </rPr>
          <t>YULIED.PENARANDA:</t>
        </r>
        <r>
          <rPr>
            <sz val="9"/>
            <color indexed="81"/>
            <rFont val="Tahoma"/>
            <family val="2"/>
          </rPr>
          <t xml:space="preserve">
Se suma los recursos presupuestales (vigencia + reservas)</t>
        </r>
      </text>
    </comment>
    <comment ref="D100" authorId="1" shapeId="0" xr:uid="{00000000-0006-0000-0300-00006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1" authorId="1" shapeId="0" xr:uid="{00000000-0006-0000-0300-000066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2" authorId="1" shapeId="0" xr:uid="{00000000-0006-0000-0300-00006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3" authorId="1" shapeId="0" xr:uid="{00000000-0006-0000-0300-00006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04" authorId="1" shapeId="0" xr:uid="{00000000-0006-0000-0300-00006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05" authorId="1" shapeId="0" xr:uid="{00000000-0006-0000-0300-00006A000000}">
      <text>
        <r>
          <rPr>
            <b/>
            <sz val="9"/>
            <color indexed="81"/>
            <rFont val="Tahoma"/>
            <family val="2"/>
          </rPr>
          <t>YULIED.PENARANDA:</t>
        </r>
        <r>
          <rPr>
            <sz val="9"/>
            <color indexed="81"/>
            <rFont val="Tahoma"/>
            <family val="2"/>
          </rPr>
          <t xml:space="preserve">
Se suma los recursos presupuestales (vigencia + reservas)</t>
        </r>
      </text>
    </comment>
    <comment ref="D106" authorId="1" shapeId="0" xr:uid="{00000000-0006-0000-0300-00006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7" authorId="1" shapeId="0" xr:uid="{00000000-0006-0000-0300-00006C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8" authorId="1" shapeId="0" xr:uid="{00000000-0006-0000-0300-00006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9" authorId="1" shapeId="0" xr:uid="{00000000-0006-0000-0300-00006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0" authorId="1" shapeId="0" xr:uid="{00000000-0006-0000-0300-00006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1" authorId="1" shapeId="0" xr:uid="{00000000-0006-0000-0300-000070000000}">
      <text>
        <r>
          <rPr>
            <b/>
            <sz val="9"/>
            <color indexed="81"/>
            <rFont val="Tahoma"/>
            <family val="2"/>
          </rPr>
          <t>YULIED.PENARANDA:</t>
        </r>
        <r>
          <rPr>
            <sz val="9"/>
            <color indexed="81"/>
            <rFont val="Tahoma"/>
            <family val="2"/>
          </rPr>
          <t xml:space="preserve">
Se suma los recursos presupuestales (vigencia + reservas)</t>
        </r>
      </text>
    </comment>
    <comment ref="D112" authorId="1" shapeId="0" xr:uid="{00000000-0006-0000-0300-00007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3" authorId="1" shapeId="0" xr:uid="{00000000-0006-0000-0300-00007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14" authorId="1" shapeId="0" xr:uid="{00000000-0006-0000-0300-00007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15" authorId="1" shapeId="0" xr:uid="{00000000-0006-0000-0300-00007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6" authorId="1" shapeId="0" xr:uid="{00000000-0006-0000-0300-00007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7" authorId="1" shapeId="0" xr:uid="{00000000-0006-0000-0300-000076000000}">
      <text>
        <r>
          <rPr>
            <b/>
            <sz val="9"/>
            <color indexed="81"/>
            <rFont val="Tahoma"/>
            <family val="2"/>
          </rPr>
          <t>YULIED.PENARANDA:</t>
        </r>
        <r>
          <rPr>
            <sz val="9"/>
            <color indexed="81"/>
            <rFont val="Tahoma"/>
            <family val="2"/>
          </rPr>
          <t xml:space="preserve">
Se suma los recursos presupuestales (vigencia + reservas)</t>
        </r>
      </text>
    </comment>
    <comment ref="D118" authorId="1" shapeId="0" xr:uid="{00000000-0006-0000-0300-00007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9" authorId="1" shapeId="0" xr:uid="{00000000-0006-0000-0300-00007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0" authorId="1" shapeId="0" xr:uid="{00000000-0006-0000-0300-00007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1" authorId="1" shapeId="0" xr:uid="{00000000-0006-0000-0300-00007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2" authorId="1" shapeId="0" xr:uid="{00000000-0006-0000-0300-00007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3" authorId="1" shapeId="0" xr:uid="{00000000-0006-0000-0300-00007C000000}">
      <text>
        <r>
          <rPr>
            <b/>
            <sz val="9"/>
            <color indexed="81"/>
            <rFont val="Tahoma"/>
            <family val="2"/>
          </rPr>
          <t>YULIED.PENARANDA:</t>
        </r>
        <r>
          <rPr>
            <sz val="9"/>
            <color indexed="81"/>
            <rFont val="Tahoma"/>
            <family val="2"/>
          </rPr>
          <t xml:space="preserve">
Se suma los recursos presupuestales (vigencia + reservas)</t>
        </r>
      </text>
    </comment>
    <comment ref="D124" authorId="1" shapeId="0" xr:uid="{00000000-0006-0000-0300-00007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25" authorId="1" shapeId="0" xr:uid="{00000000-0006-0000-0300-00007E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6" authorId="1" shapeId="0" xr:uid="{00000000-0006-0000-0300-00007F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7" authorId="1" shapeId="0" xr:uid="{00000000-0006-0000-0300-000080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8" authorId="1" shapeId="0" xr:uid="{00000000-0006-0000-0300-000081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9" authorId="1" shapeId="0" xr:uid="{00000000-0006-0000-0300-000082000000}">
      <text>
        <r>
          <rPr>
            <b/>
            <sz val="9"/>
            <color indexed="81"/>
            <rFont val="Tahoma"/>
            <family val="2"/>
          </rPr>
          <t>YULIED.PENARANDA:</t>
        </r>
        <r>
          <rPr>
            <sz val="9"/>
            <color indexed="81"/>
            <rFont val="Tahoma"/>
            <family val="2"/>
          </rPr>
          <t xml:space="preserve">
Se suma los recursos presupuestales (vigencia + reservas)</t>
        </r>
      </text>
    </comment>
    <comment ref="D130" authorId="1" shapeId="0" xr:uid="{00000000-0006-0000-0300-00008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31" authorId="1" shapeId="0" xr:uid="{00000000-0006-0000-0300-000084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32" authorId="1" shapeId="0" xr:uid="{00000000-0006-0000-0300-00008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3" authorId="1" shapeId="0" xr:uid="{00000000-0006-0000-0300-00008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34" authorId="1" shapeId="0" xr:uid="{00000000-0006-0000-0300-00008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35" authorId="1" shapeId="0" xr:uid="{00000000-0006-0000-0300-000088000000}">
      <text>
        <r>
          <rPr>
            <b/>
            <sz val="9"/>
            <color indexed="81"/>
            <rFont val="Tahoma"/>
            <family val="2"/>
          </rPr>
          <t>YULIED.PENARANDA:</t>
        </r>
        <r>
          <rPr>
            <sz val="9"/>
            <color indexed="81"/>
            <rFont val="Tahoma"/>
            <family val="2"/>
          </rPr>
          <t xml:space="preserve">
Se suma los recursos presupuestales (vigencia + reservas)</t>
        </r>
      </text>
    </comment>
    <comment ref="D136" authorId="1" shapeId="0" xr:uid="{00000000-0006-0000-0300-00008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37" authorId="1" shapeId="0" xr:uid="{00000000-0006-0000-0300-00008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38" authorId="1" shapeId="0" xr:uid="{00000000-0006-0000-0300-00008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9" authorId="1" shapeId="0" xr:uid="{00000000-0006-0000-0300-00008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0" authorId="1" shapeId="0" xr:uid="{00000000-0006-0000-0300-00008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41" authorId="1" shapeId="0" xr:uid="{00000000-0006-0000-0300-00008E000000}">
      <text>
        <r>
          <rPr>
            <b/>
            <sz val="9"/>
            <color indexed="81"/>
            <rFont val="Tahoma"/>
            <family val="2"/>
          </rPr>
          <t>YULIED.PENARANDA:</t>
        </r>
        <r>
          <rPr>
            <sz val="9"/>
            <color indexed="81"/>
            <rFont val="Tahoma"/>
            <family val="2"/>
          </rPr>
          <t xml:space="preserve">
Se suma los recursos presupuestales (vigencia + reservas)</t>
        </r>
      </text>
    </comment>
    <comment ref="D142" authorId="1" shapeId="0" xr:uid="{00000000-0006-0000-0300-00008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43" authorId="1" shapeId="0" xr:uid="{00000000-0006-0000-0300-000090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44" authorId="1" shapeId="0" xr:uid="{00000000-0006-0000-0300-00009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45" authorId="1" shapeId="0" xr:uid="{00000000-0006-0000-0300-000092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6" authorId="1" shapeId="0" xr:uid="{00000000-0006-0000-0300-00009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47" authorId="1" shapeId="0" xr:uid="{00000000-0006-0000-0300-000094000000}">
      <text>
        <r>
          <rPr>
            <b/>
            <sz val="9"/>
            <color indexed="81"/>
            <rFont val="Tahoma"/>
            <family val="2"/>
          </rPr>
          <t>YULIED.PENARANDA:</t>
        </r>
        <r>
          <rPr>
            <sz val="9"/>
            <color indexed="81"/>
            <rFont val="Tahoma"/>
            <family val="2"/>
          </rPr>
          <t xml:space="preserve">
Se suma los recursos presupuestales (vigencia + reservas)</t>
        </r>
      </text>
    </comment>
    <comment ref="D148" authorId="1" shapeId="0" xr:uid="{00000000-0006-0000-0300-00009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49" authorId="1" shapeId="0" xr:uid="{00000000-0006-0000-0300-000096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50" authorId="1" shapeId="0" xr:uid="{00000000-0006-0000-0300-00009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51" authorId="1" shapeId="0" xr:uid="{00000000-0006-0000-0300-00009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52" authorId="1" shapeId="0" xr:uid="{00000000-0006-0000-0300-00009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3" authorId="1" shapeId="0" xr:uid="{00000000-0006-0000-0300-00009A000000}">
      <text>
        <r>
          <rPr>
            <b/>
            <sz val="9"/>
            <color indexed="81"/>
            <rFont val="Tahoma"/>
            <family val="2"/>
          </rPr>
          <t>YULIED.PENARANDA:</t>
        </r>
        <r>
          <rPr>
            <sz val="9"/>
            <color indexed="81"/>
            <rFont val="Tahoma"/>
            <family val="2"/>
          </rPr>
          <t xml:space="preserve">
Se suma los recursos presupuestales (vigencia + reservas)</t>
        </r>
      </text>
    </comment>
    <comment ref="D154" authorId="1" shapeId="0" xr:uid="{00000000-0006-0000-0300-00009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55" authorId="1" shapeId="0" xr:uid="{00000000-0006-0000-0300-00009C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56" authorId="1" shapeId="0" xr:uid="{00000000-0006-0000-0300-00009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57" authorId="1" shapeId="0" xr:uid="{00000000-0006-0000-0300-00009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58" authorId="1" shapeId="0" xr:uid="{00000000-0006-0000-0300-00009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9" authorId="1" shapeId="0" xr:uid="{00000000-0006-0000-0300-0000A0000000}">
      <text>
        <r>
          <rPr>
            <b/>
            <sz val="9"/>
            <color indexed="81"/>
            <rFont val="Tahoma"/>
            <family val="2"/>
          </rPr>
          <t>YULIED.PENARANDA:</t>
        </r>
        <r>
          <rPr>
            <sz val="9"/>
            <color indexed="81"/>
            <rFont val="Tahoma"/>
            <family val="2"/>
          </rPr>
          <t xml:space="preserve">
Se suma los recursos presupuestales (vigencia + reservas)</t>
        </r>
      </text>
    </comment>
    <comment ref="D160" authorId="1" shapeId="0" xr:uid="{00000000-0006-0000-0300-0000A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61" authorId="1" shapeId="0" xr:uid="{00000000-0006-0000-0300-0000A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62" authorId="1" shapeId="0" xr:uid="{00000000-0006-0000-0300-0000A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63" authorId="1" shapeId="0" xr:uid="{00000000-0006-0000-0300-0000A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64" authorId="1" shapeId="0" xr:uid="{00000000-0006-0000-0300-0000A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65" authorId="1" shapeId="0" xr:uid="{00000000-0006-0000-0300-0000A6000000}">
      <text>
        <r>
          <rPr>
            <b/>
            <sz val="9"/>
            <color indexed="81"/>
            <rFont val="Tahoma"/>
            <family val="2"/>
          </rPr>
          <t>YULIED.PENARANDA:</t>
        </r>
        <r>
          <rPr>
            <sz val="9"/>
            <color indexed="81"/>
            <rFont val="Tahoma"/>
            <family val="2"/>
          </rPr>
          <t xml:space="preserve">
Se suma los recursos presupuestales (vigencia + reservas)</t>
        </r>
      </text>
    </comment>
    <comment ref="D166" authorId="1" shapeId="0" xr:uid="{00000000-0006-0000-0300-0000A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67" authorId="1" shapeId="0" xr:uid="{00000000-0006-0000-0300-0000A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68" authorId="1" shapeId="0" xr:uid="{00000000-0006-0000-0300-0000A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69" authorId="1" shapeId="0" xr:uid="{00000000-0006-0000-0300-0000A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70" authorId="1" shapeId="0" xr:uid="{00000000-0006-0000-0300-0000A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71" authorId="1" shapeId="0" xr:uid="{00000000-0006-0000-0300-0000AC000000}">
      <text>
        <r>
          <rPr>
            <b/>
            <sz val="9"/>
            <color indexed="81"/>
            <rFont val="Tahoma"/>
            <family val="2"/>
          </rPr>
          <t>YULIED.PENARANDA:</t>
        </r>
        <r>
          <rPr>
            <sz val="9"/>
            <color indexed="81"/>
            <rFont val="Tahoma"/>
            <family val="2"/>
          </rPr>
          <t xml:space="preserve">
Se suma los recursos presupuestales (vigencia + reservas)</t>
        </r>
      </text>
    </comment>
    <comment ref="D172" authorId="1" shapeId="0" xr:uid="{00000000-0006-0000-0300-0000A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3" authorId="1" shapeId="0" xr:uid="{00000000-0006-0000-0300-0000AE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74" authorId="1" shapeId="0" xr:uid="{00000000-0006-0000-0300-0000AF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75" authorId="1" shapeId="0" xr:uid="{00000000-0006-0000-0300-0000B0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76" authorId="1" shapeId="0" xr:uid="{00000000-0006-0000-0300-0000B1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77" authorId="1" shapeId="0" xr:uid="{00000000-0006-0000-0300-0000B2000000}">
      <text>
        <r>
          <rPr>
            <b/>
            <sz val="9"/>
            <color indexed="81"/>
            <rFont val="Tahoma"/>
            <family val="2"/>
          </rPr>
          <t>YULIED.PENARANDA:</t>
        </r>
        <r>
          <rPr>
            <sz val="9"/>
            <color indexed="81"/>
            <rFont val="Tahoma"/>
            <family val="2"/>
          </rPr>
          <t xml:space="preserve">
Se suma los recursos presupuestales (vigencia + reservas)</t>
        </r>
      </text>
    </comment>
    <comment ref="D178" authorId="1" shapeId="0" xr:uid="{00000000-0006-0000-0300-0000B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9" authorId="1" shapeId="0" xr:uid="{00000000-0006-0000-0300-0000B4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0" authorId="1" shapeId="0" xr:uid="{00000000-0006-0000-0300-0000B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81" authorId="1" shapeId="0" xr:uid="{00000000-0006-0000-0300-0000B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82" authorId="1" shapeId="0" xr:uid="{00000000-0006-0000-0300-0000B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83" authorId="1" shapeId="0" xr:uid="{00000000-0006-0000-0300-0000B8000000}">
      <text>
        <r>
          <rPr>
            <b/>
            <sz val="9"/>
            <color indexed="81"/>
            <rFont val="Tahoma"/>
            <family val="2"/>
          </rPr>
          <t>YULIED.PENARANDA:</t>
        </r>
        <r>
          <rPr>
            <sz val="9"/>
            <color indexed="81"/>
            <rFont val="Tahoma"/>
            <family val="2"/>
          </rPr>
          <t xml:space="preserve">
Se suma los recursos presupuestales (vigencia + reservas)</t>
        </r>
      </text>
    </comment>
    <comment ref="D184" authorId="1" shapeId="0" xr:uid="{00000000-0006-0000-0300-0000B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85" authorId="1" shapeId="0" xr:uid="{00000000-0006-0000-0300-0000B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6" authorId="1" shapeId="0" xr:uid="{00000000-0006-0000-0300-0000B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87" authorId="1" shapeId="0" xr:uid="{00000000-0006-0000-0300-0000B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88" authorId="1" shapeId="0" xr:uid="{00000000-0006-0000-0300-0000B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89" authorId="1" shapeId="0" xr:uid="{00000000-0006-0000-0300-0000BE000000}">
      <text>
        <r>
          <rPr>
            <b/>
            <sz val="9"/>
            <color indexed="81"/>
            <rFont val="Tahoma"/>
            <family val="2"/>
          </rPr>
          <t>YULIED.PENARANDA:</t>
        </r>
        <r>
          <rPr>
            <sz val="9"/>
            <color indexed="81"/>
            <rFont val="Tahoma"/>
            <family val="2"/>
          </rPr>
          <t xml:space="preserve">
Se suma los recursos presupuestales (vigencia + reservas)</t>
        </r>
      </text>
    </comment>
    <comment ref="D190" authorId="1" shapeId="0" xr:uid="{00000000-0006-0000-0300-0000B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91" authorId="1" shapeId="0" xr:uid="{00000000-0006-0000-0300-0000C0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92" authorId="1" shapeId="0" xr:uid="{00000000-0006-0000-0300-0000C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3" authorId="1" shapeId="0" xr:uid="{00000000-0006-0000-0300-0000C2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94" authorId="1" shapeId="0" xr:uid="{00000000-0006-0000-0300-0000C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95" authorId="1" shapeId="0" xr:uid="{00000000-0006-0000-0300-0000C4000000}">
      <text>
        <r>
          <rPr>
            <b/>
            <sz val="9"/>
            <color indexed="81"/>
            <rFont val="Tahoma"/>
            <family val="2"/>
          </rPr>
          <t>YULIED.PENARANDA:</t>
        </r>
        <r>
          <rPr>
            <sz val="9"/>
            <color indexed="81"/>
            <rFont val="Tahoma"/>
            <family val="2"/>
          </rPr>
          <t xml:space="preserve">
Se suma los recursos presupuestales (vigencia + reservas)</t>
        </r>
      </text>
    </comment>
    <comment ref="D196" authorId="1" shapeId="0" xr:uid="{00000000-0006-0000-0300-0000C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97" authorId="1" shapeId="0" xr:uid="{00000000-0006-0000-0300-0000C6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98" authorId="1" shapeId="0" xr:uid="{00000000-0006-0000-0300-0000C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9" authorId="1" shapeId="0" xr:uid="{00000000-0006-0000-0300-0000C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0" authorId="1" shapeId="0" xr:uid="{00000000-0006-0000-0300-0000C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01" authorId="1" shapeId="0" xr:uid="{00000000-0006-0000-0300-0000CA000000}">
      <text>
        <r>
          <rPr>
            <b/>
            <sz val="9"/>
            <color indexed="81"/>
            <rFont val="Tahoma"/>
            <family val="2"/>
          </rPr>
          <t>YULIED.PENARANDA:</t>
        </r>
        <r>
          <rPr>
            <sz val="9"/>
            <color indexed="81"/>
            <rFont val="Tahoma"/>
            <family val="2"/>
          </rPr>
          <t xml:space="preserve">
Se suma los recursos presupuestales (vigencia + reservas)</t>
        </r>
      </text>
    </comment>
    <comment ref="D202" authorId="1" shapeId="0" xr:uid="{00000000-0006-0000-0300-0000C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03" authorId="1" shapeId="0" xr:uid="{00000000-0006-0000-0300-0000CC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04" authorId="1" shapeId="0" xr:uid="{00000000-0006-0000-0300-0000C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05" authorId="1" shapeId="0" xr:uid="{00000000-0006-0000-0300-0000C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6" authorId="1" shapeId="0" xr:uid="{00000000-0006-0000-0300-0000C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07" authorId="1" shapeId="0" xr:uid="{00000000-0006-0000-0300-0000D0000000}">
      <text>
        <r>
          <rPr>
            <b/>
            <sz val="9"/>
            <color indexed="81"/>
            <rFont val="Tahoma"/>
            <family val="2"/>
          </rPr>
          <t>YULIED.PENARANDA:</t>
        </r>
        <r>
          <rPr>
            <sz val="9"/>
            <color indexed="81"/>
            <rFont val="Tahoma"/>
            <family val="2"/>
          </rPr>
          <t xml:space="preserve">
Se suma los recursos presupuestales (vigencia + reservas)</t>
        </r>
      </text>
    </comment>
    <comment ref="D208" authorId="1" shapeId="0" xr:uid="{00000000-0006-0000-0300-0000D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09" authorId="1" shapeId="0" xr:uid="{00000000-0006-0000-0300-0000D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10" authorId="1" shapeId="0" xr:uid="{00000000-0006-0000-0300-0000D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11" authorId="1" shapeId="0" xr:uid="{00000000-0006-0000-0300-0000D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12" authorId="1" shapeId="0" xr:uid="{00000000-0006-0000-0300-0000D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3" authorId="1" shapeId="0" xr:uid="{00000000-0006-0000-0300-0000D6000000}">
      <text>
        <r>
          <rPr>
            <b/>
            <sz val="9"/>
            <color indexed="81"/>
            <rFont val="Tahoma"/>
            <family val="2"/>
          </rPr>
          <t>YULIED.PENARANDA:</t>
        </r>
        <r>
          <rPr>
            <sz val="9"/>
            <color indexed="81"/>
            <rFont val="Tahoma"/>
            <family val="2"/>
          </rPr>
          <t xml:space="preserve">
Se suma los recursos presupuestales (vigencia + reservas)</t>
        </r>
      </text>
    </comment>
    <comment ref="D214" authorId="1" shapeId="0" xr:uid="{00000000-0006-0000-0300-0000D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15" authorId="1" shapeId="0" xr:uid="{00000000-0006-0000-0300-0000D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16" authorId="1" shapeId="0" xr:uid="{00000000-0006-0000-0300-0000D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17" authorId="1" shapeId="0" xr:uid="{00000000-0006-0000-0300-0000D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18" authorId="1" shapeId="0" xr:uid="{00000000-0006-0000-0300-0000D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9" authorId="1" shapeId="0" xr:uid="{00000000-0006-0000-0300-0000DC000000}">
      <text>
        <r>
          <rPr>
            <b/>
            <sz val="9"/>
            <color indexed="81"/>
            <rFont val="Tahoma"/>
            <family val="2"/>
          </rPr>
          <t>YULIED.PENARANDA:</t>
        </r>
        <r>
          <rPr>
            <sz val="9"/>
            <color indexed="81"/>
            <rFont val="Tahoma"/>
            <family val="2"/>
          </rPr>
          <t xml:space="preserve">
Se suma los recursos presupuestales (vigencia + reservas)</t>
        </r>
      </text>
    </comment>
    <comment ref="D220" authorId="1" shapeId="0" xr:uid="{00000000-0006-0000-0300-0000D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21" authorId="1" shapeId="0" xr:uid="{00000000-0006-0000-0300-0000DE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22" authorId="1" shapeId="0" xr:uid="{00000000-0006-0000-0300-0000DF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23" authorId="1" shapeId="0" xr:uid="{00000000-0006-0000-0300-0000E0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24" authorId="1" shapeId="0" xr:uid="{00000000-0006-0000-0300-0000E1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25" authorId="1" shapeId="0" xr:uid="{00000000-0006-0000-0300-0000E2000000}">
      <text>
        <r>
          <rPr>
            <b/>
            <sz val="9"/>
            <color indexed="81"/>
            <rFont val="Tahoma"/>
            <family val="2"/>
          </rPr>
          <t>YULIED.PENARANDA:</t>
        </r>
        <r>
          <rPr>
            <sz val="9"/>
            <color indexed="81"/>
            <rFont val="Tahoma"/>
            <family val="2"/>
          </rPr>
          <t xml:space="preserve">
Se suma los recursos presupuestales (vigencia + reservas)</t>
        </r>
      </text>
    </comment>
    <comment ref="D226" authorId="1" shapeId="0" xr:uid="{00000000-0006-0000-0300-0000E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27" authorId="1" shapeId="0" xr:uid="{00000000-0006-0000-0300-0000E4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28" authorId="1" shapeId="0" xr:uid="{00000000-0006-0000-0300-0000E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29" authorId="1" shapeId="0" xr:uid="{00000000-0006-0000-0300-0000E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30" authorId="1" shapeId="0" xr:uid="{00000000-0006-0000-0300-0000E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31" authorId="1" shapeId="0" xr:uid="{00000000-0006-0000-0300-0000E8000000}">
      <text>
        <r>
          <rPr>
            <b/>
            <sz val="9"/>
            <color indexed="81"/>
            <rFont val="Tahoma"/>
            <family val="2"/>
          </rPr>
          <t>YULIED.PENARANDA:</t>
        </r>
        <r>
          <rPr>
            <sz val="9"/>
            <color indexed="81"/>
            <rFont val="Tahoma"/>
            <family val="2"/>
          </rPr>
          <t xml:space="preserve">
Se suma los recursos presupuestales (vigencia + reservas)</t>
        </r>
      </text>
    </comment>
    <comment ref="D232" authorId="1" shapeId="0" xr:uid="{00000000-0006-0000-0300-0000E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3" authorId="1" shapeId="0" xr:uid="{00000000-0006-0000-0300-0000E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34" authorId="1" shapeId="0" xr:uid="{00000000-0006-0000-0300-0000E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35" authorId="1" shapeId="0" xr:uid="{00000000-0006-0000-0300-0000E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36" authorId="1" shapeId="0" xr:uid="{00000000-0006-0000-0300-0000E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37" authorId="1" shapeId="0" xr:uid="{00000000-0006-0000-0300-0000EE000000}">
      <text>
        <r>
          <rPr>
            <b/>
            <sz val="9"/>
            <color indexed="81"/>
            <rFont val="Tahoma"/>
            <family val="2"/>
          </rPr>
          <t>YULIED.PENARANDA:</t>
        </r>
        <r>
          <rPr>
            <sz val="9"/>
            <color indexed="81"/>
            <rFont val="Tahoma"/>
            <family val="2"/>
          </rPr>
          <t xml:space="preserve">
Se suma los recursos presupuestales (vigencia + reservas)</t>
        </r>
      </text>
    </comment>
    <comment ref="D238" authorId="1" shapeId="0" xr:uid="{00000000-0006-0000-0300-0000E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9" authorId="1" shapeId="0" xr:uid="{00000000-0006-0000-0300-0000F0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0" authorId="1" shapeId="0" xr:uid="{00000000-0006-0000-0300-0000F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41" authorId="1" shapeId="0" xr:uid="{00000000-0006-0000-0300-0000F2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42" authorId="1" shapeId="0" xr:uid="{00000000-0006-0000-0300-0000F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43" authorId="1" shapeId="0" xr:uid="{00000000-0006-0000-0300-0000F4000000}">
      <text>
        <r>
          <rPr>
            <b/>
            <sz val="9"/>
            <color indexed="81"/>
            <rFont val="Tahoma"/>
            <family val="2"/>
          </rPr>
          <t>YULIED.PENARANDA:</t>
        </r>
        <r>
          <rPr>
            <sz val="9"/>
            <color indexed="81"/>
            <rFont val="Tahoma"/>
            <family val="2"/>
          </rPr>
          <t xml:space="preserve">
Se suma los recursos presupuestales (vigencia + reservas)</t>
        </r>
      </text>
    </comment>
    <comment ref="D244" authorId="1" shapeId="0" xr:uid="{00000000-0006-0000-0300-0000F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45" authorId="1" shapeId="0" xr:uid="{00000000-0006-0000-0300-0000F6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6" authorId="1" shapeId="0" xr:uid="{00000000-0006-0000-0300-0000F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47" authorId="1" shapeId="0" xr:uid="{00000000-0006-0000-0300-0000F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48" authorId="1" shapeId="0" xr:uid="{00000000-0006-0000-0300-0000F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49" authorId="1" shapeId="0" xr:uid="{00000000-0006-0000-0300-0000FA000000}">
      <text>
        <r>
          <rPr>
            <b/>
            <sz val="9"/>
            <color indexed="81"/>
            <rFont val="Tahoma"/>
            <family val="2"/>
          </rPr>
          <t>YULIED.PENARANDA:</t>
        </r>
        <r>
          <rPr>
            <sz val="9"/>
            <color indexed="81"/>
            <rFont val="Tahoma"/>
            <family val="2"/>
          </rPr>
          <t xml:space="preserve">
Se suma los recursos presupuestales (vigencia + reservas)</t>
        </r>
      </text>
    </comment>
    <comment ref="D250" authorId="1" shapeId="0" xr:uid="{00000000-0006-0000-0300-0000F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51" authorId="1" shapeId="0" xr:uid="{00000000-0006-0000-0300-0000FC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52" authorId="1" shapeId="0" xr:uid="{00000000-0006-0000-0300-0000F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3" authorId="1" shapeId="0" xr:uid="{00000000-0006-0000-0300-0000F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54" authorId="1" shapeId="0" xr:uid="{00000000-0006-0000-0300-0000F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55" authorId="1" shapeId="0" xr:uid="{00000000-0006-0000-0300-000000010000}">
      <text>
        <r>
          <rPr>
            <b/>
            <sz val="9"/>
            <color indexed="81"/>
            <rFont val="Tahoma"/>
            <family val="2"/>
          </rPr>
          <t>YULIED.PENARANDA:</t>
        </r>
        <r>
          <rPr>
            <sz val="9"/>
            <color indexed="81"/>
            <rFont val="Tahoma"/>
            <family val="2"/>
          </rPr>
          <t xml:space="preserve">
Se suma los recursos presupuestales (vigencia + reservas)</t>
        </r>
      </text>
    </comment>
    <comment ref="D256" authorId="1" shapeId="0" xr:uid="{00000000-0006-0000-0300-000001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57" authorId="1" shapeId="0" xr:uid="{00000000-0006-0000-0300-000002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58" authorId="1" shapeId="0" xr:uid="{00000000-0006-0000-0300-000003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9" authorId="1" shapeId="0" xr:uid="{00000000-0006-0000-0300-000004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0" authorId="1" shapeId="0" xr:uid="{00000000-0006-0000-0300-000005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61" authorId="1" shapeId="0" xr:uid="{00000000-0006-0000-0300-000006010000}">
      <text>
        <r>
          <rPr>
            <b/>
            <sz val="9"/>
            <color indexed="81"/>
            <rFont val="Tahoma"/>
            <family val="2"/>
          </rPr>
          <t>YULIED.PENARANDA:</t>
        </r>
        <r>
          <rPr>
            <sz val="9"/>
            <color indexed="81"/>
            <rFont val="Tahoma"/>
            <family val="2"/>
          </rPr>
          <t xml:space="preserve">
Se suma los recursos presupuestales (vigencia + reservas)</t>
        </r>
      </text>
    </comment>
    <comment ref="D262" authorId="1" shapeId="0" xr:uid="{00000000-0006-0000-0300-000007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63" authorId="1" shapeId="0" xr:uid="{00000000-0006-0000-0300-000008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64" authorId="1" shapeId="0" xr:uid="{00000000-0006-0000-0300-000009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65" authorId="1" shapeId="0" xr:uid="{00000000-0006-0000-0300-00000A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6" authorId="1" shapeId="0" xr:uid="{00000000-0006-0000-0300-00000B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67" authorId="1" shapeId="0" xr:uid="{00000000-0006-0000-0300-00000C010000}">
      <text>
        <r>
          <rPr>
            <b/>
            <sz val="9"/>
            <color indexed="81"/>
            <rFont val="Tahoma"/>
            <family val="2"/>
          </rPr>
          <t>YULIED.PENARANDA:</t>
        </r>
        <r>
          <rPr>
            <sz val="9"/>
            <color indexed="81"/>
            <rFont val="Tahoma"/>
            <family val="2"/>
          </rPr>
          <t xml:space="preserve">
Se suma los recursos presupuestales (vigencia + reservas)</t>
        </r>
      </text>
    </comment>
    <comment ref="D268" authorId="1" shapeId="0" xr:uid="{00000000-0006-0000-0300-00000D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69" authorId="1" shapeId="0" xr:uid="{00000000-0006-0000-0300-00000E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70" authorId="1" shapeId="0" xr:uid="{00000000-0006-0000-0300-00000F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71" authorId="1" shapeId="0" xr:uid="{00000000-0006-0000-0300-000010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72" authorId="1" shapeId="0" xr:uid="{00000000-0006-0000-0300-000011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3" authorId="1" shapeId="0" xr:uid="{00000000-0006-0000-0300-000012010000}">
      <text>
        <r>
          <rPr>
            <b/>
            <sz val="9"/>
            <color indexed="81"/>
            <rFont val="Tahoma"/>
            <family val="2"/>
          </rPr>
          <t>YULIED.PENARANDA:</t>
        </r>
        <r>
          <rPr>
            <sz val="9"/>
            <color indexed="81"/>
            <rFont val="Tahoma"/>
            <family val="2"/>
          </rPr>
          <t xml:space="preserve">
Se suma los recursos presupuestales (vigencia + reservas)</t>
        </r>
      </text>
    </comment>
    <comment ref="D274" authorId="1" shapeId="0" xr:uid="{00000000-0006-0000-0300-000013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75" authorId="1" shapeId="0" xr:uid="{00000000-0006-0000-0300-000014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76" authorId="1" shapeId="0" xr:uid="{00000000-0006-0000-0300-000015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77" authorId="1" shapeId="0" xr:uid="{00000000-0006-0000-0300-000016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78" authorId="1" shapeId="0" xr:uid="{00000000-0006-0000-0300-000017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9" authorId="1" shapeId="0" xr:uid="{00000000-0006-0000-0300-000018010000}">
      <text>
        <r>
          <rPr>
            <b/>
            <sz val="9"/>
            <color indexed="81"/>
            <rFont val="Tahoma"/>
            <family val="2"/>
          </rPr>
          <t>YULIED.PENARANDA:</t>
        </r>
        <r>
          <rPr>
            <sz val="9"/>
            <color indexed="81"/>
            <rFont val="Tahoma"/>
            <family val="2"/>
          </rPr>
          <t xml:space="preserve">
Se suma los recursos presupuestales (vigencia + reservas)</t>
        </r>
      </text>
    </comment>
    <comment ref="D280" authorId="1" shapeId="0" xr:uid="{00000000-0006-0000-0300-000019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81" authorId="1" shapeId="0" xr:uid="{00000000-0006-0000-0300-00001A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82" authorId="1" shapeId="0" xr:uid="{00000000-0006-0000-0300-00001B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83" authorId="1" shapeId="0" xr:uid="{00000000-0006-0000-0300-00001C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84" authorId="1" shapeId="0" xr:uid="{00000000-0006-0000-0300-00001D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85" authorId="1" shapeId="0" xr:uid="{00000000-0006-0000-0300-00001E010000}">
      <text>
        <r>
          <rPr>
            <b/>
            <sz val="9"/>
            <color indexed="81"/>
            <rFont val="Tahoma"/>
            <family val="2"/>
          </rPr>
          <t>YULIED.PENARANDA:</t>
        </r>
        <r>
          <rPr>
            <sz val="9"/>
            <color indexed="81"/>
            <rFont val="Tahoma"/>
            <family val="2"/>
          </rPr>
          <t xml:space="preserve">
Se suma los recursos presupuestales (vigencia + reservas)</t>
        </r>
      </text>
    </comment>
    <comment ref="D286" authorId="1" shapeId="0" xr:uid="{00000000-0006-0000-0300-00001F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87" authorId="1" shapeId="0" xr:uid="{00000000-0006-0000-0300-000020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88" authorId="1" shapeId="0" xr:uid="{00000000-0006-0000-0300-000021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89" authorId="1" shapeId="0" xr:uid="{00000000-0006-0000-0300-000022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90" authorId="1" shapeId="0" xr:uid="{00000000-0006-0000-0300-000023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91" authorId="1" shapeId="0" xr:uid="{00000000-0006-0000-0300-000024010000}">
      <text>
        <r>
          <rPr>
            <b/>
            <sz val="9"/>
            <color indexed="81"/>
            <rFont val="Tahoma"/>
            <family val="2"/>
          </rPr>
          <t>YULIED.PENARANDA:</t>
        </r>
        <r>
          <rPr>
            <sz val="9"/>
            <color indexed="81"/>
            <rFont val="Tahoma"/>
            <family val="2"/>
          </rPr>
          <t xml:space="preserve">
Se suma los recursos presupuestales (vigencia + reservas)</t>
        </r>
      </text>
    </comment>
    <comment ref="D292" authorId="1" shapeId="0" xr:uid="{00000000-0006-0000-0300-000025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3" authorId="1" shapeId="0" xr:uid="{00000000-0006-0000-0300-000026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94" authorId="1" shapeId="0" xr:uid="{00000000-0006-0000-0300-000027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95" authorId="1" shapeId="0" xr:uid="{00000000-0006-0000-0300-000028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96" authorId="1" shapeId="0" xr:uid="{00000000-0006-0000-0300-000029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97" authorId="1" shapeId="0" xr:uid="{00000000-0006-0000-0300-00002A010000}">
      <text>
        <r>
          <rPr>
            <b/>
            <sz val="9"/>
            <color indexed="81"/>
            <rFont val="Tahoma"/>
            <family val="2"/>
          </rPr>
          <t>YULIED.PENARANDA:</t>
        </r>
        <r>
          <rPr>
            <sz val="9"/>
            <color indexed="81"/>
            <rFont val="Tahoma"/>
            <family val="2"/>
          </rPr>
          <t xml:space="preserve">
Se suma los recursos presupuestales (vigencia + reservas)</t>
        </r>
      </text>
    </comment>
    <comment ref="D298" authorId="1" shapeId="0" xr:uid="{00000000-0006-0000-0300-00002B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9" authorId="1" shapeId="0" xr:uid="{00000000-0006-0000-0300-00002C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0" authorId="1" shapeId="0" xr:uid="{00000000-0006-0000-0300-00002D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01" authorId="1" shapeId="0" xr:uid="{00000000-0006-0000-0300-00002E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02" authorId="1" shapeId="0" xr:uid="{00000000-0006-0000-0300-00002F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03" authorId="1" shapeId="0" xr:uid="{00000000-0006-0000-0300-000030010000}">
      <text>
        <r>
          <rPr>
            <b/>
            <sz val="9"/>
            <color indexed="81"/>
            <rFont val="Tahoma"/>
            <family val="2"/>
          </rPr>
          <t>YULIED.PENARANDA:</t>
        </r>
        <r>
          <rPr>
            <sz val="9"/>
            <color indexed="81"/>
            <rFont val="Tahoma"/>
            <family val="2"/>
          </rPr>
          <t xml:space="preserve">
Se suma los recursos presupuestales (vigencia + reservas)</t>
        </r>
      </text>
    </comment>
    <comment ref="D304" authorId="1" shapeId="0" xr:uid="{00000000-0006-0000-0300-000031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05" authorId="1" shapeId="0" xr:uid="{00000000-0006-0000-0300-000032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6" authorId="1" shapeId="0" xr:uid="{00000000-0006-0000-0300-000033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07" authorId="1" shapeId="0" xr:uid="{00000000-0006-0000-0300-000034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08" authorId="1" shapeId="0" xr:uid="{00000000-0006-0000-0300-000035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09" authorId="1" shapeId="0" xr:uid="{00000000-0006-0000-0300-000036010000}">
      <text>
        <r>
          <rPr>
            <b/>
            <sz val="9"/>
            <color indexed="81"/>
            <rFont val="Tahoma"/>
            <family val="2"/>
          </rPr>
          <t>YULIED.PENARANDA:</t>
        </r>
        <r>
          <rPr>
            <sz val="9"/>
            <color indexed="81"/>
            <rFont val="Tahoma"/>
            <family val="2"/>
          </rPr>
          <t xml:space="preserve">
Se suma los recursos presupuestales (vigencia + reservas)</t>
        </r>
      </text>
    </comment>
    <comment ref="D310" authorId="1" shapeId="0" xr:uid="{00000000-0006-0000-0300-000037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11" authorId="1" shapeId="0" xr:uid="{00000000-0006-0000-0300-000038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12" authorId="1" shapeId="0" xr:uid="{00000000-0006-0000-0300-000039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3" authorId="1" shapeId="0" xr:uid="{00000000-0006-0000-0300-00003A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14" authorId="1" shapeId="0" xr:uid="{00000000-0006-0000-0300-00003B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15" authorId="1" shapeId="0" xr:uid="{00000000-0006-0000-0300-00003C010000}">
      <text>
        <r>
          <rPr>
            <b/>
            <sz val="9"/>
            <color indexed="81"/>
            <rFont val="Tahoma"/>
            <family val="2"/>
          </rPr>
          <t>YULIED.PENARANDA:</t>
        </r>
        <r>
          <rPr>
            <sz val="9"/>
            <color indexed="81"/>
            <rFont val="Tahoma"/>
            <family val="2"/>
          </rPr>
          <t xml:space="preserve">
Se suma los recursos presupuestales (vigencia + reservas)</t>
        </r>
      </text>
    </comment>
    <comment ref="D316" authorId="1" shapeId="0" xr:uid="{00000000-0006-0000-0300-00003D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17" authorId="1" shapeId="0" xr:uid="{00000000-0006-0000-0300-00003E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18" authorId="1" shapeId="0" xr:uid="{00000000-0006-0000-0300-00003F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9" authorId="1" shapeId="0" xr:uid="{00000000-0006-0000-0300-000040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0" authorId="1" shapeId="0" xr:uid="{00000000-0006-0000-0300-000041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21" authorId="1" shapeId="0" xr:uid="{00000000-0006-0000-0300-000042010000}">
      <text>
        <r>
          <rPr>
            <b/>
            <sz val="9"/>
            <color indexed="81"/>
            <rFont val="Tahoma"/>
            <family val="2"/>
          </rPr>
          <t>YULIED.PENARANDA:</t>
        </r>
        <r>
          <rPr>
            <sz val="9"/>
            <color indexed="81"/>
            <rFont val="Tahoma"/>
            <family val="2"/>
          </rPr>
          <t xml:space="preserve">
Se suma los recursos presupuestales (vigencia + reservas)</t>
        </r>
      </text>
    </comment>
    <comment ref="D322" authorId="1" shapeId="0" xr:uid="{00000000-0006-0000-0300-000043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23" authorId="1" shapeId="0" xr:uid="{00000000-0006-0000-0300-000044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24" authorId="1" shapeId="0" xr:uid="{00000000-0006-0000-0300-000045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25" authorId="1" shapeId="0" xr:uid="{00000000-0006-0000-0300-000046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6" authorId="1" shapeId="0" xr:uid="{00000000-0006-0000-0300-000047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27" authorId="1" shapeId="0" xr:uid="{00000000-0006-0000-0300-000048010000}">
      <text>
        <r>
          <rPr>
            <b/>
            <sz val="9"/>
            <color indexed="81"/>
            <rFont val="Tahoma"/>
            <family val="2"/>
          </rPr>
          <t>YULIED.PENARANDA:</t>
        </r>
        <r>
          <rPr>
            <sz val="9"/>
            <color indexed="81"/>
            <rFont val="Tahoma"/>
            <family val="2"/>
          </rPr>
          <t xml:space="preserve">
Se suma los recursos presupuestales (vigencia + reservas)</t>
        </r>
      </text>
    </comment>
    <comment ref="D328" authorId="1" shapeId="0" xr:uid="{00000000-0006-0000-0300-000049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29" authorId="1" shapeId="0" xr:uid="{00000000-0006-0000-0300-00004A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30" authorId="1" shapeId="0" xr:uid="{00000000-0006-0000-0300-00004B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31" authorId="1" shapeId="0" xr:uid="{00000000-0006-0000-0300-00004C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32" authorId="1" shapeId="0" xr:uid="{00000000-0006-0000-0300-00004D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3" authorId="1" shapeId="0" xr:uid="{00000000-0006-0000-0300-00004E010000}">
      <text>
        <r>
          <rPr>
            <b/>
            <sz val="9"/>
            <color indexed="81"/>
            <rFont val="Tahoma"/>
            <family val="2"/>
          </rPr>
          <t>YULIED.PENARANDA:</t>
        </r>
        <r>
          <rPr>
            <sz val="9"/>
            <color indexed="81"/>
            <rFont val="Tahoma"/>
            <family val="2"/>
          </rPr>
          <t xml:space="preserve">
Se suma los recursos presupuestales (vigencia + reservas)</t>
        </r>
      </text>
    </comment>
    <comment ref="D334" authorId="1" shapeId="0" xr:uid="{00000000-0006-0000-0300-00004F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35" authorId="1" shapeId="0" xr:uid="{00000000-0006-0000-0300-000050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36" authorId="1" shapeId="0" xr:uid="{00000000-0006-0000-0300-000051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37" authorId="1" shapeId="0" xr:uid="{00000000-0006-0000-0300-000052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38" authorId="1" shapeId="0" xr:uid="{00000000-0006-0000-0300-000053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9" authorId="1" shapeId="0" xr:uid="{00000000-0006-0000-0300-000054010000}">
      <text>
        <r>
          <rPr>
            <b/>
            <sz val="9"/>
            <color indexed="81"/>
            <rFont val="Tahoma"/>
            <family val="2"/>
          </rPr>
          <t>YULIED.PENARANDA:</t>
        </r>
        <r>
          <rPr>
            <sz val="9"/>
            <color indexed="81"/>
            <rFont val="Tahoma"/>
            <family val="2"/>
          </rPr>
          <t xml:space="preserve">
Se suma los recursos presupuestales (vigencia + reservas)</t>
        </r>
      </text>
    </comment>
    <comment ref="D340" authorId="1" shapeId="0" xr:uid="{00000000-0006-0000-0300-000055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41" authorId="1" shapeId="0" xr:uid="{00000000-0006-0000-0300-000056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42" authorId="1" shapeId="0" xr:uid="{00000000-0006-0000-0300-000057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43" authorId="1" shapeId="0" xr:uid="{00000000-0006-0000-0300-000058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44" authorId="1" shapeId="0" xr:uid="{00000000-0006-0000-0300-000059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45" authorId="1" shapeId="0" xr:uid="{00000000-0006-0000-0300-00005A010000}">
      <text>
        <r>
          <rPr>
            <b/>
            <sz val="9"/>
            <color indexed="81"/>
            <rFont val="Tahoma"/>
            <family val="2"/>
          </rPr>
          <t>YULIED.PENARANDA:</t>
        </r>
        <r>
          <rPr>
            <sz val="9"/>
            <color indexed="81"/>
            <rFont val="Tahoma"/>
            <family val="2"/>
          </rPr>
          <t xml:space="preserve">
Se suma los recursos presupuestales (vigencia + reservas)</t>
        </r>
      </text>
    </comment>
    <comment ref="D346" authorId="1" shapeId="0" xr:uid="{00000000-0006-0000-0300-00005B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47" authorId="1" shapeId="0" xr:uid="{00000000-0006-0000-0300-00005C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48" authorId="1" shapeId="0" xr:uid="{00000000-0006-0000-0300-00005D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49" authorId="1" shapeId="0" xr:uid="{00000000-0006-0000-0300-00005E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50" authorId="1" shapeId="0" xr:uid="{00000000-0006-0000-0300-00005F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51" authorId="1" shapeId="0" xr:uid="{00000000-0006-0000-0300-000060010000}">
      <text>
        <r>
          <rPr>
            <b/>
            <sz val="9"/>
            <color indexed="81"/>
            <rFont val="Tahoma"/>
            <family val="2"/>
          </rPr>
          <t>YULIED.PENARANDA:</t>
        </r>
        <r>
          <rPr>
            <sz val="9"/>
            <color indexed="81"/>
            <rFont val="Tahoma"/>
            <family val="2"/>
          </rPr>
          <t xml:space="preserve">
Se suma los recursos presupuestales (vigencia + reservas)</t>
        </r>
      </text>
    </comment>
    <comment ref="D352" authorId="1" shapeId="0" xr:uid="{00000000-0006-0000-0300-000061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3" authorId="1" shapeId="0" xr:uid="{00000000-0006-0000-0300-000062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54" authorId="1" shapeId="0" xr:uid="{00000000-0006-0000-0300-000063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55" authorId="1" shapeId="0" xr:uid="{00000000-0006-0000-0300-000064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56" authorId="1" shapeId="0" xr:uid="{00000000-0006-0000-0300-000065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57" authorId="1" shapeId="0" xr:uid="{00000000-0006-0000-0300-000066010000}">
      <text>
        <r>
          <rPr>
            <b/>
            <sz val="9"/>
            <color indexed="81"/>
            <rFont val="Tahoma"/>
            <family val="2"/>
          </rPr>
          <t>YULIED.PENARANDA:</t>
        </r>
        <r>
          <rPr>
            <sz val="9"/>
            <color indexed="81"/>
            <rFont val="Tahoma"/>
            <family val="2"/>
          </rPr>
          <t xml:space="preserve">
Se suma los recursos presupuestales (vigencia + reservas)</t>
        </r>
      </text>
    </comment>
    <comment ref="D358" authorId="1" shapeId="0" xr:uid="{00000000-0006-0000-0300-000067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9" authorId="1" shapeId="0" xr:uid="{00000000-0006-0000-0300-000068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0" authorId="1" shapeId="0" xr:uid="{00000000-0006-0000-0300-000069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61" authorId="1" shapeId="0" xr:uid="{00000000-0006-0000-0300-00006A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62" authorId="1" shapeId="0" xr:uid="{00000000-0006-0000-0300-00006B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63" authorId="1" shapeId="0" xr:uid="{00000000-0006-0000-0300-00006C010000}">
      <text>
        <r>
          <rPr>
            <b/>
            <sz val="9"/>
            <color indexed="81"/>
            <rFont val="Tahoma"/>
            <family val="2"/>
          </rPr>
          <t>YULIED.PENARANDA:</t>
        </r>
        <r>
          <rPr>
            <sz val="9"/>
            <color indexed="81"/>
            <rFont val="Tahoma"/>
            <family val="2"/>
          </rPr>
          <t xml:space="preserve">
Se suma los recursos presupuestales (vigencia + reservas)</t>
        </r>
      </text>
    </comment>
    <comment ref="D364" authorId="1" shapeId="0" xr:uid="{00000000-0006-0000-0300-00006D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65" authorId="1" shapeId="0" xr:uid="{00000000-0006-0000-0300-00006E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6" authorId="1" shapeId="0" xr:uid="{00000000-0006-0000-0300-00006F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67" authorId="1" shapeId="0" xr:uid="{00000000-0006-0000-0300-000070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68" authorId="1" shapeId="0" xr:uid="{00000000-0006-0000-0300-000071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69" authorId="1" shapeId="0" xr:uid="{00000000-0006-0000-0300-000072010000}">
      <text>
        <r>
          <rPr>
            <b/>
            <sz val="9"/>
            <color indexed="81"/>
            <rFont val="Tahoma"/>
            <family val="2"/>
          </rPr>
          <t>YULIED.PENARANDA:</t>
        </r>
        <r>
          <rPr>
            <sz val="9"/>
            <color indexed="81"/>
            <rFont val="Tahoma"/>
            <family val="2"/>
          </rPr>
          <t xml:space="preserve">
Se suma los recursos presupuestales (vigencia + reservas)</t>
        </r>
      </text>
    </comment>
    <comment ref="D370" authorId="1" shapeId="0" xr:uid="{00000000-0006-0000-0300-000073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71" authorId="1" shapeId="0" xr:uid="{00000000-0006-0000-0300-000074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72" authorId="1" shapeId="0" xr:uid="{00000000-0006-0000-0300-000075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3" authorId="1" shapeId="0" xr:uid="{00000000-0006-0000-0300-000076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74" authorId="1" shapeId="0" xr:uid="{00000000-0006-0000-0300-000077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75" authorId="1" shapeId="0" xr:uid="{00000000-0006-0000-0300-000078010000}">
      <text>
        <r>
          <rPr>
            <b/>
            <sz val="9"/>
            <color indexed="81"/>
            <rFont val="Tahoma"/>
            <family val="2"/>
          </rPr>
          <t>YULIED.PENARANDA:</t>
        </r>
        <r>
          <rPr>
            <sz val="9"/>
            <color indexed="81"/>
            <rFont val="Tahoma"/>
            <family val="2"/>
          </rPr>
          <t xml:space="preserve">
Se suma los recursos presupuestales (vigencia + reservas)</t>
        </r>
      </text>
    </comment>
    <comment ref="D376" authorId="1" shapeId="0" xr:uid="{00000000-0006-0000-0300-000079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77" authorId="1" shapeId="0" xr:uid="{00000000-0006-0000-0300-00007A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78" authorId="1" shapeId="0" xr:uid="{00000000-0006-0000-0300-00007B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9" authorId="1" shapeId="0" xr:uid="{00000000-0006-0000-0300-00007C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0" authorId="1" shapeId="0" xr:uid="{00000000-0006-0000-0300-00007D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81" authorId="1" shapeId="0" xr:uid="{00000000-0006-0000-0300-00007E010000}">
      <text>
        <r>
          <rPr>
            <b/>
            <sz val="9"/>
            <color indexed="81"/>
            <rFont val="Tahoma"/>
            <family val="2"/>
          </rPr>
          <t>YULIED.PENARANDA:</t>
        </r>
        <r>
          <rPr>
            <sz val="9"/>
            <color indexed="81"/>
            <rFont val="Tahoma"/>
            <family val="2"/>
          </rPr>
          <t xml:space="preserve">
Se suma los recursos presupuestales (vigencia + reservas)</t>
        </r>
      </text>
    </comment>
    <comment ref="D382" authorId="1" shapeId="0" xr:uid="{00000000-0006-0000-0300-00007F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83" authorId="1" shapeId="0" xr:uid="{00000000-0006-0000-0300-000080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84" authorId="1" shapeId="0" xr:uid="{00000000-0006-0000-0300-000081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85" authorId="1" shapeId="0" xr:uid="{00000000-0006-0000-0300-000082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6" authorId="1" shapeId="0" xr:uid="{00000000-0006-0000-0300-000083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87" authorId="1" shapeId="0" xr:uid="{00000000-0006-0000-0300-000084010000}">
      <text>
        <r>
          <rPr>
            <b/>
            <sz val="9"/>
            <color indexed="81"/>
            <rFont val="Tahoma"/>
            <family val="2"/>
          </rPr>
          <t>YULIED.PENARANDA:</t>
        </r>
        <r>
          <rPr>
            <sz val="9"/>
            <color indexed="81"/>
            <rFont val="Tahoma"/>
            <family val="2"/>
          </rPr>
          <t xml:space="preserve">
Se suma los recursos presupuestales (vigencia + reservas)</t>
        </r>
      </text>
    </comment>
    <comment ref="D388" authorId="1" shapeId="0" xr:uid="{00000000-0006-0000-0300-000085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89" authorId="1" shapeId="0" xr:uid="{00000000-0006-0000-0300-000086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90" authorId="1" shapeId="0" xr:uid="{00000000-0006-0000-0300-000087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91" authorId="1" shapeId="0" xr:uid="{00000000-0006-0000-0300-000088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92" authorId="1" shapeId="0" xr:uid="{00000000-0006-0000-0300-000089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3" authorId="1" shapeId="0" xr:uid="{00000000-0006-0000-0300-00008A010000}">
      <text>
        <r>
          <rPr>
            <b/>
            <sz val="9"/>
            <color indexed="81"/>
            <rFont val="Tahoma"/>
            <family val="2"/>
          </rPr>
          <t>YULIED.PENARANDA:</t>
        </r>
        <r>
          <rPr>
            <sz val="9"/>
            <color indexed="81"/>
            <rFont val="Tahoma"/>
            <family val="2"/>
          </rPr>
          <t xml:space="preserve">
Se suma los recursos presupuestales (vigencia + reservas)</t>
        </r>
      </text>
    </comment>
    <comment ref="D394" authorId="1" shapeId="0" xr:uid="{00000000-0006-0000-0300-00008B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95" authorId="1" shapeId="0" xr:uid="{00000000-0006-0000-0300-00008C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96" authorId="1" shapeId="0" xr:uid="{00000000-0006-0000-0300-00008D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97" authorId="1" shapeId="0" xr:uid="{00000000-0006-0000-0300-00008E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98" authorId="1" shapeId="0" xr:uid="{00000000-0006-0000-0300-00008F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9" authorId="1" shapeId="0" xr:uid="{00000000-0006-0000-0300-000090010000}">
      <text>
        <r>
          <rPr>
            <b/>
            <sz val="9"/>
            <color indexed="81"/>
            <rFont val="Tahoma"/>
            <family val="2"/>
          </rPr>
          <t>YULIED.PENARANDA:</t>
        </r>
        <r>
          <rPr>
            <sz val="9"/>
            <color indexed="81"/>
            <rFont val="Tahoma"/>
            <family val="2"/>
          </rPr>
          <t xml:space="preserve">
Se suma los recursos presupuestales (vigencia + reservas)</t>
        </r>
      </text>
    </comment>
    <comment ref="D400" authorId="1" shapeId="0" xr:uid="{00000000-0006-0000-0300-000091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01" authorId="1" shapeId="0" xr:uid="{00000000-0006-0000-0300-000092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02" authorId="1" shapeId="0" xr:uid="{00000000-0006-0000-0300-000093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03" authorId="1" shapeId="0" xr:uid="{00000000-0006-0000-0300-000094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04" authorId="1" shapeId="0" xr:uid="{00000000-0006-0000-0300-000095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05" authorId="1" shapeId="0" xr:uid="{00000000-0006-0000-0300-000096010000}">
      <text>
        <r>
          <rPr>
            <b/>
            <sz val="9"/>
            <color indexed="81"/>
            <rFont val="Tahoma"/>
            <family val="2"/>
          </rPr>
          <t>YULIED.PENARANDA:</t>
        </r>
        <r>
          <rPr>
            <sz val="9"/>
            <color indexed="81"/>
            <rFont val="Tahoma"/>
            <family val="2"/>
          </rPr>
          <t xml:space="preserve">
Se suma los recursos presupuestales (vigencia + reservas)</t>
        </r>
      </text>
    </comment>
    <comment ref="D406" authorId="1" shapeId="0" xr:uid="{00000000-0006-0000-0300-000097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07" authorId="1" shapeId="0" xr:uid="{00000000-0006-0000-0300-000098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08" authorId="1" shapeId="0" xr:uid="{00000000-0006-0000-0300-000099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09" authorId="1" shapeId="0" xr:uid="{00000000-0006-0000-0300-00009A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10" authorId="1" shapeId="0" xr:uid="{00000000-0006-0000-0300-00009B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11" authorId="1" shapeId="0" xr:uid="{00000000-0006-0000-0300-00009C010000}">
      <text>
        <r>
          <rPr>
            <b/>
            <sz val="9"/>
            <color indexed="81"/>
            <rFont val="Tahoma"/>
            <family val="2"/>
          </rPr>
          <t>YULIED.PENARANDA:</t>
        </r>
        <r>
          <rPr>
            <sz val="9"/>
            <color indexed="81"/>
            <rFont val="Tahoma"/>
            <family val="2"/>
          </rPr>
          <t xml:space="preserve">
Se suma los recursos presupuestales (vigencia + reservas)</t>
        </r>
      </text>
    </comment>
    <comment ref="D412" authorId="1" shapeId="0" xr:uid="{00000000-0006-0000-0300-00009D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3" authorId="1" shapeId="0" xr:uid="{00000000-0006-0000-0300-00009E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14" authorId="1" shapeId="0" xr:uid="{00000000-0006-0000-0300-00009F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15" authorId="1" shapeId="0" xr:uid="{00000000-0006-0000-0300-0000A0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16" authorId="1" shapeId="0" xr:uid="{00000000-0006-0000-0300-0000A1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17" authorId="1" shapeId="0" xr:uid="{00000000-0006-0000-0300-0000A2010000}">
      <text>
        <r>
          <rPr>
            <b/>
            <sz val="9"/>
            <color indexed="81"/>
            <rFont val="Tahoma"/>
            <family val="2"/>
          </rPr>
          <t>YULIED.PENARANDA:</t>
        </r>
        <r>
          <rPr>
            <sz val="9"/>
            <color indexed="81"/>
            <rFont val="Tahoma"/>
            <family val="2"/>
          </rPr>
          <t xml:space="preserve">
Se suma los recursos presupuestales (vigencia + reservas)</t>
        </r>
      </text>
    </comment>
    <comment ref="D418" authorId="1" shapeId="0" xr:uid="{00000000-0006-0000-0300-0000A3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9" authorId="1" shapeId="0" xr:uid="{00000000-0006-0000-0300-0000A4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0" authorId="1" shapeId="0" xr:uid="{00000000-0006-0000-0300-0000A5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21" authorId="1" shapeId="0" xr:uid="{00000000-0006-0000-0300-0000A6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22" authorId="1" shapeId="0" xr:uid="{00000000-0006-0000-0300-0000A7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23" authorId="1" shapeId="0" xr:uid="{00000000-0006-0000-0300-0000A8010000}">
      <text>
        <r>
          <rPr>
            <b/>
            <sz val="9"/>
            <color indexed="81"/>
            <rFont val="Tahoma"/>
            <family val="2"/>
          </rPr>
          <t>YULIED.PENARANDA:</t>
        </r>
        <r>
          <rPr>
            <sz val="9"/>
            <color indexed="81"/>
            <rFont val="Tahoma"/>
            <family val="2"/>
          </rPr>
          <t xml:space="preserve">
Se suma los recursos presupuestales (vigencia + reservas)</t>
        </r>
      </text>
    </comment>
    <comment ref="D424" authorId="1" shapeId="0" xr:uid="{00000000-0006-0000-0300-0000A9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25" authorId="1" shapeId="0" xr:uid="{00000000-0006-0000-0300-0000AA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6" authorId="1" shapeId="0" xr:uid="{00000000-0006-0000-0300-0000AB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27" authorId="1" shapeId="0" xr:uid="{00000000-0006-0000-0300-0000AC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28" authorId="1" shapeId="0" xr:uid="{00000000-0006-0000-0300-0000AD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29" authorId="1" shapeId="0" xr:uid="{00000000-0006-0000-0300-0000AE010000}">
      <text>
        <r>
          <rPr>
            <b/>
            <sz val="9"/>
            <color indexed="81"/>
            <rFont val="Tahoma"/>
            <family val="2"/>
          </rPr>
          <t>YULIED.PENARANDA:</t>
        </r>
        <r>
          <rPr>
            <sz val="9"/>
            <color indexed="81"/>
            <rFont val="Tahoma"/>
            <family val="2"/>
          </rPr>
          <t xml:space="preserve">
Se suma los recursos presupuestales (vigencia + reservas)</t>
        </r>
      </text>
    </comment>
    <comment ref="D430" authorId="1" shapeId="0" xr:uid="{00000000-0006-0000-0300-0000AF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31" authorId="1" shapeId="0" xr:uid="{00000000-0006-0000-0300-0000B0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32" authorId="1" shapeId="0" xr:uid="{00000000-0006-0000-0300-0000B1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3" authorId="1" shapeId="0" xr:uid="{00000000-0006-0000-0300-0000B2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34" authorId="1" shapeId="0" xr:uid="{00000000-0006-0000-0300-0000B3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35" authorId="1" shapeId="0" xr:uid="{00000000-0006-0000-0300-0000B4010000}">
      <text>
        <r>
          <rPr>
            <b/>
            <sz val="9"/>
            <color indexed="81"/>
            <rFont val="Tahoma"/>
            <family val="2"/>
          </rPr>
          <t>YULIED.PENARANDA:</t>
        </r>
        <r>
          <rPr>
            <sz val="9"/>
            <color indexed="81"/>
            <rFont val="Tahoma"/>
            <family val="2"/>
          </rPr>
          <t xml:space="preserve">
Se suma los recursos presupuestales (vigencia + reservas)</t>
        </r>
      </text>
    </comment>
    <comment ref="D436" authorId="1" shapeId="0" xr:uid="{00000000-0006-0000-0300-0000B5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37" authorId="1" shapeId="0" xr:uid="{00000000-0006-0000-0300-0000B6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38" authorId="1" shapeId="0" xr:uid="{00000000-0006-0000-0300-0000B7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9" authorId="1" shapeId="0" xr:uid="{00000000-0006-0000-0300-0000B8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0" authorId="1" shapeId="0" xr:uid="{00000000-0006-0000-0300-0000B9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41" authorId="1" shapeId="0" xr:uid="{00000000-0006-0000-0300-0000BA010000}">
      <text>
        <r>
          <rPr>
            <b/>
            <sz val="9"/>
            <color indexed="81"/>
            <rFont val="Tahoma"/>
            <family val="2"/>
          </rPr>
          <t>YULIED.PENARANDA:</t>
        </r>
        <r>
          <rPr>
            <sz val="9"/>
            <color indexed="81"/>
            <rFont val="Tahoma"/>
            <family val="2"/>
          </rPr>
          <t xml:space="preserve">
Se suma los recursos presupuestales (vigencia + reservas)</t>
        </r>
      </text>
    </comment>
    <comment ref="D442" authorId="1" shapeId="0" xr:uid="{00000000-0006-0000-0300-0000BB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43" authorId="1" shapeId="0" xr:uid="{00000000-0006-0000-0300-0000BC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44" authorId="1" shapeId="0" xr:uid="{00000000-0006-0000-0300-0000BD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45" authorId="1" shapeId="0" xr:uid="{00000000-0006-0000-0300-0000BE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6" authorId="1" shapeId="0" xr:uid="{00000000-0006-0000-0300-0000BF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47" authorId="1" shapeId="0" xr:uid="{00000000-0006-0000-0300-0000C0010000}">
      <text>
        <r>
          <rPr>
            <b/>
            <sz val="9"/>
            <color indexed="81"/>
            <rFont val="Tahoma"/>
            <family val="2"/>
          </rPr>
          <t>YULIED.PENARANDA:</t>
        </r>
        <r>
          <rPr>
            <sz val="9"/>
            <color indexed="81"/>
            <rFont val="Tahoma"/>
            <family val="2"/>
          </rPr>
          <t xml:space="preserve">
Se suma los recursos presupuestales (vigencia + reservas)</t>
        </r>
      </text>
    </comment>
    <comment ref="D448" authorId="1" shapeId="0" xr:uid="{00000000-0006-0000-0300-0000C1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49" authorId="1" shapeId="0" xr:uid="{00000000-0006-0000-0300-0000C2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50" authorId="1" shapeId="0" xr:uid="{00000000-0006-0000-0300-0000C3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51" authorId="1" shapeId="0" xr:uid="{00000000-0006-0000-0300-0000C4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52" authorId="1" shapeId="0" xr:uid="{00000000-0006-0000-0300-0000C5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3" authorId="1" shapeId="0" xr:uid="{00000000-0006-0000-0300-0000C6010000}">
      <text>
        <r>
          <rPr>
            <b/>
            <sz val="9"/>
            <color indexed="81"/>
            <rFont val="Tahoma"/>
            <family val="2"/>
          </rPr>
          <t>YULIED.PENARANDA:</t>
        </r>
        <r>
          <rPr>
            <sz val="9"/>
            <color indexed="81"/>
            <rFont val="Tahoma"/>
            <family val="2"/>
          </rPr>
          <t xml:space="preserve">
Se suma los recursos presupuestales (vigencia + reservas)</t>
        </r>
      </text>
    </comment>
    <comment ref="D454" authorId="1" shapeId="0" xr:uid="{00000000-0006-0000-0300-0000C7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55" authorId="1" shapeId="0" xr:uid="{00000000-0006-0000-0300-0000C8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56" authorId="1" shapeId="0" xr:uid="{00000000-0006-0000-0300-0000C9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57" authorId="1" shapeId="0" xr:uid="{00000000-0006-0000-0300-0000CA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58" authorId="1" shapeId="0" xr:uid="{00000000-0006-0000-0300-0000CB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9" authorId="1" shapeId="0" xr:uid="{00000000-0006-0000-0300-0000CC010000}">
      <text>
        <r>
          <rPr>
            <b/>
            <sz val="9"/>
            <color indexed="81"/>
            <rFont val="Tahoma"/>
            <family val="2"/>
          </rPr>
          <t>YULIED.PENARANDA:</t>
        </r>
        <r>
          <rPr>
            <sz val="9"/>
            <color indexed="81"/>
            <rFont val="Tahoma"/>
            <family val="2"/>
          </rPr>
          <t xml:space="preserve">
Se suma los recursos presupuestales (vigencia + reservas)</t>
        </r>
      </text>
    </comment>
    <comment ref="D460" authorId="1" shapeId="0" xr:uid="{00000000-0006-0000-0300-0000CD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61" authorId="1" shapeId="0" xr:uid="{00000000-0006-0000-0300-0000CE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62" authorId="1" shapeId="0" xr:uid="{00000000-0006-0000-0300-0000CF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63" authorId="1" shapeId="0" xr:uid="{00000000-0006-0000-0300-0000D0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64" authorId="1" shapeId="0" xr:uid="{00000000-0006-0000-0300-0000D1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65" authorId="1" shapeId="0" xr:uid="{00000000-0006-0000-0300-0000D2010000}">
      <text>
        <r>
          <rPr>
            <b/>
            <sz val="9"/>
            <color indexed="81"/>
            <rFont val="Tahoma"/>
            <family val="2"/>
          </rPr>
          <t>YULIED.PENARANDA:</t>
        </r>
        <r>
          <rPr>
            <sz val="9"/>
            <color indexed="81"/>
            <rFont val="Tahoma"/>
            <family val="2"/>
          </rPr>
          <t xml:space="preserve">
Se suma los recursos presupuestales (vigencia + reservas)</t>
        </r>
      </text>
    </comment>
    <comment ref="D466" authorId="1" shapeId="0" xr:uid="{00000000-0006-0000-0300-0000D3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67" authorId="1" shapeId="0" xr:uid="{00000000-0006-0000-0300-0000D4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68" authorId="1" shapeId="0" xr:uid="{00000000-0006-0000-0300-0000D5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69" authorId="1" shapeId="0" xr:uid="{00000000-0006-0000-0300-0000D6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70" authorId="1" shapeId="0" xr:uid="{00000000-0006-0000-0300-0000D7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71" authorId="1" shapeId="0" xr:uid="{00000000-0006-0000-0300-0000D8010000}">
      <text>
        <r>
          <rPr>
            <b/>
            <sz val="9"/>
            <color indexed="81"/>
            <rFont val="Tahoma"/>
            <family val="2"/>
          </rPr>
          <t>YULIED.PENARANDA:</t>
        </r>
        <r>
          <rPr>
            <sz val="9"/>
            <color indexed="81"/>
            <rFont val="Tahoma"/>
            <family val="2"/>
          </rPr>
          <t xml:space="preserve">
Se suma los recursos presupuestales (vigencia + reservas)</t>
        </r>
      </text>
    </comment>
    <comment ref="D472" authorId="1" shapeId="0" xr:uid="{00000000-0006-0000-0300-0000D9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3" authorId="1" shapeId="0" xr:uid="{00000000-0006-0000-0300-0000DA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74" authorId="1" shapeId="0" xr:uid="{00000000-0006-0000-0300-0000DB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75" authorId="1" shapeId="0" xr:uid="{00000000-0006-0000-0300-0000DC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76" authorId="1" shapeId="0" xr:uid="{00000000-0006-0000-0300-0000DD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77" authorId="1" shapeId="0" xr:uid="{00000000-0006-0000-0300-0000DE010000}">
      <text>
        <r>
          <rPr>
            <b/>
            <sz val="9"/>
            <color indexed="81"/>
            <rFont val="Tahoma"/>
            <family val="2"/>
          </rPr>
          <t>YULIED.PENARANDA:</t>
        </r>
        <r>
          <rPr>
            <sz val="9"/>
            <color indexed="81"/>
            <rFont val="Tahoma"/>
            <family val="2"/>
          </rPr>
          <t xml:space="preserve">
Se suma los recursos presupuestales (vigencia + reservas)</t>
        </r>
      </text>
    </comment>
    <comment ref="D478" authorId="1" shapeId="0" xr:uid="{00000000-0006-0000-0300-0000DF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9" authorId="1" shapeId="0" xr:uid="{00000000-0006-0000-0300-0000E0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0" authorId="1" shapeId="0" xr:uid="{00000000-0006-0000-0300-0000E1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81" authorId="1" shapeId="0" xr:uid="{00000000-0006-0000-0300-0000E2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82" authorId="1" shapeId="0" xr:uid="{00000000-0006-0000-0300-0000E3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83" authorId="1" shapeId="0" xr:uid="{00000000-0006-0000-0300-0000E4010000}">
      <text>
        <r>
          <rPr>
            <b/>
            <sz val="9"/>
            <color indexed="81"/>
            <rFont val="Tahoma"/>
            <family val="2"/>
          </rPr>
          <t>YULIED.PENARANDA:</t>
        </r>
        <r>
          <rPr>
            <sz val="9"/>
            <color indexed="81"/>
            <rFont val="Tahoma"/>
            <family val="2"/>
          </rPr>
          <t xml:space="preserve">
Se suma los recursos presupuestales (vigencia + reservas)</t>
        </r>
      </text>
    </comment>
    <comment ref="D484" authorId="1" shapeId="0" xr:uid="{00000000-0006-0000-0300-0000E5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85" authorId="1" shapeId="0" xr:uid="{00000000-0006-0000-0300-0000E6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6" authorId="1" shapeId="0" xr:uid="{00000000-0006-0000-0300-0000E7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87" authorId="1" shapeId="0" xr:uid="{00000000-0006-0000-0300-0000E8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88" authorId="1" shapeId="0" xr:uid="{00000000-0006-0000-0300-0000E9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89" authorId="1" shapeId="0" xr:uid="{00000000-0006-0000-0300-0000EA010000}">
      <text>
        <r>
          <rPr>
            <b/>
            <sz val="9"/>
            <color indexed="81"/>
            <rFont val="Tahoma"/>
            <family val="2"/>
          </rPr>
          <t>YULIED.PENARANDA:</t>
        </r>
        <r>
          <rPr>
            <sz val="9"/>
            <color indexed="81"/>
            <rFont val="Tahoma"/>
            <family val="2"/>
          </rPr>
          <t xml:space="preserve">
Se suma los recursos presupuestales (vigencia + reservas)</t>
        </r>
      </text>
    </comment>
    <comment ref="D490" authorId="1" shapeId="0" xr:uid="{00000000-0006-0000-0300-0000EB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91" authorId="1" shapeId="0" xr:uid="{00000000-0006-0000-0300-0000EC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92" authorId="1" shapeId="0" xr:uid="{00000000-0006-0000-0300-0000ED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3" authorId="1" shapeId="0" xr:uid="{00000000-0006-0000-0300-0000EE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94" authorId="1" shapeId="0" xr:uid="{00000000-0006-0000-0300-0000EF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95" authorId="1" shapeId="0" xr:uid="{00000000-0006-0000-0300-0000F0010000}">
      <text>
        <r>
          <rPr>
            <b/>
            <sz val="9"/>
            <color indexed="81"/>
            <rFont val="Tahoma"/>
            <family val="2"/>
          </rPr>
          <t>YULIED.PENARANDA:</t>
        </r>
        <r>
          <rPr>
            <sz val="9"/>
            <color indexed="81"/>
            <rFont val="Tahoma"/>
            <family val="2"/>
          </rPr>
          <t xml:space="preserve">
Se suma los recursos presupuestales (vigencia + reservas)</t>
        </r>
      </text>
    </comment>
    <comment ref="D496" authorId="1" shapeId="0" xr:uid="{00000000-0006-0000-0300-0000F1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97" authorId="1" shapeId="0" xr:uid="{00000000-0006-0000-0300-0000F2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98" authorId="1" shapeId="0" xr:uid="{00000000-0006-0000-0300-0000F3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9" authorId="1" shapeId="0" xr:uid="{00000000-0006-0000-0300-0000F4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0" authorId="1" shapeId="0" xr:uid="{00000000-0006-0000-0300-0000F5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01" authorId="1" shapeId="0" xr:uid="{00000000-0006-0000-0300-0000F6010000}">
      <text>
        <r>
          <rPr>
            <b/>
            <sz val="9"/>
            <color indexed="81"/>
            <rFont val="Tahoma"/>
            <family val="2"/>
          </rPr>
          <t>YULIED.PENARANDA:</t>
        </r>
        <r>
          <rPr>
            <sz val="9"/>
            <color indexed="81"/>
            <rFont val="Tahoma"/>
            <family val="2"/>
          </rPr>
          <t xml:space="preserve">
Se suma los recursos presupuestales (vigencia + reservas)</t>
        </r>
      </text>
    </comment>
    <comment ref="D502" authorId="1" shapeId="0" xr:uid="{00000000-0006-0000-0300-0000F7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03" authorId="1" shapeId="0" xr:uid="{00000000-0006-0000-0300-0000F8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04" authorId="1" shapeId="0" xr:uid="{00000000-0006-0000-0300-0000F9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05" authorId="1" shapeId="0" xr:uid="{00000000-0006-0000-0300-0000FA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6" authorId="1" shapeId="0" xr:uid="{00000000-0006-0000-0300-0000FB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07" authorId="1" shapeId="0" xr:uid="{00000000-0006-0000-0300-0000FC010000}">
      <text>
        <r>
          <rPr>
            <b/>
            <sz val="9"/>
            <color indexed="81"/>
            <rFont val="Tahoma"/>
            <family val="2"/>
          </rPr>
          <t>YULIED.PENARANDA:</t>
        </r>
        <r>
          <rPr>
            <sz val="9"/>
            <color indexed="81"/>
            <rFont val="Tahoma"/>
            <family val="2"/>
          </rPr>
          <t xml:space="preserve">
Se suma los recursos presupuestales (vigencia + reservas)</t>
        </r>
      </text>
    </comment>
    <comment ref="D508" authorId="1" shapeId="0" xr:uid="{00000000-0006-0000-0300-0000FD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09" authorId="1" shapeId="0" xr:uid="{00000000-0006-0000-0300-0000FE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10" authorId="1" shapeId="0" xr:uid="{00000000-0006-0000-0300-0000FF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11" authorId="1" shapeId="0" xr:uid="{00000000-0006-0000-0300-000000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12" authorId="1" shapeId="0" xr:uid="{00000000-0006-0000-0300-000001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3" authorId="1" shapeId="0" xr:uid="{00000000-0006-0000-0300-000002020000}">
      <text>
        <r>
          <rPr>
            <b/>
            <sz val="9"/>
            <color indexed="81"/>
            <rFont val="Tahoma"/>
            <family val="2"/>
          </rPr>
          <t>YULIED.PENARANDA:</t>
        </r>
        <r>
          <rPr>
            <sz val="9"/>
            <color indexed="81"/>
            <rFont val="Tahoma"/>
            <family val="2"/>
          </rPr>
          <t xml:space="preserve">
Se suma los recursos presupuestales (vigencia + reservas)</t>
        </r>
      </text>
    </comment>
    <comment ref="D514" authorId="1" shapeId="0" xr:uid="{00000000-0006-0000-0300-000003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15" authorId="1" shapeId="0" xr:uid="{00000000-0006-0000-0300-000004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16" authorId="1" shapeId="0" xr:uid="{00000000-0006-0000-0300-000005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17" authorId="1" shapeId="0" xr:uid="{00000000-0006-0000-0300-000006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18" authorId="1" shapeId="0" xr:uid="{00000000-0006-0000-0300-000007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9" authorId="1" shapeId="0" xr:uid="{00000000-0006-0000-0300-000008020000}">
      <text>
        <r>
          <rPr>
            <b/>
            <sz val="9"/>
            <color indexed="81"/>
            <rFont val="Tahoma"/>
            <family val="2"/>
          </rPr>
          <t>YULIED.PENARANDA:</t>
        </r>
        <r>
          <rPr>
            <sz val="9"/>
            <color indexed="81"/>
            <rFont val="Tahoma"/>
            <family val="2"/>
          </rPr>
          <t xml:space="preserve">
Se suma los recursos presupuestales (vigencia + reservas)</t>
        </r>
      </text>
    </comment>
    <comment ref="D520" authorId="1" shapeId="0" xr:uid="{00000000-0006-0000-0300-000009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21" authorId="1" shapeId="0" xr:uid="{00000000-0006-0000-0300-00000A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22" authorId="1" shapeId="0" xr:uid="{00000000-0006-0000-0300-00000B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23" authorId="1" shapeId="0" xr:uid="{00000000-0006-0000-0300-00000C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24" authorId="1" shapeId="0" xr:uid="{00000000-0006-0000-0300-00000D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25" authorId="1" shapeId="0" xr:uid="{00000000-0006-0000-0300-00000E020000}">
      <text>
        <r>
          <rPr>
            <b/>
            <sz val="9"/>
            <color indexed="81"/>
            <rFont val="Tahoma"/>
            <family val="2"/>
          </rPr>
          <t>YULIED.PENARANDA:</t>
        </r>
        <r>
          <rPr>
            <sz val="9"/>
            <color indexed="81"/>
            <rFont val="Tahoma"/>
            <family val="2"/>
          </rPr>
          <t xml:space="preserve">
Se suma los recursos presupuestales (vigencia + reservas)</t>
        </r>
      </text>
    </comment>
    <comment ref="D526" authorId="1" shapeId="0" xr:uid="{00000000-0006-0000-0300-00000F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27" authorId="1" shapeId="0" xr:uid="{00000000-0006-0000-0300-000010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28" authorId="1" shapeId="0" xr:uid="{00000000-0006-0000-0300-000011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29" authorId="1" shapeId="0" xr:uid="{00000000-0006-0000-0300-000012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30" authorId="1" shapeId="0" xr:uid="{00000000-0006-0000-0300-000013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31" authorId="1" shapeId="0" xr:uid="{00000000-0006-0000-0300-000014020000}">
      <text>
        <r>
          <rPr>
            <b/>
            <sz val="9"/>
            <color indexed="81"/>
            <rFont val="Tahoma"/>
            <family val="2"/>
          </rPr>
          <t>YULIED.PENARANDA:</t>
        </r>
        <r>
          <rPr>
            <sz val="9"/>
            <color indexed="81"/>
            <rFont val="Tahoma"/>
            <family val="2"/>
          </rPr>
          <t xml:space="preserve">
Se suma los recursos presupuestales (vigencia + reservas)</t>
        </r>
      </text>
    </comment>
    <comment ref="D532" authorId="1" shapeId="0" xr:uid="{00000000-0006-0000-0300-000015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3" authorId="1" shapeId="0" xr:uid="{00000000-0006-0000-0300-000016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34" authorId="1" shapeId="0" xr:uid="{00000000-0006-0000-0300-000017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35" authorId="1" shapeId="0" xr:uid="{00000000-0006-0000-0300-000018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36" authorId="1" shapeId="0" xr:uid="{00000000-0006-0000-0300-000019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37" authorId="1" shapeId="0" xr:uid="{00000000-0006-0000-0300-00001A020000}">
      <text>
        <r>
          <rPr>
            <b/>
            <sz val="9"/>
            <color indexed="81"/>
            <rFont val="Tahoma"/>
            <family val="2"/>
          </rPr>
          <t>YULIED.PENARANDA:</t>
        </r>
        <r>
          <rPr>
            <sz val="9"/>
            <color indexed="81"/>
            <rFont val="Tahoma"/>
            <family val="2"/>
          </rPr>
          <t xml:space="preserve">
Se suma los recursos presupuestales (vigencia + reservas)</t>
        </r>
      </text>
    </comment>
    <comment ref="D538" authorId="1" shapeId="0" xr:uid="{00000000-0006-0000-0300-00001B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9" authorId="1" shapeId="0" xr:uid="{00000000-0006-0000-0300-00001C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0" authorId="1" shapeId="0" xr:uid="{00000000-0006-0000-0300-00001D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41" authorId="1" shapeId="0" xr:uid="{00000000-0006-0000-0300-00001E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42" authorId="1" shapeId="0" xr:uid="{00000000-0006-0000-0300-00001F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43" authorId="1" shapeId="0" xr:uid="{00000000-0006-0000-0300-000020020000}">
      <text>
        <r>
          <rPr>
            <b/>
            <sz val="9"/>
            <color indexed="81"/>
            <rFont val="Tahoma"/>
            <family val="2"/>
          </rPr>
          <t>YULIED.PENARANDA:</t>
        </r>
        <r>
          <rPr>
            <sz val="9"/>
            <color indexed="81"/>
            <rFont val="Tahoma"/>
            <family val="2"/>
          </rPr>
          <t xml:space="preserve">
Se suma los recursos presupuestales (vigencia + reservas)</t>
        </r>
      </text>
    </comment>
    <comment ref="D544" authorId="1" shapeId="0" xr:uid="{00000000-0006-0000-0300-000021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45" authorId="1" shapeId="0" xr:uid="{00000000-0006-0000-0300-000022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6" authorId="1" shapeId="0" xr:uid="{00000000-0006-0000-0300-000023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47" authorId="1" shapeId="0" xr:uid="{00000000-0006-0000-0300-000024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48" authorId="1" shapeId="0" xr:uid="{00000000-0006-0000-0300-000025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49" authorId="1" shapeId="0" xr:uid="{00000000-0006-0000-0300-000026020000}">
      <text>
        <r>
          <rPr>
            <b/>
            <sz val="9"/>
            <color indexed="81"/>
            <rFont val="Tahoma"/>
            <family val="2"/>
          </rPr>
          <t>YULIED.PENARANDA:</t>
        </r>
        <r>
          <rPr>
            <sz val="9"/>
            <color indexed="81"/>
            <rFont val="Tahoma"/>
            <family val="2"/>
          </rPr>
          <t xml:space="preserve">
Se suma los recursos presupuestales (vigencia + reservas)</t>
        </r>
      </text>
    </comment>
    <comment ref="D550" authorId="1" shapeId="0" xr:uid="{00000000-0006-0000-0300-000027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51" authorId="1" shapeId="0" xr:uid="{00000000-0006-0000-0300-000028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52" authorId="1" shapeId="0" xr:uid="{00000000-0006-0000-0300-000029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3" authorId="1" shapeId="0" xr:uid="{00000000-0006-0000-0300-00002A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54" authorId="1" shapeId="0" xr:uid="{00000000-0006-0000-0300-00002B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55" authorId="1" shapeId="0" xr:uid="{00000000-0006-0000-0300-00002C020000}">
      <text>
        <r>
          <rPr>
            <b/>
            <sz val="9"/>
            <color indexed="81"/>
            <rFont val="Tahoma"/>
            <family val="2"/>
          </rPr>
          <t>YULIED.PENARANDA:</t>
        </r>
        <r>
          <rPr>
            <sz val="9"/>
            <color indexed="81"/>
            <rFont val="Tahoma"/>
            <family val="2"/>
          </rPr>
          <t xml:space="preserve">
Se suma los recursos presupuestales (vigencia + reservas)</t>
        </r>
      </text>
    </comment>
    <comment ref="D556" authorId="1" shapeId="0" xr:uid="{00000000-0006-0000-0300-00002D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57" authorId="1" shapeId="0" xr:uid="{00000000-0006-0000-0300-00002E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58" authorId="1" shapeId="0" xr:uid="{00000000-0006-0000-0300-00002F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9" authorId="1" shapeId="0" xr:uid="{00000000-0006-0000-0300-000030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0" authorId="1" shapeId="0" xr:uid="{00000000-0006-0000-0300-000031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61" authorId="1" shapeId="0" xr:uid="{00000000-0006-0000-0300-000032020000}">
      <text>
        <r>
          <rPr>
            <b/>
            <sz val="9"/>
            <color indexed="81"/>
            <rFont val="Tahoma"/>
            <family val="2"/>
          </rPr>
          <t>YULIED.PENARANDA:</t>
        </r>
        <r>
          <rPr>
            <sz val="9"/>
            <color indexed="81"/>
            <rFont val="Tahoma"/>
            <family val="2"/>
          </rPr>
          <t xml:space="preserve">
Se suma los recursos presupuestales (vigencia + reservas)</t>
        </r>
      </text>
    </comment>
    <comment ref="D562" authorId="1" shapeId="0" xr:uid="{00000000-0006-0000-0300-000033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63" authorId="1" shapeId="0" xr:uid="{00000000-0006-0000-0300-000034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64" authorId="1" shapeId="0" xr:uid="{00000000-0006-0000-0300-000035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65" authorId="1" shapeId="0" xr:uid="{00000000-0006-0000-0300-000036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6" authorId="1" shapeId="0" xr:uid="{00000000-0006-0000-0300-000037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67" authorId="1" shapeId="0" xr:uid="{00000000-0006-0000-0300-000038020000}">
      <text>
        <r>
          <rPr>
            <b/>
            <sz val="9"/>
            <color indexed="81"/>
            <rFont val="Tahoma"/>
            <family val="2"/>
          </rPr>
          <t>YULIED.PENARANDA:</t>
        </r>
        <r>
          <rPr>
            <sz val="9"/>
            <color indexed="81"/>
            <rFont val="Tahoma"/>
            <family val="2"/>
          </rPr>
          <t xml:space="preserve">
Se suma los recursos presupuestales (vigencia + reservas)</t>
        </r>
      </text>
    </comment>
    <comment ref="D568" authorId="1" shapeId="0" xr:uid="{00000000-0006-0000-0300-000039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69" authorId="1" shapeId="0" xr:uid="{00000000-0006-0000-0300-00003A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70" authorId="1" shapeId="0" xr:uid="{00000000-0006-0000-0300-00003B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71" authorId="1" shapeId="0" xr:uid="{00000000-0006-0000-0300-00003C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72" authorId="1" shapeId="0" xr:uid="{00000000-0006-0000-0300-00003D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3" authorId="1" shapeId="0" xr:uid="{00000000-0006-0000-0300-00003E020000}">
      <text>
        <r>
          <rPr>
            <b/>
            <sz val="9"/>
            <color indexed="81"/>
            <rFont val="Tahoma"/>
            <family val="2"/>
          </rPr>
          <t>YULIED.PENARANDA:</t>
        </r>
        <r>
          <rPr>
            <sz val="9"/>
            <color indexed="81"/>
            <rFont val="Tahoma"/>
            <family val="2"/>
          </rPr>
          <t xml:space="preserve">
Se suma los recursos presupuestales (vigencia + reservas)</t>
        </r>
      </text>
    </comment>
    <comment ref="D574" authorId="1" shapeId="0" xr:uid="{00000000-0006-0000-0300-00003F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75" authorId="1" shapeId="0" xr:uid="{00000000-0006-0000-0300-000040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76" authorId="1" shapeId="0" xr:uid="{00000000-0006-0000-0300-000041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77" authorId="1" shapeId="0" xr:uid="{00000000-0006-0000-0300-000042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78" authorId="1" shapeId="0" xr:uid="{00000000-0006-0000-0300-000043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9" authorId="1" shapeId="0" xr:uid="{00000000-0006-0000-0300-000044020000}">
      <text>
        <r>
          <rPr>
            <b/>
            <sz val="9"/>
            <color indexed="81"/>
            <rFont val="Tahoma"/>
            <family val="2"/>
          </rPr>
          <t>YULIED.PENARANDA:</t>
        </r>
        <r>
          <rPr>
            <sz val="9"/>
            <color indexed="81"/>
            <rFont val="Tahoma"/>
            <family val="2"/>
          </rPr>
          <t xml:space="preserve">
Se suma los recursos presupuestales (vigencia + reservas)</t>
        </r>
      </text>
    </comment>
    <comment ref="D580" authorId="1" shapeId="0" xr:uid="{00000000-0006-0000-0300-000045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81" authorId="1" shapeId="0" xr:uid="{00000000-0006-0000-0300-000046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82" authorId="1" shapeId="0" xr:uid="{00000000-0006-0000-0300-000047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83" authorId="1" shapeId="0" xr:uid="{00000000-0006-0000-0300-000048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84" authorId="1" shapeId="0" xr:uid="{00000000-0006-0000-0300-000049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85" authorId="1" shapeId="0" xr:uid="{00000000-0006-0000-0300-00004A020000}">
      <text>
        <r>
          <rPr>
            <b/>
            <sz val="9"/>
            <color indexed="81"/>
            <rFont val="Tahoma"/>
            <family val="2"/>
          </rPr>
          <t>YULIED.PENARANDA:</t>
        </r>
        <r>
          <rPr>
            <sz val="9"/>
            <color indexed="81"/>
            <rFont val="Tahoma"/>
            <family val="2"/>
          </rPr>
          <t xml:space="preserve">
Se suma los recursos presupuestales (vigencia + reservas)</t>
        </r>
      </text>
    </comment>
    <comment ref="D586" authorId="1" shapeId="0" xr:uid="{00000000-0006-0000-0300-00004B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87" authorId="1" shapeId="0" xr:uid="{00000000-0006-0000-0300-00004C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88" authorId="1" shapeId="0" xr:uid="{00000000-0006-0000-0300-00004D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89" authorId="1" shapeId="0" xr:uid="{00000000-0006-0000-0300-00004E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90" authorId="1" shapeId="0" xr:uid="{00000000-0006-0000-0300-00004F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91" authorId="1" shapeId="0" xr:uid="{00000000-0006-0000-0300-000050020000}">
      <text>
        <r>
          <rPr>
            <b/>
            <sz val="9"/>
            <color indexed="81"/>
            <rFont val="Tahoma"/>
            <family val="2"/>
          </rPr>
          <t>YULIED.PENARANDA:</t>
        </r>
        <r>
          <rPr>
            <sz val="9"/>
            <color indexed="81"/>
            <rFont val="Tahoma"/>
            <family val="2"/>
          </rPr>
          <t xml:space="preserve">
Se suma los recursos presupuestales (vigencia + reservas)</t>
        </r>
      </text>
    </comment>
    <comment ref="D592" authorId="1" shapeId="0" xr:uid="{00000000-0006-0000-0300-000051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3" authorId="1" shapeId="0" xr:uid="{00000000-0006-0000-0300-000052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94" authorId="1" shapeId="0" xr:uid="{00000000-0006-0000-0300-000053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95" authorId="1" shapeId="0" xr:uid="{00000000-0006-0000-0300-000054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96" authorId="1" shapeId="0" xr:uid="{00000000-0006-0000-0300-000055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97" authorId="1" shapeId="0" xr:uid="{00000000-0006-0000-0300-000056020000}">
      <text>
        <r>
          <rPr>
            <b/>
            <sz val="9"/>
            <color indexed="81"/>
            <rFont val="Tahoma"/>
            <family val="2"/>
          </rPr>
          <t>YULIED.PENARANDA:</t>
        </r>
        <r>
          <rPr>
            <sz val="9"/>
            <color indexed="81"/>
            <rFont val="Tahoma"/>
            <family val="2"/>
          </rPr>
          <t xml:space="preserve">
Se suma los recursos presupuestales (vigencia + reservas)</t>
        </r>
      </text>
    </comment>
    <comment ref="D598" authorId="1" shapeId="0" xr:uid="{00000000-0006-0000-0300-000057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9" authorId="1" shapeId="0" xr:uid="{00000000-0006-0000-0300-000058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00" authorId="1" shapeId="0" xr:uid="{00000000-0006-0000-0300-000059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01" authorId="1" shapeId="0" xr:uid="{00000000-0006-0000-0300-00005A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02" authorId="1" shapeId="0" xr:uid="{00000000-0006-0000-0300-00005B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03" authorId="1" shapeId="0" xr:uid="{00000000-0006-0000-0300-00005C020000}">
      <text>
        <r>
          <rPr>
            <b/>
            <sz val="9"/>
            <color indexed="81"/>
            <rFont val="Tahoma"/>
            <family val="2"/>
          </rPr>
          <t>YULIED.PENARANDA:</t>
        </r>
        <r>
          <rPr>
            <sz val="9"/>
            <color indexed="81"/>
            <rFont val="Tahoma"/>
            <family val="2"/>
          </rPr>
          <t xml:space="preserve">
Se suma los recursos presupuestales (vigencia + reservas)</t>
        </r>
      </text>
    </comment>
    <comment ref="D604" authorId="1" shapeId="0" xr:uid="{00000000-0006-0000-0300-00005D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05" authorId="1" shapeId="0" xr:uid="{00000000-0006-0000-0300-00005E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06" authorId="1" shapeId="0" xr:uid="{00000000-0006-0000-0300-00005F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07" authorId="1" shapeId="0" xr:uid="{00000000-0006-0000-0300-000060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08" authorId="1" shapeId="0" xr:uid="{00000000-0006-0000-0300-000061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09" authorId="1" shapeId="0" xr:uid="{00000000-0006-0000-0300-000062020000}">
      <text>
        <r>
          <rPr>
            <b/>
            <sz val="9"/>
            <color indexed="81"/>
            <rFont val="Tahoma"/>
            <family val="2"/>
          </rPr>
          <t>YULIED.PENARANDA:</t>
        </r>
        <r>
          <rPr>
            <sz val="9"/>
            <color indexed="81"/>
            <rFont val="Tahoma"/>
            <family val="2"/>
          </rPr>
          <t xml:space="preserve">
Se suma los recursos presupuestales (vigencia + reservas)</t>
        </r>
      </text>
    </comment>
    <comment ref="D610" authorId="1" shapeId="0" xr:uid="{00000000-0006-0000-0300-000063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11" authorId="1" shapeId="0" xr:uid="{00000000-0006-0000-0300-000064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12" authorId="1" shapeId="0" xr:uid="{00000000-0006-0000-0300-000065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13" authorId="1" shapeId="0" xr:uid="{00000000-0006-0000-0300-000066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14" authorId="1" shapeId="0" xr:uid="{00000000-0006-0000-0300-000067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15" authorId="1" shapeId="0" xr:uid="{00000000-0006-0000-0300-000068020000}">
      <text>
        <r>
          <rPr>
            <b/>
            <sz val="9"/>
            <color indexed="81"/>
            <rFont val="Tahoma"/>
            <family val="2"/>
          </rPr>
          <t>YULIED.PENARANDA:</t>
        </r>
        <r>
          <rPr>
            <sz val="9"/>
            <color indexed="81"/>
            <rFont val="Tahoma"/>
            <family val="2"/>
          </rPr>
          <t xml:space="preserve">
Se suma los recursos presupuestales (vigencia + reservas)</t>
        </r>
      </text>
    </comment>
    <comment ref="D616" authorId="1" shapeId="0" xr:uid="{00000000-0006-0000-0300-000069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17" authorId="1" shapeId="0" xr:uid="{00000000-0006-0000-0300-00006A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18" authorId="1" shapeId="0" xr:uid="{00000000-0006-0000-0300-00006B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19" authorId="1" shapeId="0" xr:uid="{00000000-0006-0000-0300-00006C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0" authorId="1" shapeId="0" xr:uid="{00000000-0006-0000-0300-00006D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21" authorId="1" shapeId="0" xr:uid="{00000000-0006-0000-0300-00006E020000}">
      <text>
        <r>
          <rPr>
            <b/>
            <sz val="9"/>
            <color indexed="81"/>
            <rFont val="Tahoma"/>
            <family val="2"/>
          </rPr>
          <t>YULIED.PENARANDA:</t>
        </r>
        <r>
          <rPr>
            <sz val="9"/>
            <color indexed="81"/>
            <rFont val="Tahoma"/>
            <family val="2"/>
          </rPr>
          <t xml:space="preserve">
Se suma los recursos presupuestales (vigencia + reservas)</t>
        </r>
      </text>
    </comment>
    <comment ref="D622" authorId="1" shapeId="0" xr:uid="{00000000-0006-0000-0300-00006F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23" authorId="1" shapeId="0" xr:uid="{00000000-0006-0000-0300-000070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24" authorId="1" shapeId="0" xr:uid="{00000000-0006-0000-0300-000071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25" authorId="1" shapeId="0" xr:uid="{00000000-0006-0000-0300-000072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6" authorId="1" shapeId="0" xr:uid="{00000000-0006-0000-0300-000073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27" authorId="1" shapeId="0" xr:uid="{00000000-0006-0000-0300-000074020000}">
      <text>
        <r>
          <rPr>
            <b/>
            <sz val="9"/>
            <color indexed="81"/>
            <rFont val="Tahoma"/>
            <family val="2"/>
          </rPr>
          <t>YULIED.PENARANDA:</t>
        </r>
        <r>
          <rPr>
            <sz val="9"/>
            <color indexed="81"/>
            <rFont val="Tahoma"/>
            <family val="2"/>
          </rPr>
          <t xml:space="preserve">
Se suma los recursos presupuestales (vigencia + reservas)</t>
        </r>
      </text>
    </comment>
    <comment ref="D628" authorId="1" shapeId="0" xr:uid="{00000000-0006-0000-0300-000075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29" authorId="1" shapeId="0" xr:uid="{00000000-0006-0000-0300-000076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30" authorId="1" shapeId="0" xr:uid="{00000000-0006-0000-0300-000077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31" authorId="1" shapeId="0" xr:uid="{00000000-0006-0000-0300-000078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32" authorId="1" shapeId="0" xr:uid="{00000000-0006-0000-0300-000079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3" authorId="1" shapeId="0" xr:uid="{00000000-0006-0000-0300-00007A020000}">
      <text>
        <r>
          <rPr>
            <b/>
            <sz val="9"/>
            <color indexed="81"/>
            <rFont val="Tahoma"/>
            <family val="2"/>
          </rPr>
          <t>YULIED.PENARANDA:</t>
        </r>
        <r>
          <rPr>
            <sz val="9"/>
            <color indexed="81"/>
            <rFont val="Tahoma"/>
            <family val="2"/>
          </rPr>
          <t xml:space="preserve">
Se suma los recursos presupuestales (vigencia + reservas)</t>
        </r>
      </text>
    </comment>
    <comment ref="D634" authorId="1" shapeId="0" xr:uid="{00000000-0006-0000-0300-00007B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35" authorId="1" shapeId="0" xr:uid="{00000000-0006-0000-0300-00007C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36" authorId="1" shapeId="0" xr:uid="{00000000-0006-0000-0300-00007D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37" authorId="1" shapeId="0" xr:uid="{00000000-0006-0000-0300-00007E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38" authorId="1" shapeId="0" xr:uid="{00000000-0006-0000-0300-00007F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9" authorId="1" shapeId="0" xr:uid="{00000000-0006-0000-0300-000080020000}">
      <text>
        <r>
          <rPr>
            <b/>
            <sz val="9"/>
            <color indexed="81"/>
            <rFont val="Tahoma"/>
            <family val="2"/>
          </rPr>
          <t>YULIED.PENARANDA:</t>
        </r>
        <r>
          <rPr>
            <sz val="9"/>
            <color indexed="81"/>
            <rFont val="Tahoma"/>
            <family val="2"/>
          </rPr>
          <t xml:space="preserve">
Se suma los recursos presupuestales (vigencia + reservas)</t>
        </r>
      </text>
    </comment>
    <comment ref="D640" authorId="1" shapeId="0" xr:uid="{00000000-0006-0000-0300-000081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41" authorId="1" shapeId="0" xr:uid="{00000000-0006-0000-0300-000082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42" authorId="1" shapeId="0" xr:uid="{00000000-0006-0000-0300-000083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43" authorId="1" shapeId="0" xr:uid="{00000000-0006-0000-0300-000084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44" authorId="1" shapeId="0" xr:uid="{00000000-0006-0000-0300-000085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45" authorId="1" shapeId="0" xr:uid="{00000000-0006-0000-0300-000086020000}">
      <text>
        <r>
          <rPr>
            <b/>
            <sz val="9"/>
            <color indexed="81"/>
            <rFont val="Tahoma"/>
            <family val="2"/>
          </rPr>
          <t>YULIED.PENARANDA:</t>
        </r>
        <r>
          <rPr>
            <sz val="9"/>
            <color indexed="81"/>
            <rFont val="Tahoma"/>
            <family val="2"/>
          </rPr>
          <t xml:space="preserve">
Se suma los recursos presupuestales (vigencia + reservas)</t>
        </r>
      </text>
    </comment>
    <comment ref="D646" authorId="1" shapeId="0" xr:uid="{00000000-0006-0000-0300-000087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47" authorId="1" shapeId="0" xr:uid="{00000000-0006-0000-0300-000088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48" authorId="1" shapeId="0" xr:uid="{00000000-0006-0000-0300-000089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49" authorId="1" shapeId="0" xr:uid="{00000000-0006-0000-0300-00008A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50" authorId="1" shapeId="0" xr:uid="{00000000-0006-0000-0300-00008B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51" authorId="1" shapeId="0" xr:uid="{00000000-0006-0000-0300-00008C020000}">
      <text>
        <r>
          <rPr>
            <b/>
            <sz val="9"/>
            <color indexed="81"/>
            <rFont val="Tahoma"/>
            <family val="2"/>
          </rPr>
          <t>YULIED.PENARANDA:</t>
        </r>
        <r>
          <rPr>
            <sz val="9"/>
            <color indexed="81"/>
            <rFont val="Tahoma"/>
            <family val="2"/>
          </rPr>
          <t xml:space="preserve">
Se suma los recursos presupuestales (vigencia + reservas)</t>
        </r>
      </text>
    </comment>
    <comment ref="D652" authorId="1" shapeId="0" xr:uid="{00000000-0006-0000-0300-00008D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53" authorId="1" shapeId="0" xr:uid="{00000000-0006-0000-0300-00008E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54" authorId="1" shapeId="0" xr:uid="{00000000-0006-0000-0300-00008F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55" authorId="1" shapeId="0" xr:uid="{00000000-0006-0000-0300-000090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56" authorId="1" shapeId="0" xr:uid="{00000000-0006-0000-0300-000091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57" authorId="1" shapeId="0" xr:uid="{00000000-0006-0000-0300-000092020000}">
      <text>
        <r>
          <rPr>
            <b/>
            <sz val="9"/>
            <color indexed="81"/>
            <rFont val="Tahoma"/>
            <family val="2"/>
          </rPr>
          <t>YULIED.PENARANDA:</t>
        </r>
        <r>
          <rPr>
            <sz val="9"/>
            <color indexed="81"/>
            <rFont val="Tahoma"/>
            <family val="2"/>
          </rPr>
          <t xml:space="preserve">
Se suma los recursos presupuestales (vigencia + reservas)</t>
        </r>
      </text>
    </comment>
    <comment ref="D658" authorId="1" shapeId="0" xr:uid="{00000000-0006-0000-0300-000093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59" authorId="1" shapeId="0" xr:uid="{00000000-0006-0000-0300-000094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60" authorId="1" shapeId="0" xr:uid="{00000000-0006-0000-0300-000095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61" authorId="1" shapeId="0" xr:uid="{00000000-0006-0000-0300-000096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62" authorId="1" shapeId="0" xr:uid="{00000000-0006-0000-0300-000097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63" authorId="1" shapeId="0" xr:uid="{00000000-0006-0000-0300-000098020000}">
      <text>
        <r>
          <rPr>
            <b/>
            <sz val="9"/>
            <color indexed="81"/>
            <rFont val="Tahoma"/>
            <family val="2"/>
          </rPr>
          <t>YULIED.PENARANDA:</t>
        </r>
        <r>
          <rPr>
            <sz val="9"/>
            <color indexed="81"/>
            <rFont val="Tahoma"/>
            <family val="2"/>
          </rPr>
          <t xml:space="preserve">
Se suma los recursos presupuestales (vigencia + reservas)</t>
        </r>
      </text>
    </comment>
    <comment ref="D664" authorId="1" shapeId="0" xr:uid="{00000000-0006-0000-0300-000099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65" authorId="1" shapeId="0" xr:uid="{00000000-0006-0000-0300-00009A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66" authorId="1" shapeId="0" xr:uid="{00000000-0006-0000-0300-00009B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67" authorId="1" shapeId="0" xr:uid="{00000000-0006-0000-0300-00009C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68" authorId="1" shapeId="0" xr:uid="{00000000-0006-0000-0300-00009D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69" authorId="1" shapeId="0" xr:uid="{00000000-0006-0000-0300-00009E020000}">
      <text>
        <r>
          <rPr>
            <b/>
            <sz val="9"/>
            <color indexed="81"/>
            <rFont val="Tahoma"/>
            <family val="2"/>
          </rPr>
          <t>YULIED.PENARANDA:</t>
        </r>
        <r>
          <rPr>
            <sz val="9"/>
            <color indexed="81"/>
            <rFont val="Tahoma"/>
            <family val="2"/>
          </rPr>
          <t xml:space="preserve">
Se suma los recursos presupuestales (vigencia + reservas)</t>
        </r>
      </text>
    </comment>
    <comment ref="D670" authorId="1" shapeId="0" xr:uid="{00000000-0006-0000-0300-00009F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71" authorId="1" shapeId="0" xr:uid="{00000000-0006-0000-0300-0000A0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72" authorId="1" shapeId="0" xr:uid="{00000000-0006-0000-0300-0000A2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73" authorId="1" shapeId="0" xr:uid="{00000000-0006-0000-0300-0000A3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74" authorId="1" shapeId="0" xr:uid="{00000000-0006-0000-0300-0000A4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75" authorId="1" shapeId="0" xr:uid="{00000000-0006-0000-0300-0000A5020000}">
      <text>
        <r>
          <rPr>
            <b/>
            <sz val="9"/>
            <color indexed="81"/>
            <rFont val="Tahoma"/>
            <family val="2"/>
          </rPr>
          <t>YULIED.PENARANDA:</t>
        </r>
        <r>
          <rPr>
            <sz val="9"/>
            <color indexed="81"/>
            <rFont val="Tahoma"/>
            <family val="2"/>
          </rPr>
          <t xml:space="preserve">
Se suma los recursos presupuestales (vigencia + reservas)</t>
        </r>
      </text>
    </comment>
    <comment ref="D676" authorId="1" shapeId="0" xr:uid="{00000000-0006-0000-0300-0000A6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77" authorId="1" shapeId="0" xr:uid="{00000000-0006-0000-0300-0000A7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78" authorId="1" shapeId="0" xr:uid="{00000000-0006-0000-0300-0000A8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79" authorId="1" shapeId="0" xr:uid="{00000000-0006-0000-0300-0000A9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0" authorId="1" shapeId="0" xr:uid="{00000000-0006-0000-0300-0000AA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81" authorId="1" shapeId="0" xr:uid="{00000000-0006-0000-0300-0000AB020000}">
      <text>
        <r>
          <rPr>
            <b/>
            <sz val="9"/>
            <color indexed="81"/>
            <rFont val="Tahoma"/>
            <family val="2"/>
          </rPr>
          <t>YULIED.PENARANDA:</t>
        </r>
        <r>
          <rPr>
            <sz val="9"/>
            <color indexed="81"/>
            <rFont val="Tahoma"/>
            <family val="2"/>
          </rPr>
          <t xml:space="preserve">
Se suma los recursos presupuestales (vigencia + reservas)</t>
        </r>
      </text>
    </comment>
    <comment ref="D682" authorId="1" shapeId="0" xr:uid="{00000000-0006-0000-0300-0000AC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83" authorId="1" shapeId="0" xr:uid="{00000000-0006-0000-0300-0000AD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84" authorId="1" shapeId="0" xr:uid="{00000000-0006-0000-0300-0000AF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85" authorId="1" shapeId="0" xr:uid="{00000000-0006-0000-0300-0000B0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6" authorId="1" shapeId="0" xr:uid="{00000000-0006-0000-0300-0000B1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87" authorId="1" shapeId="0" xr:uid="{00000000-0006-0000-0300-0000B2020000}">
      <text>
        <r>
          <rPr>
            <b/>
            <sz val="9"/>
            <color indexed="81"/>
            <rFont val="Tahoma"/>
            <family val="2"/>
          </rPr>
          <t>YULIED.PENARANDA:</t>
        </r>
        <r>
          <rPr>
            <sz val="9"/>
            <color indexed="81"/>
            <rFont val="Tahoma"/>
            <family val="2"/>
          </rPr>
          <t xml:space="preserve">
Se suma los recursos presupuestales (vigencia + reservas)</t>
        </r>
      </text>
    </comment>
    <comment ref="D688" authorId="1" shapeId="0" xr:uid="{00000000-0006-0000-0300-0000B3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89" authorId="1" shapeId="0" xr:uid="{00000000-0006-0000-0300-0000B4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90" authorId="1" shapeId="0" xr:uid="{00000000-0006-0000-0300-0000B5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91" authorId="1" shapeId="0" xr:uid="{00000000-0006-0000-0300-0000B6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92" authorId="1" shapeId="0" xr:uid="{00000000-0006-0000-0300-0000B7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3" authorId="1" shapeId="0" xr:uid="{00000000-0006-0000-0300-0000B8020000}">
      <text>
        <r>
          <rPr>
            <b/>
            <sz val="9"/>
            <color indexed="81"/>
            <rFont val="Tahoma"/>
            <family val="2"/>
          </rPr>
          <t>YULIED.PENARANDA:</t>
        </r>
        <r>
          <rPr>
            <sz val="9"/>
            <color indexed="81"/>
            <rFont val="Tahoma"/>
            <family val="2"/>
          </rPr>
          <t xml:space="preserve">
Se suma los recursos presupuestales (vigencia + reservas)</t>
        </r>
      </text>
    </comment>
    <comment ref="D694" authorId="1" shapeId="0" xr:uid="{00000000-0006-0000-0300-0000B9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95" authorId="1" shapeId="0" xr:uid="{00000000-0006-0000-0300-0000BA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96" authorId="1" shapeId="0" xr:uid="{00000000-0006-0000-0300-0000BB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97" authorId="1" shapeId="0" xr:uid="{00000000-0006-0000-0300-0000BC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98" authorId="1" shapeId="0" xr:uid="{00000000-0006-0000-0300-0000BD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9" authorId="1" shapeId="0" xr:uid="{00000000-0006-0000-0300-0000BE020000}">
      <text>
        <r>
          <rPr>
            <b/>
            <sz val="9"/>
            <color indexed="81"/>
            <rFont val="Tahoma"/>
            <family val="2"/>
          </rPr>
          <t>YULIED.PENARANDA:</t>
        </r>
        <r>
          <rPr>
            <sz val="9"/>
            <color indexed="81"/>
            <rFont val="Tahoma"/>
            <family val="2"/>
          </rPr>
          <t xml:space="preserve">
Se suma los recursos presupuestales (vigencia + reservas)</t>
        </r>
      </text>
    </comment>
    <comment ref="D700" authorId="1" shapeId="0" xr:uid="{00000000-0006-0000-0300-0000BF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01" authorId="1" shapeId="0" xr:uid="{00000000-0006-0000-0300-0000C0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02" authorId="1" shapeId="0" xr:uid="{00000000-0006-0000-0300-0000C1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03" authorId="1" shapeId="0" xr:uid="{00000000-0006-0000-0300-0000C2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04" authorId="1" shapeId="0" xr:uid="{00000000-0006-0000-0300-0000C3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05" authorId="1" shapeId="0" xr:uid="{00000000-0006-0000-0300-0000C4020000}">
      <text>
        <r>
          <rPr>
            <b/>
            <sz val="9"/>
            <color indexed="81"/>
            <rFont val="Tahoma"/>
            <family val="2"/>
          </rPr>
          <t>YULIED.PENARANDA:</t>
        </r>
        <r>
          <rPr>
            <sz val="9"/>
            <color indexed="81"/>
            <rFont val="Tahoma"/>
            <family val="2"/>
          </rPr>
          <t xml:space="preserve">
Se suma los recursos presupuestales (vigencia + reservas)</t>
        </r>
      </text>
    </comment>
    <comment ref="D706" authorId="1" shapeId="0" xr:uid="{00000000-0006-0000-0300-0000C5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07" authorId="1" shapeId="0" xr:uid="{00000000-0006-0000-0300-0000C6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08" authorId="1" shapeId="0" xr:uid="{00000000-0006-0000-0300-0000C7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09" authorId="1" shapeId="0" xr:uid="{00000000-0006-0000-0300-0000C8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10" authorId="1" shapeId="0" xr:uid="{00000000-0006-0000-0300-0000C9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11" authorId="1" shapeId="0" xr:uid="{00000000-0006-0000-0300-0000CA020000}">
      <text>
        <r>
          <rPr>
            <b/>
            <sz val="9"/>
            <color indexed="81"/>
            <rFont val="Tahoma"/>
            <family val="2"/>
          </rPr>
          <t>YULIED.PENARANDA:</t>
        </r>
        <r>
          <rPr>
            <sz val="9"/>
            <color indexed="81"/>
            <rFont val="Tahoma"/>
            <family val="2"/>
          </rPr>
          <t xml:space="preserve">
Se suma los recursos presupuestales (vigencia + reservas)</t>
        </r>
      </text>
    </comment>
    <comment ref="D712" authorId="1" shapeId="0" xr:uid="{00000000-0006-0000-0300-0000CB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13" authorId="1" shapeId="0" xr:uid="{00000000-0006-0000-0300-0000CC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14" authorId="1" shapeId="0" xr:uid="{00000000-0006-0000-0300-0000CD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15" authorId="1" shapeId="0" xr:uid="{00000000-0006-0000-0300-0000CE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16" authorId="1" shapeId="0" xr:uid="{00000000-0006-0000-0300-0000CF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17" authorId="1" shapeId="0" xr:uid="{00000000-0006-0000-0300-0000D0020000}">
      <text>
        <r>
          <rPr>
            <b/>
            <sz val="9"/>
            <color indexed="81"/>
            <rFont val="Tahoma"/>
            <family val="2"/>
          </rPr>
          <t>YULIED.PENARANDA:</t>
        </r>
        <r>
          <rPr>
            <sz val="9"/>
            <color indexed="81"/>
            <rFont val="Tahoma"/>
            <family val="2"/>
          </rPr>
          <t xml:space="preserve">
Se suma los recursos presupuestales (vigencia + reservas)</t>
        </r>
      </text>
    </comment>
    <comment ref="D718" authorId="1" shapeId="0" xr:uid="{00000000-0006-0000-0300-0000D1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19" authorId="1" shapeId="0" xr:uid="{00000000-0006-0000-0300-0000D2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20" authorId="1" shapeId="0" xr:uid="{00000000-0006-0000-0300-0000D3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21" authorId="1" shapeId="0" xr:uid="{00000000-0006-0000-0300-0000D4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22" authorId="1" shapeId="0" xr:uid="{00000000-0006-0000-0300-0000D5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23" authorId="1" shapeId="0" xr:uid="{00000000-0006-0000-0300-0000D6020000}">
      <text>
        <r>
          <rPr>
            <b/>
            <sz val="9"/>
            <color indexed="81"/>
            <rFont val="Tahoma"/>
            <family val="2"/>
          </rPr>
          <t>YULIED.PENARANDA:</t>
        </r>
        <r>
          <rPr>
            <sz val="9"/>
            <color indexed="81"/>
            <rFont val="Tahoma"/>
            <family val="2"/>
          </rPr>
          <t xml:space="preserve">
Se suma los recursos presupuestales (vigencia + reservas)</t>
        </r>
      </text>
    </comment>
    <comment ref="D724" authorId="1" shapeId="0" xr:uid="{00000000-0006-0000-0300-0000D7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25" authorId="1" shapeId="0" xr:uid="{00000000-0006-0000-0300-0000D8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26" authorId="1" shapeId="0" xr:uid="{00000000-0006-0000-0300-0000DA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27" authorId="1" shapeId="0" xr:uid="{00000000-0006-0000-0300-0000DB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28" authorId="1" shapeId="0" xr:uid="{00000000-0006-0000-0300-0000DC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29" authorId="1" shapeId="0" xr:uid="{00000000-0006-0000-0300-0000DD020000}">
      <text>
        <r>
          <rPr>
            <b/>
            <sz val="9"/>
            <color indexed="81"/>
            <rFont val="Tahoma"/>
            <family val="2"/>
          </rPr>
          <t>YULIED.PENARANDA:</t>
        </r>
        <r>
          <rPr>
            <sz val="9"/>
            <color indexed="81"/>
            <rFont val="Tahoma"/>
            <family val="2"/>
          </rPr>
          <t xml:space="preserve">
Se suma los recursos presupuestales (vigencia + reservas)</t>
        </r>
      </text>
    </comment>
    <comment ref="D730" authorId="1" shapeId="0" xr:uid="{00000000-0006-0000-0300-0000DE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31" authorId="1" shapeId="0" xr:uid="{00000000-0006-0000-0300-0000DF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32" authorId="1" shapeId="0" xr:uid="{00000000-0006-0000-0300-0000E0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33" authorId="1" shapeId="0" xr:uid="{00000000-0006-0000-0300-0000E1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34" authorId="1" shapeId="0" xr:uid="{00000000-0006-0000-0300-0000E2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35" authorId="1" shapeId="0" xr:uid="{00000000-0006-0000-0300-0000E3020000}">
      <text>
        <r>
          <rPr>
            <b/>
            <sz val="9"/>
            <color indexed="81"/>
            <rFont val="Tahoma"/>
            <family val="2"/>
          </rPr>
          <t>YULIED.PENARANDA:</t>
        </r>
        <r>
          <rPr>
            <sz val="9"/>
            <color indexed="81"/>
            <rFont val="Tahoma"/>
            <family val="2"/>
          </rPr>
          <t xml:space="preserve">
Se suma los recursos presupuestales (vigencia + reservas)</t>
        </r>
      </text>
    </comment>
    <comment ref="D736" authorId="1" shapeId="0" xr:uid="{00000000-0006-0000-0300-0000E4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37" authorId="1" shapeId="0" xr:uid="{00000000-0006-0000-0300-0000E5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38" authorId="1" shapeId="0" xr:uid="{00000000-0006-0000-0300-0000E6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39" authorId="1" shapeId="0" xr:uid="{00000000-0006-0000-0300-0000E7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40" authorId="1" shapeId="0" xr:uid="{00000000-0006-0000-0300-0000E8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41" authorId="1" shapeId="0" xr:uid="{00000000-0006-0000-0300-0000E9020000}">
      <text>
        <r>
          <rPr>
            <b/>
            <sz val="9"/>
            <color indexed="81"/>
            <rFont val="Tahoma"/>
            <family val="2"/>
          </rPr>
          <t>YULIED.PENARANDA:</t>
        </r>
        <r>
          <rPr>
            <sz val="9"/>
            <color indexed="81"/>
            <rFont val="Tahoma"/>
            <family val="2"/>
          </rPr>
          <t xml:space="preserve">
Se suma los recursos presupuestales (vigencia + reservas)</t>
        </r>
      </text>
    </comment>
    <comment ref="D742" authorId="1" shapeId="0" xr:uid="{00000000-0006-0000-0300-0000EA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43" authorId="1" shapeId="0" xr:uid="{00000000-0006-0000-0300-0000EB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44" authorId="1" shapeId="0" xr:uid="{00000000-0006-0000-0300-0000EC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45" authorId="1" shapeId="0" xr:uid="{00000000-0006-0000-0300-0000ED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46" authorId="1" shapeId="0" xr:uid="{00000000-0006-0000-0300-0000EE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47" authorId="1" shapeId="0" xr:uid="{00000000-0006-0000-0300-0000EF020000}">
      <text>
        <r>
          <rPr>
            <b/>
            <sz val="9"/>
            <color indexed="81"/>
            <rFont val="Tahoma"/>
            <family val="2"/>
          </rPr>
          <t>YULIED.PENARANDA:</t>
        </r>
        <r>
          <rPr>
            <sz val="9"/>
            <color indexed="81"/>
            <rFont val="Tahoma"/>
            <family val="2"/>
          </rPr>
          <t xml:space="preserve">
Se suma los recursos presupuestales (vigencia + reservas)</t>
        </r>
      </text>
    </comment>
    <comment ref="D748" authorId="1" shapeId="0" xr:uid="{00000000-0006-0000-0300-0000F0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49" authorId="1" shapeId="0" xr:uid="{00000000-0006-0000-0300-0000F1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50" authorId="1" shapeId="0" xr:uid="{00000000-0006-0000-0300-0000F3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51" authorId="1" shapeId="0" xr:uid="{00000000-0006-0000-0300-0000F4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52" authorId="1" shapeId="0" xr:uid="{00000000-0006-0000-0300-0000F5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53" authorId="1" shapeId="0" xr:uid="{00000000-0006-0000-0300-0000F6020000}">
      <text>
        <r>
          <rPr>
            <b/>
            <sz val="9"/>
            <color indexed="81"/>
            <rFont val="Tahoma"/>
            <family val="2"/>
          </rPr>
          <t>YULIED.PENARANDA:</t>
        </r>
        <r>
          <rPr>
            <sz val="9"/>
            <color indexed="81"/>
            <rFont val="Tahoma"/>
            <family val="2"/>
          </rPr>
          <t xml:space="preserve">
Se suma los recursos presupuestales (vigencia + reservas)</t>
        </r>
      </text>
    </comment>
    <comment ref="D754" authorId="1" shapeId="0" xr:uid="{00000000-0006-0000-0300-0000F7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55" authorId="1" shapeId="0" xr:uid="{00000000-0006-0000-0300-0000F8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56" authorId="1" shapeId="0" xr:uid="{00000000-0006-0000-0300-0000F9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57" authorId="1" shapeId="0" xr:uid="{00000000-0006-0000-0300-0000FA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58" authorId="1" shapeId="0" xr:uid="{00000000-0006-0000-0300-0000FB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59" authorId="1" shapeId="0" xr:uid="{00000000-0006-0000-0300-0000FC020000}">
      <text>
        <r>
          <rPr>
            <b/>
            <sz val="9"/>
            <color indexed="81"/>
            <rFont val="Tahoma"/>
            <family val="2"/>
          </rPr>
          <t>YULIED.PENARANDA:</t>
        </r>
        <r>
          <rPr>
            <sz val="9"/>
            <color indexed="81"/>
            <rFont val="Tahoma"/>
            <family val="2"/>
          </rPr>
          <t xml:space="preserve">
Se suma los recursos presupuestales (vigencia + reservas)</t>
        </r>
      </text>
    </comment>
    <comment ref="D760" authorId="1" shapeId="0" xr:uid="{00000000-0006-0000-0300-0000FD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61" authorId="1" shapeId="0" xr:uid="{00000000-0006-0000-0300-0000FE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62" authorId="1" shapeId="0" xr:uid="{00000000-0006-0000-0300-0000FF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63" authorId="1" shapeId="0" xr:uid="{00000000-0006-0000-0300-000000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64" authorId="1" shapeId="0" xr:uid="{00000000-0006-0000-0300-000001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65" authorId="1" shapeId="0" xr:uid="{00000000-0006-0000-0300-000002030000}">
      <text>
        <r>
          <rPr>
            <b/>
            <sz val="9"/>
            <color indexed="81"/>
            <rFont val="Tahoma"/>
            <family val="2"/>
          </rPr>
          <t>YULIED.PENARANDA:</t>
        </r>
        <r>
          <rPr>
            <sz val="9"/>
            <color indexed="81"/>
            <rFont val="Tahoma"/>
            <family val="2"/>
          </rPr>
          <t xml:space="preserve">
Se suma los recursos presupuestales (vigencia + reservas)</t>
        </r>
      </text>
    </comment>
    <comment ref="D766" authorId="1" shapeId="0" xr:uid="{00000000-0006-0000-0300-000003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67" authorId="1" shapeId="0" xr:uid="{00000000-0006-0000-0300-000004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68" authorId="1" shapeId="0" xr:uid="{00000000-0006-0000-0300-000006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69" authorId="1" shapeId="0" xr:uid="{00000000-0006-0000-0300-000007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70" authorId="1" shapeId="0" xr:uid="{00000000-0006-0000-0300-000008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71" authorId="1" shapeId="0" xr:uid="{00000000-0006-0000-0300-000009030000}">
      <text>
        <r>
          <rPr>
            <b/>
            <sz val="9"/>
            <color indexed="81"/>
            <rFont val="Tahoma"/>
            <family val="2"/>
          </rPr>
          <t>YULIED.PENARANDA:</t>
        </r>
        <r>
          <rPr>
            <sz val="9"/>
            <color indexed="81"/>
            <rFont val="Tahoma"/>
            <family val="2"/>
          </rPr>
          <t xml:space="preserve">
Se suma los recursos presupuestales (vigencia + reservas)</t>
        </r>
      </text>
    </comment>
    <comment ref="D772" authorId="1" shapeId="0" xr:uid="{00000000-0006-0000-0300-00000A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3" authorId="1" shapeId="0" xr:uid="{00000000-0006-0000-0300-00000B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74" authorId="1" shapeId="0" xr:uid="{00000000-0006-0000-0300-00000C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75" authorId="1" shapeId="0" xr:uid="{00000000-0006-0000-0300-00000D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76" authorId="1" shapeId="0" xr:uid="{00000000-0006-0000-0300-00000E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77" authorId="1" shapeId="0" xr:uid="{00000000-0006-0000-0300-00000F030000}">
      <text>
        <r>
          <rPr>
            <b/>
            <sz val="9"/>
            <color indexed="81"/>
            <rFont val="Tahoma"/>
            <family val="2"/>
          </rPr>
          <t>YULIED.PENARANDA:</t>
        </r>
        <r>
          <rPr>
            <sz val="9"/>
            <color indexed="81"/>
            <rFont val="Tahoma"/>
            <family val="2"/>
          </rPr>
          <t xml:space="preserve">
Se suma los recursos presupuestales (vigencia + reservas)</t>
        </r>
      </text>
    </comment>
    <comment ref="D778" authorId="1" shapeId="0" xr:uid="{00000000-0006-0000-0300-000010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9" authorId="1" shapeId="0" xr:uid="{00000000-0006-0000-0300-000011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0" authorId="1" shapeId="0" xr:uid="{00000000-0006-0000-0300-000012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81" authorId="1" shapeId="0" xr:uid="{00000000-0006-0000-0300-000013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82" authorId="1" shapeId="0" xr:uid="{00000000-0006-0000-0300-000014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83" authorId="1" shapeId="0" xr:uid="{00000000-0006-0000-0300-000015030000}">
      <text>
        <r>
          <rPr>
            <b/>
            <sz val="9"/>
            <color indexed="81"/>
            <rFont val="Tahoma"/>
            <family val="2"/>
          </rPr>
          <t>YULIED.PENARANDA:</t>
        </r>
        <r>
          <rPr>
            <sz val="9"/>
            <color indexed="81"/>
            <rFont val="Tahoma"/>
            <family val="2"/>
          </rPr>
          <t xml:space="preserve">
Se suma los recursos presupuestales (vigencia + reservas)</t>
        </r>
      </text>
    </comment>
    <comment ref="D784" authorId="1" shapeId="0" xr:uid="{00000000-0006-0000-0300-000016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85" authorId="1" shapeId="0" xr:uid="{00000000-0006-0000-0300-000017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6" authorId="1" shapeId="0" xr:uid="{00000000-0006-0000-0300-000018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87" authorId="1" shapeId="0" xr:uid="{00000000-0006-0000-0300-000019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88" authorId="1" shapeId="0" xr:uid="{00000000-0006-0000-0300-00001A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89" authorId="1" shapeId="0" xr:uid="{00000000-0006-0000-0300-00001B030000}">
      <text>
        <r>
          <rPr>
            <b/>
            <sz val="9"/>
            <color indexed="81"/>
            <rFont val="Tahoma"/>
            <family val="2"/>
          </rPr>
          <t>YULIED.PENARANDA:</t>
        </r>
        <r>
          <rPr>
            <sz val="9"/>
            <color indexed="81"/>
            <rFont val="Tahoma"/>
            <family val="2"/>
          </rPr>
          <t xml:space="preserve">
Se suma los recursos presupuestales (vigencia + reservas)</t>
        </r>
      </text>
    </comment>
    <comment ref="D790" authorId="1" shapeId="0" xr:uid="{00000000-0006-0000-0300-00001C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91" authorId="1" shapeId="0" xr:uid="{00000000-0006-0000-0300-00001D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92" authorId="1" shapeId="0" xr:uid="{00000000-0006-0000-0300-00001E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93" authorId="1" shapeId="0" xr:uid="{00000000-0006-0000-0300-00001F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94" authorId="1" shapeId="0" xr:uid="{00000000-0006-0000-0300-000020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95" authorId="1" shapeId="0" xr:uid="{00000000-0006-0000-0300-000021030000}">
      <text>
        <r>
          <rPr>
            <b/>
            <sz val="9"/>
            <color indexed="81"/>
            <rFont val="Tahoma"/>
            <family val="2"/>
          </rPr>
          <t>YULIED.PENARANDA:</t>
        </r>
        <r>
          <rPr>
            <sz val="9"/>
            <color indexed="81"/>
            <rFont val="Tahoma"/>
            <family val="2"/>
          </rPr>
          <t xml:space="preserve">
Se suma los recursos presupuestales (vigencia + reservas)</t>
        </r>
      </text>
    </comment>
    <comment ref="D796" authorId="1" shapeId="0" xr:uid="{00000000-0006-0000-0300-000022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97" authorId="1" shapeId="0" xr:uid="{00000000-0006-0000-0300-000023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98" authorId="1" shapeId="0" xr:uid="{00000000-0006-0000-0300-000024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99" authorId="1" shapeId="0" xr:uid="{00000000-0006-0000-0300-000025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00" authorId="1" shapeId="0" xr:uid="{00000000-0006-0000-0300-000026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01" authorId="1" shapeId="0" xr:uid="{00000000-0006-0000-0300-000027030000}">
      <text>
        <r>
          <rPr>
            <b/>
            <sz val="9"/>
            <color indexed="81"/>
            <rFont val="Tahoma"/>
            <family val="2"/>
          </rPr>
          <t>YULIED.PENARANDA:</t>
        </r>
        <r>
          <rPr>
            <sz val="9"/>
            <color indexed="81"/>
            <rFont val="Tahoma"/>
            <family val="2"/>
          </rPr>
          <t xml:space="preserve">
Se suma los recursos presupuestales (vigencia + reservas)</t>
        </r>
      </text>
    </comment>
    <comment ref="D802" authorId="1" shapeId="0" xr:uid="{00000000-0006-0000-0300-000028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03" authorId="1" shapeId="0" xr:uid="{00000000-0006-0000-0300-000029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04" authorId="1" shapeId="0" xr:uid="{00000000-0006-0000-0300-00002A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05" authorId="1" shapeId="0" xr:uid="{00000000-0006-0000-0300-00002B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06" authorId="1" shapeId="0" xr:uid="{00000000-0006-0000-0300-00002C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07" authorId="1" shapeId="0" xr:uid="{00000000-0006-0000-0300-00002D030000}">
      <text>
        <r>
          <rPr>
            <b/>
            <sz val="9"/>
            <color indexed="81"/>
            <rFont val="Tahoma"/>
            <family val="2"/>
          </rPr>
          <t>YULIED.PENARANDA:</t>
        </r>
        <r>
          <rPr>
            <sz val="9"/>
            <color indexed="81"/>
            <rFont val="Tahoma"/>
            <family val="2"/>
          </rPr>
          <t xml:space="preserve">
Se suma los recursos presupuestales (vigencia + reservas)</t>
        </r>
      </text>
    </comment>
    <comment ref="D808" authorId="1" shapeId="0" xr:uid="{00000000-0006-0000-0300-00002E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09" authorId="1" shapeId="0" xr:uid="{00000000-0006-0000-0300-00002F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10" authorId="1" shapeId="0" xr:uid="{00000000-0006-0000-0300-000030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11" authorId="1" shapeId="0" xr:uid="{00000000-0006-0000-0300-000031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12" authorId="1" shapeId="0" xr:uid="{00000000-0006-0000-0300-000032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13" authorId="1" shapeId="0" xr:uid="{00000000-0006-0000-0300-000033030000}">
      <text>
        <r>
          <rPr>
            <b/>
            <sz val="9"/>
            <color indexed="81"/>
            <rFont val="Tahoma"/>
            <family val="2"/>
          </rPr>
          <t>YULIED.PENARANDA:</t>
        </r>
        <r>
          <rPr>
            <sz val="9"/>
            <color indexed="81"/>
            <rFont val="Tahoma"/>
            <family val="2"/>
          </rPr>
          <t xml:space="preserve">
Se suma los recursos presupuestales (vigencia + reservas)</t>
        </r>
      </text>
    </comment>
    <comment ref="D814" authorId="1" shapeId="0" xr:uid="{00000000-0006-0000-0300-000034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15" authorId="1" shapeId="0" xr:uid="{00000000-0006-0000-0300-000035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16" authorId="1" shapeId="0" xr:uid="{00000000-0006-0000-0300-000036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17" authorId="1" shapeId="0" xr:uid="{00000000-0006-0000-0300-000037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18" authorId="1" shapeId="0" xr:uid="{00000000-0006-0000-0300-000038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19" authorId="1" shapeId="0" xr:uid="{00000000-0006-0000-0300-000039030000}">
      <text>
        <r>
          <rPr>
            <b/>
            <sz val="9"/>
            <color indexed="81"/>
            <rFont val="Tahoma"/>
            <family val="2"/>
          </rPr>
          <t>YULIED.PENARANDA:</t>
        </r>
        <r>
          <rPr>
            <sz val="9"/>
            <color indexed="81"/>
            <rFont val="Tahoma"/>
            <family val="2"/>
          </rPr>
          <t xml:space="preserve">
Se suma los recursos presupuestales (vigencia + reservas)</t>
        </r>
      </text>
    </comment>
    <comment ref="D868" authorId="1" shapeId="0" xr:uid="{00000000-0006-0000-0300-00003A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69" authorId="1" shapeId="0" xr:uid="{00000000-0006-0000-0300-00003B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70" authorId="1" shapeId="0" xr:uid="{00000000-0006-0000-0300-00003C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71" authorId="1" shapeId="0" xr:uid="{00000000-0006-0000-0300-00003D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72" authorId="1" shapeId="0" xr:uid="{00000000-0006-0000-0300-00003E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73" authorId="1" shapeId="0" xr:uid="{00000000-0006-0000-0300-00003F030000}">
      <text>
        <r>
          <rPr>
            <b/>
            <sz val="9"/>
            <color indexed="81"/>
            <rFont val="Tahoma"/>
            <family val="2"/>
          </rPr>
          <t>YULIED.PENARANDA:</t>
        </r>
        <r>
          <rPr>
            <sz val="9"/>
            <color indexed="81"/>
            <rFont val="Tahoma"/>
            <family val="2"/>
          </rPr>
          <t xml:space="preserve">
Se suma los recursos presupuestales (vigencia + reservas)</t>
        </r>
      </text>
    </comment>
    <comment ref="D874" authorId="1" shapeId="0" xr:uid="{00000000-0006-0000-0300-000040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75" authorId="1" shapeId="0" xr:uid="{00000000-0006-0000-0300-000041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76" authorId="1" shapeId="0" xr:uid="{00000000-0006-0000-0300-000042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77" authorId="1" shapeId="0" xr:uid="{00000000-0006-0000-0300-000043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78" authorId="1" shapeId="0" xr:uid="{00000000-0006-0000-0300-000044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79" authorId="1" shapeId="0" xr:uid="{00000000-0006-0000-0300-000045030000}">
      <text>
        <r>
          <rPr>
            <b/>
            <sz val="9"/>
            <color indexed="81"/>
            <rFont val="Tahoma"/>
            <family val="2"/>
          </rPr>
          <t>YULIED.PENARANDA:</t>
        </r>
        <r>
          <rPr>
            <sz val="9"/>
            <color indexed="81"/>
            <rFont val="Tahoma"/>
            <family val="2"/>
          </rPr>
          <t xml:space="preserve">
Se suma los recursos presupuestales (vigencia + reservas)</t>
        </r>
      </text>
    </comment>
    <comment ref="D880" authorId="1" shapeId="0" xr:uid="{00000000-0006-0000-0300-000046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81" authorId="1" shapeId="0" xr:uid="{00000000-0006-0000-0300-000047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82" authorId="1" shapeId="0" xr:uid="{00000000-0006-0000-0300-000048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83" authorId="1" shapeId="0" xr:uid="{00000000-0006-0000-0300-000049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84" authorId="1" shapeId="0" xr:uid="{00000000-0006-0000-0300-00004A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85" authorId="1" shapeId="0" xr:uid="{00000000-0006-0000-0300-00004B030000}">
      <text>
        <r>
          <rPr>
            <b/>
            <sz val="9"/>
            <color indexed="81"/>
            <rFont val="Tahoma"/>
            <family val="2"/>
          </rPr>
          <t>YULIED.PENARANDA:</t>
        </r>
        <r>
          <rPr>
            <sz val="9"/>
            <color indexed="81"/>
            <rFont val="Tahoma"/>
            <family val="2"/>
          </rPr>
          <t xml:space="preserve">
Se suma los recursos presupuestales (vigencia + reservas)</t>
        </r>
      </text>
    </comment>
    <comment ref="D886" authorId="1" shapeId="0" xr:uid="{00000000-0006-0000-0300-00004C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87" authorId="1" shapeId="0" xr:uid="{00000000-0006-0000-0300-00004D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88" authorId="1" shapeId="0" xr:uid="{00000000-0006-0000-0300-00004E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89" authorId="1" shapeId="0" xr:uid="{00000000-0006-0000-0300-00004F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90" authorId="1" shapeId="0" xr:uid="{00000000-0006-0000-0300-000050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91" authorId="1" shapeId="0" xr:uid="{00000000-0006-0000-0300-000051030000}">
      <text>
        <r>
          <rPr>
            <b/>
            <sz val="9"/>
            <color indexed="81"/>
            <rFont val="Tahoma"/>
            <family val="2"/>
          </rPr>
          <t>YULIED.PENARANDA:</t>
        </r>
        <r>
          <rPr>
            <sz val="9"/>
            <color indexed="81"/>
            <rFont val="Tahoma"/>
            <family val="2"/>
          </rPr>
          <t xml:space="preserve">
Se suma los recursos presupuestales (vigencia + reservas)</t>
        </r>
      </text>
    </comment>
    <comment ref="D892" authorId="1" shapeId="0" xr:uid="{00000000-0006-0000-0300-000052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93" authorId="1" shapeId="0" xr:uid="{00000000-0006-0000-0300-000053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94" authorId="1" shapeId="0" xr:uid="{00000000-0006-0000-0300-000054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95" authorId="1" shapeId="0" xr:uid="{00000000-0006-0000-0300-000055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96" authorId="1" shapeId="0" xr:uid="{00000000-0006-0000-0300-000056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97" authorId="1" shapeId="0" xr:uid="{00000000-0006-0000-0300-000057030000}">
      <text>
        <r>
          <rPr>
            <b/>
            <sz val="9"/>
            <color indexed="81"/>
            <rFont val="Tahoma"/>
            <family val="2"/>
          </rPr>
          <t>YULIED.PENARANDA:</t>
        </r>
        <r>
          <rPr>
            <sz val="9"/>
            <color indexed="81"/>
            <rFont val="Tahoma"/>
            <family val="2"/>
          </rPr>
          <t xml:space="preserve">
Se suma los recursos presupuestales (vigencia + reservas)</t>
        </r>
      </text>
    </comment>
    <comment ref="D898" authorId="1" shapeId="0" xr:uid="{00000000-0006-0000-0300-000058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99" authorId="1" shapeId="0" xr:uid="{00000000-0006-0000-0300-000059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00" authorId="1" shapeId="0" xr:uid="{00000000-0006-0000-0300-00005A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01" authorId="1" shapeId="0" xr:uid="{00000000-0006-0000-0300-00005B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02" authorId="1" shapeId="0" xr:uid="{00000000-0006-0000-0300-00005C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03" authorId="1" shapeId="0" xr:uid="{00000000-0006-0000-0300-00005D030000}">
      <text>
        <r>
          <rPr>
            <b/>
            <sz val="9"/>
            <color indexed="81"/>
            <rFont val="Tahoma"/>
            <family val="2"/>
          </rPr>
          <t>YULIED.PENARANDA:</t>
        </r>
        <r>
          <rPr>
            <sz val="9"/>
            <color indexed="81"/>
            <rFont val="Tahoma"/>
            <family val="2"/>
          </rPr>
          <t xml:space="preserve">
Se suma los recursos presupuestales (vigencia + reservas)</t>
        </r>
      </text>
    </comment>
    <comment ref="D904" authorId="1" shapeId="0" xr:uid="{00000000-0006-0000-0300-00005E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05" authorId="1" shapeId="0" xr:uid="{00000000-0006-0000-0300-00005F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06" authorId="1" shapeId="0" xr:uid="{00000000-0006-0000-0300-000060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07" authorId="1" shapeId="0" xr:uid="{00000000-0006-0000-0300-000061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08" authorId="1" shapeId="0" xr:uid="{00000000-0006-0000-0300-000062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09" authorId="1" shapeId="0" xr:uid="{00000000-0006-0000-0300-000063030000}">
      <text>
        <r>
          <rPr>
            <b/>
            <sz val="9"/>
            <color indexed="81"/>
            <rFont val="Tahoma"/>
            <family val="2"/>
          </rPr>
          <t>YULIED.PENARANDA:</t>
        </r>
        <r>
          <rPr>
            <sz val="9"/>
            <color indexed="81"/>
            <rFont val="Tahoma"/>
            <family val="2"/>
          </rPr>
          <t xml:space="preserve">
Se suma los recursos presupuestales (vigencia + reservas)</t>
        </r>
      </text>
    </comment>
    <comment ref="D910" authorId="1" shapeId="0" xr:uid="{00000000-0006-0000-0300-000064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11" authorId="1" shapeId="0" xr:uid="{00000000-0006-0000-0300-000065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12" authorId="1" shapeId="0" xr:uid="{00000000-0006-0000-0300-000066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13" authorId="1" shapeId="0" xr:uid="{00000000-0006-0000-0300-000067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14" authorId="1" shapeId="0" xr:uid="{00000000-0006-0000-0300-000068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15" authorId="1" shapeId="0" xr:uid="{00000000-0006-0000-0300-000069030000}">
      <text>
        <r>
          <rPr>
            <b/>
            <sz val="9"/>
            <color indexed="81"/>
            <rFont val="Tahoma"/>
            <family val="2"/>
          </rPr>
          <t>YULIED.PENARANDA:</t>
        </r>
        <r>
          <rPr>
            <sz val="9"/>
            <color indexed="81"/>
            <rFont val="Tahoma"/>
            <family val="2"/>
          </rPr>
          <t xml:space="preserve">
Se suma los recursos presupuestales (vigencia + reservas)</t>
        </r>
      </text>
    </comment>
    <comment ref="D916" authorId="1" shapeId="0" xr:uid="{00000000-0006-0000-0300-00006A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17" authorId="1" shapeId="0" xr:uid="{00000000-0006-0000-0300-00006B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18" authorId="1" shapeId="0" xr:uid="{00000000-0006-0000-0300-00006C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19" authorId="1" shapeId="0" xr:uid="{00000000-0006-0000-0300-00006D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20" authorId="1" shapeId="0" xr:uid="{00000000-0006-0000-0300-00006E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21" authorId="1" shapeId="0" xr:uid="{00000000-0006-0000-0300-00006F030000}">
      <text>
        <r>
          <rPr>
            <b/>
            <sz val="9"/>
            <color indexed="81"/>
            <rFont val="Tahoma"/>
            <family val="2"/>
          </rPr>
          <t>YULIED.PENARANDA:</t>
        </r>
        <r>
          <rPr>
            <sz val="9"/>
            <color indexed="81"/>
            <rFont val="Tahoma"/>
            <family val="2"/>
          </rPr>
          <t xml:space="preserve">
Se suma los recursos presupuestales (vigencia + reservas)</t>
        </r>
      </text>
    </comment>
    <comment ref="D922" authorId="1" shapeId="0" xr:uid="{00000000-0006-0000-0300-000070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23" authorId="1" shapeId="0" xr:uid="{00000000-0006-0000-0300-000071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24" authorId="1" shapeId="0" xr:uid="{00000000-0006-0000-0300-000072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25" authorId="1" shapeId="0" xr:uid="{00000000-0006-0000-0300-000073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26" authorId="1" shapeId="0" xr:uid="{00000000-0006-0000-0300-000074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27" authorId="1" shapeId="0" xr:uid="{00000000-0006-0000-0300-000075030000}">
      <text>
        <r>
          <rPr>
            <b/>
            <sz val="9"/>
            <color indexed="81"/>
            <rFont val="Tahoma"/>
            <family val="2"/>
          </rPr>
          <t>YULIED.PENARANDA:</t>
        </r>
        <r>
          <rPr>
            <sz val="9"/>
            <color indexed="81"/>
            <rFont val="Tahoma"/>
            <family val="2"/>
          </rPr>
          <t xml:space="preserve">
Se suma los recursos presupuestales (vigencia + reservas)</t>
        </r>
      </text>
    </comment>
    <comment ref="D928" authorId="1" shapeId="0" xr:uid="{00000000-0006-0000-0300-000076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29" authorId="1" shapeId="0" xr:uid="{00000000-0006-0000-0300-000077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30" authorId="1" shapeId="0" xr:uid="{00000000-0006-0000-0300-000078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31" authorId="1" shapeId="0" xr:uid="{00000000-0006-0000-0300-000079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32" authorId="1" shapeId="0" xr:uid="{00000000-0006-0000-0300-00007A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33" authorId="1" shapeId="0" xr:uid="{00000000-0006-0000-0300-00007B030000}">
      <text>
        <r>
          <rPr>
            <b/>
            <sz val="9"/>
            <color indexed="81"/>
            <rFont val="Tahoma"/>
            <family val="2"/>
          </rPr>
          <t>YULIED.PENARANDA:</t>
        </r>
        <r>
          <rPr>
            <sz val="9"/>
            <color indexed="81"/>
            <rFont val="Tahoma"/>
            <family val="2"/>
          </rPr>
          <t xml:space="preserve">
Se suma los recursos presupuestales (vigencia + reservas)</t>
        </r>
      </text>
    </comment>
    <comment ref="D934" authorId="1" shapeId="0" xr:uid="{00000000-0006-0000-0300-00007C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35" authorId="1" shapeId="0" xr:uid="{00000000-0006-0000-0300-00007D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36" authorId="1" shapeId="0" xr:uid="{00000000-0006-0000-0300-00007E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37" authorId="1" shapeId="0" xr:uid="{00000000-0006-0000-0300-00007F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38" authorId="1" shapeId="0" xr:uid="{00000000-0006-0000-0300-000080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39" authorId="1" shapeId="0" xr:uid="{00000000-0006-0000-0300-000081030000}">
      <text>
        <r>
          <rPr>
            <b/>
            <sz val="9"/>
            <color indexed="81"/>
            <rFont val="Tahoma"/>
            <family val="2"/>
          </rPr>
          <t>YULIED.PENARANDA:</t>
        </r>
        <r>
          <rPr>
            <sz val="9"/>
            <color indexed="81"/>
            <rFont val="Tahoma"/>
            <family val="2"/>
          </rPr>
          <t xml:space="preserve">
Se suma los recursos presupuestales (vigencia + reservas)</t>
        </r>
      </text>
    </comment>
    <comment ref="D940" authorId="1" shapeId="0" xr:uid="{00000000-0006-0000-0300-000082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41" authorId="1" shapeId="0" xr:uid="{00000000-0006-0000-0300-000083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42" authorId="1" shapeId="0" xr:uid="{00000000-0006-0000-0300-000084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43" authorId="1" shapeId="0" xr:uid="{00000000-0006-0000-0300-000085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44" authorId="1" shapeId="0" xr:uid="{00000000-0006-0000-0300-000086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45" authorId="1" shapeId="0" xr:uid="{00000000-0006-0000-0300-000087030000}">
      <text>
        <r>
          <rPr>
            <b/>
            <sz val="9"/>
            <color indexed="81"/>
            <rFont val="Tahoma"/>
            <family val="2"/>
          </rPr>
          <t>YULIED.PENARANDA:</t>
        </r>
        <r>
          <rPr>
            <sz val="9"/>
            <color indexed="81"/>
            <rFont val="Tahoma"/>
            <family val="2"/>
          </rPr>
          <t xml:space="preserve">
Se suma los recursos presupuestales (vigencia + reservas)</t>
        </r>
      </text>
    </comment>
    <comment ref="D946" authorId="1" shapeId="0" xr:uid="{00000000-0006-0000-0300-000088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47" authorId="1" shapeId="0" xr:uid="{00000000-0006-0000-0300-000089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48" authorId="1" shapeId="0" xr:uid="{00000000-0006-0000-0300-00008A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49" authorId="1" shapeId="0" xr:uid="{00000000-0006-0000-0300-00008B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50" authorId="1" shapeId="0" xr:uid="{00000000-0006-0000-0300-00008C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51" authorId="1" shapeId="0" xr:uid="{00000000-0006-0000-0300-00008D030000}">
      <text>
        <r>
          <rPr>
            <b/>
            <sz val="9"/>
            <color indexed="81"/>
            <rFont val="Tahoma"/>
            <family val="2"/>
          </rPr>
          <t>YULIED.PENARANDA:</t>
        </r>
        <r>
          <rPr>
            <sz val="9"/>
            <color indexed="81"/>
            <rFont val="Tahoma"/>
            <family val="2"/>
          </rPr>
          <t xml:space="preserve">
Se suma los recursos presupuestales (vigencia + reservas)</t>
        </r>
      </text>
    </comment>
    <comment ref="D952" authorId="1" shapeId="0" xr:uid="{00000000-0006-0000-0300-00008E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53" authorId="1" shapeId="0" xr:uid="{00000000-0006-0000-0300-00008F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54" authorId="1" shapeId="0" xr:uid="{00000000-0006-0000-0300-000090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55" authorId="1" shapeId="0" xr:uid="{00000000-0006-0000-0300-000091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56" authorId="1" shapeId="0" xr:uid="{00000000-0006-0000-0300-000092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57" authorId="1" shapeId="0" xr:uid="{00000000-0006-0000-0300-000093030000}">
      <text>
        <r>
          <rPr>
            <b/>
            <sz val="9"/>
            <color indexed="81"/>
            <rFont val="Tahoma"/>
            <family val="2"/>
          </rPr>
          <t>YULIED.PENARANDA:</t>
        </r>
        <r>
          <rPr>
            <sz val="9"/>
            <color indexed="81"/>
            <rFont val="Tahoma"/>
            <family val="2"/>
          </rPr>
          <t xml:space="preserve">
Se suma los recursos presupuestales (vigencia + reservas)</t>
        </r>
      </text>
    </comment>
    <comment ref="D958" authorId="1" shapeId="0" xr:uid="{00000000-0006-0000-0300-000094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59" authorId="1" shapeId="0" xr:uid="{00000000-0006-0000-0300-000095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60" authorId="1" shapeId="0" xr:uid="{00000000-0006-0000-0300-000096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61" authorId="1" shapeId="0" xr:uid="{00000000-0006-0000-0300-000097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62" authorId="1" shapeId="0" xr:uid="{00000000-0006-0000-0300-000098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63" authorId="1" shapeId="0" xr:uid="{00000000-0006-0000-0300-000099030000}">
      <text>
        <r>
          <rPr>
            <b/>
            <sz val="9"/>
            <color indexed="81"/>
            <rFont val="Tahoma"/>
            <family val="2"/>
          </rPr>
          <t>YULIED.PENARANDA:</t>
        </r>
        <r>
          <rPr>
            <sz val="9"/>
            <color indexed="81"/>
            <rFont val="Tahoma"/>
            <family val="2"/>
          </rPr>
          <t xml:space="preserve">
Se suma los recursos presupuestales (vigencia + reservas)</t>
        </r>
      </text>
    </comment>
    <comment ref="D964" authorId="1" shapeId="0" xr:uid="{00000000-0006-0000-0300-00009A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65" authorId="1" shapeId="0" xr:uid="{00000000-0006-0000-0300-00009B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66" authorId="1" shapeId="0" xr:uid="{00000000-0006-0000-0300-00009C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67" authorId="1" shapeId="0" xr:uid="{00000000-0006-0000-0300-00009D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68" authorId="1" shapeId="0" xr:uid="{00000000-0006-0000-0300-00009E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69" authorId="1" shapeId="0" xr:uid="{00000000-0006-0000-0300-00009F030000}">
      <text>
        <r>
          <rPr>
            <b/>
            <sz val="9"/>
            <color indexed="81"/>
            <rFont val="Tahoma"/>
            <family val="2"/>
          </rPr>
          <t>YULIED.PENARANDA:</t>
        </r>
        <r>
          <rPr>
            <sz val="9"/>
            <color indexed="81"/>
            <rFont val="Tahoma"/>
            <family val="2"/>
          </rPr>
          <t xml:space="preserve">
Se suma los recursos presupuestales (vigencia + reservas)</t>
        </r>
      </text>
    </comment>
    <comment ref="D970" authorId="1" shapeId="0" xr:uid="{00000000-0006-0000-0300-0000A0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71" authorId="1" shapeId="0" xr:uid="{00000000-0006-0000-0300-0000A1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72" authorId="1" shapeId="0" xr:uid="{00000000-0006-0000-0300-0000A2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73" authorId="1" shapeId="0" xr:uid="{00000000-0006-0000-0300-0000A3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74" authorId="1" shapeId="0" xr:uid="{00000000-0006-0000-0300-0000A4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75" authorId="1" shapeId="0" xr:uid="{00000000-0006-0000-0300-0000A5030000}">
      <text>
        <r>
          <rPr>
            <b/>
            <sz val="9"/>
            <color indexed="81"/>
            <rFont val="Tahoma"/>
            <family val="2"/>
          </rPr>
          <t>YULIED.PENARANDA:</t>
        </r>
        <r>
          <rPr>
            <sz val="9"/>
            <color indexed="81"/>
            <rFont val="Tahoma"/>
            <family val="2"/>
          </rPr>
          <t xml:space="preserve">
Se suma los recursos presupuestales (vigencia + reservas)</t>
        </r>
      </text>
    </comment>
    <comment ref="D976" authorId="1" shapeId="0" xr:uid="{00000000-0006-0000-0300-0000A6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77" authorId="1" shapeId="0" xr:uid="{00000000-0006-0000-0300-0000A7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78" authorId="1" shapeId="0" xr:uid="{00000000-0006-0000-0300-0000A8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79" authorId="1" shapeId="0" xr:uid="{00000000-0006-0000-0300-0000A9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80" authorId="1" shapeId="0" xr:uid="{00000000-0006-0000-0300-0000AA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81" authorId="1" shapeId="0" xr:uid="{00000000-0006-0000-0300-0000AB030000}">
      <text>
        <r>
          <rPr>
            <b/>
            <sz val="9"/>
            <color indexed="81"/>
            <rFont val="Tahoma"/>
            <family val="2"/>
          </rPr>
          <t>YULIED.PENARANDA:</t>
        </r>
        <r>
          <rPr>
            <sz val="9"/>
            <color indexed="81"/>
            <rFont val="Tahoma"/>
            <family val="2"/>
          </rPr>
          <t xml:space="preserve">
Se suma los recursos presupuestales (vigencia + reservas)</t>
        </r>
      </text>
    </comment>
    <comment ref="D982" authorId="1" shapeId="0" xr:uid="{00000000-0006-0000-0300-0000AC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83" authorId="1" shapeId="0" xr:uid="{00000000-0006-0000-0300-0000AD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84" authorId="1" shapeId="0" xr:uid="{00000000-0006-0000-0300-0000AE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85" authorId="1" shapeId="0" xr:uid="{00000000-0006-0000-0300-0000AF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86" authorId="1" shapeId="0" xr:uid="{00000000-0006-0000-0300-0000B0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87" authorId="1" shapeId="0" xr:uid="{00000000-0006-0000-0300-0000B1030000}">
      <text>
        <r>
          <rPr>
            <b/>
            <sz val="9"/>
            <color indexed="81"/>
            <rFont val="Tahoma"/>
            <family val="2"/>
          </rPr>
          <t>YULIED.PENARANDA:</t>
        </r>
        <r>
          <rPr>
            <sz val="9"/>
            <color indexed="81"/>
            <rFont val="Tahoma"/>
            <family val="2"/>
          </rPr>
          <t xml:space="preserve">
Se suma los recursos presupuestales (vigencia + reservas)</t>
        </r>
      </text>
    </comment>
    <comment ref="D988" authorId="1" shapeId="0" xr:uid="{00000000-0006-0000-0300-0000B203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989" authorId="1" shapeId="0" xr:uid="{00000000-0006-0000-0300-0000B303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990" authorId="1" shapeId="0" xr:uid="{00000000-0006-0000-0300-0000B403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400-00000B000000}">
      <text>
        <r>
          <rPr>
            <b/>
            <sz val="9"/>
            <color indexed="81"/>
            <rFont val="Tahoma"/>
            <family val="2"/>
          </rPr>
          <t>YULIED.PENARANDA:</t>
        </r>
        <r>
          <rPr>
            <sz val="9"/>
            <color indexed="81"/>
            <rFont val="Tahoma"/>
            <family val="2"/>
          </rPr>
          <t xml:space="preserve">
Vigencia a reportar</t>
        </r>
      </text>
    </comment>
    <comment ref="C17"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400-00000F000000}">
      <text>
        <r>
          <rPr>
            <b/>
            <sz val="9"/>
            <color indexed="81"/>
            <rFont val="Tahoma"/>
            <family val="2"/>
          </rPr>
          <t>YULIED.PENARANDA:</t>
        </r>
        <r>
          <rPr>
            <sz val="9"/>
            <color indexed="81"/>
            <rFont val="Tahoma"/>
            <family val="2"/>
          </rPr>
          <t xml:space="preserve">
Corresponde al pago </t>
        </r>
      </text>
    </comment>
    <comment ref="G17"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400-000012000000}">
      <text>
        <r>
          <rPr>
            <b/>
            <sz val="9"/>
            <color indexed="81"/>
            <rFont val="Tahoma"/>
            <family val="2"/>
          </rPr>
          <t>YULIED.PENARANDA:</t>
        </r>
        <r>
          <rPr>
            <sz val="9"/>
            <color indexed="81"/>
            <rFont val="Tahoma"/>
            <family val="2"/>
          </rPr>
          <t xml:space="preserve">
Vigencia a reportar</t>
        </r>
      </text>
    </comment>
    <comment ref="C32"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400-000016000000}">
      <text>
        <r>
          <rPr>
            <b/>
            <sz val="9"/>
            <color indexed="81"/>
            <rFont val="Tahoma"/>
            <family val="2"/>
          </rPr>
          <t>YULIED.PENARANDA:</t>
        </r>
        <r>
          <rPr>
            <sz val="9"/>
            <color indexed="81"/>
            <rFont val="Tahoma"/>
            <family val="2"/>
          </rPr>
          <t xml:space="preserve">
Corresponde al pago </t>
        </r>
      </text>
    </comment>
    <comment ref="G32"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400-000019000000}">
      <text>
        <r>
          <rPr>
            <b/>
            <sz val="9"/>
            <color indexed="81"/>
            <rFont val="Tahoma"/>
            <family val="2"/>
          </rPr>
          <t>YULIED.PENARANDA:</t>
        </r>
        <r>
          <rPr>
            <sz val="9"/>
            <color indexed="81"/>
            <rFont val="Tahoma"/>
            <family val="2"/>
          </rPr>
          <t xml:space="preserve">
Vigencia a reportar</t>
        </r>
      </text>
    </comment>
    <comment ref="C47"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400-00001D000000}">
      <text>
        <r>
          <rPr>
            <b/>
            <sz val="9"/>
            <color indexed="81"/>
            <rFont val="Tahoma"/>
            <family val="2"/>
          </rPr>
          <t>YULIED.PENARANDA:</t>
        </r>
        <r>
          <rPr>
            <sz val="9"/>
            <color indexed="81"/>
            <rFont val="Tahoma"/>
            <family val="2"/>
          </rPr>
          <t xml:space="preserve">
Corresponde al pago </t>
        </r>
      </text>
    </comment>
    <comment ref="G47"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400-000020000000}">
      <text>
        <r>
          <rPr>
            <b/>
            <sz val="9"/>
            <color indexed="81"/>
            <rFont val="Tahoma"/>
            <family val="2"/>
          </rPr>
          <t>YULIED.PENARANDA:</t>
        </r>
        <r>
          <rPr>
            <sz val="9"/>
            <color indexed="81"/>
            <rFont val="Tahoma"/>
            <family val="2"/>
          </rPr>
          <t xml:space="preserve">
Vigencia a reportar</t>
        </r>
      </text>
    </comment>
    <comment ref="C62"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400-000024000000}">
      <text>
        <r>
          <rPr>
            <b/>
            <sz val="9"/>
            <color indexed="81"/>
            <rFont val="Tahoma"/>
            <family val="2"/>
          </rPr>
          <t>YULIED.PENARANDA:</t>
        </r>
        <r>
          <rPr>
            <sz val="9"/>
            <color indexed="81"/>
            <rFont val="Tahoma"/>
            <family val="2"/>
          </rPr>
          <t xml:space="preserve">
Corresponde al pago </t>
        </r>
      </text>
    </comment>
    <comment ref="G62"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N77" authorId="0" shapeId="0" xr:uid="{00000000-0006-0000-0400-000027000000}">
      <text>
        <r>
          <rPr>
            <b/>
            <sz val="9"/>
            <color indexed="81"/>
            <rFont val="Tahoma"/>
            <family val="2"/>
          </rPr>
          <t>YULIED.PENARANDA:</t>
        </r>
        <r>
          <rPr>
            <sz val="9"/>
            <color indexed="81"/>
            <rFont val="Tahoma"/>
            <family val="2"/>
          </rPr>
          <t xml:space="preserve">
Descripción concreta del avance, máximo de caracteres 200</t>
        </r>
      </text>
    </comment>
    <comment ref="A96" authorId="0" shapeId="0" xr:uid="{00000000-0006-0000-0400-00002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7" authorId="0" shapeId="0" xr:uid="{00000000-0006-0000-0400-000029000000}">
      <text>
        <r>
          <rPr>
            <b/>
            <sz val="9"/>
            <color indexed="81"/>
            <rFont val="Tahoma"/>
            <family val="2"/>
          </rPr>
          <t>YULIED.PENARANDA:</t>
        </r>
        <r>
          <rPr>
            <sz val="9"/>
            <color indexed="81"/>
            <rFont val="Tahoma"/>
            <family val="2"/>
          </rPr>
          <t xml:space="preserve">
Vigencia a reportar</t>
        </r>
      </text>
    </comment>
    <comment ref="B97" authorId="0" shapeId="0" xr:uid="{00000000-0006-0000-0400-00002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7" authorId="0" shapeId="0" xr:uid="{00000000-0006-0000-0400-00002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7" authorId="0" shapeId="0" xr:uid="{00000000-0006-0000-0400-00002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7" authorId="0" shapeId="0" xr:uid="{00000000-0006-0000-0400-00002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7" authorId="0" shapeId="0" xr:uid="{00000000-0006-0000-0400-00002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7" authorId="0" shapeId="0" xr:uid="{00000000-0006-0000-0400-00002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7" authorId="0" shapeId="0" xr:uid="{00000000-0006-0000-0400-000030000000}">
      <text>
        <r>
          <rPr>
            <b/>
            <sz val="9"/>
            <color indexed="81"/>
            <rFont val="Tahoma"/>
            <family val="2"/>
          </rPr>
          <t>YULIED.PENARANDA:</t>
        </r>
        <r>
          <rPr>
            <sz val="9"/>
            <color indexed="81"/>
            <rFont val="Tahoma"/>
            <family val="2"/>
          </rPr>
          <t xml:space="preserve">
Descripción concreta del avance, máximo de caracteres 200</t>
        </r>
      </text>
    </comment>
    <comment ref="A147" authorId="0" shapeId="0" xr:uid="{00000000-0006-0000-0400-00003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8" authorId="0" shapeId="0" xr:uid="{00000000-0006-0000-0400-000032000000}">
      <text>
        <r>
          <rPr>
            <b/>
            <sz val="9"/>
            <color indexed="81"/>
            <rFont val="Tahoma"/>
            <family val="2"/>
          </rPr>
          <t>YULIED.PENARANDA:</t>
        </r>
        <r>
          <rPr>
            <sz val="9"/>
            <color indexed="81"/>
            <rFont val="Tahoma"/>
            <family val="2"/>
          </rPr>
          <t xml:space="preserve">
Vigencia a reportar</t>
        </r>
      </text>
    </comment>
    <comment ref="B148" authorId="0" shapeId="0" xr:uid="{00000000-0006-0000-0400-00003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8" authorId="0" shapeId="0" xr:uid="{00000000-0006-0000-0400-00003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8" authorId="0" shapeId="0" xr:uid="{00000000-0006-0000-0400-00003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8" authorId="0" shapeId="0" xr:uid="{00000000-0006-0000-0400-00003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8" authorId="0" shapeId="0" xr:uid="{00000000-0006-0000-0400-00003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8" authorId="0" shapeId="0" xr:uid="{00000000-0006-0000-0400-00003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8" authorId="0" shapeId="0" xr:uid="{00000000-0006-0000-0400-000039000000}">
      <text>
        <r>
          <rPr>
            <b/>
            <sz val="9"/>
            <color indexed="81"/>
            <rFont val="Tahoma"/>
            <family val="2"/>
          </rPr>
          <t>YULIED.PENARANDA:</t>
        </r>
        <r>
          <rPr>
            <sz val="9"/>
            <color indexed="81"/>
            <rFont val="Tahoma"/>
            <family val="2"/>
          </rPr>
          <t xml:space="preserve">
Descripción concreta del avance, máximo de caracteres 200</t>
        </r>
      </text>
    </comment>
    <comment ref="A162" authorId="0" shapeId="0" xr:uid="{00000000-0006-0000-0400-00003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63" authorId="0" shapeId="0" xr:uid="{00000000-0006-0000-0400-00003B000000}">
      <text>
        <r>
          <rPr>
            <b/>
            <sz val="9"/>
            <color indexed="81"/>
            <rFont val="Tahoma"/>
            <family val="2"/>
          </rPr>
          <t>YULIED.PENARANDA:</t>
        </r>
        <r>
          <rPr>
            <sz val="9"/>
            <color indexed="81"/>
            <rFont val="Tahoma"/>
            <family val="2"/>
          </rPr>
          <t xml:space="preserve">
Vigencia a reportar</t>
        </r>
      </text>
    </comment>
    <comment ref="B163" authorId="0" shapeId="0" xr:uid="{00000000-0006-0000-0400-00003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3" authorId="0" shapeId="0" xr:uid="{00000000-0006-0000-0400-00003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3" authorId="0" shapeId="0" xr:uid="{00000000-0006-0000-0400-00003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3" authorId="0" shapeId="0" xr:uid="{00000000-0006-0000-0400-00003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3" authorId="0" shapeId="0" xr:uid="{00000000-0006-0000-0400-00004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3" authorId="0" shapeId="0" xr:uid="{00000000-0006-0000-0400-00004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3" authorId="0" shapeId="0" xr:uid="{00000000-0006-0000-0400-000042000000}">
      <text>
        <r>
          <rPr>
            <b/>
            <sz val="9"/>
            <color indexed="81"/>
            <rFont val="Tahoma"/>
            <family val="2"/>
          </rPr>
          <t>YULIED.PENARANDA:</t>
        </r>
        <r>
          <rPr>
            <sz val="9"/>
            <color indexed="81"/>
            <rFont val="Tahoma"/>
            <family val="2"/>
          </rPr>
          <t xml:space="preserve">
Descripción concreta del avance, máximo de caracteres 200</t>
        </r>
      </text>
    </comment>
    <comment ref="A177" authorId="0" shapeId="0" xr:uid="{00000000-0006-0000-0400-00004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8" authorId="0" shapeId="0" xr:uid="{00000000-0006-0000-0400-000044000000}">
      <text>
        <r>
          <rPr>
            <b/>
            <sz val="9"/>
            <color indexed="81"/>
            <rFont val="Tahoma"/>
            <family val="2"/>
          </rPr>
          <t>YULIED.PENARANDA:</t>
        </r>
        <r>
          <rPr>
            <sz val="9"/>
            <color indexed="81"/>
            <rFont val="Tahoma"/>
            <family val="2"/>
          </rPr>
          <t xml:space="preserve">
Vigencia a reportar</t>
        </r>
      </text>
    </comment>
    <comment ref="B178" authorId="0" shapeId="0" xr:uid="{00000000-0006-0000-0400-00004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8" authorId="0" shapeId="0" xr:uid="{00000000-0006-0000-0400-00004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8" authorId="0" shapeId="0" xr:uid="{00000000-0006-0000-0400-00004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8" authorId="0" shapeId="0" xr:uid="{00000000-0006-0000-0400-00004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8" authorId="0" shapeId="0" xr:uid="{00000000-0006-0000-0400-00004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8" authorId="0" shapeId="0" xr:uid="{00000000-0006-0000-0400-00004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8" authorId="0" shapeId="0" xr:uid="{00000000-0006-0000-0400-00004B000000}">
      <text>
        <r>
          <rPr>
            <b/>
            <sz val="9"/>
            <color indexed="81"/>
            <rFont val="Tahoma"/>
            <family val="2"/>
          </rPr>
          <t>YULIED.PENARANDA:</t>
        </r>
        <r>
          <rPr>
            <sz val="9"/>
            <color indexed="81"/>
            <rFont val="Tahoma"/>
            <family val="2"/>
          </rPr>
          <t xml:space="preserve">
Descripción concreta del avance, máximo de caracteres 200</t>
        </r>
      </text>
    </comment>
    <comment ref="A193" authorId="0" shapeId="0" xr:uid="{00000000-0006-0000-0400-00004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G194" authorId="0" shapeId="0" xr:uid="{00000000-0006-0000-0400-00004D000000}">
      <text>
        <r>
          <rPr>
            <b/>
            <sz val="9"/>
            <color indexed="81"/>
            <rFont val="Tahoma"/>
            <family val="2"/>
          </rPr>
          <t>YULIED.PENARANDA:</t>
        </r>
        <r>
          <rPr>
            <sz val="9"/>
            <color indexed="81"/>
            <rFont val="Tahoma"/>
            <family val="2"/>
          </rPr>
          <t xml:space="preserve">
Descripción concreta del avance, máximo de caracteres 200</t>
        </r>
      </text>
    </comment>
    <comment ref="A207" authorId="0" shapeId="0" xr:uid="{00000000-0006-0000-0400-00004E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08" authorId="0" shapeId="0" xr:uid="{00000000-0006-0000-0400-00004F000000}">
      <text>
        <r>
          <rPr>
            <b/>
            <sz val="9"/>
            <color indexed="81"/>
            <rFont val="Tahoma"/>
            <family val="2"/>
          </rPr>
          <t>YULIED.PENARANDA:</t>
        </r>
        <r>
          <rPr>
            <sz val="9"/>
            <color indexed="81"/>
            <rFont val="Tahoma"/>
            <family val="2"/>
          </rPr>
          <t xml:space="preserve">
Vigencia a reportar</t>
        </r>
      </text>
    </comment>
    <comment ref="B208" authorId="0" shapeId="0" xr:uid="{00000000-0006-0000-0400-00005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8" authorId="0" shapeId="0" xr:uid="{00000000-0006-0000-0400-00005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08" authorId="0" shapeId="0" xr:uid="{00000000-0006-0000-0400-00005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08" authorId="0" shapeId="0" xr:uid="{00000000-0006-0000-0400-000053000000}">
      <text>
        <r>
          <rPr>
            <b/>
            <sz val="9"/>
            <color indexed="81"/>
            <rFont val="Tahoma"/>
            <family val="2"/>
          </rPr>
          <t>YULIED.PENARANDA:</t>
        </r>
        <r>
          <rPr>
            <sz val="9"/>
            <color indexed="81"/>
            <rFont val="Tahoma"/>
            <family val="2"/>
          </rPr>
          <t xml:space="preserve">
Descripción concreta del avance, máximo de caracteres 200</t>
        </r>
      </text>
    </comment>
    <comment ref="A256" authorId="0" shapeId="0" xr:uid="{00000000-0006-0000-0400-000054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57" authorId="0" shapeId="0" xr:uid="{00000000-0006-0000-0400-000055000000}">
      <text>
        <r>
          <rPr>
            <b/>
            <sz val="9"/>
            <color indexed="81"/>
            <rFont val="Tahoma"/>
            <family val="2"/>
          </rPr>
          <t>YULIED.PENARANDA:</t>
        </r>
        <r>
          <rPr>
            <sz val="9"/>
            <color indexed="81"/>
            <rFont val="Tahoma"/>
            <family val="2"/>
          </rPr>
          <t xml:space="preserve">
Vigencia a reportar</t>
        </r>
      </text>
    </comment>
    <comment ref="B257" authorId="0" shapeId="0" xr:uid="{00000000-0006-0000-0400-000056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7" authorId="0" shapeId="0" xr:uid="{00000000-0006-0000-0400-000057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7" authorId="0" shapeId="0" xr:uid="{00000000-0006-0000-0400-00005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7" authorId="0" shapeId="0" xr:uid="{00000000-0006-0000-0400-000059000000}">
      <text>
        <r>
          <rPr>
            <b/>
            <sz val="9"/>
            <color indexed="81"/>
            <rFont val="Tahoma"/>
            <family val="2"/>
          </rPr>
          <t>YULIED.PENARANDA:</t>
        </r>
        <r>
          <rPr>
            <sz val="9"/>
            <color indexed="81"/>
            <rFont val="Tahoma"/>
            <family val="2"/>
          </rPr>
          <t xml:space="preserve">
Descripción concreta del avance, máximo de caracteres 200</t>
        </r>
      </text>
    </comment>
    <comment ref="A271" authorId="0" shapeId="0" xr:uid="{00000000-0006-0000-0400-00005A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2" authorId="0" shapeId="0" xr:uid="{00000000-0006-0000-0400-00005B000000}">
      <text>
        <r>
          <rPr>
            <b/>
            <sz val="9"/>
            <color indexed="81"/>
            <rFont val="Tahoma"/>
            <family val="2"/>
          </rPr>
          <t>YULIED.PENARANDA:</t>
        </r>
        <r>
          <rPr>
            <sz val="9"/>
            <color indexed="81"/>
            <rFont val="Tahoma"/>
            <family val="2"/>
          </rPr>
          <t xml:space="preserve">
Vigencia a reportar</t>
        </r>
      </text>
    </comment>
    <comment ref="B272" authorId="0" shapeId="0" xr:uid="{00000000-0006-0000-0400-00005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2" authorId="0" shapeId="0" xr:uid="{00000000-0006-0000-0400-00005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2" authorId="0" shapeId="0" xr:uid="{00000000-0006-0000-0400-00005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2" authorId="0" shapeId="0" xr:uid="{00000000-0006-0000-0400-00005F000000}">
      <text>
        <r>
          <rPr>
            <b/>
            <sz val="9"/>
            <color indexed="81"/>
            <rFont val="Tahoma"/>
            <family val="2"/>
          </rPr>
          <t>YULIED.PENARANDA:</t>
        </r>
        <r>
          <rPr>
            <sz val="9"/>
            <color indexed="81"/>
            <rFont val="Tahoma"/>
            <family val="2"/>
          </rPr>
          <t xml:space="preserve">
Descripción concreta del avance, máximo de caracteres 200</t>
        </r>
      </text>
    </comment>
    <comment ref="A286" authorId="0" shapeId="0" xr:uid="{00000000-0006-0000-0400-000060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87" authorId="0" shapeId="0" xr:uid="{00000000-0006-0000-0400-000061000000}">
      <text>
        <r>
          <rPr>
            <b/>
            <sz val="9"/>
            <color indexed="81"/>
            <rFont val="Tahoma"/>
            <family val="2"/>
          </rPr>
          <t>YULIED.PENARANDA:</t>
        </r>
        <r>
          <rPr>
            <sz val="9"/>
            <color indexed="81"/>
            <rFont val="Tahoma"/>
            <family val="2"/>
          </rPr>
          <t xml:space="preserve">
Vigencia a reportar</t>
        </r>
      </text>
    </comment>
    <comment ref="B287" authorId="0" shapeId="0" xr:uid="{00000000-0006-0000-0400-00006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7" authorId="0" shapeId="0" xr:uid="{00000000-0006-0000-0400-00006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7" authorId="0" shapeId="0" xr:uid="{00000000-0006-0000-0400-00006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7" authorId="0" shapeId="0" xr:uid="{00000000-0006-0000-0400-000065000000}">
      <text>
        <r>
          <rPr>
            <b/>
            <sz val="9"/>
            <color indexed="81"/>
            <rFont val="Tahoma"/>
            <family val="2"/>
          </rPr>
          <t>YULIED.PENARANDA:</t>
        </r>
        <r>
          <rPr>
            <sz val="9"/>
            <color indexed="81"/>
            <rFont val="Tahoma"/>
            <family val="2"/>
          </rPr>
          <t xml:space="preserve">
Descripción concreta del avance, máximo de caracteres 200</t>
        </r>
      </text>
    </comment>
    <comment ref="A355" authorId="0" shapeId="0" xr:uid="{00000000-0006-0000-0400-000066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56" authorId="0" shapeId="0" xr:uid="{00000000-0006-0000-0400-000067000000}">
      <text>
        <r>
          <rPr>
            <b/>
            <sz val="9"/>
            <color indexed="81"/>
            <rFont val="Tahoma"/>
            <family val="2"/>
          </rPr>
          <t>YULIED.PENARANDA:</t>
        </r>
        <r>
          <rPr>
            <sz val="9"/>
            <color indexed="81"/>
            <rFont val="Tahoma"/>
            <family val="2"/>
          </rPr>
          <t xml:space="preserve">
Vigencia a reportar</t>
        </r>
      </text>
    </comment>
    <comment ref="B356" authorId="0" shapeId="0" xr:uid="{00000000-0006-0000-0400-00006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56" authorId="0" shapeId="0" xr:uid="{00000000-0006-0000-0400-00006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56" authorId="0" shapeId="0" xr:uid="{00000000-0006-0000-0400-00006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56" authorId="0" shapeId="0" xr:uid="{00000000-0006-0000-0400-00006B000000}">
      <text>
        <r>
          <rPr>
            <b/>
            <sz val="9"/>
            <color indexed="81"/>
            <rFont val="Tahoma"/>
            <family val="2"/>
          </rPr>
          <t>YULIED.PENARANDA:</t>
        </r>
        <r>
          <rPr>
            <sz val="9"/>
            <color indexed="81"/>
            <rFont val="Tahoma"/>
            <family val="2"/>
          </rPr>
          <t xml:space="preserve">
Descripción concreta del avance, máximo de caracteres 200</t>
        </r>
      </text>
    </comment>
    <comment ref="A366" authorId="0" shapeId="0" xr:uid="{00000000-0006-0000-0400-00006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67" authorId="0" shapeId="0" xr:uid="{00000000-0006-0000-0400-00006D000000}">
      <text>
        <r>
          <rPr>
            <b/>
            <sz val="9"/>
            <color indexed="81"/>
            <rFont val="Tahoma"/>
            <family val="2"/>
          </rPr>
          <t>YULIED.PENARANDA:</t>
        </r>
        <r>
          <rPr>
            <sz val="9"/>
            <color indexed="81"/>
            <rFont val="Tahoma"/>
            <family val="2"/>
          </rPr>
          <t xml:space="preserve">
Vigencia a reportar</t>
        </r>
      </text>
    </comment>
    <comment ref="B367" authorId="0" shapeId="0" xr:uid="{00000000-0006-0000-0400-00006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67" authorId="0" shapeId="0" xr:uid="{00000000-0006-0000-0400-00006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67" authorId="0" shapeId="0" xr:uid="{00000000-0006-0000-0400-00007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67" authorId="0" shapeId="0" xr:uid="{00000000-0006-0000-0400-000071000000}">
      <text>
        <r>
          <rPr>
            <b/>
            <sz val="9"/>
            <color indexed="81"/>
            <rFont val="Tahoma"/>
            <family val="2"/>
          </rPr>
          <t>YULIED.PENARANDA:</t>
        </r>
        <r>
          <rPr>
            <sz val="9"/>
            <color indexed="81"/>
            <rFont val="Tahoma"/>
            <family val="2"/>
          </rPr>
          <t xml:space="preserve">
Descripción concreta del avance, máximo de caracteres 200</t>
        </r>
      </text>
    </comment>
    <comment ref="A431" authorId="0" shapeId="0" xr:uid="{00000000-0006-0000-0400-00007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32" authorId="0" shapeId="0" xr:uid="{00000000-0006-0000-0400-000073000000}">
      <text>
        <r>
          <rPr>
            <b/>
            <sz val="9"/>
            <color indexed="81"/>
            <rFont val="Tahoma"/>
            <family val="2"/>
          </rPr>
          <t>YULIED.PENARANDA:</t>
        </r>
        <r>
          <rPr>
            <sz val="9"/>
            <color indexed="81"/>
            <rFont val="Tahoma"/>
            <family val="2"/>
          </rPr>
          <t xml:space="preserve">
Vigencia a reportar</t>
        </r>
      </text>
    </comment>
    <comment ref="B432" authorId="0" shapeId="0" xr:uid="{00000000-0006-0000-0400-00007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2" authorId="0" shapeId="0" xr:uid="{00000000-0006-0000-0400-00007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2" authorId="0" shapeId="0" xr:uid="{00000000-0006-0000-0400-00007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2" authorId="0" shapeId="0" xr:uid="{00000000-0006-0000-0400-000077000000}">
      <text>
        <r>
          <rPr>
            <b/>
            <sz val="9"/>
            <color indexed="81"/>
            <rFont val="Tahoma"/>
            <family val="2"/>
          </rPr>
          <t>YULIED.PENARANDA:</t>
        </r>
        <r>
          <rPr>
            <sz val="9"/>
            <color indexed="81"/>
            <rFont val="Tahoma"/>
            <family val="2"/>
          </rPr>
          <t xml:space="preserve">
Descripción concreta del avance, máximo de caracteres 200</t>
        </r>
      </text>
    </comment>
    <comment ref="A446" authorId="0" shapeId="0" xr:uid="{00000000-0006-0000-0400-00007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7" authorId="0" shapeId="0" xr:uid="{00000000-0006-0000-0400-000079000000}">
      <text>
        <r>
          <rPr>
            <b/>
            <sz val="9"/>
            <color indexed="81"/>
            <rFont val="Tahoma"/>
            <family val="2"/>
          </rPr>
          <t>YULIED.PENARANDA:</t>
        </r>
        <r>
          <rPr>
            <sz val="9"/>
            <color indexed="81"/>
            <rFont val="Tahoma"/>
            <family val="2"/>
          </rPr>
          <t xml:space="preserve">
Vigencia a reportar</t>
        </r>
      </text>
    </comment>
    <comment ref="B447" authorId="0" shapeId="0" xr:uid="{00000000-0006-0000-0400-00007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7" authorId="0" shapeId="0" xr:uid="{00000000-0006-0000-0400-00007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7" authorId="0" shapeId="0" xr:uid="{00000000-0006-0000-0400-00007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7" authorId="0" shapeId="0" xr:uid="{00000000-0006-0000-0400-00007D000000}">
      <text>
        <r>
          <rPr>
            <b/>
            <sz val="9"/>
            <color indexed="81"/>
            <rFont val="Tahoma"/>
            <family val="2"/>
          </rPr>
          <t>YULIED.PENARANDA:</t>
        </r>
        <r>
          <rPr>
            <sz val="9"/>
            <color indexed="81"/>
            <rFont val="Tahoma"/>
            <family val="2"/>
          </rPr>
          <t xml:space="preserve">
Descripción concreta del avance, máximo de caracteres 200</t>
        </r>
      </text>
    </comment>
    <comment ref="A461" authorId="0" shapeId="0" xr:uid="{00000000-0006-0000-0400-00007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62" authorId="0" shapeId="0" xr:uid="{00000000-0006-0000-0400-00007F000000}">
      <text>
        <r>
          <rPr>
            <b/>
            <sz val="9"/>
            <color indexed="81"/>
            <rFont val="Tahoma"/>
            <family val="2"/>
          </rPr>
          <t>YULIED.PENARANDA:</t>
        </r>
        <r>
          <rPr>
            <sz val="9"/>
            <color indexed="81"/>
            <rFont val="Tahoma"/>
            <family val="2"/>
          </rPr>
          <t xml:space="preserve">
Vigencia a reportar</t>
        </r>
      </text>
    </comment>
    <comment ref="B462" authorId="0" shapeId="0" xr:uid="{00000000-0006-0000-0400-00008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2" authorId="0" shapeId="0" xr:uid="{00000000-0006-0000-0400-000081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2" authorId="0" shapeId="0" xr:uid="{00000000-0006-0000-0400-000082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2" authorId="0" shapeId="0" xr:uid="{00000000-0006-0000-0400-000083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Angela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5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500-000004000000}">
      <text>
        <r>
          <rPr>
            <b/>
            <sz val="9"/>
            <color indexed="81"/>
            <rFont val="Tahoma"/>
            <family val="2"/>
          </rPr>
          <t>SPCI:</t>
        </r>
        <r>
          <rPr>
            <sz val="9"/>
            <color indexed="81"/>
            <rFont val="Tahoma"/>
            <family val="2"/>
          </rPr>
          <t xml:space="preserve">
Número de la meta proyecto de inversión, según la asignación dada en  SEGPLAN</t>
        </r>
      </text>
    </comment>
    <comment ref="B8" authorId="0" shapeId="0" xr:uid="{00000000-0006-0000-0500-000005000000}">
      <text>
        <r>
          <rPr>
            <b/>
            <sz val="9"/>
            <color indexed="81"/>
            <rFont val="Tahoma"/>
            <family val="2"/>
          </rPr>
          <t xml:space="preserve">SPCI:
</t>
        </r>
        <r>
          <rPr>
            <sz val="9"/>
            <color indexed="81"/>
            <rFont val="Tahoma"/>
            <family val="2"/>
          </rPr>
          <t>mbre completo de la meta proyecto de inversión, igual como quedo en inversión</t>
        </r>
      </text>
    </comment>
    <comment ref="C8" authorId="1" shapeId="0" xr:uid="{00000000-0006-0000-0500-000006000000}">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8" authorId="0" shapeId="0" xr:uid="{00000000-0006-0000-0500-000007000000}">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8" authorId="0" shapeId="0" xr:uid="{00000000-0006-0000-0500-000008000000}">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00000000-0006-0000-0500-00000900000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0000000-0006-0000-0500-00000A000000}">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00000000-0006-0000-0500-00000B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00000000-0006-0000-0500-00000C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00000000-0006-0000-0500-00000D00000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00000000-0006-0000-0500-00000E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00000000-0006-0000-0500-00000F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00000000-0006-0000-0500-000010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00000000-0006-0000-0500-000011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00000000-0006-0000-0500-000012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00000000-0006-0000-0500-000013000000}">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00000000-0006-0000-0500-00001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00000000-0006-0000-0500-00001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00000000-0006-0000-0500-00001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00000000-0006-0000-0500-00001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00000000-0006-0000-0500-00001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00000000-0006-0000-0500-000019000000}">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00000000-0006-0000-0500-00001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00000000-0006-0000-0500-00001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00000000-0006-0000-0500-00001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00000000-0006-0000-0500-00001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00000000-0006-0000-0500-00001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00000000-0006-0000-0500-00001F000000}">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00000000-0006-0000-0500-00002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00000000-0006-0000-0500-000021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00000000-0006-0000-05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00000000-0006-0000-05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00000000-0006-0000-05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00000000-0006-0000-0500-000025000000}">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00000000-0006-0000-0500-00002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00000000-0006-0000-0500-000027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00000000-0006-0000-0500-000028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00000000-0006-0000-0500-000029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00000000-0006-0000-0500-00002A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00000000-0006-0000-0500-00002B000000}">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00000000-0006-0000-0500-00002C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00000000-0006-0000-0500-00002D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00000000-0006-0000-0500-00002E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00000000-0006-0000-0500-00002F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00000000-0006-0000-0500-000030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00000000-0006-0000-0500-000031000000}">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00000000-0006-0000-0500-00003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0" shapeId="0" xr:uid="{00000000-0006-0000-0500-000033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 authorId="0" shapeId="0" xr:uid="{00000000-0006-0000-0500-000034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 authorId="0" shapeId="0" xr:uid="{00000000-0006-0000-0500-000035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0" shapeId="0" xr:uid="{00000000-0006-0000-0500-000036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 authorId="0" shapeId="0" xr:uid="{00000000-0006-0000-0500-000037000000}">
      <text>
        <r>
          <rPr>
            <b/>
            <sz val="9"/>
            <color indexed="81"/>
            <rFont val="Tahoma"/>
            <family val="2"/>
          </rPr>
          <t>YULIED.PENARANDA:</t>
        </r>
        <r>
          <rPr>
            <sz val="9"/>
            <color indexed="81"/>
            <rFont val="Tahoma"/>
            <family val="2"/>
          </rPr>
          <t xml:space="preserve">
Se suma los recursos presupuestales (vigencia + reservas)</t>
        </r>
      </text>
    </comment>
    <comment ref="D46" authorId="0" shapeId="0" xr:uid="{00000000-0006-0000-0500-00003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 authorId="0" shapeId="0" xr:uid="{00000000-0006-0000-0500-000039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 authorId="0" shapeId="0" xr:uid="{00000000-0006-0000-0500-00003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 authorId="0" shapeId="0" xr:uid="{00000000-0006-0000-0500-00003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 authorId="0" shapeId="0" xr:uid="{00000000-0006-0000-0500-00003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 authorId="0" shapeId="0" xr:uid="{00000000-0006-0000-0500-00003D000000}">
      <text>
        <r>
          <rPr>
            <b/>
            <sz val="9"/>
            <color indexed="81"/>
            <rFont val="Tahoma"/>
            <family val="2"/>
          </rPr>
          <t>YULIED.PENARANDA:</t>
        </r>
        <r>
          <rPr>
            <sz val="9"/>
            <color indexed="81"/>
            <rFont val="Tahoma"/>
            <family val="2"/>
          </rPr>
          <t xml:space="preserve">
Se suma los recursos presupuestales (vigencia + reservas)</t>
        </r>
      </text>
    </comment>
    <comment ref="D52" authorId="0" shapeId="0" xr:uid="{00000000-0006-0000-0500-00003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 authorId="0" shapeId="0" xr:uid="{00000000-0006-0000-0500-00003F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 authorId="0" shapeId="0" xr:uid="{00000000-0006-0000-0500-00004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 authorId="0" shapeId="0" xr:uid="{00000000-0006-0000-0500-00004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 authorId="0" shapeId="0" xr:uid="{00000000-0006-0000-0500-00004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 authorId="0" shapeId="0" xr:uid="{00000000-0006-0000-0500-000043000000}">
      <text>
        <r>
          <rPr>
            <b/>
            <sz val="9"/>
            <color indexed="81"/>
            <rFont val="Tahoma"/>
            <family val="2"/>
          </rPr>
          <t>YULIED.PENARANDA:</t>
        </r>
        <r>
          <rPr>
            <sz val="9"/>
            <color indexed="81"/>
            <rFont val="Tahoma"/>
            <family val="2"/>
          </rPr>
          <t xml:space="preserve">
Se suma los recursos presupuestales (vigencia + reservas)</t>
        </r>
      </text>
    </comment>
    <comment ref="D58" authorId="0" shapeId="0" xr:uid="{00000000-0006-0000-0500-00004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 authorId="0" shapeId="0" xr:uid="{00000000-0006-0000-0500-00004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0" authorId="0" shapeId="0" xr:uid="{00000000-0006-0000-0500-00004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1" authorId="0" shapeId="0" xr:uid="{00000000-0006-0000-0500-00004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 authorId="0" shapeId="0" xr:uid="{00000000-0006-0000-0500-00004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 authorId="0" shapeId="0" xr:uid="{00000000-0006-0000-0500-000049000000}">
      <text>
        <r>
          <rPr>
            <b/>
            <sz val="9"/>
            <color indexed="81"/>
            <rFont val="Tahoma"/>
            <family val="2"/>
          </rPr>
          <t>YULIED.PENARANDA:</t>
        </r>
        <r>
          <rPr>
            <sz val="9"/>
            <color indexed="81"/>
            <rFont val="Tahoma"/>
            <family val="2"/>
          </rPr>
          <t xml:space="preserve">
Se suma los recursos presupuestales (vigencia + reservas)</t>
        </r>
      </text>
    </comment>
    <comment ref="D64" authorId="0" shapeId="0" xr:uid="{00000000-0006-0000-0500-00004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5" authorId="0" shapeId="0" xr:uid="{00000000-0006-0000-0500-00004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65" authorId="2" shapeId="0" xr:uid="{00000000-0006-0000-0500-00004C000000}">
      <text>
        <r>
          <rPr>
            <b/>
            <sz val="9"/>
            <color indexed="81"/>
            <rFont val="Tahoma"/>
            <family val="2"/>
          </rPr>
          <t>Angela:</t>
        </r>
        <r>
          <rPr>
            <sz val="9"/>
            <color indexed="81"/>
            <rFont val="Tahoma"/>
            <family val="2"/>
          </rPr>
          <t xml:space="preserve">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66" authorId="0" shapeId="0" xr:uid="{00000000-0006-0000-0500-00004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7" authorId="0" shapeId="0" xr:uid="{00000000-0006-0000-0500-00004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 authorId="0" shapeId="0" xr:uid="{00000000-0006-0000-0500-00004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 authorId="0" shapeId="0" xr:uid="{00000000-0006-0000-0500-000050000000}">
      <text>
        <r>
          <rPr>
            <b/>
            <sz val="9"/>
            <color indexed="81"/>
            <rFont val="Tahoma"/>
            <family val="2"/>
          </rPr>
          <t>YULIED.PENARANDA:</t>
        </r>
        <r>
          <rPr>
            <sz val="9"/>
            <color indexed="81"/>
            <rFont val="Tahoma"/>
            <family val="2"/>
          </rPr>
          <t xml:space="preserve">
Se suma los recursos presupuestales (vigencia + reservas)</t>
        </r>
      </text>
    </comment>
    <comment ref="D70" authorId="0" shapeId="0" xr:uid="{00000000-0006-0000-0500-00005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1" authorId="0" shapeId="0" xr:uid="{00000000-0006-0000-0500-00005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2" authorId="0" shapeId="0" xr:uid="{00000000-0006-0000-0500-00005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3" authorId="0" shapeId="0" xr:uid="{00000000-0006-0000-0500-00005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4" authorId="0" shapeId="0" xr:uid="{00000000-0006-0000-0500-00005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5" authorId="0" shapeId="0" xr:uid="{00000000-0006-0000-0500-000056000000}">
      <text>
        <r>
          <rPr>
            <b/>
            <sz val="9"/>
            <color indexed="81"/>
            <rFont val="Tahoma"/>
            <family val="2"/>
          </rPr>
          <t>YULIED.PENARANDA:</t>
        </r>
        <r>
          <rPr>
            <sz val="9"/>
            <color indexed="81"/>
            <rFont val="Tahoma"/>
            <family val="2"/>
          </rPr>
          <t xml:space="preserve">
Se suma los recursos presupuestales (vigencia + reservas)</t>
        </r>
      </text>
    </comment>
    <comment ref="D76" authorId="0" shapeId="0" xr:uid="{00000000-0006-0000-0500-00005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 authorId="0" shapeId="0" xr:uid="{00000000-0006-0000-0500-00005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 authorId="0" shapeId="0" xr:uid="{00000000-0006-0000-0500-00005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9" authorId="0" shapeId="0" xr:uid="{00000000-0006-0000-0500-00005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0" authorId="0" shapeId="0" xr:uid="{00000000-0006-0000-0500-00005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1" authorId="0" shapeId="0" xr:uid="{00000000-0006-0000-0500-00005C000000}">
      <text>
        <r>
          <rPr>
            <b/>
            <sz val="9"/>
            <color indexed="81"/>
            <rFont val="Tahoma"/>
            <family val="2"/>
          </rPr>
          <t>YULIED.PENARANDA:</t>
        </r>
        <r>
          <rPr>
            <sz val="9"/>
            <color indexed="81"/>
            <rFont val="Tahoma"/>
            <family val="2"/>
          </rPr>
          <t xml:space="preserve">
Se suma los recursos presupuestales (vigencia + reservas)</t>
        </r>
      </text>
    </comment>
    <comment ref="D82" authorId="0" shapeId="0" xr:uid="{00000000-0006-0000-0500-00005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3" authorId="0" shapeId="0" xr:uid="{00000000-0006-0000-0500-00005E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83" authorId="2" shapeId="0" xr:uid="{00000000-0006-0000-0500-00005F000000}">
      <text>
        <r>
          <rPr>
            <b/>
            <sz val="9"/>
            <color indexed="81"/>
            <rFont val="Tahoma"/>
            <family val="2"/>
          </rPr>
          <t>Angela:</t>
        </r>
        <r>
          <rPr>
            <sz val="9"/>
            <color indexed="81"/>
            <rFont val="Tahoma"/>
            <family val="2"/>
          </rPr>
          <t xml:space="preserve">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84" authorId="0" shapeId="0" xr:uid="{00000000-0006-0000-0500-00006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5" authorId="0" shapeId="0" xr:uid="{00000000-0006-0000-0500-00006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6" authorId="0" shapeId="0" xr:uid="{00000000-0006-0000-0500-00006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7" authorId="0" shapeId="0" xr:uid="{00000000-0006-0000-0500-000063000000}">
      <text>
        <r>
          <rPr>
            <b/>
            <sz val="9"/>
            <color indexed="81"/>
            <rFont val="Tahoma"/>
            <family val="2"/>
          </rPr>
          <t>YULIED.PENARANDA:</t>
        </r>
        <r>
          <rPr>
            <sz val="9"/>
            <color indexed="81"/>
            <rFont val="Tahoma"/>
            <family val="2"/>
          </rPr>
          <t xml:space="preserve">
Se suma los recursos presupuestales (vigencia + reservas)</t>
        </r>
      </text>
    </comment>
    <comment ref="D88" authorId="0" shapeId="0" xr:uid="{00000000-0006-0000-0500-00006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9" authorId="0" shapeId="0" xr:uid="{00000000-0006-0000-0500-00006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0" authorId="0" shapeId="0" xr:uid="{00000000-0006-0000-0500-00006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1" authorId="0" shapeId="0" xr:uid="{00000000-0006-0000-0500-00006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2" authorId="0" shapeId="0" xr:uid="{00000000-0006-0000-0500-00006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3" authorId="0" shapeId="0" xr:uid="{00000000-0006-0000-0500-000069000000}">
      <text>
        <r>
          <rPr>
            <b/>
            <sz val="9"/>
            <color indexed="81"/>
            <rFont val="Tahoma"/>
            <family val="2"/>
          </rPr>
          <t>YULIED.PENARANDA:</t>
        </r>
        <r>
          <rPr>
            <sz val="9"/>
            <color indexed="81"/>
            <rFont val="Tahoma"/>
            <family val="2"/>
          </rPr>
          <t xml:space="preserve">
Se suma los recursos presupuestales (vigencia + reservas)</t>
        </r>
      </text>
    </comment>
    <comment ref="D94" authorId="0" shapeId="0" xr:uid="{00000000-0006-0000-0500-00006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5" authorId="0" shapeId="0" xr:uid="{00000000-0006-0000-0500-00006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95" authorId="2" shapeId="0" xr:uid="{00000000-0006-0000-0500-00006C000000}">
      <text>
        <r>
          <rPr>
            <b/>
            <sz val="9"/>
            <color indexed="81"/>
            <rFont val="Tahoma"/>
            <family val="2"/>
          </rPr>
          <t>Angela:</t>
        </r>
        <r>
          <rPr>
            <sz val="9"/>
            <color indexed="81"/>
            <rFont val="Tahoma"/>
            <family val="2"/>
          </rPr>
          <t xml:space="preserve">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96" authorId="0" shapeId="0" xr:uid="{00000000-0006-0000-0500-00006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7" authorId="0" shapeId="0" xr:uid="{00000000-0006-0000-0500-00006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8" authorId="0" shapeId="0" xr:uid="{00000000-0006-0000-0500-00006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9" authorId="0" shapeId="0" xr:uid="{00000000-0006-0000-0500-000070000000}">
      <text>
        <r>
          <rPr>
            <b/>
            <sz val="9"/>
            <color indexed="81"/>
            <rFont val="Tahoma"/>
            <family val="2"/>
          </rPr>
          <t>YULIED.PENARANDA:</t>
        </r>
        <r>
          <rPr>
            <sz val="9"/>
            <color indexed="81"/>
            <rFont val="Tahoma"/>
            <family val="2"/>
          </rPr>
          <t xml:space="preserve">
Se suma los recursos presupuestales (vigencia + reservas)</t>
        </r>
      </text>
    </comment>
    <comment ref="D100" authorId="0" shapeId="0" xr:uid="{00000000-0006-0000-0500-00007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1" authorId="0" shapeId="0" xr:uid="{00000000-0006-0000-0500-00007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2" authorId="0" shapeId="0" xr:uid="{00000000-0006-0000-0500-00007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3" authorId="0" shapeId="0" xr:uid="{00000000-0006-0000-0500-00007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04" authorId="0" shapeId="0" xr:uid="{00000000-0006-0000-0500-00007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05" authorId="0" shapeId="0" xr:uid="{00000000-0006-0000-0500-000076000000}">
      <text>
        <r>
          <rPr>
            <b/>
            <sz val="9"/>
            <color indexed="81"/>
            <rFont val="Tahoma"/>
            <family val="2"/>
          </rPr>
          <t>YULIED.PENARANDA:</t>
        </r>
        <r>
          <rPr>
            <sz val="9"/>
            <color indexed="81"/>
            <rFont val="Tahoma"/>
            <family val="2"/>
          </rPr>
          <t xml:space="preserve">
Se suma los recursos presupuestales (vigencia + reservas)</t>
        </r>
      </text>
    </comment>
    <comment ref="D106" authorId="0" shapeId="0" xr:uid="{00000000-0006-0000-0500-00007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7" authorId="0" shapeId="0" xr:uid="{00000000-0006-0000-0500-00007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107" authorId="2" shapeId="0" xr:uid="{00000000-0006-0000-0500-000079000000}">
      <text>
        <r>
          <rPr>
            <b/>
            <sz val="9"/>
            <color indexed="81"/>
            <rFont val="Tahoma"/>
            <family val="2"/>
          </rPr>
          <t>Angela:</t>
        </r>
        <r>
          <rPr>
            <sz val="9"/>
            <color indexed="81"/>
            <rFont val="Tahoma"/>
            <family val="2"/>
          </rPr>
          <t xml:space="preserve">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108" authorId="0" shapeId="0" xr:uid="{00000000-0006-0000-0500-00007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9" authorId="0" shapeId="0" xr:uid="{00000000-0006-0000-0500-00007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0" authorId="0" shapeId="0" xr:uid="{00000000-0006-0000-0500-00007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1" authorId="0" shapeId="0" xr:uid="{00000000-0006-0000-0500-00007D000000}">
      <text>
        <r>
          <rPr>
            <b/>
            <sz val="9"/>
            <color indexed="81"/>
            <rFont val="Tahoma"/>
            <family val="2"/>
          </rPr>
          <t>YULIED.PENARANDA:</t>
        </r>
        <r>
          <rPr>
            <sz val="9"/>
            <color indexed="81"/>
            <rFont val="Tahoma"/>
            <family val="2"/>
          </rPr>
          <t xml:space="preserve">
Se suma los recursos presupuestales (vigencia + reservas)</t>
        </r>
      </text>
    </comment>
    <comment ref="D112" authorId="0" shapeId="0" xr:uid="{00000000-0006-0000-0500-00007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3" authorId="0" shapeId="0" xr:uid="{00000000-0006-0000-0500-00007F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14" authorId="0" shapeId="0" xr:uid="{00000000-0006-0000-0500-00008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15" authorId="0" shapeId="0" xr:uid="{00000000-0006-0000-0500-00008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6" authorId="0" shapeId="0" xr:uid="{00000000-0006-0000-0500-00008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7" authorId="0" shapeId="0" xr:uid="{00000000-0006-0000-0500-000083000000}">
      <text>
        <r>
          <rPr>
            <b/>
            <sz val="9"/>
            <color indexed="81"/>
            <rFont val="Tahoma"/>
            <family val="2"/>
          </rPr>
          <t>YULIED.PENARANDA:</t>
        </r>
        <r>
          <rPr>
            <sz val="9"/>
            <color indexed="81"/>
            <rFont val="Tahoma"/>
            <family val="2"/>
          </rPr>
          <t xml:space="preserve">
Se suma los recursos presupuestales (vigencia + reservas)</t>
        </r>
      </text>
    </comment>
    <comment ref="D118" authorId="0" shapeId="0" xr:uid="{00000000-0006-0000-0500-00008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9" authorId="0" shapeId="0" xr:uid="{00000000-0006-0000-0500-00008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0" authorId="0" shapeId="0" xr:uid="{00000000-0006-0000-0500-00008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1" authorId="0" shapeId="0" xr:uid="{00000000-0006-0000-0500-00008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2" authorId="0" shapeId="0" xr:uid="{00000000-0006-0000-0500-00008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3" authorId="0" shapeId="0" xr:uid="{00000000-0006-0000-0500-000089000000}">
      <text>
        <r>
          <rPr>
            <b/>
            <sz val="9"/>
            <color indexed="81"/>
            <rFont val="Tahoma"/>
            <family val="2"/>
          </rPr>
          <t>YULIED.PENARANDA:</t>
        </r>
        <r>
          <rPr>
            <sz val="9"/>
            <color indexed="81"/>
            <rFont val="Tahoma"/>
            <family val="2"/>
          </rPr>
          <t xml:space="preserve">
Se suma los recursos presupuestales (vigencia + reservas)</t>
        </r>
      </text>
    </comment>
    <comment ref="D124" authorId="0" shapeId="0" xr:uid="{00000000-0006-0000-0500-00008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25" authorId="0" shapeId="0" xr:uid="{00000000-0006-0000-0500-00008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6" authorId="0" shapeId="0" xr:uid="{00000000-0006-0000-0500-00008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7" authorId="0" shapeId="0" xr:uid="{00000000-0006-0000-0500-00008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8" authorId="0" shapeId="0" xr:uid="{00000000-0006-0000-0500-00008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9" authorId="0" shapeId="0" xr:uid="{00000000-0006-0000-0500-00008F000000}">
      <text>
        <r>
          <rPr>
            <b/>
            <sz val="9"/>
            <color indexed="81"/>
            <rFont val="Tahoma"/>
            <family val="2"/>
          </rPr>
          <t>YULIED.PENARANDA:</t>
        </r>
        <r>
          <rPr>
            <sz val="9"/>
            <color indexed="81"/>
            <rFont val="Tahoma"/>
            <family val="2"/>
          </rPr>
          <t xml:space="preserve">
Se suma los recursos presupuestales (vigencia + reservas)</t>
        </r>
      </text>
    </comment>
    <comment ref="D130" authorId="0" shapeId="0" xr:uid="{00000000-0006-0000-0500-00009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31" authorId="0" shapeId="0" xr:uid="{00000000-0006-0000-0500-000091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131" authorId="2" shapeId="0" xr:uid="{00000000-0006-0000-0500-000092000000}">
      <text>
        <r>
          <rPr>
            <b/>
            <sz val="9"/>
            <color indexed="81"/>
            <rFont val="Tahoma"/>
            <family val="2"/>
          </rPr>
          <t>Angela:</t>
        </r>
        <r>
          <rPr>
            <sz val="9"/>
            <color indexed="81"/>
            <rFont val="Tahoma"/>
            <family val="2"/>
          </rPr>
          <t xml:space="preserve">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132" authorId="0" shapeId="0" xr:uid="{00000000-0006-0000-0500-00009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3" authorId="0" shapeId="0" xr:uid="{00000000-0006-0000-0500-00009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34" authorId="0" shapeId="0" xr:uid="{00000000-0006-0000-0500-00009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35" authorId="0" shapeId="0" xr:uid="{00000000-0006-0000-0500-000096000000}">
      <text>
        <r>
          <rPr>
            <b/>
            <sz val="9"/>
            <color indexed="81"/>
            <rFont val="Tahoma"/>
            <family val="2"/>
          </rPr>
          <t>YULIED.PENARANDA:</t>
        </r>
        <r>
          <rPr>
            <sz val="9"/>
            <color indexed="81"/>
            <rFont val="Tahoma"/>
            <family val="2"/>
          </rPr>
          <t xml:space="preserve">
Se suma los recursos presupuestales (vigencia + reservas)</t>
        </r>
      </text>
    </comment>
    <comment ref="D136" authorId="0" shapeId="0" xr:uid="{00000000-0006-0000-0500-00009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37" authorId="0" shapeId="0" xr:uid="{00000000-0006-0000-0500-00009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137" authorId="2" shapeId="0" xr:uid="{00000000-0006-0000-0500-000099000000}">
      <text>
        <r>
          <rPr>
            <b/>
            <sz val="9"/>
            <color indexed="81"/>
            <rFont val="Tahoma"/>
            <family val="2"/>
          </rPr>
          <t>Angela:</t>
        </r>
        <r>
          <rPr>
            <sz val="9"/>
            <color indexed="81"/>
            <rFont val="Tahoma"/>
            <family val="2"/>
          </rPr>
          <t xml:space="preserve">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138" authorId="0" shapeId="0" xr:uid="{00000000-0006-0000-0500-00009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9" authorId="0" shapeId="0" xr:uid="{00000000-0006-0000-0500-00009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0" authorId="0" shapeId="0" xr:uid="{00000000-0006-0000-0500-00009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41" authorId="0" shapeId="0" xr:uid="{00000000-0006-0000-0500-00009D000000}">
      <text>
        <r>
          <rPr>
            <b/>
            <sz val="9"/>
            <color indexed="81"/>
            <rFont val="Tahoma"/>
            <family val="2"/>
          </rPr>
          <t>YULIED.PENARANDA:</t>
        </r>
        <r>
          <rPr>
            <sz val="9"/>
            <color indexed="81"/>
            <rFont val="Tahoma"/>
            <family val="2"/>
          </rPr>
          <t xml:space="preserve">
Se suma los recursos presupuestales (vigencia + reservas)</t>
        </r>
      </text>
    </comment>
    <comment ref="D142" authorId="0" shapeId="0" xr:uid="{00000000-0006-0000-0500-00009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43" authorId="0" shapeId="0" xr:uid="{00000000-0006-0000-0500-00009F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44" authorId="0" shapeId="0" xr:uid="{00000000-0006-0000-0500-0000A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45" authorId="0" shapeId="0" xr:uid="{00000000-0006-0000-0500-0000A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6" authorId="0" shapeId="0" xr:uid="{00000000-0006-0000-0500-0000A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47" authorId="0" shapeId="0" xr:uid="{00000000-0006-0000-0500-0000A3000000}">
      <text>
        <r>
          <rPr>
            <b/>
            <sz val="9"/>
            <color indexed="81"/>
            <rFont val="Tahoma"/>
            <family val="2"/>
          </rPr>
          <t>YULIED.PENARANDA:</t>
        </r>
        <r>
          <rPr>
            <sz val="9"/>
            <color indexed="81"/>
            <rFont val="Tahoma"/>
            <family val="2"/>
          </rPr>
          <t xml:space="preserve">
Se suma los recursos presupuestales (vigencia + reservas)</t>
        </r>
      </text>
    </comment>
    <comment ref="D148" authorId="0" shapeId="0" xr:uid="{00000000-0006-0000-0500-0000A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49" authorId="0" shapeId="0" xr:uid="{00000000-0006-0000-0500-0000A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50" authorId="0" shapeId="0" xr:uid="{00000000-0006-0000-0500-0000A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51" authorId="0" shapeId="0" xr:uid="{00000000-0006-0000-0500-0000A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52" authorId="0" shapeId="0" xr:uid="{00000000-0006-0000-0500-0000A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3" authorId="0" shapeId="0" xr:uid="{00000000-0006-0000-0500-0000A9000000}">
      <text>
        <r>
          <rPr>
            <b/>
            <sz val="9"/>
            <color indexed="81"/>
            <rFont val="Tahoma"/>
            <family val="2"/>
          </rPr>
          <t>YULIED.PENARANDA:</t>
        </r>
        <r>
          <rPr>
            <sz val="9"/>
            <color indexed="81"/>
            <rFont val="Tahoma"/>
            <family val="2"/>
          </rPr>
          <t xml:space="preserve">
Se suma los recursos presupuestales (vigencia + reservas)</t>
        </r>
      </text>
    </comment>
    <comment ref="D154" authorId="0" shapeId="0" xr:uid="{00000000-0006-0000-0500-0000A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55" authorId="0" shapeId="0" xr:uid="{00000000-0006-0000-0500-0000A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56" authorId="0" shapeId="0" xr:uid="{00000000-0006-0000-0500-0000A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57" authorId="0" shapeId="0" xr:uid="{00000000-0006-0000-0500-0000A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58" authorId="0" shapeId="0" xr:uid="{00000000-0006-0000-0500-0000A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9" authorId="0" shapeId="0" xr:uid="{00000000-0006-0000-0500-0000AF000000}">
      <text>
        <r>
          <rPr>
            <b/>
            <sz val="9"/>
            <color indexed="81"/>
            <rFont val="Tahoma"/>
            <family val="2"/>
          </rPr>
          <t>YULIED.PENARANDA:</t>
        </r>
        <r>
          <rPr>
            <sz val="9"/>
            <color indexed="81"/>
            <rFont val="Tahoma"/>
            <family val="2"/>
          </rPr>
          <t xml:space="preserve">
Se suma los recursos presupuestales (vigencia + reservas)</t>
        </r>
      </text>
    </comment>
    <comment ref="D160" authorId="0" shapeId="0" xr:uid="{00000000-0006-0000-0500-0000B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61" authorId="0" shapeId="0" xr:uid="{00000000-0006-0000-0500-0000B1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62" authorId="0" shapeId="0" xr:uid="{00000000-0006-0000-0500-0000B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63" authorId="0" shapeId="0" xr:uid="{00000000-0006-0000-0500-0000B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64" authorId="0" shapeId="0" xr:uid="{00000000-0006-0000-0500-0000B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65" authorId="0" shapeId="0" xr:uid="{00000000-0006-0000-0500-0000B5000000}">
      <text>
        <r>
          <rPr>
            <b/>
            <sz val="9"/>
            <color indexed="81"/>
            <rFont val="Tahoma"/>
            <family val="2"/>
          </rPr>
          <t>YULIED.PENARANDA:</t>
        </r>
        <r>
          <rPr>
            <sz val="9"/>
            <color indexed="81"/>
            <rFont val="Tahoma"/>
            <family val="2"/>
          </rPr>
          <t xml:space="preserve">
Se suma los recursos presupuestales (vigencia + reservas)</t>
        </r>
      </text>
    </comment>
    <comment ref="D166" authorId="0" shapeId="0" xr:uid="{00000000-0006-0000-0500-0000B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67" authorId="0" shapeId="0" xr:uid="{00000000-0006-0000-0500-0000B7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68" authorId="0" shapeId="0" xr:uid="{00000000-0006-0000-0500-0000B8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69" authorId="0" shapeId="0" xr:uid="{00000000-0006-0000-0500-0000B9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70" authorId="0" shapeId="0" xr:uid="{00000000-0006-0000-0500-0000BA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71" authorId="0" shapeId="0" xr:uid="{00000000-0006-0000-0500-0000BB000000}">
      <text>
        <r>
          <rPr>
            <b/>
            <sz val="9"/>
            <color indexed="81"/>
            <rFont val="Tahoma"/>
            <family val="2"/>
          </rPr>
          <t>YULIED.PENARANDA:</t>
        </r>
        <r>
          <rPr>
            <sz val="9"/>
            <color indexed="81"/>
            <rFont val="Tahoma"/>
            <family val="2"/>
          </rPr>
          <t xml:space="preserve">
Se suma los recursos presupuestales (vigencia + reservas)</t>
        </r>
      </text>
    </comment>
    <comment ref="D172" authorId="0" shapeId="0" xr:uid="{00000000-0006-0000-0500-0000BC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3" authorId="0" shapeId="0" xr:uid="{00000000-0006-0000-0500-0000BD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173" authorId="2" shapeId="0" xr:uid="{00000000-0006-0000-0500-0000BE000000}">
      <text>
        <r>
          <rPr>
            <b/>
            <sz val="9"/>
            <color indexed="81"/>
            <rFont val="Tahoma"/>
            <family val="2"/>
          </rPr>
          <t>Angela:</t>
        </r>
        <r>
          <rPr>
            <sz val="9"/>
            <color indexed="81"/>
            <rFont val="Tahoma"/>
            <family val="2"/>
          </rPr>
          <t xml:space="preserve">
Para el mes de diciembre el valor de cada proyecto con el seguimiento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174" authorId="0" shapeId="0" xr:uid="{00000000-0006-0000-0500-0000BF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75" authorId="0" shapeId="0" xr:uid="{00000000-0006-0000-0500-0000C0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76" authorId="0" shapeId="0" xr:uid="{00000000-0006-0000-0500-0000C1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77" authorId="0" shapeId="0" xr:uid="{00000000-0006-0000-0500-0000C2000000}">
      <text>
        <r>
          <rPr>
            <b/>
            <sz val="9"/>
            <color indexed="81"/>
            <rFont val="Tahoma"/>
            <family val="2"/>
          </rPr>
          <t>YULIED.PENARANDA:</t>
        </r>
        <r>
          <rPr>
            <sz val="9"/>
            <color indexed="81"/>
            <rFont val="Tahoma"/>
            <family val="2"/>
          </rPr>
          <t xml:space="preserve">
Se suma los recursos presupuestales (vigencia + reservas)</t>
        </r>
      </text>
    </comment>
    <comment ref="D178" authorId="0" shapeId="0" xr:uid="{00000000-0006-0000-0500-0000C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9" authorId="0" shapeId="0" xr:uid="{00000000-0006-0000-0500-0000C4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0" authorId="0" shapeId="0" xr:uid="{00000000-0006-0000-0500-0000C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81" authorId="0" shapeId="0" xr:uid="{00000000-0006-0000-0500-0000C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82" authorId="0" shapeId="0" xr:uid="{00000000-0006-0000-0500-0000C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83" authorId="0" shapeId="0" xr:uid="{00000000-0006-0000-0500-0000C8000000}">
      <text>
        <r>
          <rPr>
            <b/>
            <sz val="9"/>
            <color indexed="81"/>
            <rFont val="Tahoma"/>
            <family val="2"/>
          </rPr>
          <t>YULIED.PENARANDA:</t>
        </r>
        <r>
          <rPr>
            <sz val="9"/>
            <color indexed="81"/>
            <rFont val="Tahoma"/>
            <family val="2"/>
          </rPr>
          <t xml:space="preserve">
Se suma los recursos presupuestales (vigencia + reservas)</t>
        </r>
      </text>
    </comment>
    <comment ref="D184" authorId="0" shapeId="0" xr:uid="{00000000-0006-0000-0500-0000C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85" authorId="0" shapeId="0" xr:uid="{00000000-0006-0000-0500-0000C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6" authorId="0" shapeId="0" xr:uid="{00000000-0006-0000-0500-0000C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87" authorId="0" shapeId="0" xr:uid="{00000000-0006-0000-0500-0000C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88" authorId="0" shapeId="0" xr:uid="{00000000-0006-0000-0500-0000C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89" authorId="0" shapeId="0" xr:uid="{00000000-0006-0000-0500-0000CE000000}">
      <text>
        <r>
          <rPr>
            <b/>
            <sz val="9"/>
            <color indexed="81"/>
            <rFont val="Tahoma"/>
            <family val="2"/>
          </rPr>
          <t>YULIED.PENARANDA:</t>
        </r>
        <r>
          <rPr>
            <sz val="9"/>
            <color indexed="81"/>
            <rFont val="Tahoma"/>
            <family val="2"/>
          </rPr>
          <t xml:space="preserve">
Se suma los recursos presupuestales (vigencia + reservas)</t>
        </r>
      </text>
    </comment>
    <comment ref="D190" authorId="0" shapeId="0" xr:uid="{00000000-0006-0000-0500-0000C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91" authorId="0" shapeId="0" xr:uid="{00000000-0006-0000-0500-0000D0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92" authorId="0" shapeId="0" xr:uid="{00000000-0006-0000-0500-0000D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3" authorId="0" shapeId="0" xr:uid="{00000000-0006-0000-0500-0000D2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94" authorId="0" shapeId="0" xr:uid="{00000000-0006-0000-0500-0000D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95" authorId="0" shapeId="0" xr:uid="{00000000-0006-0000-0500-0000D4000000}">
      <text>
        <r>
          <rPr>
            <b/>
            <sz val="9"/>
            <color indexed="81"/>
            <rFont val="Tahoma"/>
            <family val="2"/>
          </rPr>
          <t>YULIED.PENARANDA:</t>
        </r>
        <r>
          <rPr>
            <sz val="9"/>
            <color indexed="81"/>
            <rFont val="Tahoma"/>
            <family val="2"/>
          </rPr>
          <t xml:space="preserve">
Se suma los recursos presupuestales (vigencia + reservas)</t>
        </r>
      </text>
    </comment>
    <comment ref="D196" authorId="0" shapeId="0" xr:uid="{00000000-0006-0000-0500-0000D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97" authorId="0" shapeId="0" xr:uid="{00000000-0006-0000-0500-0000D6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98" authorId="0" shapeId="0" xr:uid="{00000000-0006-0000-0500-0000D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9" authorId="0" shapeId="0" xr:uid="{00000000-0006-0000-0500-0000D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0" authorId="0" shapeId="0" xr:uid="{00000000-0006-0000-0500-0000D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01" authorId="0" shapeId="0" xr:uid="{00000000-0006-0000-0500-0000DA000000}">
      <text>
        <r>
          <rPr>
            <b/>
            <sz val="9"/>
            <color indexed="81"/>
            <rFont val="Tahoma"/>
            <family val="2"/>
          </rPr>
          <t>YULIED.PENARANDA:</t>
        </r>
        <r>
          <rPr>
            <sz val="9"/>
            <color indexed="81"/>
            <rFont val="Tahoma"/>
            <family val="2"/>
          </rPr>
          <t xml:space="preserve">
Se suma los recursos presupuestales (vigencia + reservas)</t>
        </r>
      </text>
    </comment>
    <comment ref="D202" authorId="0" shapeId="0" xr:uid="{00000000-0006-0000-0500-0000D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03" authorId="0" shapeId="0" xr:uid="{00000000-0006-0000-0500-0000DC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04" authorId="0" shapeId="0" xr:uid="{00000000-0006-0000-0500-0000D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05" authorId="0" shapeId="0" xr:uid="{00000000-0006-0000-0500-0000D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6" authorId="0" shapeId="0" xr:uid="{00000000-0006-0000-0500-0000D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07" authorId="0" shapeId="0" xr:uid="{00000000-0006-0000-0500-0000E0000000}">
      <text>
        <r>
          <rPr>
            <b/>
            <sz val="9"/>
            <color indexed="81"/>
            <rFont val="Tahoma"/>
            <family val="2"/>
          </rPr>
          <t>YULIED.PENARANDA:</t>
        </r>
        <r>
          <rPr>
            <sz val="9"/>
            <color indexed="81"/>
            <rFont val="Tahoma"/>
            <family val="2"/>
          </rPr>
          <t xml:space="preserve">
Se suma los recursos presupuestales (vigencia + reservas)</t>
        </r>
      </text>
    </comment>
    <comment ref="D208" authorId="0" shapeId="0" xr:uid="{00000000-0006-0000-0500-0000E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09" authorId="0" shapeId="0" xr:uid="{00000000-0006-0000-0500-0000E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10" authorId="0" shapeId="0" xr:uid="{00000000-0006-0000-0500-0000E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11" authorId="0" shapeId="0" xr:uid="{00000000-0006-0000-0500-0000E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12" authorId="0" shapeId="0" xr:uid="{00000000-0006-0000-0500-0000E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3" authorId="0" shapeId="0" xr:uid="{00000000-0006-0000-0500-0000E6000000}">
      <text>
        <r>
          <rPr>
            <b/>
            <sz val="9"/>
            <color indexed="81"/>
            <rFont val="Tahoma"/>
            <family val="2"/>
          </rPr>
          <t>YULIED.PENARANDA:</t>
        </r>
        <r>
          <rPr>
            <sz val="9"/>
            <color indexed="81"/>
            <rFont val="Tahoma"/>
            <family val="2"/>
          </rPr>
          <t xml:space="preserve">
Se suma los recursos presupuestales (vigencia + reservas)</t>
        </r>
      </text>
    </comment>
    <comment ref="D214" authorId="0" shapeId="0" xr:uid="{00000000-0006-0000-0500-0000E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15" authorId="0" shapeId="0" xr:uid="{00000000-0006-0000-0500-0000E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16" authorId="0" shapeId="0" xr:uid="{00000000-0006-0000-0500-0000E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17" authorId="0" shapeId="0" xr:uid="{00000000-0006-0000-0500-0000E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18" authorId="0" shapeId="0" xr:uid="{00000000-0006-0000-0500-0000E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9" authorId="0" shapeId="0" xr:uid="{00000000-0006-0000-0500-0000EC000000}">
      <text>
        <r>
          <rPr>
            <b/>
            <sz val="9"/>
            <color indexed="81"/>
            <rFont val="Tahoma"/>
            <family val="2"/>
          </rPr>
          <t>YULIED.PENARANDA:</t>
        </r>
        <r>
          <rPr>
            <sz val="9"/>
            <color indexed="81"/>
            <rFont val="Tahoma"/>
            <family val="2"/>
          </rPr>
          <t xml:space="preserve">
Se suma los recursos presupuestales (vigencia + reservas)</t>
        </r>
      </text>
    </comment>
    <comment ref="D220" authorId="0" shapeId="0" xr:uid="{00000000-0006-0000-0500-0000E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21" authorId="0" shapeId="0" xr:uid="{00000000-0006-0000-0500-0000EE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22" authorId="0" shapeId="0" xr:uid="{00000000-0006-0000-0500-0000EF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23" authorId="0" shapeId="0" xr:uid="{00000000-0006-0000-0500-0000F0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24" authorId="0" shapeId="0" xr:uid="{00000000-0006-0000-0500-0000F1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25" authorId="0" shapeId="0" xr:uid="{00000000-0006-0000-0500-0000F2000000}">
      <text>
        <r>
          <rPr>
            <b/>
            <sz val="9"/>
            <color indexed="81"/>
            <rFont val="Tahoma"/>
            <family val="2"/>
          </rPr>
          <t>YULIED.PENARANDA:</t>
        </r>
        <r>
          <rPr>
            <sz val="9"/>
            <color indexed="81"/>
            <rFont val="Tahoma"/>
            <family val="2"/>
          </rPr>
          <t xml:space="preserve">
Se suma los recursos presupuestales (vigencia + reservas)</t>
        </r>
      </text>
    </comment>
    <comment ref="D226" authorId="0" shapeId="0" xr:uid="{00000000-0006-0000-0500-0000F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27" authorId="0" shapeId="0" xr:uid="{00000000-0006-0000-0500-0000F4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28" authorId="0" shapeId="0" xr:uid="{00000000-0006-0000-0500-0000F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29" authorId="0" shapeId="0" xr:uid="{00000000-0006-0000-0500-0000F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30" authorId="0" shapeId="0" xr:uid="{00000000-0006-0000-0500-0000F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31" authorId="0" shapeId="0" xr:uid="{00000000-0006-0000-0500-0000F8000000}">
      <text>
        <r>
          <rPr>
            <b/>
            <sz val="9"/>
            <color indexed="81"/>
            <rFont val="Tahoma"/>
            <family val="2"/>
          </rPr>
          <t>YULIED.PENARANDA:</t>
        </r>
        <r>
          <rPr>
            <sz val="9"/>
            <color indexed="81"/>
            <rFont val="Tahoma"/>
            <family val="2"/>
          </rPr>
          <t xml:space="preserve">
Se suma los recursos presupuestales (vigencia + reservas)</t>
        </r>
      </text>
    </comment>
    <comment ref="D232" authorId="0" shapeId="0" xr:uid="{00000000-0006-0000-0500-0000F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3" authorId="0" shapeId="0" xr:uid="{00000000-0006-0000-0500-0000F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34" authorId="0" shapeId="0" xr:uid="{00000000-0006-0000-0500-0000F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35" authorId="0" shapeId="0" xr:uid="{00000000-0006-0000-0500-0000F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36" authorId="0" shapeId="0" xr:uid="{00000000-0006-0000-0500-0000F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37" authorId="0" shapeId="0" xr:uid="{00000000-0006-0000-0500-0000FE000000}">
      <text>
        <r>
          <rPr>
            <b/>
            <sz val="9"/>
            <color indexed="81"/>
            <rFont val="Tahoma"/>
            <family val="2"/>
          </rPr>
          <t>YULIED.PENARANDA:</t>
        </r>
        <r>
          <rPr>
            <sz val="9"/>
            <color indexed="81"/>
            <rFont val="Tahoma"/>
            <family val="2"/>
          </rPr>
          <t xml:space="preserve">
Se suma los recursos presupuestales (vigencia + reservas)</t>
        </r>
      </text>
    </comment>
    <comment ref="D238" authorId="0" shapeId="0" xr:uid="{00000000-0006-0000-0500-0000F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9" authorId="0" shapeId="0" xr:uid="{00000000-0006-0000-0500-000000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0" authorId="0" shapeId="0" xr:uid="{00000000-0006-0000-0500-000001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41" authorId="0" shapeId="0" xr:uid="{00000000-0006-0000-0500-000002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42" authorId="0" shapeId="0" xr:uid="{00000000-0006-0000-0500-000003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43" authorId="0" shapeId="0" xr:uid="{00000000-0006-0000-0500-000004010000}">
      <text>
        <r>
          <rPr>
            <b/>
            <sz val="9"/>
            <color indexed="81"/>
            <rFont val="Tahoma"/>
            <family val="2"/>
          </rPr>
          <t>YULIED.PENARANDA:</t>
        </r>
        <r>
          <rPr>
            <sz val="9"/>
            <color indexed="81"/>
            <rFont val="Tahoma"/>
            <family val="2"/>
          </rPr>
          <t xml:space="preserve">
Se suma los recursos presupuestales (vigencia + reservas)</t>
        </r>
      </text>
    </comment>
    <comment ref="D244" authorId="0" shapeId="0" xr:uid="{00000000-0006-0000-0500-000005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45" authorId="0" shapeId="0" xr:uid="{00000000-0006-0000-0500-000006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6" authorId="0" shapeId="0" xr:uid="{00000000-0006-0000-0500-000007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47" authorId="0" shapeId="0" xr:uid="{00000000-0006-0000-0500-000008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48" authorId="0" shapeId="0" xr:uid="{00000000-0006-0000-0500-000009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49" authorId="0" shapeId="0" xr:uid="{00000000-0006-0000-0500-00000A010000}">
      <text>
        <r>
          <rPr>
            <b/>
            <sz val="9"/>
            <color indexed="81"/>
            <rFont val="Tahoma"/>
            <family val="2"/>
          </rPr>
          <t>YULIED.PENARANDA:</t>
        </r>
        <r>
          <rPr>
            <sz val="9"/>
            <color indexed="81"/>
            <rFont val="Tahoma"/>
            <family val="2"/>
          </rPr>
          <t xml:space="preserve">
Se suma los recursos presupuestales (vigencia + reservas)</t>
        </r>
      </text>
    </comment>
    <comment ref="D250" authorId="0" shapeId="0" xr:uid="{00000000-0006-0000-0500-00000B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51" authorId="0" shapeId="0" xr:uid="{00000000-0006-0000-0500-00000C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52" authorId="0" shapeId="0" xr:uid="{00000000-0006-0000-0500-00000D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3" authorId="0" shapeId="0" xr:uid="{00000000-0006-0000-0500-00000E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54" authorId="0" shapeId="0" xr:uid="{00000000-0006-0000-0500-00000F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55" authorId="0" shapeId="0" xr:uid="{00000000-0006-0000-0500-000010010000}">
      <text>
        <r>
          <rPr>
            <b/>
            <sz val="9"/>
            <color indexed="81"/>
            <rFont val="Tahoma"/>
            <family val="2"/>
          </rPr>
          <t>YULIED.PENARANDA:</t>
        </r>
        <r>
          <rPr>
            <sz val="9"/>
            <color indexed="81"/>
            <rFont val="Tahoma"/>
            <family val="2"/>
          </rPr>
          <t xml:space="preserve">
Se suma los recursos presupuestales (vigencia + reservas)</t>
        </r>
      </text>
    </comment>
    <comment ref="D256" authorId="0" shapeId="0" xr:uid="{00000000-0006-0000-0500-000011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57" authorId="0" shapeId="0" xr:uid="{00000000-0006-0000-0500-000012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58" authorId="0" shapeId="0" xr:uid="{00000000-0006-0000-0500-000013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9" authorId="0" shapeId="0" xr:uid="{00000000-0006-0000-0500-000014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0" authorId="0" shapeId="0" xr:uid="{00000000-0006-0000-0500-000015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61" authorId="0" shapeId="0" xr:uid="{00000000-0006-0000-0500-000016010000}">
      <text>
        <r>
          <rPr>
            <b/>
            <sz val="9"/>
            <color indexed="81"/>
            <rFont val="Tahoma"/>
            <family val="2"/>
          </rPr>
          <t>YULIED.PENARANDA:</t>
        </r>
        <r>
          <rPr>
            <sz val="9"/>
            <color indexed="81"/>
            <rFont val="Tahoma"/>
            <family val="2"/>
          </rPr>
          <t xml:space="preserve">
Se suma los recursos presupuestales (vigencia + reservas)</t>
        </r>
      </text>
    </comment>
    <comment ref="D262" authorId="0" shapeId="0" xr:uid="{00000000-0006-0000-0500-000017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63" authorId="0" shapeId="0" xr:uid="{00000000-0006-0000-0500-000018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64" authorId="0" shapeId="0" xr:uid="{00000000-0006-0000-0500-000019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65" authorId="0" shapeId="0" xr:uid="{00000000-0006-0000-0500-00001A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6" authorId="0" shapeId="0" xr:uid="{00000000-0006-0000-0500-00001B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67" authorId="0" shapeId="0" xr:uid="{00000000-0006-0000-0500-00001C010000}">
      <text>
        <r>
          <rPr>
            <b/>
            <sz val="9"/>
            <color indexed="81"/>
            <rFont val="Tahoma"/>
            <family val="2"/>
          </rPr>
          <t>YULIED.PENARANDA:</t>
        </r>
        <r>
          <rPr>
            <sz val="9"/>
            <color indexed="81"/>
            <rFont val="Tahoma"/>
            <family val="2"/>
          </rPr>
          <t xml:space="preserve">
Se suma los recursos presupuestales (vigencia + reservas)</t>
        </r>
      </text>
    </comment>
    <comment ref="D268" authorId="0" shapeId="0" xr:uid="{00000000-0006-0000-0500-00001D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69" authorId="0" shapeId="0" xr:uid="{00000000-0006-0000-0500-00001E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70" authorId="0" shapeId="0" xr:uid="{00000000-0006-0000-0500-00001F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71" authorId="0" shapeId="0" xr:uid="{00000000-0006-0000-0500-000020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72" authorId="0" shapeId="0" xr:uid="{00000000-0006-0000-0500-000021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3" authorId="0" shapeId="0" xr:uid="{00000000-0006-0000-0500-000022010000}">
      <text>
        <r>
          <rPr>
            <b/>
            <sz val="9"/>
            <color indexed="81"/>
            <rFont val="Tahoma"/>
            <family val="2"/>
          </rPr>
          <t>YULIED.PENARANDA:</t>
        </r>
        <r>
          <rPr>
            <sz val="9"/>
            <color indexed="81"/>
            <rFont val="Tahoma"/>
            <family val="2"/>
          </rPr>
          <t xml:space="preserve">
Se suma los recursos presupuestales (vigencia + reservas)</t>
        </r>
      </text>
    </comment>
    <comment ref="D274" authorId="0" shapeId="0" xr:uid="{00000000-0006-0000-0500-000023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75" authorId="0" shapeId="0" xr:uid="{00000000-0006-0000-0500-000024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76" authorId="0" shapeId="0" xr:uid="{00000000-0006-0000-0500-000025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77" authorId="0" shapeId="0" xr:uid="{00000000-0006-0000-0500-000026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78" authorId="0" shapeId="0" xr:uid="{00000000-0006-0000-0500-000027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9" authorId="0" shapeId="0" xr:uid="{00000000-0006-0000-0500-000028010000}">
      <text>
        <r>
          <rPr>
            <b/>
            <sz val="9"/>
            <color indexed="81"/>
            <rFont val="Tahoma"/>
            <family val="2"/>
          </rPr>
          <t>YULIED.PENARANDA:</t>
        </r>
        <r>
          <rPr>
            <sz val="9"/>
            <color indexed="81"/>
            <rFont val="Tahoma"/>
            <family val="2"/>
          </rPr>
          <t xml:space="preserve">
Se suma los recursos presupuestales (vigencia + reservas)</t>
        </r>
      </text>
    </comment>
    <comment ref="D280" authorId="0" shapeId="0" xr:uid="{00000000-0006-0000-0500-000029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81" authorId="0" shapeId="0" xr:uid="{00000000-0006-0000-0500-00002A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82" authorId="0" shapeId="0" xr:uid="{00000000-0006-0000-0500-00002B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83" authorId="0" shapeId="0" xr:uid="{00000000-0006-0000-0500-00002C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84" authorId="0" shapeId="0" xr:uid="{00000000-0006-0000-0500-00002D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85" authorId="0" shapeId="0" xr:uid="{00000000-0006-0000-0500-00002E010000}">
      <text>
        <r>
          <rPr>
            <b/>
            <sz val="9"/>
            <color indexed="81"/>
            <rFont val="Tahoma"/>
            <family val="2"/>
          </rPr>
          <t>YULIED.PENARANDA:</t>
        </r>
        <r>
          <rPr>
            <sz val="9"/>
            <color indexed="81"/>
            <rFont val="Tahoma"/>
            <family val="2"/>
          </rPr>
          <t xml:space="preserve">
Se suma los recursos presupuestales (vigencia + reservas)</t>
        </r>
      </text>
    </comment>
    <comment ref="D286" authorId="0" shapeId="0" xr:uid="{00000000-0006-0000-0500-00002F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87" authorId="0" shapeId="0" xr:uid="{00000000-0006-0000-0500-000030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88" authorId="0" shapeId="0" xr:uid="{00000000-0006-0000-0500-000031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89" authorId="0" shapeId="0" xr:uid="{00000000-0006-0000-0500-000032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90" authorId="0" shapeId="0" xr:uid="{00000000-0006-0000-0500-000033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91" authorId="0" shapeId="0" xr:uid="{00000000-0006-0000-0500-000034010000}">
      <text>
        <r>
          <rPr>
            <b/>
            <sz val="9"/>
            <color indexed="81"/>
            <rFont val="Tahoma"/>
            <family val="2"/>
          </rPr>
          <t>YULIED.PENARANDA:</t>
        </r>
        <r>
          <rPr>
            <sz val="9"/>
            <color indexed="81"/>
            <rFont val="Tahoma"/>
            <family val="2"/>
          </rPr>
          <t xml:space="preserve">
Se suma los recursos presupuestales (vigencia + reservas)</t>
        </r>
      </text>
    </comment>
    <comment ref="D292" authorId="0" shapeId="0" xr:uid="{00000000-0006-0000-0500-000035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3" authorId="0" shapeId="0" xr:uid="{00000000-0006-0000-0500-000036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94" authorId="0" shapeId="0" xr:uid="{00000000-0006-0000-0500-000037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95" authorId="0" shapeId="0" xr:uid="{00000000-0006-0000-0500-000038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96" authorId="0" shapeId="0" xr:uid="{00000000-0006-0000-0500-000039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97" authorId="0" shapeId="0" xr:uid="{00000000-0006-0000-0500-00003A010000}">
      <text>
        <r>
          <rPr>
            <b/>
            <sz val="9"/>
            <color indexed="81"/>
            <rFont val="Tahoma"/>
            <family val="2"/>
          </rPr>
          <t>YULIED.PENARANDA:</t>
        </r>
        <r>
          <rPr>
            <sz val="9"/>
            <color indexed="81"/>
            <rFont val="Tahoma"/>
            <family val="2"/>
          </rPr>
          <t xml:space="preserve">
Se suma los recursos presupuestales (vigencia + reservas)</t>
        </r>
      </text>
    </comment>
    <comment ref="D298" authorId="0" shapeId="0" xr:uid="{00000000-0006-0000-0500-00003B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9" authorId="0" shapeId="0" xr:uid="{00000000-0006-0000-0500-00003C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0" authorId="0" shapeId="0" xr:uid="{00000000-0006-0000-0500-00003D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01" authorId="0" shapeId="0" xr:uid="{00000000-0006-0000-0500-00003E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02" authorId="0" shapeId="0" xr:uid="{00000000-0006-0000-0500-00003F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03" authorId="0" shapeId="0" xr:uid="{00000000-0006-0000-0500-000040010000}">
      <text>
        <r>
          <rPr>
            <b/>
            <sz val="9"/>
            <color indexed="81"/>
            <rFont val="Tahoma"/>
            <family val="2"/>
          </rPr>
          <t>YULIED.PENARANDA:</t>
        </r>
        <r>
          <rPr>
            <sz val="9"/>
            <color indexed="81"/>
            <rFont val="Tahoma"/>
            <family val="2"/>
          </rPr>
          <t xml:space="preserve">
Se suma los recursos presupuestales (vigencia + reservas)</t>
        </r>
      </text>
    </comment>
    <comment ref="D304" authorId="0" shapeId="0" xr:uid="{00000000-0006-0000-0500-000041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05" authorId="0" shapeId="0" xr:uid="{00000000-0006-0000-0500-000042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6" authorId="0" shapeId="0" xr:uid="{00000000-0006-0000-0500-000043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07" authorId="0" shapeId="0" xr:uid="{00000000-0006-0000-0500-000044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08" authorId="0" shapeId="0" xr:uid="{00000000-0006-0000-0500-000045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09" authorId="0" shapeId="0" xr:uid="{00000000-0006-0000-0500-000046010000}">
      <text>
        <r>
          <rPr>
            <b/>
            <sz val="9"/>
            <color indexed="81"/>
            <rFont val="Tahoma"/>
            <family val="2"/>
          </rPr>
          <t>YULIED.PENARANDA:</t>
        </r>
        <r>
          <rPr>
            <sz val="9"/>
            <color indexed="81"/>
            <rFont val="Tahoma"/>
            <family val="2"/>
          </rPr>
          <t xml:space="preserve">
Se suma los recursos presupuestales (vigencia + reservas)</t>
        </r>
      </text>
    </comment>
    <comment ref="D310" authorId="0" shapeId="0" xr:uid="{00000000-0006-0000-0500-000047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11" authorId="0" shapeId="0" xr:uid="{00000000-0006-0000-0500-000048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311" authorId="2" shapeId="0" xr:uid="{00000000-0006-0000-0500-000049010000}">
      <text>
        <r>
          <rPr>
            <b/>
            <sz val="9"/>
            <color indexed="81"/>
            <rFont val="Tahoma"/>
            <family val="2"/>
          </rPr>
          <t>Angela:</t>
        </r>
        <r>
          <rPr>
            <sz val="9"/>
            <color indexed="81"/>
            <rFont val="Tahoma"/>
            <family val="2"/>
          </rPr>
          <t xml:space="preserve">
Para el mes de diciembre el valor de cada m2 de techos verdes y jardines verticales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m2 reportados van aumentando todos los meses teniendo e cuenta la dinamica de la meta.</t>
        </r>
      </text>
    </comment>
    <comment ref="D312" authorId="0" shapeId="0" xr:uid="{00000000-0006-0000-0500-00004A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3" authorId="0" shapeId="0" xr:uid="{00000000-0006-0000-0500-00004B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14" authorId="0" shapeId="0" xr:uid="{00000000-0006-0000-0500-00004C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15" authorId="0" shapeId="0" xr:uid="{00000000-0006-0000-0500-00004D010000}">
      <text>
        <r>
          <rPr>
            <b/>
            <sz val="9"/>
            <color indexed="81"/>
            <rFont val="Tahoma"/>
            <family val="2"/>
          </rPr>
          <t>YULIED.PENARANDA:</t>
        </r>
        <r>
          <rPr>
            <sz val="9"/>
            <color indexed="81"/>
            <rFont val="Tahoma"/>
            <family val="2"/>
          </rPr>
          <t xml:space="preserve">
Se suma los recursos presupuestales (vigencia + reservas)</t>
        </r>
      </text>
    </comment>
    <comment ref="D316" authorId="0" shapeId="0" xr:uid="{00000000-0006-0000-0500-00004E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17" authorId="0" shapeId="0" xr:uid="{00000000-0006-0000-0500-00004F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317" authorId="2" shapeId="0" xr:uid="{00000000-0006-0000-0500-000050010000}">
      <text>
        <r>
          <rPr>
            <b/>
            <sz val="9"/>
            <color indexed="81"/>
            <rFont val="Tahoma"/>
            <family val="2"/>
          </rPr>
          <t>Angela:</t>
        </r>
        <r>
          <rPr>
            <sz val="9"/>
            <color indexed="81"/>
            <rFont val="Tahoma"/>
            <family val="2"/>
          </rPr>
          <t xml:space="preserve">
Para el mes de diciembre el valor de cada m2 de techos verdes y jardines verticales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m2 reportados van aumentando todos los meses teniendo e cuenta la dinamica de la meta.</t>
        </r>
      </text>
    </comment>
    <comment ref="D318" authorId="0" shapeId="0" xr:uid="{00000000-0006-0000-0500-000051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9" authorId="0" shapeId="0" xr:uid="{00000000-0006-0000-0500-000052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0" authorId="0" shapeId="0" xr:uid="{00000000-0006-0000-0500-000053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21" authorId="0" shapeId="0" xr:uid="{00000000-0006-0000-0500-000054010000}">
      <text>
        <r>
          <rPr>
            <b/>
            <sz val="9"/>
            <color indexed="81"/>
            <rFont val="Tahoma"/>
            <family val="2"/>
          </rPr>
          <t>YULIED.PENARANDA:</t>
        </r>
        <r>
          <rPr>
            <sz val="9"/>
            <color indexed="81"/>
            <rFont val="Tahoma"/>
            <family val="2"/>
          </rPr>
          <t xml:space="preserve">
Se suma los recursos presupuestales (vigencia + reservas)</t>
        </r>
      </text>
    </comment>
    <comment ref="D322" authorId="0" shapeId="0" xr:uid="{00000000-0006-0000-0500-000055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23" authorId="0" shapeId="0" xr:uid="{00000000-0006-0000-0500-000056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323" authorId="2" shapeId="0" xr:uid="{00000000-0006-0000-0500-000057010000}">
      <text>
        <r>
          <rPr>
            <b/>
            <sz val="9"/>
            <color indexed="81"/>
            <rFont val="Tahoma"/>
            <family val="2"/>
          </rPr>
          <t>Angela:</t>
        </r>
        <r>
          <rPr>
            <sz val="9"/>
            <color indexed="81"/>
            <rFont val="Tahoma"/>
            <family val="2"/>
          </rPr>
          <t xml:space="preserve">
Para el mes de diciembre el valor de cada m2 de techos verdes y jardines verticales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m2 reportados van aumentando todos los meses teniendo e cuenta la dinamica de la meta.</t>
        </r>
      </text>
    </comment>
    <comment ref="D324" authorId="0" shapeId="0" xr:uid="{00000000-0006-0000-0500-000058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25" authorId="0" shapeId="0" xr:uid="{00000000-0006-0000-0500-000059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6" authorId="0" shapeId="0" xr:uid="{00000000-0006-0000-0500-00005A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27" authorId="0" shapeId="0" xr:uid="{00000000-0006-0000-0500-00005B010000}">
      <text>
        <r>
          <rPr>
            <b/>
            <sz val="9"/>
            <color indexed="81"/>
            <rFont val="Tahoma"/>
            <family val="2"/>
          </rPr>
          <t>YULIED.PENARANDA:</t>
        </r>
        <r>
          <rPr>
            <sz val="9"/>
            <color indexed="81"/>
            <rFont val="Tahoma"/>
            <family val="2"/>
          </rPr>
          <t xml:space="preserve">
Se suma los recursos presupuestales (vigencia + reservas)</t>
        </r>
      </text>
    </comment>
    <comment ref="D328" authorId="0" shapeId="0" xr:uid="{00000000-0006-0000-0500-00005C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29" authorId="0" shapeId="0" xr:uid="{00000000-0006-0000-0500-00005D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329" authorId="2" shapeId="0" xr:uid="{00000000-0006-0000-0500-00005E010000}">
      <text>
        <r>
          <rPr>
            <b/>
            <sz val="9"/>
            <color indexed="81"/>
            <rFont val="Tahoma"/>
            <family val="2"/>
          </rPr>
          <t>Angela:</t>
        </r>
        <r>
          <rPr>
            <sz val="9"/>
            <color indexed="81"/>
            <rFont val="Tahoma"/>
            <family val="2"/>
          </rPr>
          <t xml:space="preserve">
Para el mes de diciembre el valor de cada m2 de techos verdes y jardines verticales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m2 reportados van aumentando todos los meses teniendo e cuenta la dinamica de la meta.</t>
        </r>
      </text>
    </comment>
    <comment ref="D330" authorId="0" shapeId="0" xr:uid="{00000000-0006-0000-0500-00005F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31" authorId="0" shapeId="0" xr:uid="{00000000-0006-0000-0500-000060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32" authorId="0" shapeId="0" xr:uid="{00000000-0006-0000-0500-000061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3" authorId="0" shapeId="0" xr:uid="{00000000-0006-0000-0500-000062010000}">
      <text>
        <r>
          <rPr>
            <b/>
            <sz val="9"/>
            <color indexed="81"/>
            <rFont val="Tahoma"/>
            <family val="2"/>
          </rPr>
          <t>YULIED.PENARANDA:</t>
        </r>
        <r>
          <rPr>
            <sz val="9"/>
            <color indexed="81"/>
            <rFont val="Tahoma"/>
            <family val="2"/>
          </rPr>
          <t xml:space="preserve">
Se suma los recursos presupuestales (vigencia + reservas)</t>
        </r>
      </text>
    </comment>
    <comment ref="D334" authorId="0" shapeId="0" xr:uid="{00000000-0006-0000-0500-000063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35" authorId="0" shapeId="0" xr:uid="{00000000-0006-0000-0500-000064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36" authorId="0" shapeId="0" xr:uid="{00000000-0006-0000-0500-000065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37" authorId="0" shapeId="0" xr:uid="{00000000-0006-0000-0500-000066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38" authorId="0" shapeId="0" xr:uid="{00000000-0006-0000-0500-000067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9" authorId="0" shapeId="0" xr:uid="{00000000-0006-0000-0500-000068010000}">
      <text>
        <r>
          <rPr>
            <b/>
            <sz val="9"/>
            <color indexed="81"/>
            <rFont val="Tahoma"/>
            <family val="2"/>
          </rPr>
          <t>YULIED.PENARANDA:</t>
        </r>
        <r>
          <rPr>
            <sz val="9"/>
            <color indexed="81"/>
            <rFont val="Tahoma"/>
            <family val="2"/>
          </rPr>
          <t xml:space="preserve">
Se suma los recursos presupuestales (vigencia + reservas)</t>
        </r>
      </text>
    </comment>
    <comment ref="D340" authorId="0" shapeId="0" xr:uid="{00000000-0006-0000-0500-000069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41" authorId="0" shapeId="0" xr:uid="{00000000-0006-0000-0500-00006A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42" authorId="0" shapeId="0" xr:uid="{00000000-0006-0000-0500-00006B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43" authorId="0" shapeId="0" xr:uid="{00000000-0006-0000-0500-00006C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44" authorId="0" shapeId="0" xr:uid="{00000000-0006-0000-0500-00006D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45" authorId="0" shapeId="0" xr:uid="{00000000-0006-0000-0500-00006E010000}">
      <text>
        <r>
          <rPr>
            <b/>
            <sz val="9"/>
            <color indexed="81"/>
            <rFont val="Tahoma"/>
            <family val="2"/>
          </rPr>
          <t>YULIED.PENARANDA:</t>
        </r>
        <r>
          <rPr>
            <sz val="9"/>
            <color indexed="81"/>
            <rFont val="Tahoma"/>
            <family val="2"/>
          </rPr>
          <t xml:space="preserve">
Se suma los recursos presupuestales (vigencia + reservas)</t>
        </r>
      </text>
    </comment>
    <comment ref="D346" authorId="0" shapeId="0" xr:uid="{00000000-0006-0000-0500-00006F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47" authorId="0" shapeId="0" xr:uid="{00000000-0006-0000-0500-000070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48" authorId="0" shapeId="0" xr:uid="{00000000-0006-0000-0500-000071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49" authorId="0" shapeId="0" xr:uid="{00000000-0006-0000-0500-000072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50" authorId="0" shapeId="0" xr:uid="{00000000-0006-0000-0500-000073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51" authorId="0" shapeId="0" xr:uid="{00000000-0006-0000-0500-000074010000}">
      <text>
        <r>
          <rPr>
            <b/>
            <sz val="9"/>
            <color indexed="81"/>
            <rFont val="Tahoma"/>
            <family val="2"/>
          </rPr>
          <t>YULIED.PENARANDA:</t>
        </r>
        <r>
          <rPr>
            <sz val="9"/>
            <color indexed="81"/>
            <rFont val="Tahoma"/>
            <family val="2"/>
          </rPr>
          <t xml:space="preserve">
Se suma los recursos presupuestales (vigencia + reservas)</t>
        </r>
      </text>
    </comment>
    <comment ref="D352" authorId="0" shapeId="0" xr:uid="{00000000-0006-0000-0500-000075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3" authorId="0" shapeId="0" xr:uid="{00000000-0006-0000-0500-000076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54" authorId="0" shapeId="0" xr:uid="{00000000-0006-0000-0500-000077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55" authorId="0" shapeId="0" xr:uid="{00000000-0006-0000-0500-000078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56" authorId="0" shapeId="0" xr:uid="{00000000-0006-0000-0500-000079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57" authorId="0" shapeId="0" xr:uid="{00000000-0006-0000-0500-00007A010000}">
      <text>
        <r>
          <rPr>
            <b/>
            <sz val="9"/>
            <color indexed="81"/>
            <rFont val="Tahoma"/>
            <family val="2"/>
          </rPr>
          <t>YULIED.PENARANDA:</t>
        </r>
        <r>
          <rPr>
            <sz val="9"/>
            <color indexed="81"/>
            <rFont val="Tahoma"/>
            <family val="2"/>
          </rPr>
          <t xml:space="preserve">
Se suma los recursos presupuestales (vigencia + reservas)</t>
        </r>
      </text>
    </comment>
    <comment ref="D358" authorId="0" shapeId="0" xr:uid="{00000000-0006-0000-0500-00007B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9" authorId="0" shapeId="0" xr:uid="{00000000-0006-0000-0500-00007C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0" authorId="0" shapeId="0" xr:uid="{00000000-0006-0000-0500-00007D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61" authorId="0" shapeId="0" xr:uid="{00000000-0006-0000-0500-00007E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62" authorId="0" shapeId="0" xr:uid="{00000000-0006-0000-0500-00007F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63" authorId="0" shapeId="0" xr:uid="{00000000-0006-0000-0500-000080010000}">
      <text>
        <r>
          <rPr>
            <b/>
            <sz val="9"/>
            <color indexed="81"/>
            <rFont val="Tahoma"/>
            <family val="2"/>
          </rPr>
          <t>YULIED.PENARANDA:</t>
        </r>
        <r>
          <rPr>
            <sz val="9"/>
            <color indexed="81"/>
            <rFont val="Tahoma"/>
            <family val="2"/>
          </rPr>
          <t xml:space="preserve">
Se suma los recursos presupuestales (vigencia + reservas)</t>
        </r>
      </text>
    </comment>
    <comment ref="D364" authorId="0" shapeId="0" xr:uid="{00000000-0006-0000-0500-000081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65" authorId="0" shapeId="0" xr:uid="{00000000-0006-0000-0500-000082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6" authorId="0" shapeId="0" xr:uid="{00000000-0006-0000-0500-000083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67" authorId="0" shapeId="0" xr:uid="{00000000-0006-0000-0500-000084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68" authorId="0" shapeId="0" xr:uid="{00000000-0006-0000-0500-000085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69" authorId="0" shapeId="0" xr:uid="{00000000-0006-0000-0500-000086010000}">
      <text>
        <r>
          <rPr>
            <b/>
            <sz val="9"/>
            <color indexed="81"/>
            <rFont val="Tahoma"/>
            <family val="2"/>
          </rPr>
          <t>YULIED.PENARANDA:</t>
        </r>
        <r>
          <rPr>
            <sz val="9"/>
            <color indexed="81"/>
            <rFont val="Tahoma"/>
            <family val="2"/>
          </rPr>
          <t xml:space="preserve">
Se suma los recursos presupuestales (vigencia + reservas)</t>
        </r>
      </text>
    </comment>
    <comment ref="D370" authorId="0" shapeId="0" xr:uid="{00000000-0006-0000-0500-000087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71" authorId="0" shapeId="0" xr:uid="{00000000-0006-0000-0500-000088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72" authorId="0" shapeId="0" xr:uid="{00000000-0006-0000-0500-000089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3" authorId="0" shapeId="0" xr:uid="{00000000-0006-0000-0500-00008A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74" authorId="0" shapeId="0" xr:uid="{00000000-0006-0000-0500-00008B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75" authorId="0" shapeId="0" xr:uid="{00000000-0006-0000-0500-00008C010000}">
      <text>
        <r>
          <rPr>
            <b/>
            <sz val="9"/>
            <color indexed="81"/>
            <rFont val="Tahoma"/>
            <family val="2"/>
          </rPr>
          <t>YULIED.PENARANDA:</t>
        </r>
        <r>
          <rPr>
            <sz val="9"/>
            <color indexed="81"/>
            <rFont val="Tahoma"/>
            <family val="2"/>
          </rPr>
          <t xml:space="preserve">
Se suma los recursos presupuestales (vigencia + reservas)</t>
        </r>
      </text>
    </comment>
    <comment ref="D376" authorId="0" shapeId="0" xr:uid="{00000000-0006-0000-0500-00008D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77" authorId="0" shapeId="0" xr:uid="{00000000-0006-0000-0500-00008E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78" authorId="0" shapeId="0" xr:uid="{00000000-0006-0000-0500-00008F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9" authorId="0" shapeId="0" xr:uid="{00000000-0006-0000-0500-000090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0" authorId="0" shapeId="0" xr:uid="{00000000-0006-0000-0500-000091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81" authorId="0" shapeId="0" xr:uid="{00000000-0006-0000-0500-000092010000}">
      <text>
        <r>
          <rPr>
            <b/>
            <sz val="9"/>
            <color indexed="81"/>
            <rFont val="Tahoma"/>
            <family val="2"/>
          </rPr>
          <t>YULIED.PENARANDA:</t>
        </r>
        <r>
          <rPr>
            <sz val="9"/>
            <color indexed="81"/>
            <rFont val="Tahoma"/>
            <family val="2"/>
          </rPr>
          <t xml:space="preserve">
Se suma los recursos presupuestales (vigencia + reservas)</t>
        </r>
      </text>
    </comment>
    <comment ref="D382" authorId="0" shapeId="0" xr:uid="{00000000-0006-0000-0500-000093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83" authorId="0" shapeId="0" xr:uid="{00000000-0006-0000-0500-000094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84" authorId="0" shapeId="0" xr:uid="{00000000-0006-0000-0500-000095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85" authorId="0" shapeId="0" xr:uid="{00000000-0006-0000-0500-000096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6" authorId="0" shapeId="0" xr:uid="{00000000-0006-0000-0500-000097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87" authorId="0" shapeId="0" xr:uid="{00000000-0006-0000-0500-000098010000}">
      <text>
        <r>
          <rPr>
            <b/>
            <sz val="9"/>
            <color indexed="81"/>
            <rFont val="Tahoma"/>
            <family val="2"/>
          </rPr>
          <t>YULIED.PENARANDA:</t>
        </r>
        <r>
          <rPr>
            <sz val="9"/>
            <color indexed="81"/>
            <rFont val="Tahoma"/>
            <family val="2"/>
          </rPr>
          <t xml:space="preserve">
Se suma los recursos presupuestales (vigencia + reservas)</t>
        </r>
      </text>
    </comment>
    <comment ref="D388" authorId="0" shapeId="0" xr:uid="{00000000-0006-0000-0500-000099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89" authorId="0" shapeId="0" xr:uid="{00000000-0006-0000-0500-00009A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90" authorId="0" shapeId="0" xr:uid="{00000000-0006-0000-0500-00009B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91" authorId="0" shapeId="0" xr:uid="{00000000-0006-0000-0500-00009C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92" authorId="0" shapeId="0" xr:uid="{00000000-0006-0000-0500-00009D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3" authorId="0" shapeId="0" xr:uid="{00000000-0006-0000-0500-00009E010000}">
      <text>
        <r>
          <rPr>
            <b/>
            <sz val="9"/>
            <color indexed="81"/>
            <rFont val="Tahoma"/>
            <family val="2"/>
          </rPr>
          <t>YULIED.PENARANDA:</t>
        </r>
        <r>
          <rPr>
            <sz val="9"/>
            <color indexed="81"/>
            <rFont val="Tahoma"/>
            <family val="2"/>
          </rPr>
          <t xml:space="preserve">
Se suma los recursos presupuestales (vigencia + reservas)</t>
        </r>
      </text>
    </comment>
    <comment ref="D394" authorId="0" shapeId="0" xr:uid="{00000000-0006-0000-0500-00009F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95" authorId="0" shapeId="0" xr:uid="{00000000-0006-0000-0500-0000A0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395" authorId="2" shapeId="0" xr:uid="{00000000-0006-0000-0500-0000A1010000}">
      <text>
        <r>
          <rPr>
            <b/>
            <sz val="9"/>
            <color indexed="81"/>
            <rFont val="Tahoma"/>
            <family val="2"/>
          </rPr>
          <t>Angela:</t>
        </r>
        <r>
          <rPr>
            <sz val="9"/>
            <color indexed="81"/>
            <rFont val="Tahoma"/>
            <family val="2"/>
          </rPr>
          <t xml:space="preserve">
Para el mes de diciembre el valor de cada m2 de techos verdes y jardines verticales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m2 reportados van aumentando todos los meses teniendo e cuenta la dinamica de la meta.</t>
        </r>
      </text>
    </comment>
    <comment ref="D396" authorId="0" shapeId="0" xr:uid="{00000000-0006-0000-0500-0000A2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97" authorId="0" shapeId="0" xr:uid="{00000000-0006-0000-0500-0000A3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98" authorId="0" shapeId="0" xr:uid="{00000000-0006-0000-0500-0000A4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9" authorId="0" shapeId="0" xr:uid="{00000000-0006-0000-0500-0000A5010000}">
      <text>
        <r>
          <rPr>
            <b/>
            <sz val="9"/>
            <color indexed="81"/>
            <rFont val="Tahoma"/>
            <family val="2"/>
          </rPr>
          <t>YULIED.PENARANDA:</t>
        </r>
        <r>
          <rPr>
            <sz val="9"/>
            <color indexed="81"/>
            <rFont val="Tahoma"/>
            <family val="2"/>
          </rPr>
          <t xml:space="preserve">
Se suma los recursos presupuestales (vigencia + reservas)</t>
        </r>
      </text>
    </comment>
    <comment ref="D400" authorId="0" shapeId="0" xr:uid="{00000000-0006-0000-0500-0000A6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01" authorId="0" shapeId="0" xr:uid="{00000000-0006-0000-0500-0000A7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02" authorId="0" shapeId="0" xr:uid="{00000000-0006-0000-0500-0000A8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03" authorId="0" shapeId="0" xr:uid="{00000000-0006-0000-0500-0000A9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04" authorId="0" shapeId="0" xr:uid="{00000000-0006-0000-0500-0000AA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05" authorId="0" shapeId="0" xr:uid="{00000000-0006-0000-0500-0000AB010000}">
      <text>
        <r>
          <rPr>
            <b/>
            <sz val="9"/>
            <color indexed="81"/>
            <rFont val="Tahoma"/>
            <family val="2"/>
          </rPr>
          <t>YULIED.PENARANDA:</t>
        </r>
        <r>
          <rPr>
            <sz val="9"/>
            <color indexed="81"/>
            <rFont val="Tahoma"/>
            <family val="2"/>
          </rPr>
          <t xml:space="preserve">
Se suma los recursos presupuestales (vigencia + reservas)</t>
        </r>
      </text>
    </comment>
    <comment ref="D406" authorId="0" shapeId="0" xr:uid="{00000000-0006-0000-0500-0000AC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07" authorId="0" shapeId="0" xr:uid="{00000000-0006-0000-0500-0000AD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08" authorId="0" shapeId="0" xr:uid="{00000000-0006-0000-0500-0000AE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09" authorId="0" shapeId="0" xr:uid="{00000000-0006-0000-0500-0000AF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10" authorId="0" shapeId="0" xr:uid="{00000000-0006-0000-0500-0000B0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11" authorId="0" shapeId="0" xr:uid="{00000000-0006-0000-0500-0000B1010000}">
      <text>
        <r>
          <rPr>
            <b/>
            <sz val="9"/>
            <color indexed="81"/>
            <rFont val="Tahoma"/>
            <family val="2"/>
          </rPr>
          <t>YULIED.PENARANDA:</t>
        </r>
        <r>
          <rPr>
            <sz val="9"/>
            <color indexed="81"/>
            <rFont val="Tahoma"/>
            <family val="2"/>
          </rPr>
          <t xml:space="preserve">
Se suma los recursos presupuestales (vigencia + reservas)</t>
        </r>
      </text>
    </comment>
    <comment ref="D412" authorId="0" shapeId="0" xr:uid="{00000000-0006-0000-0500-0000B2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3" authorId="0" shapeId="0" xr:uid="{00000000-0006-0000-0500-0000B3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14" authorId="0" shapeId="0" xr:uid="{00000000-0006-0000-0500-0000B4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15" authorId="0" shapeId="0" xr:uid="{00000000-0006-0000-0500-0000B5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16" authorId="0" shapeId="0" xr:uid="{00000000-0006-0000-0500-0000B6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17" authorId="0" shapeId="0" xr:uid="{00000000-0006-0000-0500-0000B7010000}">
      <text>
        <r>
          <rPr>
            <b/>
            <sz val="9"/>
            <color indexed="81"/>
            <rFont val="Tahoma"/>
            <family val="2"/>
          </rPr>
          <t>YULIED.PENARANDA:</t>
        </r>
        <r>
          <rPr>
            <sz val="9"/>
            <color indexed="81"/>
            <rFont val="Tahoma"/>
            <family val="2"/>
          </rPr>
          <t xml:space="preserve">
Se suma los recursos presupuestales (vigencia + reservas)</t>
        </r>
      </text>
    </comment>
    <comment ref="D418" authorId="0" shapeId="0" xr:uid="{00000000-0006-0000-0500-0000B8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9" authorId="0" shapeId="0" xr:uid="{00000000-0006-0000-0500-0000B9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0" authorId="0" shapeId="0" xr:uid="{00000000-0006-0000-0500-0000BA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21" authorId="0" shapeId="0" xr:uid="{00000000-0006-0000-0500-0000BB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22" authorId="0" shapeId="0" xr:uid="{00000000-0006-0000-0500-0000BC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23" authorId="0" shapeId="0" xr:uid="{00000000-0006-0000-0500-0000BD010000}">
      <text>
        <r>
          <rPr>
            <b/>
            <sz val="9"/>
            <color indexed="81"/>
            <rFont val="Tahoma"/>
            <family val="2"/>
          </rPr>
          <t>YULIED.PENARANDA:</t>
        </r>
        <r>
          <rPr>
            <sz val="9"/>
            <color indexed="81"/>
            <rFont val="Tahoma"/>
            <family val="2"/>
          </rPr>
          <t xml:space="preserve">
Se suma los recursos presupuestales (vigencia + reservas)</t>
        </r>
      </text>
    </comment>
    <comment ref="D424" authorId="0" shapeId="0" xr:uid="{00000000-0006-0000-0500-0000BE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25" authorId="0" shapeId="0" xr:uid="{00000000-0006-0000-0500-0000BF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6" authorId="0" shapeId="0" xr:uid="{00000000-0006-0000-0500-0000C0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27" authorId="0" shapeId="0" xr:uid="{00000000-0006-0000-0500-0000C1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28" authorId="0" shapeId="0" xr:uid="{00000000-0006-0000-0500-0000C2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29" authorId="0" shapeId="0" xr:uid="{00000000-0006-0000-0500-0000C3010000}">
      <text>
        <r>
          <rPr>
            <b/>
            <sz val="9"/>
            <color indexed="81"/>
            <rFont val="Tahoma"/>
            <family val="2"/>
          </rPr>
          <t>YULIED.PENARANDA:</t>
        </r>
        <r>
          <rPr>
            <sz val="9"/>
            <color indexed="81"/>
            <rFont val="Tahoma"/>
            <family val="2"/>
          </rPr>
          <t xml:space="preserve">
Se suma los recursos presupuestales (vigencia + reservas)</t>
        </r>
      </text>
    </comment>
    <comment ref="D430" authorId="0" shapeId="0" xr:uid="{00000000-0006-0000-0500-0000C4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31" authorId="0" shapeId="0" xr:uid="{00000000-0006-0000-0500-0000C5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32" authorId="0" shapeId="0" xr:uid="{00000000-0006-0000-0500-0000C6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3" authorId="0" shapeId="0" xr:uid="{00000000-0006-0000-0500-0000C7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34" authorId="0" shapeId="0" xr:uid="{00000000-0006-0000-0500-0000C8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35" authorId="0" shapeId="0" xr:uid="{00000000-0006-0000-0500-0000C9010000}">
      <text>
        <r>
          <rPr>
            <b/>
            <sz val="9"/>
            <color indexed="81"/>
            <rFont val="Tahoma"/>
            <family val="2"/>
          </rPr>
          <t>YULIED.PENARANDA:</t>
        </r>
        <r>
          <rPr>
            <sz val="9"/>
            <color indexed="81"/>
            <rFont val="Tahoma"/>
            <family val="2"/>
          </rPr>
          <t xml:space="preserve">
Se suma los recursos presupuestales (vigencia + reservas)</t>
        </r>
      </text>
    </comment>
    <comment ref="D436" authorId="0" shapeId="0" xr:uid="{00000000-0006-0000-0500-0000CA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37" authorId="0" shapeId="0" xr:uid="{00000000-0006-0000-0500-0000CB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38" authorId="0" shapeId="0" xr:uid="{00000000-0006-0000-0500-0000CC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9" authorId="0" shapeId="0" xr:uid="{00000000-0006-0000-0500-0000CD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0" authorId="0" shapeId="0" xr:uid="{00000000-0006-0000-0500-0000CE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41" authorId="0" shapeId="0" xr:uid="{00000000-0006-0000-0500-0000CF010000}">
      <text>
        <r>
          <rPr>
            <b/>
            <sz val="9"/>
            <color indexed="81"/>
            <rFont val="Tahoma"/>
            <family val="2"/>
          </rPr>
          <t>YULIED.PENARANDA:</t>
        </r>
        <r>
          <rPr>
            <sz val="9"/>
            <color indexed="81"/>
            <rFont val="Tahoma"/>
            <family val="2"/>
          </rPr>
          <t xml:space="preserve">
Se suma los recursos presupuestales (vigencia + reservas)</t>
        </r>
      </text>
    </comment>
    <comment ref="D442" authorId="0" shapeId="0" xr:uid="{00000000-0006-0000-0500-0000D0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43" authorId="0" shapeId="0" xr:uid="{00000000-0006-0000-0500-0000D1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44" authorId="0" shapeId="0" xr:uid="{00000000-0006-0000-0500-0000D2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45" authorId="0" shapeId="0" xr:uid="{00000000-0006-0000-0500-0000D3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6" authorId="0" shapeId="0" xr:uid="{00000000-0006-0000-0500-0000D4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47" authorId="0" shapeId="0" xr:uid="{00000000-0006-0000-0500-0000D5010000}">
      <text>
        <r>
          <rPr>
            <b/>
            <sz val="9"/>
            <color indexed="81"/>
            <rFont val="Tahoma"/>
            <family val="2"/>
          </rPr>
          <t>YULIED.PENARANDA:</t>
        </r>
        <r>
          <rPr>
            <sz val="9"/>
            <color indexed="81"/>
            <rFont val="Tahoma"/>
            <family val="2"/>
          </rPr>
          <t xml:space="preserve">
Se suma los recursos presupuestales (vigencia + reservas)</t>
        </r>
      </text>
    </comment>
    <comment ref="D448" authorId="0" shapeId="0" xr:uid="{00000000-0006-0000-0500-0000D6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49" authorId="0" shapeId="0" xr:uid="{00000000-0006-0000-0500-0000D7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50" authorId="0" shapeId="0" xr:uid="{00000000-0006-0000-0500-0000D8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51" authorId="0" shapeId="0" xr:uid="{00000000-0006-0000-0500-0000D9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52" authorId="0" shapeId="0" xr:uid="{00000000-0006-0000-0500-0000DA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3" authorId="0" shapeId="0" xr:uid="{00000000-0006-0000-0500-0000DB010000}">
      <text>
        <r>
          <rPr>
            <b/>
            <sz val="9"/>
            <color indexed="81"/>
            <rFont val="Tahoma"/>
            <family val="2"/>
          </rPr>
          <t>YULIED.PENARANDA:</t>
        </r>
        <r>
          <rPr>
            <sz val="9"/>
            <color indexed="81"/>
            <rFont val="Tahoma"/>
            <family val="2"/>
          </rPr>
          <t xml:space="preserve">
Se suma los recursos presupuestales (vigencia + reservas)</t>
        </r>
      </text>
    </comment>
    <comment ref="D454" authorId="0" shapeId="0" xr:uid="{00000000-0006-0000-0500-0000DC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55" authorId="0" shapeId="0" xr:uid="{00000000-0006-0000-0500-0000DD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56" authorId="0" shapeId="0" xr:uid="{00000000-0006-0000-0500-0000DE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57" authorId="0" shapeId="0" xr:uid="{00000000-0006-0000-0500-0000DF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58" authorId="0" shapeId="0" xr:uid="{00000000-0006-0000-0500-0000E0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9" authorId="0" shapeId="0" xr:uid="{00000000-0006-0000-0500-0000E1010000}">
      <text>
        <r>
          <rPr>
            <b/>
            <sz val="9"/>
            <color indexed="81"/>
            <rFont val="Tahoma"/>
            <family val="2"/>
          </rPr>
          <t>YULIED.PENARANDA:</t>
        </r>
        <r>
          <rPr>
            <sz val="9"/>
            <color indexed="81"/>
            <rFont val="Tahoma"/>
            <family val="2"/>
          </rPr>
          <t xml:space="preserve">
Se suma los recursos presupuestales (vigencia + reservas)</t>
        </r>
      </text>
    </comment>
    <comment ref="D460" authorId="0" shapeId="0" xr:uid="{00000000-0006-0000-0500-0000E2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61" authorId="0" shapeId="0" xr:uid="{00000000-0006-0000-0500-0000E3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62" authorId="0" shapeId="0" xr:uid="{00000000-0006-0000-0500-0000E4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63" authorId="0" shapeId="0" xr:uid="{00000000-0006-0000-0500-0000E5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64" authorId="0" shapeId="0" xr:uid="{00000000-0006-0000-0500-0000E6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65" authorId="0" shapeId="0" xr:uid="{00000000-0006-0000-0500-0000E7010000}">
      <text>
        <r>
          <rPr>
            <b/>
            <sz val="9"/>
            <color indexed="81"/>
            <rFont val="Tahoma"/>
            <family val="2"/>
          </rPr>
          <t>YULIED.PENARANDA:</t>
        </r>
        <r>
          <rPr>
            <sz val="9"/>
            <color indexed="81"/>
            <rFont val="Tahoma"/>
            <family val="2"/>
          </rPr>
          <t xml:space="preserve">
Se suma los recursos presupuestales (vigencia + reservas)</t>
        </r>
      </text>
    </comment>
    <comment ref="D466" authorId="0" shapeId="0" xr:uid="{00000000-0006-0000-0500-0000E8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67" authorId="0" shapeId="0" xr:uid="{00000000-0006-0000-0500-0000E9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68" authorId="0" shapeId="0" xr:uid="{00000000-0006-0000-0500-0000EA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69" authorId="0" shapeId="0" xr:uid="{00000000-0006-0000-0500-0000EB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70" authorId="0" shapeId="0" xr:uid="{00000000-0006-0000-0500-0000EC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71" authorId="0" shapeId="0" xr:uid="{00000000-0006-0000-0500-0000ED010000}">
      <text>
        <r>
          <rPr>
            <b/>
            <sz val="9"/>
            <color indexed="81"/>
            <rFont val="Tahoma"/>
            <family val="2"/>
          </rPr>
          <t>YULIED.PENARANDA:</t>
        </r>
        <r>
          <rPr>
            <sz val="9"/>
            <color indexed="81"/>
            <rFont val="Tahoma"/>
            <family val="2"/>
          </rPr>
          <t xml:space="preserve">
Se suma los recursos presupuestales (vigencia + reservas)</t>
        </r>
      </text>
    </comment>
    <comment ref="D472" authorId="0" shapeId="0" xr:uid="{00000000-0006-0000-0500-0000EE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3" authorId="0" shapeId="0" xr:uid="{00000000-0006-0000-0500-0000EF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74" authorId="0" shapeId="0" xr:uid="{00000000-0006-0000-0500-0000F0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75" authorId="0" shapeId="0" xr:uid="{00000000-0006-0000-0500-0000F1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76" authorId="0" shapeId="0" xr:uid="{00000000-0006-0000-0500-0000F2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77" authorId="0" shapeId="0" xr:uid="{00000000-0006-0000-0500-0000F3010000}">
      <text>
        <r>
          <rPr>
            <b/>
            <sz val="9"/>
            <color indexed="81"/>
            <rFont val="Tahoma"/>
            <family val="2"/>
          </rPr>
          <t>YULIED.PENARANDA:</t>
        </r>
        <r>
          <rPr>
            <sz val="9"/>
            <color indexed="81"/>
            <rFont val="Tahoma"/>
            <family val="2"/>
          </rPr>
          <t xml:space="preserve">
Se suma los recursos presupuestales (vigencia + reservas)</t>
        </r>
      </text>
    </comment>
    <comment ref="D478" authorId="0" shapeId="0" xr:uid="{00000000-0006-0000-0500-0000F4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9" authorId="0" shapeId="0" xr:uid="{00000000-0006-0000-0500-0000F5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0" authorId="0" shapeId="0" xr:uid="{00000000-0006-0000-0500-0000F6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81" authorId="0" shapeId="0" xr:uid="{00000000-0006-0000-0500-0000F7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82" authorId="0" shapeId="0" xr:uid="{00000000-0006-0000-0500-0000F8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83" authorId="0" shapeId="0" xr:uid="{00000000-0006-0000-0500-0000F9010000}">
      <text>
        <r>
          <rPr>
            <b/>
            <sz val="9"/>
            <color indexed="81"/>
            <rFont val="Tahoma"/>
            <family val="2"/>
          </rPr>
          <t>YULIED.PENARANDA:</t>
        </r>
        <r>
          <rPr>
            <sz val="9"/>
            <color indexed="81"/>
            <rFont val="Tahoma"/>
            <family val="2"/>
          </rPr>
          <t xml:space="preserve">
Se suma los recursos presupuestales (vigencia + reservas)</t>
        </r>
      </text>
    </comment>
    <comment ref="D484" authorId="0" shapeId="0" xr:uid="{00000000-0006-0000-0500-0000FA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85" authorId="0" shapeId="0" xr:uid="{00000000-0006-0000-0500-0000FB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6" authorId="0" shapeId="0" xr:uid="{00000000-0006-0000-0500-0000FC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87" authorId="0" shapeId="0" xr:uid="{00000000-0006-0000-0500-0000FD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88" authorId="0" shapeId="0" xr:uid="{00000000-0006-0000-0500-0000FE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89" authorId="0" shapeId="0" xr:uid="{00000000-0006-0000-0500-0000FF010000}">
      <text>
        <r>
          <rPr>
            <b/>
            <sz val="9"/>
            <color indexed="81"/>
            <rFont val="Tahoma"/>
            <family val="2"/>
          </rPr>
          <t>YULIED.PENARANDA:</t>
        </r>
        <r>
          <rPr>
            <sz val="9"/>
            <color indexed="81"/>
            <rFont val="Tahoma"/>
            <family val="2"/>
          </rPr>
          <t xml:space="preserve">
Se suma los recursos presupuestales (vigencia + reservas)</t>
        </r>
      </text>
    </comment>
    <comment ref="D490" authorId="0" shapeId="0" xr:uid="{00000000-0006-0000-0500-000000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91" authorId="0" shapeId="0" xr:uid="{00000000-0006-0000-0500-000001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92" authorId="0" shapeId="0" xr:uid="{00000000-0006-0000-0500-000002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3" authorId="0" shapeId="0" xr:uid="{00000000-0006-0000-0500-000003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94" authorId="0" shapeId="0" xr:uid="{00000000-0006-0000-0500-000004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95" authorId="0" shapeId="0" xr:uid="{00000000-0006-0000-0500-000005020000}">
      <text>
        <r>
          <rPr>
            <b/>
            <sz val="9"/>
            <color indexed="81"/>
            <rFont val="Tahoma"/>
            <family val="2"/>
          </rPr>
          <t>YULIED.PENARANDA:</t>
        </r>
        <r>
          <rPr>
            <sz val="9"/>
            <color indexed="81"/>
            <rFont val="Tahoma"/>
            <family val="2"/>
          </rPr>
          <t xml:space="preserve">
Se suma los recursos presupuestales (vigencia + reservas)</t>
        </r>
      </text>
    </comment>
    <comment ref="D496" authorId="0" shapeId="0" xr:uid="{00000000-0006-0000-0500-000006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97" authorId="0" shapeId="0" xr:uid="{00000000-0006-0000-0500-000007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98" authorId="0" shapeId="0" xr:uid="{00000000-0006-0000-0500-000008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9" authorId="0" shapeId="0" xr:uid="{00000000-0006-0000-0500-000009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0" authorId="0" shapeId="0" xr:uid="{00000000-0006-0000-0500-00000A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01" authorId="0" shapeId="0" xr:uid="{00000000-0006-0000-0500-00000B020000}">
      <text>
        <r>
          <rPr>
            <b/>
            <sz val="9"/>
            <color indexed="81"/>
            <rFont val="Tahoma"/>
            <family val="2"/>
          </rPr>
          <t>YULIED.PENARANDA:</t>
        </r>
        <r>
          <rPr>
            <sz val="9"/>
            <color indexed="81"/>
            <rFont val="Tahoma"/>
            <family val="2"/>
          </rPr>
          <t xml:space="preserve">
Se suma los recursos presupuestales (vigencia + reservas)</t>
        </r>
      </text>
    </comment>
    <comment ref="D502" authorId="0" shapeId="0" xr:uid="{00000000-0006-0000-0500-00000C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03" authorId="0" shapeId="0" xr:uid="{00000000-0006-0000-0500-00000D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Z503" authorId="2" shapeId="0" xr:uid="{00000000-0006-0000-0500-00000E020000}">
      <text>
        <r>
          <rPr>
            <b/>
            <sz val="9"/>
            <color indexed="81"/>
            <rFont val="Tahoma"/>
            <family val="2"/>
          </rPr>
          <t>Angela:</t>
        </r>
        <r>
          <rPr>
            <sz val="9"/>
            <color indexed="81"/>
            <rFont val="Tahoma"/>
            <family val="2"/>
          </rPr>
          <t xml:space="preserve">
Para el año 2020 se tiene programado asisitir a 50 proyectos como avance en la meta del cuatrenio, sin embargo, aunque se viene avanzando en la meta para el mes de julio no se programó el reporte de avances, sin embargo se vienen desarrollando acciones enmarcadas en la ejecución del programa de Gestión Ambiental Empresarial para el lograr el diseño y la implementación de proyectos de mejoramiento ambiental en el sector empresarial ubicado en el perimetro urbani de Bogotá y su aporte en la ciudad.</t>
        </r>
      </text>
    </comment>
    <comment ref="D504" authorId="0" shapeId="0" xr:uid="{00000000-0006-0000-0500-00000F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05" authorId="0" shapeId="0" xr:uid="{00000000-0006-0000-0500-000010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6" authorId="0" shapeId="0" xr:uid="{00000000-0006-0000-0500-000011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07" authorId="0" shapeId="0" xr:uid="{00000000-0006-0000-0500-000012020000}">
      <text>
        <r>
          <rPr>
            <b/>
            <sz val="9"/>
            <color indexed="81"/>
            <rFont val="Tahoma"/>
            <family val="2"/>
          </rPr>
          <t>YULIED.PENARANDA:</t>
        </r>
        <r>
          <rPr>
            <sz val="9"/>
            <color indexed="81"/>
            <rFont val="Tahoma"/>
            <family val="2"/>
          </rPr>
          <t xml:space="preserve">
Se suma los recursos presupuestales (vigencia + reservas)</t>
        </r>
      </text>
    </comment>
    <comment ref="D508" authorId="0" shapeId="0" xr:uid="{00000000-0006-0000-0500-000013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09" authorId="0" shapeId="0" xr:uid="{00000000-0006-0000-0500-000014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10" authorId="0" shapeId="0" xr:uid="{00000000-0006-0000-0500-000015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11" authorId="0" shapeId="0" xr:uid="{00000000-0006-0000-0500-000016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12" authorId="0" shapeId="0" xr:uid="{00000000-0006-0000-0500-000017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3" authorId="0" shapeId="0" xr:uid="{00000000-0006-0000-0500-000018020000}">
      <text>
        <r>
          <rPr>
            <b/>
            <sz val="9"/>
            <color indexed="81"/>
            <rFont val="Tahoma"/>
            <family val="2"/>
          </rPr>
          <t>YULIED.PENARANDA:</t>
        </r>
        <r>
          <rPr>
            <sz val="9"/>
            <color indexed="81"/>
            <rFont val="Tahoma"/>
            <family val="2"/>
          </rPr>
          <t xml:space="preserve">
Se suma los recursos presupuestales (vigencia + reservas)</t>
        </r>
      </text>
    </comment>
    <comment ref="D514" authorId="0" shapeId="0" xr:uid="{00000000-0006-0000-0500-000019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15" authorId="0" shapeId="0" xr:uid="{00000000-0006-0000-0500-00001A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515" authorId="2" shapeId="0" xr:uid="{00000000-0006-0000-0500-00001B020000}">
      <text>
        <r>
          <rPr>
            <b/>
            <sz val="9"/>
            <color indexed="81"/>
            <rFont val="Tahoma"/>
            <family val="2"/>
          </rPr>
          <t>Angela:</t>
        </r>
        <r>
          <rPr>
            <sz val="9"/>
            <color indexed="81"/>
            <rFont val="Tahoma"/>
            <family val="2"/>
          </rPr>
          <t xml:space="preserve">
Para el mes de diciembre el valor de cada proyecto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516" authorId="0" shapeId="0" xr:uid="{00000000-0006-0000-0500-00001C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17" authorId="0" shapeId="0" xr:uid="{00000000-0006-0000-0500-00001D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18" authorId="0" shapeId="0" xr:uid="{00000000-0006-0000-0500-00001E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9" authorId="0" shapeId="0" xr:uid="{00000000-0006-0000-0500-00001F020000}">
      <text>
        <r>
          <rPr>
            <b/>
            <sz val="9"/>
            <color indexed="81"/>
            <rFont val="Tahoma"/>
            <family val="2"/>
          </rPr>
          <t>YULIED.PENARANDA:</t>
        </r>
        <r>
          <rPr>
            <sz val="9"/>
            <color indexed="81"/>
            <rFont val="Tahoma"/>
            <family val="2"/>
          </rPr>
          <t xml:space="preserve">
Se suma los recursos presupuestales (vigencia + reservas)</t>
        </r>
      </text>
    </comment>
    <comment ref="D520" authorId="0" shapeId="0" xr:uid="{00000000-0006-0000-0500-000020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21" authorId="0" shapeId="0" xr:uid="{00000000-0006-0000-0500-000021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22" authorId="0" shapeId="0" xr:uid="{00000000-0006-0000-0500-000022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23" authorId="0" shapeId="0" xr:uid="{00000000-0006-0000-0500-000023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24" authorId="0" shapeId="0" xr:uid="{00000000-0006-0000-0500-000024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25" authorId="0" shapeId="0" xr:uid="{00000000-0006-0000-0500-000025020000}">
      <text>
        <r>
          <rPr>
            <b/>
            <sz val="9"/>
            <color indexed="81"/>
            <rFont val="Tahoma"/>
            <family val="2"/>
          </rPr>
          <t>YULIED.PENARANDA:</t>
        </r>
        <r>
          <rPr>
            <sz val="9"/>
            <color indexed="81"/>
            <rFont val="Tahoma"/>
            <family val="2"/>
          </rPr>
          <t xml:space="preserve">
Se suma los recursos presupuestales (vigencia + reservas)</t>
        </r>
      </text>
    </comment>
    <comment ref="D526" authorId="0" shapeId="0" xr:uid="{00000000-0006-0000-0500-000026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27" authorId="0" shapeId="0" xr:uid="{00000000-0006-0000-0500-000027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28" authorId="0" shapeId="0" xr:uid="{00000000-0006-0000-0500-000028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29" authorId="0" shapeId="0" xr:uid="{00000000-0006-0000-0500-000029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30" authorId="0" shapeId="0" xr:uid="{00000000-0006-0000-0500-00002A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31" authorId="0" shapeId="0" xr:uid="{00000000-0006-0000-0500-00002B020000}">
      <text>
        <r>
          <rPr>
            <b/>
            <sz val="9"/>
            <color indexed="81"/>
            <rFont val="Tahoma"/>
            <family val="2"/>
          </rPr>
          <t>YULIED.PENARANDA:</t>
        </r>
        <r>
          <rPr>
            <sz val="9"/>
            <color indexed="81"/>
            <rFont val="Tahoma"/>
            <family val="2"/>
          </rPr>
          <t xml:space="preserve">
Se suma los recursos presupuestales (vigencia + reservas)</t>
        </r>
      </text>
    </comment>
    <comment ref="D532" authorId="0" shapeId="0" xr:uid="{00000000-0006-0000-0500-00002C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3" authorId="0" shapeId="0" xr:uid="{00000000-0006-0000-0500-00002D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34" authorId="0" shapeId="0" xr:uid="{00000000-0006-0000-0500-00002E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35" authorId="0" shapeId="0" xr:uid="{00000000-0006-0000-0500-00002F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36" authorId="0" shapeId="0" xr:uid="{00000000-0006-0000-0500-000030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37" authorId="0" shapeId="0" xr:uid="{00000000-0006-0000-0500-000031020000}">
      <text>
        <r>
          <rPr>
            <b/>
            <sz val="9"/>
            <color indexed="81"/>
            <rFont val="Tahoma"/>
            <family val="2"/>
          </rPr>
          <t>YULIED.PENARANDA:</t>
        </r>
        <r>
          <rPr>
            <sz val="9"/>
            <color indexed="81"/>
            <rFont val="Tahoma"/>
            <family val="2"/>
          </rPr>
          <t xml:space="preserve">
Se suma los recursos presupuestales (vigencia + reservas)</t>
        </r>
      </text>
    </comment>
    <comment ref="D538" authorId="0" shapeId="0" xr:uid="{00000000-0006-0000-0500-000032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9" authorId="0" shapeId="0" xr:uid="{00000000-0006-0000-0500-000033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0" authorId="0" shapeId="0" xr:uid="{00000000-0006-0000-0500-000034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41" authorId="0" shapeId="0" xr:uid="{00000000-0006-0000-0500-000035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42" authorId="0" shapeId="0" xr:uid="{00000000-0006-0000-0500-000036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43" authorId="0" shapeId="0" xr:uid="{00000000-0006-0000-0500-000037020000}">
      <text>
        <r>
          <rPr>
            <b/>
            <sz val="9"/>
            <color indexed="81"/>
            <rFont val="Tahoma"/>
            <family val="2"/>
          </rPr>
          <t>YULIED.PENARANDA:</t>
        </r>
        <r>
          <rPr>
            <sz val="9"/>
            <color indexed="81"/>
            <rFont val="Tahoma"/>
            <family val="2"/>
          </rPr>
          <t xml:space="preserve">
Se suma los recursos presupuestales (vigencia + reservas)</t>
        </r>
      </text>
    </comment>
    <comment ref="D544" authorId="0" shapeId="0" xr:uid="{00000000-0006-0000-0500-000038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45" authorId="0" shapeId="0" xr:uid="{00000000-0006-0000-0500-000039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6" authorId="0" shapeId="0" xr:uid="{00000000-0006-0000-0500-00003A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47" authorId="0" shapeId="0" xr:uid="{00000000-0006-0000-0500-00003B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48" authorId="0" shapeId="0" xr:uid="{00000000-0006-0000-0500-00003C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49" authorId="0" shapeId="0" xr:uid="{00000000-0006-0000-0500-00003D020000}">
      <text>
        <r>
          <rPr>
            <b/>
            <sz val="9"/>
            <color indexed="81"/>
            <rFont val="Tahoma"/>
            <family val="2"/>
          </rPr>
          <t>YULIED.PENARANDA:</t>
        </r>
        <r>
          <rPr>
            <sz val="9"/>
            <color indexed="81"/>
            <rFont val="Tahoma"/>
            <family val="2"/>
          </rPr>
          <t xml:space="preserve">
Se suma los recursos presupuestales (vigencia + reservas)</t>
        </r>
      </text>
    </comment>
    <comment ref="D550" authorId="0" shapeId="0" xr:uid="{00000000-0006-0000-0500-00003E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51" authorId="0" shapeId="0" xr:uid="{00000000-0006-0000-0500-00003F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52" authorId="0" shapeId="0" xr:uid="{00000000-0006-0000-0500-000040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3" authorId="0" shapeId="0" xr:uid="{00000000-0006-0000-0500-000041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54" authorId="0" shapeId="0" xr:uid="{00000000-0006-0000-0500-000042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55" authorId="0" shapeId="0" xr:uid="{00000000-0006-0000-0500-000043020000}">
      <text>
        <r>
          <rPr>
            <b/>
            <sz val="9"/>
            <color indexed="81"/>
            <rFont val="Tahoma"/>
            <family val="2"/>
          </rPr>
          <t>YULIED.PENARANDA:</t>
        </r>
        <r>
          <rPr>
            <sz val="9"/>
            <color indexed="81"/>
            <rFont val="Tahoma"/>
            <family val="2"/>
          </rPr>
          <t xml:space="preserve">
Se suma los recursos presupuestales (vigencia + reservas)</t>
        </r>
      </text>
    </comment>
    <comment ref="D556" authorId="0" shapeId="0" xr:uid="{00000000-0006-0000-0500-000044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57" authorId="0" shapeId="0" xr:uid="{00000000-0006-0000-0500-000045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557" authorId="2" shapeId="0" xr:uid="{00000000-0006-0000-0500-000046020000}">
      <text>
        <r>
          <rPr>
            <b/>
            <sz val="9"/>
            <color indexed="81"/>
            <rFont val="Tahoma"/>
            <family val="2"/>
          </rPr>
          <t>Angela:</t>
        </r>
        <r>
          <rPr>
            <sz val="9"/>
            <color indexed="81"/>
            <rFont val="Tahoma"/>
            <family val="2"/>
          </rPr>
          <t xml:space="preserve">
Para el mes de diciembre el valor de cada proyecto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558" authorId="0" shapeId="0" xr:uid="{00000000-0006-0000-0500-000047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9" authorId="0" shapeId="0" xr:uid="{00000000-0006-0000-0500-000048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0" authorId="0" shapeId="0" xr:uid="{00000000-0006-0000-0500-000049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61" authorId="0" shapeId="0" xr:uid="{00000000-0006-0000-0500-00004A020000}">
      <text>
        <r>
          <rPr>
            <b/>
            <sz val="9"/>
            <color indexed="81"/>
            <rFont val="Tahoma"/>
            <family val="2"/>
          </rPr>
          <t>YULIED.PENARANDA:</t>
        </r>
        <r>
          <rPr>
            <sz val="9"/>
            <color indexed="81"/>
            <rFont val="Tahoma"/>
            <family val="2"/>
          </rPr>
          <t xml:space="preserve">
Se suma los recursos presupuestales (vigencia + reservas)</t>
        </r>
      </text>
    </comment>
    <comment ref="D562" authorId="0" shapeId="0" xr:uid="{00000000-0006-0000-0500-00004B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63" authorId="0" shapeId="0" xr:uid="{00000000-0006-0000-0500-00004C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64" authorId="0" shapeId="0" xr:uid="{00000000-0006-0000-0500-00004D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65" authorId="0" shapeId="0" xr:uid="{00000000-0006-0000-0500-00004E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6" authorId="0" shapeId="0" xr:uid="{00000000-0006-0000-0500-00004F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67" authorId="0" shapeId="0" xr:uid="{00000000-0006-0000-0500-000050020000}">
      <text>
        <r>
          <rPr>
            <b/>
            <sz val="9"/>
            <color indexed="81"/>
            <rFont val="Tahoma"/>
            <family val="2"/>
          </rPr>
          <t>YULIED.PENARANDA:</t>
        </r>
        <r>
          <rPr>
            <sz val="9"/>
            <color indexed="81"/>
            <rFont val="Tahoma"/>
            <family val="2"/>
          </rPr>
          <t xml:space="preserve">
Se suma los recursos presupuestales (vigencia + reservas)</t>
        </r>
      </text>
    </comment>
    <comment ref="D568" authorId="0" shapeId="0" xr:uid="{00000000-0006-0000-0500-000051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69" authorId="0" shapeId="0" xr:uid="{00000000-0006-0000-0500-000052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70" authorId="0" shapeId="0" xr:uid="{00000000-0006-0000-0500-000053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71" authorId="0" shapeId="0" xr:uid="{00000000-0006-0000-0500-000054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72" authorId="0" shapeId="0" xr:uid="{00000000-0006-0000-0500-000055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3" authorId="0" shapeId="0" xr:uid="{00000000-0006-0000-0500-000056020000}">
      <text>
        <r>
          <rPr>
            <b/>
            <sz val="9"/>
            <color indexed="81"/>
            <rFont val="Tahoma"/>
            <family val="2"/>
          </rPr>
          <t>YULIED.PENARANDA:</t>
        </r>
        <r>
          <rPr>
            <sz val="9"/>
            <color indexed="81"/>
            <rFont val="Tahoma"/>
            <family val="2"/>
          </rPr>
          <t xml:space="preserve">
Se suma los recursos presupuestales (vigencia + reservas)</t>
        </r>
      </text>
    </comment>
    <comment ref="D574" authorId="0" shapeId="0" xr:uid="{00000000-0006-0000-0500-000057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75" authorId="0" shapeId="0" xr:uid="{00000000-0006-0000-0500-000058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76" authorId="0" shapeId="0" xr:uid="{00000000-0006-0000-0500-000059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77" authorId="0" shapeId="0" xr:uid="{00000000-0006-0000-0500-00005A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78" authorId="0" shapeId="0" xr:uid="{00000000-0006-0000-0500-00005B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9" authorId="0" shapeId="0" xr:uid="{00000000-0006-0000-0500-00005C020000}">
      <text>
        <r>
          <rPr>
            <b/>
            <sz val="9"/>
            <color indexed="81"/>
            <rFont val="Tahoma"/>
            <family val="2"/>
          </rPr>
          <t>YULIED.PENARANDA:</t>
        </r>
        <r>
          <rPr>
            <sz val="9"/>
            <color indexed="81"/>
            <rFont val="Tahoma"/>
            <family val="2"/>
          </rPr>
          <t xml:space="preserve">
Se suma los recursos presupuestales (vigencia + reservas)</t>
        </r>
      </text>
    </comment>
    <comment ref="D580" authorId="0" shapeId="0" xr:uid="{00000000-0006-0000-0500-00005D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81" authorId="0" shapeId="0" xr:uid="{00000000-0006-0000-0500-00005E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581" authorId="2" shapeId="0" xr:uid="{00000000-0006-0000-0500-00005F020000}">
      <text>
        <r>
          <rPr>
            <b/>
            <sz val="9"/>
            <color indexed="81"/>
            <rFont val="Tahoma"/>
            <family val="2"/>
          </rPr>
          <t>Angela:</t>
        </r>
        <r>
          <rPr>
            <sz val="9"/>
            <color indexed="81"/>
            <rFont val="Tahoma"/>
            <family val="2"/>
          </rPr>
          <t xml:space="preserve">
Para el mes de diciembre el valor de cada proyecto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582" authorId="0" shapeId="0" xr:uid="{00000000-0006-0000-0500-000060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83" authorId="0" shapeId="0" xr:uid="{00000000-0006-0000-0500-000061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84" authorId="0" shapeId="0" xr:uid="{00000000-0006-0000-0500-000062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85" authorId="0" shapeId="0" xr:uid="{00000000-0006-0000-0500-000063020000}">
      <text>
        <r>
          <rPr>
            <b/>
            <sz val="9"/>
            <color indexed="81"/>
            <rFont val="Tahoma"/>
            <family val="2"/>
          </rPr>
          <t>YULIED.PENARANDA:</t>
        </r>
        <r>
          <rPr>
            <sz val="9"/>
            <color indexed="81"/>
            <rFont val="Tahoma"/>
            <family val="2"/>
          </rPr>
          <t xml:space="preserve">
Se suma los recursos presupuestales (vigencia + reservas)</t>
        </r>
      </text>
    </comment>
    <comment ref="D586" authorId="0" shapeId="0" xr:uid="{00000000-0006-0000-0500-000064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87" authorId="0" shapeId="0" xr:uid="{00000000-0006-0000-0500-000065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88" authorId="0" shapeId="0" xr:uid="{00000000-0006-0000-0500-000066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89" authorId="0" shapeId="0" xr:uid="{00000000-0006-0000-0500-000067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90" authorId="0" shapeId="0" xr:uid="{00000000-0006-0000-0500-000068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91" authorId="0" shapeId="0" xr:uid="{00000000-0006-0000-0500-000069020000}">
      <text>
        <r>
          <rPr>
            <b/>
            <sz val="9"/>
            <color indexed="81"/>
            <rFont val="Tahoma"/>
            <family val="2"/>
          </rPr>
          <t>YULIED.PENARANDA:</t>
        </r>
        <r>
          <rPr>
            <sz val="9"/>
            <color indexed="81"/>
            <rFont val="Tahoma"/>
            <family val="2"/>
          </rPr>
          <t xml:space="preserve">
Se suma los recursos presupuestales (vigencia + reservas)</t>
        </r>
      </text>
    </comment>
    <comment ref="D592" authorId="0" shapeId="0" xr:uid="{00000000-0006-0000-0500-00006A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3" authorId="0" shapeId="0" xr:uid="{00000000-0006-0000-0500-00006B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94" authorId="0" shapeId="0" xr:uid="{00000000-0006-0000-0500-00006C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95" authorId="0" shapeId="0" xr:uid="{00000000-0006-0000-0500-00006D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96" authorId="0" shapeId="0" xr:uid="{00000000-0006-0000-0500-00006E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97" authorId="0" shapeId="0" xr:uid="{00000000-0006-0000-0500-00006F020000}">
      <text>
        <r>
          <rPr>
            <b/>
            <sz val="9"/>
            <color indexed="81"/>
            <rFont val="Tahoma"/>
            <family val="2"/>
          </rPr>
          <t>YULIED.PENARANDA:</t>
        </r>
        <r>
          <rPr>
            <sz val="9"/>
            <color indexed="81"/>
            <rFont val="Tahoma"/>
            <family val="2"/>
          </rPr>
          <t xml:space="preserve">
Se suma los recursos presupuestales (vigencia + reservas)</t>
        </r>
      </text>
    </comment>
    <comment ref="D598" authorId="0" shapeId="0" xr:uid="{00000000-0006-0000-0500-000070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9" authorId="0" shapeId="0" xr:uid="{00000000-0006-0000-0500-000071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599" authorId="2" shapeId="0" xr:uid="{00000000-0006-0000-0500-000072020000}">
      <text>
        <r>
          <rPr>
            <b/>
            <sz val="9"/>
            <color indexed="81"/>
            <rFont val="Tahoma"/>
            <family val="2"/>
          </rPr>
          <t>Angela:</t>
        </r>
        <r>
          <rPr>
            <sz val="9"/>
            <color indexed="81"/>
            <rFont val="Tahoma"/>
            <family val="2"/>
          </rPr>
          <t xml:space="preserve">
Para el mes de diciembre el valor de cada proyecto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600" authorId="0" shapeId="0" xr:uid="{00000000-0006-0000-0500-000073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01" authorId="0" shapeId="0" xr:uid="{00000000-0006-0000-0500-000074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02" authorId="0" shapeId="0" xr:uid="{00000000-0006-0000-0500-000075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03" authorId="0" shapeId="0" xr:uid="{00000000-0006-0000-0500-000076020000}">
      <text>
        <r>
          <rPr>
            <b/>
            <sz val="9"/>
            <color indexed="81"/>
            <rFont val="Tahoma"/>
            <family val="2"/>
          </rPr>
          <t>YULIED.PENARANDA:</t>
        </r>
        <r>
          <rPr>
            <sz val="9"/>
            <color indexed="81"/>
            <rFont val="Tahoma"/>
            <family val="2"/>
          </rPr>
          <t xml:space="preserve">
Se suma los recursos presupuestales (vigencia + reservas)</t>
        </r>
      </text>
    </comment>
    <comment ref="D604" authorId="0" shapeId="0" xr:uid="{00000000-0006-0000-0500-000077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05" authorId="0" shapeId="0" xr:uid="{00000000-0006-0000-0500-000078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06" authorId="0" shapeId="0" xr:uid="{00000000-0006-0000-0500-000079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07" authorId="0" shapeId="0" xr:uid="{00000000-0006-0000-0500-00007A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08" authorId="0" shapeId="0" xr:uid="{00000000-0006-0000-0500-00007B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09" authorId="0" shapeId="0" xr:uid="{00000000-0006-0000-0500-00007C020000}">
      <text>
        <r>
          <rPr>
            <b/>
            <sz val="9"/>
            <color indexed="81"/>
            <rFont val="Tahoma"/>
            <family val="2"/>
          </rPr>
          <t>YULIED.PENARANDA:</t>
        </r>
        <r>
          <rPr>
            <sz val="9"/>
            <color indexed="81"/>
            <rFont val="Tahoma"/>
            <family val="2"/>
          </rPr>
          <t xml:space="preserve">
Se suma los recursos presupuestales (vigencia + reservas)</t>
        </r>
      </text>
    </comment>
    <comment ref="D610" authorId="0" shapeId="0" xr:uid="{00000000-0006-0000-0500-00007D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11" authorId="0" shapeId="0" xr:uid="{00000000-0006-0000-0500-00007E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12" authorId="0" shapeId="0" xr:uid="{00000000-0006-0000-0500-00007F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13" authorId="0" shapeId="0" xr:uid="{00000000-0006-0000-0500-000080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14" authorId="0" shapeId="0" xr:uid="{00000000-0006-0000-0500-000081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15" authorId="0" shapeId="0" xr:uid="{00000000-0006-0000-0500-000082020000}">
      <text>
        <r>
          <rPr>
            <b/>
            <sz val="9"/>
            <color indexed="81"/>
            <rFont val="Tahoma"/>
            <family val="2"/>
          </rPr>
          <t>YULIED.PENARANDA:</t>
        </r>
        <r>
          <rPr>
            <sz val="9"/>
            <color indexed="81"/>
            <rFont val="Tahoma"/>
            <family val="2"/>
          </rPr>
          <t xml:space="preserve">
Se suma los recursos presupuestales (vigencia + reservas)</t>
        </r>
      </text>
    </comment>
    <comment ref="D616" authorId="0" shapeId="0" xr:uid="{00000000-0006-0000-0500-000083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17" authorId="0" shapeId="0" xr:uid="{00000000-0006-0000-0500-000084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18" authorId="0" shapeId="0" xr:uid="{00000000-0006-0000-0500-000085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19" authorId="0" shapeId="0" xr:uid="{00000000-0006-0000-0500-000086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0" authorId="0" shapeId="0" xr:uid="{00000000-0006-0000-0500-000087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21" authorId="0" shapeId="0" xr:uid="{00000000-0006-0000-0500-000088020000}">
      <text>
        <r>
          <rPr>
            <b/>
            <sz val="9"/>
            <color indexed="81"/>
            <rFont val="Tahoma"/>
            <family val="2"/>
          </rPr>
          <t>YULIED.PENARANDA:</t>
        </r>
        <r>
          <rPr>
            <sz val="9"/>
            <color indexed="81"/>
            <rFont val="Tahoma"/>
            <family val="2"/>
          </rPr>
          <t xml:space="preserve">
Se suma los recursos presupuestales (vigencia + reservas)</t>
        </r>
      </text>
    </comment>
    <comment ref="D622" authorId="0" shapeId="0" xr:uid="{00000000-0006-0000-0500-000089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23" authorId="0" shapeId="0" xr:uid="{00000000-0006-0000-0500-00008A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24" authorId="0" shapeId="0" xr:uid="{00000000-0006-0000-0500-00008B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25" authorId="0" shapeId="0" xr:uid="{00000000-0006-0000-0500-00008C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6" authorId="0" shapeId="0" xr:uid="{00000000-0006-0000-0500-00008D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27" authorId="0" shapeId="0" xr:uid="{00000000-0006-0000-0500-00008E020000}">
      <text>
        <r>
          <rPr>
            <b/>
            <sz val="9"/>
            <color indexed="81"/>
            <rFont val="Tahoma"/>
            <family val="2"/>
          </rPr>
          <t>YULIED.PENARANDA:</t>
        </r>
        <r>
          <rPr>
            <sz val="9"/>
            <color indexed="81"/>
            <rFont val="Tahoma"/>
            <family val="2"/>
          </rPr>
          <t xml:space="preserve">
Se suma los recursos presupuestales (vigencia + reservas)</t>
        </r>
      </text>
    </comment>
    <comment ref="D628" authorId="0" shapeId="0" xr:uid="{00000000-0006-0000-0500-00008F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29" authorId="0" shapeId="0" xr:uid="{00000000-0006-0000-0500-000090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30" authorId="0" shapeId="0" xr:uid="{00000000-0006-0000-0500-000091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31" authorId="0" shapeId="0" xr:uid="{00000000-0006-0000-0500-000092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32" authorId="0" shapeId="0" xr:uid="{00000000-0006-0000-0500-000093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3" authorId="0" shapeId="0" xr:uid="{00000000-0006-0000-0500-000094020000}">
      <text>
        <r>
          <rPr>
            <b/>
            <sz val="9"/>
            <color indexed="81"/>
            <rFont val="Tahoma"/>
            <family val="2"/>
          </rPr>
          <t>YULIED.PENARANDA:</t>
        </r>
        <r>
          <rPr>
            <sz val="9"/>
            <color indexed="81"/>
            <rFont val="Tahoma"/>
            <family val="2"/>
          </rPr>
          <t xml:space="preserve">
Se suma los recursos presupuestales (vigencia + reservas)</t>
        </r>
      </text>
    </comment>
    <comment ref="D634" authorId="0" shapeId="0" xr:uid="{00000000-0006-0000-0500-000095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35" authorId="0" shapeId="0" xr:uid="{00000000-0006-0000-0500-000096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36" authorId="0" shapeId="0" xr:uid="{00000000-0006-0000-0500-000097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37" authorId="0" shapeId="0" xr:uid="{00000000-0006-0000-0500-000098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38" authorId="0" shapeId="0" xr:uid="{00000000-0006-0000-0500-000099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9" authorId="0" shapeId="0" xr:uid="{00000000-0006-0000-0500-00009A020000}">
      <text>
        <r>
          <rPr>
            <b/>
            <sz val="9"/>
            <color indexed="81"/>
            <rFont val="Tahoma"/>
            <family val="2"/>
          </rPr>
          <t>YULIED.PENARANDA:</t>
        </r>
        <r>
          <rPr>
            <sz val="9"/>
            <color indexed="81"/>
            <rFont val="Tahoma"/>
            <family val="2"/>
          </rPr>
          <t xml:space="preserve">
Se suma los recursos presupuestales (vigencia + reservas)</t>
        </r>
      </text>
    </comment>
    <comment ref="D640" authorId="0" shapeId="0" xr:uid="{00000000-0006-0000-0500-00009B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41" authorId="0" shapeId="0" xr:uid="{00000000-0006-0000-0500-00009C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42" authorId="0" shapeId="0" xr:uid="{00000000-0006-0000-0500-00009D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43" authorId="0" shapeId="0" xr:uid="{00000000-0006-0000-0500-00009E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44" authorId="0" shapeId="0" xr:uid="{00000000-0006-0000-0500-00009F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45" authorId="0" shapeId="0" xr:uid="{00000000-0006-0000-0500-0000A0020000}">
      <text>
        <r>
          <rPr>
            <b/>
            <sz val="9"/>
            <color indexed="81"/>
            <rFont val="Tahoma"/>
            <family val="2"/>
          </rPr>
          <t>YULIED.PENARANDA:</t>
        </r>
        <r>
          <rPr>
            <sz val="9"/>
            <color indexed="81"/>
            <rFont val="Tahoma"/>
            <family val="2"/>
          </rPr>
          <t xml:space="preserve">
Se suma los recursos presupuestales (vigencia + reservas)</t>
        </r>
      </text>
    </comment>
    <comment ref="D646" authorId="0" shapeId="0" xr:uid="{00000000-0006-0000-0500-0000A1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47" authorId="0" shapeId="0" xr:uid="{00000000-0006-0000-0500-0000A2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48" authorId="0" shapeId="0" xr:uid="{00000000-0006-0000-0500-0000A3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49" authorId="0" shapeId="0" xr:uid="{00000000-0006-0000-0500-0000A4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50" authorId="0" shapeId="0" xr:uid="{00000000-0006-0000-0500-0000A5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51" authorId="0" shapeId="0" xr:uid="{00000000-0006-0000-0500-0000A6020000}">
      <text>
        <r>
          <rPr>
            <b/>
            <sz val="9"/>
            <color indexed="81"/>
            <rFont val="Tahoma"/>
            <family val="2"/>
          </rPr>
          <t>YULIED.PENARANDA:</t>
        </r>
        <r>
          <rPr>
            <sz val="9"/>
            <color indexed="81"/>
            <rFont val="Tahoma"/>
            <family val="2"/>
          </rPr>
          <t xml:space="preserve">
Se suma los recursos presupuestales (vigencia + reservas)</t>
        </r>
      </text>
    </comment>
    <comment ref="D676" authorId="0" shapeId="0" xr:uid="{00000000-0006-0000-0500-0000A7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77" authorId="0" shapeId="0" xr:uid="{00000000-0006-0000-0500-0000A8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78" authorId="0" shapeId="0" xr:uid="{00000000-0006-0000-0500-0000A9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79" authorId="0" shapeId="0" xr:uid="{00000000-0006-0000-0500-0000AA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0" authorId="0" shapeId="0" xr:uid="{00000000-0006-0000-0500-0000AB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81" authorId="0" shapeId="0" xr:uid="{00000000-0006-0000-0500-0000AC020000}">
      <text>
        <r>
          <rPr>
            <b/>
            <sz val="9"/>
            <color indexed="81"/>
            <rFont val="Tahoma"/>
            <family val="2"/>
          </rPr>
          <t>YULIED.PENARANDA:</t>
        </r>
        <r>
          <rPr>
            <sz val="9"/>
            <color indexed="81"/>
            <rFont val="Tahoma"/>
            <family val="2"/>
          </rPr>
          <t xml:space="preserve">
Se suma los recursos presupuestales (vigencia + reservas)</t>
        </r>
      </text>
    </comment>
    <comment ref="D682" authorId="0" shapeId="0" xr:uid="{00000000-0006-0000-0500-0000AD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83" authorId="0" shapeId="0" xr:uid="{00000000-0006-0000-0500-0000AE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84" authorId="0" shapeId="0" xr:uid="{00000000-0006-0000-0500-0000AF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85" authorId="0" shapeId="0" xr:uid="{00000000-0006-0000-0500-0000B0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6" authorId="0" shapeId="0" xr:uid="{00000000-0006-0000-0500-0000B1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87" authorId="0" shapeId="0" xr:uid="{00000000-0006-0000-0500-0000B2020000}">
      <text>
        <r>
          <rPr>
            <b/>
            <sz val="9"/>
            <color indexed="81"/>
            <rFont val="Tahoma"/>
            <family val="2"/>
          </rPr>
          <t>YULIED.PENARANDA:</t>
        </r>
        <r>
          <rPr>
            <sz val="9"/>
            <color indexed="81"/>
            <rFont val="Tahoma"/>
            <family val="2"/>
          </rPr>
          <t xml:space="preserve">
Se suma los recursos presupuestales (vigencia + reservas)</t>
        </r>
      </text>
    </comment>
    <comment ref="D688" authorId="0" shapeId="0" xr:uid="{00000000-0006-0000-0500-0000B3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89" authorId="0" shapeId="0" xr:uid="{00000000-0006-0000-0500-0000B4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90" authorId="0" shapeId="0" xr:uid="{00000000-0006-0000-0500-0000B5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91" authorId="0" shapeId="0" xr:uid="{00000000-0006-0000-0500-0000B6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92" authorId="0" shapeId="0" xr:uid="{00000000-0006-0000-0500-0000B7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3" authorId="0" shapeId="0" xr:uid="{00000000-0006-0000-0500-0000B8020000}">
      <text>
        <r>
          <rPr>
            <b/>
            <sz val="9"/>
            <color indexed="81"/>
            <rFont val="Tahoma"/>
            <family val="2"/>
          </rPr>
          <t>YULIED.PENARANDA:</t>
        </r>
        <r>
          <rPr>
            <sz val="9"/>
            <color indexed="81"/>
            <rFont val="Tahoma"/>
            <family val="2"/>
          </rPr>
          <t xml:space="preserve">
Se suma los recursos presupuestales (vigencia + reservas)</t>
        </r>
      </text>
    </comment>
    <comment ref="D694" authorId="0" shapeId="0" xr:uid="{00000000-0006-0000-0500-0000B9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95" authorId="0" shapeId="0" xr:uid="{00000000-0006-0000-0500-0000BA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96" authorId="0" shapeId="0" xr:uid="{00000000-0006-0000-0500-0000BB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97" authorId="0" shapeId="0" xr:uid="{00000000-0006-0000-0500-0000BC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98" authorId="0" shapeId="0" xr:uid="{00000000-0006-0000-0500-0000BD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9" authorId="0" shapeId="0" xr:uid="{00000000-0006-0000-0500-0000BE020000}">
      <text>
        <r>
          <rPr>
            <b/>
            <sz val="9"/>
            <color indexed="81"/>
            <rFont val="Tahoma"/>
            <family val="2"/>
          </rPr>
          <t>YULIED.PENARANDA:</t>
        </r>
        <r>
          <rPr>
            <sz val="9"/>
            <color indexed="81"/>
            <rFont val="Tahoma"/>
            <family val="2"/>
          </rPr>
          <t xml:space="preserve">
Se suma los recursos presupuestales (vigencia + reservas)</t>
        </r>
      </text>
    </comment>
    <comment ref="D700" authorId="0" shapeId="0" xr:uid="{00000000-0006-0000-0500-0000BF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01" authorId="0" shapeId="0" xr:uid="{00000000-0006-0000-0500-0000C0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02" authorId="0" shapeId="0" xr:uid="{00000000-0006-0000-0500-0000C1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03" authorId="0" shapeId="0" xr:uid="{00000000-0006-0000-0500-0000C2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04" authorId="0" shapeId="0" xr:uid="{00000000-0006-0000-0500-0000C3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05" authorId="0" shapeId="0" xr:uid="{00000000-0006-0000-0500-0000C4020000}">
      <text>
        <r>
          <rPr>
            <b/>
            <sz val="9"/>
            <color indexed="81"/>
            <rFont val="Tahoma"/>
            <family val="2"/>
          </rPr>
          <t>YULIED.PENARANDA:</t>
        </r>
        <r>
          <rPr>
            <sz val="9"/>
            <color indexed="81"/>
            <rFont val="Tahoma"/>
            <family val="2"/>
          </rPr>
          <t xml:space="preserve">
Se suma los recursos presupuestales (vigencia + reservas)</t>
        </r>
      </text>
    </comment>
    <comment ref="D706" authorId="0" shapeId="0" xr:uid="{00000000-0006-0000-0500-0000C5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07" authorId="0" shapeId="0" xr:uid="{00000000-0006-0000-0500-0000C6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08" authorId="0" shapeId="0" xr:uid="{00000000-0006-0000-0500-0000C7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09" authorId="0" shapeId="0" xr:uid="{00000000-0006-0000-0500-0000C8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10" authorId="0" shapeId="0" xr:uid="{00000000-0006-0000-0500-0000C9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11" authorId="0" shapeId="0" xr:uid="{00000000-0006-0000-0500-0000CA020000}">
      <text>
        <r>
          <rPr>
            <b/>
            <sz val="9"/>
            <color indexed="81"/>
            <rFont val="Tahoma"/>
            <family val="2"/>
          </rPr>
          <t>YULIED.PENARANDA:</t>
        </r>
        <r>
          <rPr>
            <sz val="9"/>
            <color indexed="81"/>
            <rFont val="Tahoma"/>
            <family val="2"/>
          </rPr>
          <t xml:space="preserve">
Se suma los recursos presupuestales (vigencia + reservas)</t>
        </r>
      </text>
    </comment>
    <comment ref="D712" authorId="0" shapeId="0" xr:uid="{00000000-0006-0000-0500-0000CB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13" authorId="0" shapeId="0" xr:uid="{00000000-0006-0000-0500-0000CC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14" authorId="0" shapeId="0" xr:uid="{00000000-0006-0000-0500-0000CD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15" authorId="0" shapeId="0" xr:uid="{00000000-0006-0000-0500-0000CE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16" authorId="0" shapeId="0" xr:uid="{00000000-0006-0000-0500-0000CF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17" authorId="0" shapeId="0" xr:uid="{00000000-0006-0000-0500-0000D0020000}">
      <text>
        <r>
          <rPr>
            <b/>
            <sz val="9"/>
            <color indexed="81"/>
            <rFont val="Tahoma"/>
            <family val="2"/>
          </rPr>
          <t>YULIED.PENARANDA:</t>
        </r>
        <r>
          <rPr>
            <sz val="9"/>
            <color indexed="81"/>
            <rFont val="Tahoma"/>
            <family val="2"/>
          </rPr>
          <t xml:space="preserve">
Se suma los recursos presupuestales (vigencia + reservas)</t>
        </r>
      </text>
    </comment>
    <comment ref="D718" authorId="0" shapeId="0" xr:uid="{00000000-0006-0000-0500-0000D1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19" authorId="0" shapeId="0" xr:uid="{00000000-0006-0000-0500-0000D2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20" authorId="0" shapeId="0" xr:uid="{00000000-0006-0000-0500-0000D3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21" authorId="0" shapeId="0" xr:uid="{00000000-0006-0000-0500-0000D4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22" authorId="0" shapeId="0" xr:uid="{00000000-0006-0000-0500-0000D5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23" authorId="0" shapeId="0" xr:uid="{00000000-0006-0000-0500-0000D6020000}">
      <text>
        <r>
          <rPr>
            <b/>
            <sz val="9"/>
            <color indexed="81"/>
            <rFont val="Tahoma"/>
            <family val="2"/>
          </rPr>
          <t>YULIED.PENARANDA:</t>
        </r>
        <r>
          <rPr>
            <sz val="9"/>
            <color indexed="81"/>
            <rFont val="Tahoma"/>
            <family val="2"/>
          </rPr>
          <t xml:space="preserve">
Se suma los recursos presupuestales (vigencia + reservas)</t>
        </r>
      </text>
    </comment>
    <comment ref="D724" authorId="0" shapeId="0" xr:uid="{00000000-0006-0000-0500-0000D7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25" authorId="0" shapeId="0" xr:uid="{00000000-0006-0000-0500-0000D8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26" authorId="0" shapeId="0" xr:uid="{00000000-0006-0000-0500-0000D9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27" authorId="0" shapeId="0" xr:uid="{00000000-0006-0000-0500-0000DA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28" authorId="0" shapeId="0" xr:uid="{00000000-0006-0000-0500-0000DB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29" authorId="0" shapeId="0" xr:uid="{00000000-0006-0000-0500-0000DC020000}">
      <text>
        <r>
          <rPr>
            <b/>
            <sz val="9"/>
            <color indexed="81"/>
            <rFont val="Tahoma"/>
            <family val="2"/>
          </rPr>
          <t>YULIED.PENARANDA:</t>
        </r>
        <r>
          <rPr>
            <sz val="9"/>
            <color indexed="81"/>
            <rFont val="Tahoma"/>
            <family val="2"/>
          </rPr>
          <t xml:space="preserve">
Se suma los recursos presupuestales (vigencia + reservas)</t>
        </r>
      </text>
    </comment>
    <comment ref="D730" authorId="0" shapeId="0" xr:uid="{00000000-0006-0000-0500-0000DD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31" authorId="0" shapeId="0" xr:uid="{00000000-0006-0000-0500-0000DE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32" authorId="0" shapeId="0" xr:uid="{00000000-0006-0000-0500-0000DF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33" authorId="0" shapeId="0" xr:uid="{00000000-0006-0000-0500-0000E0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34" authorId="0" shapeId="0" xr:uid="{00000000-0006-0000-0500-0000E1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35" authorId="0" shapeId="0" xr:uid="{00000000-0006-0000-0500-0000E2020000}">
      <text>
        <r>
          <rPr>
            <b/>
            <sz val="9"/>
            <color indexed="81"/>
            <rFont val="Tahoma"/>
            <family val="2"/>
          </rPr>
          <t>YULIED.PENARANDA:</t>
        </r>
        <r>
          <rPr>
            <sz val="9"/>
            <color indexed="81"/>
            <rFont val="Tahoma"/>
            <family val="2"/>
          </rPr>
          <t xml:space="preserve">
Se suma los recursos presupuestales (vigencia + reservas)</t>
        </r>
      </text>
    </comment>
    <comment ref="D736" authorId="0" shapeId="0" xr:uid="{00000000-0006-0000-0500-0000E3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37" authorId="0" shapeId="0" xr:uid="{00000000-0006-0000-0500-0000E4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38" authorId="0" shapeId="0" xr:uid="{00000000-0006-0000-0500-0000E5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39" authorId="0" shapeId="0" xr:uid="{00000000-0006-0000-0500-0000E6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40" authorId="0" shapeId="0" xr:uid="{00000000-0006-0000-0500-0000E7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41" authorId="0" shapeId="0" xr:uid="{00000000-0006-0000-0500-0000E8020000}">
      <text>
        <r>
          <rPr>
            <b/>
            <sz val="9"/>
            <color indexed="81"/>
            <rFont val="Tahoma"/>
            <family val="2"/>
          </rPr>
          <t>YULIED.PENARANDA:</t>
        </r>
        <r>
          <rPr>
            <sz val="9"/>
            <color indexed="81"/>
            <rFont val="Tahoma"/>
            <family val="2"/>
          </rPr>
          <t xml:space="preserve">
Se suma los recursos presupuestales (vigencia + reservas)</t>
        </r>
      </text>
    </comment>
    <comment ref="D742" authorId="0" shapeId="0" xr:uid="{00000000-0006-0000-0500-0000E9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43" authorId="0" shapeId="0" xr:uid="{00000000-0006-0000-0500-0000EA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44" authorId="0" shapeId="0" xr:uid="{00000000-0006-0000-0500-0000EB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45" authorId="0" shapeId="0" xr:uid="{00000000-0006-0000-0500-0000EC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46" authorId="0" shapeId="0" xr:uid="{00000000-0006-0000-0500-0000ED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47" authorId="0" shapeId="0" xr:uid="{00000000-0006-0000-0500-0000EE020000}">
      <text>
        <r>
          <rPr>
            <b/>
            <sz val="9"/>
            <color indexed="81"/>
            <rFont val="Tahoma"/>
            <family val="2"/>
          </rPr>
          <t>YULIED.PENARANDA:</t>
        </r>
        <r>
          <rPr>
            <sz val="9"/>
            <color indexed="81"/>
            <rFont val="Tahoma"/>
            <family val="2"/>
          </rPr>
          <t xml:space="preserve">
Se suma los recursos presupuestales (vigencia + reservas)</t>
        </r>
      </text>
    </comment>
    <comment ref="D748" authorId="0" shapeId="0" xr:uid="{00000000-0006-0000-0500-0000EF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49" authorId="0" shapeId="0" xr:uid="{00000000-0006-0000-0500-0000F0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50" authorId="0" shapeId="0" xr:uid="{00000000-0006-0000-0500-0000F1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51" authorId="0" shapeId="0" xr:uid="{00000000-0006-0000-0500-0000F2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52" authorId="0" shapeId="0" xr:uid="{00000000-0006-0000-0500-0000F3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53" authorId="0" shapeId="0" xr:uid="{00000000-0006-0000-0500-0000F4020000}">
      <text>
        <r>
          <rPr>
            <b/>
            <sz val="9"/>
            <color indexed="81"/>
            <rFont val="Tahoma"/>
            <family val="2"/>
          </rPr>
          <t>YULIED.PENARANDA:</t>
        </r>
        <r>
          <rPr>
            <sz val="9"/>
            <color indexed="81"/>
            <rFont val="Tahoma"/>
            <family val="2"/>
          </rPr>
          <t xml:space="preserve">
Se suma los recursos presupuestales (vigencia + reservas)</t>
        </r>
      </text>
    </comment>
    <comment ref="D754" authorId="0" shapeId="0" xr:uid="{00000000-0006-0000-0500-0000F5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55" authorId="0" shapeId="0" xr:uid="{00000000-0006-0000-0500-0000F6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56" authorId="0" shapeId="0" xr:uid="{00000000-0006-0000-0500-0000F7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57" authorId="0" shapeId="0" xr:uid="{00000000-0006-0000-0500-0000F8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58" authorId="0" shapeId="0" xr:uid="{00000000-0006-0000-0500-0000F9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59" authorId="0" shapeId="0" xr:uid="{00000000-0006-0000-0500-0000FA020000}">
      <text>
        <r>
          <rPr>
            <b/>
            <sz val="9"/>
            <color indexed="81"/>
            <rFont val="Tahoma"/>
            <family val="2"/>
          </rPr>
          <t>YULIED.PENARANDA:</t>
        </r>
        <r>
          <rPr>
            <sz val="9"/>
            <color indexed="81"/>
            <rFont val="Tahoma"/>
            <family val="2"/>
          </rPr>
          <t xml:space="preserve">
Se suma los recursos presupuestales (vigencia + reservas)</t>
        </r>
      </text>
    </comment>
    <comment ref="D760" authorId="0" shapeId="0" xr:uid="{00000000-0006-0000-0500-0000FB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61" authorId="0" shapeId="0" xr:uid="{00000000-0006-0000-0500-0000FC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62" authorId="0" shapeId="0" xr:uid="{00000000-0006-0000-0500-0000FD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63" authorId="0" shapeId="0" xr:uid="{00000000-0006-0000-0500-0000FE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64" authorId="0" shapeId="0" xr:uid="{00000000-0006-0000-0500-0000FF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65" authorId="0" shapeId="0" xr:uid="{00000000-0006-0000-0500-000000030000}">
      <text>
        <r>
          <rPr>
            <b/>
            <sz val="9"/>
            <color indexed="81"/>
            <rFont val="Tahoma"/>
            <family val="2"/>
          </rPr>
          <t>YULIED.PENARANDA:</t>
        </r>
        <r>
          <rPr>
            <sz val="9"/>
            <color indexed="81"/>
            <rFont val="Tahoma"/>
            <family val="2"/>
          </rPr>
          <t xml:space="preserve">
Se suma los recursos presupuestales (vigencia + reservas)</t>
        </r>
      </text>
    </comment>
    <comment ref="D766" authorId="0" shapeId="0" xr:uid="{00000000-0006-0000-0500-000001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67" authorId="0" shapeId="0" xr:uid="{00000000-0006-0000-0500-000002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68" authorId="0" shapeId="0" xr:uid="{00000000-0006-0000-0500-000003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69" authorId="0" shapeId="0" xr:uid="{00000000-0006-0000-0500-000004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70" authorId="0" shapeId="0" xr:uid="{00000000-0006-0000-0500-000005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71" authorId="0" shapeId="0" xr:uid="{00000000-0006-0000-0500-000006030000}">
      <text>
        <r>
          <rPr>
            <b/>
            <sz val="9"/>
            <color indexed="81"/>
            <rFont val="Tahoma"/>
            <family val="2"/>
          </rPr>
          <t>YULIED.PENARANDA:</t>
        </r>
        <r>
          <rPr>
            <sz val="9"/>
            <color indexed="81"/>
            <rFont val="Tahoma"/>
            <family val="2"/>
          </rPr>
          <t xml:space="preserve">
Se suma los recursos presupuestales (vigencia + reservas)</t>
        </r>
      </text>
    </comment>
    <comment ref="D772" authorId="0" shapeId="0" xr:uid="{00000000-0006-0000-0500-000007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3" authorId="0" shapeId="0" xr:uid="{00000000-0006-0000-0500-000008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74" authorId="0" shapeId="0" xr:uid="{00000000-0006-0000-0500-000009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75" authorId="0" shapeId="0" xr:uid="{00000000-0006-0000-0500-00000A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76" authorId="0" shapeId="0" xr:uid="{00000000-0006-0000-0500-00000B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77" authorId="0" shapeId="0" xr:uid="{00000000-0006-0000-0500-00000C030000}">
      <text>
        <r>
          <rPr>
            <b/>
            <sz val="9"/>
            <color indexed="81"/>
            <rFont val="Tahoma"/>
            <family val="2"/>
          </rPr>
          <t>YULIED.PENARANDA:</t>
        </r>
        <r>
          <rPr>
            <sz val="9"/>
            <color indexed="81"/>
            <rFont val="Tahoma"/>
            <family val="2"/>
          </rPr>
          <t xml:space="preserve">
Se suma los recursos presupuestales (vigencia + reservas)</t>
        </r>
      </text>
    </comment>
    <comment ref="D778" authorId="0" shapeId="0" xr:uid="{00000000-0006-0000-0500-00000D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9" authorId="0" shapeId="0" xr:uid="{00000000-0006-0000-0500-00000E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0" authorId="0" shapeId="0" xr:uid="{00000000-0006-0000-0500-00000F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81" authorId="0" shapeId="0" xr:uid="{00000000-0006-0000-0500-000010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82" authorId="0" shapeId="0" xr:uid="{00000000-0006-0000-0500-000011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83" authorId="0" shapeId="0" xr:uid="{00000000-0006-0000-0500-000012030000}">
      <text>
        <r>
          <rPr>
            <b/>
            <sz val="9"/>
            <color indexed="81"/>
            <rFont val="Tahoma"/>
            <family val="2"/>
          </rPr>
          <t>YULIED.PENARANDA:</t>
        </r>
        <r>
          <rPr>
            <sz val="9"/>
            <color indexed="81"/>
            <rFont val="Tahoma"/>
            <family val="2"/>
          </rPr>
          <t xml:space="preserve">
Se suma los recursos presupuestales (vigencia + reservas)</t>
        </r>
      </text>
    </comment>
    <comment ref="D784" authorId="0" shapeId="0" xr:uid="{00000000-0006-0000-0500-000013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85" authorId="0" shapeId="0" xr:uid="{00000000-0006-0000-0500-000014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6" authorId="0" shapeId="0" xr:uid="{00000000-0006-0000-0500-000015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87" authorId="0" shapeId="0" xr:uid="{00000000-0006-0000-0500-000016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88" authorId="0" shapeId="0" xr:uid="{00000000-0006-0000-0500-000017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89" authorId="0" shapeId="0" xr:uid="{00000000-0006-0000-0500-000018030000}">
      <text>
        <r>
          <rPr>
            <b/>
            <sz val="9"/>
            <color indexed="81"/>
            <rFont val="Tahoma"/>
            <family val="2"/>
          </rPr>
          <t>YULIED.PENARANDA:</t>
        </r>
        <r>
          <rPr>
            <sz val="9"/>
            <color indexed="81"/>
            <rFont val="Tahoma"/>
            <family val="2"/>
          </rPr>
          <t xml:space="preserve">
Se suma los recursos presupuestales (vigencia + reservas)</t>
        </r>
      </text>
    </comment>
    <comment ref="D790" authorId="0" shapeId="0" xr:uid="{00000000-0006-0000-0500-000019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91" authorId="0" shapeId="0" xr:uid="{00000000-0006-0000-0500-00001A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92" authorId="0" shapeId="0" xr:uid="{00000000-0006-0000-0500-00001B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93" authorId="0" shapeId="0" xr:uid="{00000000-0006-0000-0500-00001C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94" authorId="0" shapeId="0" xr:uid="{00000000-0006-0000-0500-00001D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95" authorId="0" shapeId="0" xr:uid="{00000000-0006-0000-0500-00001E030000}">
      <text>
        <r>
          <rPr>
            <b/>
            <sz val="9"/>
            <color indexed="81"/>
            <rFont val="Tahoma"/>
            <family val="2"/>
          </rPr>
          <t>YULIED.PENARANDA:</t>
        </r>
        <r>
          <rPr>
            <sz val="9"/>
            <color indexed="81"/>
            <rFont val="Tahoma"/>
            <family val="2"/>
          </rPr>
          <t xml:space="preserve">
Se suma los recursos presupuestales (vigencia + reservas)</t>
        </r>
      </text>
    </comment>
    <comment ref="D796" authorId="0" shapeId="0" xr:uid="{00000000-0006-0000-0500-00001F03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797" authorId="0" shapeId="0" xr:uid="{00000000-0006-0000-0500-00002003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798" authorId="0" shapeId="0" xr:uid="{00000000-0006-0000-0500-00002103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sharedStrings.xml><?xml version="1.0" encoding="utf-8"?>
<sst xmlns="http://schemas.openxmlformats.org/spreadsheetml/2006/main" count="8429" uniqueCount="1331">
  <si>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</si>
  <si>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</si>
  <si>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</si>
  <si>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</si>
  <si>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</si>
  <si>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</si>
  <si>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</si>
  <si>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</si>
  <si>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</si>
  <si>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</si>
  <si>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</si>
  <si>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</si>
  <si>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</si>
  <si>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</si>
  <si>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</si>
  <si>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</si>
  <si>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</si>
  <si>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</si>
  <si>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</si>
  <si>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</si>
  <si>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</si>
  <si>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</si>
  <si>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</si>
  <si>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</si>
  <si>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</si>
  <si>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</si>
  <si>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</si>
  <si>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</si>
  <si>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</si>
  <si>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</si>
  <si>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</si>
  <si>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</si>
  <si>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</si>
  <si>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</si>
  <si>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</si>
  <si>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</si>
  <si>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</si>
  <si>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</si>
  <si>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</si>
  <si>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</si>
  <si>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</si>
  <si>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</si>
  <si>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</si>
  <si>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</si>
  <si>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</si>
  <si>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</si>
  <si>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</si>
  <si>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</si>
  <si>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</si>
  <si>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</si>
  <si>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</si>
  <si>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</si>
  <si>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</si>
  <si>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</si>
  <si>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</si>
  <si>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</si>
  <si>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</si>
  <si>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</si>
  <si>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</si>
  <si>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</si>
  <si>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</si>
  <si>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</si>
  <si>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</si>
  <si>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</si>
  <si>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</si>
  <si>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</si>
  <si>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</si>
  <si>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</si>
  <si>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</si>
  <si>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</si>
  <si>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N/A</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</si>
  <si>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</si>
  <si>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</si>
  <si>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</si>
  <si>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</si>
  <si>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</si>
  <si>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</si>
  <si>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</si>
  <si>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</si>
  <si>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</si>
  <si>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</si>
  <si>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</si>
  <si>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</si>
  <si>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</si>
  <si>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</si>
  <si>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</si>
  <si>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</si>
  <si>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</si>
  <si>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</si>
  <si>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</si>
  <si>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</si>
  <si>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</si>
  <si>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</si>
  <si>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</si>
  <si>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</si>
  <si>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</si>
  <si>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</si>
  <si>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</si>
  <si>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</si>
  <si>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</si>
  <si>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</si>
  <si>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</si>
  <si>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</si>
  <si>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</si>
  <si>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</si>
  <si>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</si>
  <si>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</si>
  <si>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</si>
  <si>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</si>
  <si>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</si>
  <si>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</si>
  <si>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</si>
  <si>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</si>
  <si>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</si>
  <si>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</si>
  <si>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</si>
  <si>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</si>
  <si>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</si>
  <si>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</si>
  <si>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</si>
  <si>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</si>
  <si>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</si>
  <si>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</si>
  <si>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</si>
  <si>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</si>
  <si>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</si>
  <si>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</si>
  <si>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</si>
  <si>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</si>
  <si>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</si>
  <si>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</si>
  <si>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</si>
  <si>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</si>
  <si>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</si>
  <si>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</si>
  <si>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</si>
  <si>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</si>
  <si>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</si>
  <si>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</si>
  <si>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</si>
  <si>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</si>
  <si>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</si>
  <si>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</si>
  <si>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</si>
  <si>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</si>
  <si>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</si>
  <si>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</si>
  <si>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</si>
  <si>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</si>
  <si>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</si>
  <si>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</si>
  <si>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</si>
  <si>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</si>
  <si>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</si>
  <si>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</si>
  <si>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</si>
  <si>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</si>
  <si>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</si>
  <si>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</si>
  <si>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</si>
  <si>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</si>
  <si>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</si>
  <si>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</si>
  <si>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</si>
  <si>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</si>
  <si>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</si>
  <si>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</si>
  <si>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</si>
  <si>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</si>
  <si>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</si>
  <si>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</si>
  <si>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</si>
  <si>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</si>
  <si>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</si>
  <si>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</si>
  <si>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</si>
  <si>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</si>
  <si>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</si>
  <si>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</si>
  <si>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</si>
  <si>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</si>
  <si>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</si>
  <si>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</si>
  <si>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</si>
  <si>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</si>
  <si>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</si>
  <si>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</si>
  <si>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</si>
  <si>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</si>
  <si>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</si>
  <si>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</si>
  <si>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</si>
  <si>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</si>
  <si>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</si>
  <si>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</si>
  <si>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</si>
  <si>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</si>
  <si>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</si>
  <si>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</si>
  <si>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</si>
  <si>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</si>
  <si>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</si>
  <si>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</si>
  <si>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</si>
  <si>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</si>
  <si>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</si>
  <si>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5, PONDERACIÓN HORIZONTAL AÑO: 2021</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</si>
  <si>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</si>
  <si>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</si>
  <si>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</si>
  <si>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</si>
  <si>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</si>
  <si>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</si>
  <si>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</si>
  <si>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</si>
  <si>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</si>
  <si>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</si>
  <si>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</si>
  <si>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</si>
  <si>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</si>
  <si>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</si>
  <si>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</si>
  <si>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</si>
  <si>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</si>
  <si>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</si>
  <si>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NA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</si>
  <si>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</si>
  <si>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</si>
  <si>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</si>
  <si>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</si>
  <si>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</si>
  <si>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</si>
  <si>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</si>
  <si>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</si>
  <si>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</si>
  <si>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</si>
  <si>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</si>
  <si>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</si>
  <si>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</si>
  <si>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</si>
  <si>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</si>
  <si>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</si>
  <si>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</si>
  <si>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</si>
  <si>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</si>
  <si>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</si>
  <si>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</si>
  <si>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Versión:</t>
    </r>
    <r>
      <rPr>
        <b/>
        <sz val="20"/>
        <color rgb="FFFF0000"/>
        <rFont val="Arial"/>
        <family val="2"/>
      </rPr>
      <t xml:space="preserve"> </t>
    </r>
    <r>
      <rPr>
        <b/>
        <sz val="20"/>
        <rFont val="Arial"/>
        <family val="2"/>
      </rPr>
      <t>14</t>
    </r>
  </si>
  <si>
    <t>Versión : 14</t>
  </si>
  <si>
    <t xml:space="preserve"> Versión : 14</t>
  </si>
  <si>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</si>
  <si>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</si>
  <si>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</si>
  <si>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</si>
  <si>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</si>
  <si>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</si>
  <si>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</si>
  <si>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</si>
  <si>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</si>
  <si>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</si>
  <si>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</si>
  <si>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</si>
  <si>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</si>
  <si>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</si>
  <si>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</si>
  <si>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</si>
  <si>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</si>
  <si>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</si>
  <si>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</si>
  <si>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</si>
  <si>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</si>
  <si>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</si>
  <si>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</si>
  <si>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Articular e implementar el Plan de Acción Climática Bogotá D.C. 2020-2050 incluyendo la gestión necesaria para lograr una reducción de por lo menos 15% en la emisión de gases de efecto invernadero de Bogotá para 2024, incluyendo herramientas como la participación de la ciudad en los mercados de carbono.</t>
  </si>
  <si>
    <t>Número de estrategias consolidadas e implementadas</t>
  </si>
  <si>
    <t>Número</t>
  </si>
  <si>
    <t>SUMA</t>
  </si>
  <si>
    <t>Implementar una (1) Estrategia Distrital de Crecimiento Verde con enfoque de sostenibilidad ambiental e innovación que impulse la eficiencia energética, las fuentes no convencionales de energías renovables y la economía circular de manera articulada con los grandes y pequeños generadores y consumidores y que incorpore un sistema de
monitoreo para medir la transición hacia un crecimiento verde y el cumplimiento de los ODS</t>
  </si>
  <si>
    <t>Numero de estrategias distritales de crecimiento verde implementadas</t>
  </si>
  <si>
    <t>Realizar la gestión y seguimiento a la aplicación de los  determinantes ambientales en 1.000 proyectos de ciudad tomando en cuenta medidas de adaptación y mitigación a la crisis climática.</t>
  </si>
  <si>
    <t>Número de proyectos de ciudad con gestión para la incorporación de determinantes ambientales con medidas de mitigación y adaptación al cambio climático.</t>
  </si>
  <si>
    <t>Numero</t>
  </si>
  <si>
    <t>Numero de proyectos de ciudad con seguimiento de la aplicación de los determinantes ambientales</t>
  </si>
  <si>
    <t>Reverdecer 20.000 m2 en la ciudad a través del fortalecimiento de la infraestructura vegetada</t>
  </si>
  <si>
    <t>M2 reverdecidos en la ciudad a través del fortalecimiento de la infraestructura vegetada (techos verdes y jardines verticales con acompañamiento técnico)</t>
  </si>
  <si>
    <t>M2</t>
  </si>
  <si>
    <t>Ecourbanismo y construcción sostenible</t>
  </si>
  <si>
    <t>Realizar a 600 proyectos de infraestructura, la gestión para la aplicación de determinantes ambientales.</t>
  </si>
  <si>
    <t>Realizar a 400 proyectos de infraestructura en etapa de operación, el seguimiento a la incorporación de determinantes ambientales.</t>
  </si>
  <si>
    <t>Realizar a 20000 m2 de techos verdes y jardines verticales, el acompañamiento técnico</t>
  </si>
  <si>
    <t>Gestión Ambiental Empresarial</t>
  </si>
  <si>
    <t>Diseñar y hacer seguimiento a  1 estrategia de crecimiento verde con enfoque de sostenibilidad, economía circular  e innovación</t>
  </si>
  <si>
    <t>CRECIENTE</t>
  </si>
  <si>
    <t>Asistir a 800 proyectos participantes de programas voluntarios ofrecidos por la SEGAE, para el mejoramiento del desempeño ambiental.</t>
  </si>
  <si>
    <t>Acompañar y promover a 100 empresas en el proceso de verificación de los criterios de Negocios verdes.</t>
  </si>
  <si>
    <t>Desarrollar 6 proyectos pilotos de economía circular en sectores productivos priorizados</t>
  </si>
  <si>
    <t>Desarrollar 9 proyectos de producción más limpia en los sectores priorizados</t>
  </si>
  <si>
    <t xml:space="preserve">Plan de Acción Climática para Bogotá D.C. 2020 - 2050. </t>
  </si>
  <si>
    <t>Articular y consolidar 1 Plan de Acción Climática para Bogotá D.C. 2020 - 2050.</t>
  </si>
  <si>
    <t>Implementar al 100% de las acciones priorizadas del Plan de Acción Climática para Bogotá D.C. 2020 - 2050.</t>
  </si>
  <si>
    <t>SUBDIRECCION DE ECOURBANISMO Y GESTIÓN AMBIENTAL EMPRESARIAL</t>
  </si>
  <si>
    <t>7794 - Fortalecimiento de la gestión ambiental sectorial, el ecourbanismo y cambio climático en el D.C.Bogotá</t>
  </si>
  <si>
    <t>1, COD. META</t>
  </si>
  <si>
    <t>2, Meta Proyecto</t>
  </si>
  <si>
    <t>3. Identificación del punto de invesión</t>
  </si>
  <si>
    <t>4, Variable</t>
  </si>
  <si>
    <t>5. PROGRAMACIÓN INICIAL AÑO 2021</t>
  </si>
  <si>
    <t>11, LECCIONES APRENDIDAS - OBSERVACIONES</t>
  </si>
  <si>
    <t>LOCALIDADES: Mediante esta meta se emitirán determinnates ambientales en proyectos urbanos y arquitectónicos de diferentes escalas, así como a instrumentos de planeamiento urbano, promoviendo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</si>
  <si>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Meta cumplida deacuerdo con lo programado</t>
  </si>
  <si>
    <t>El ejecutado durante la vigencia 2021 corresponde a cuarenta y tres (43) proyectos, (5 proyecto en enero, 8 en febrero, 10 en marzo, 10 en abril y 10 en mayo), a los cuales se les ha incorporado criterios de sostenibilidad y corresponden a: Cinco (05) Plan Parcial de Desarrollo, seis (06) Planes Parciales de Renovación Urbana, dos (02) Planes de Implantación, un (01) proyectos de compatibilidad de uso de vivienda en suelo restringido y veintinueve (29) Diseños paisajísticos de parques y zonas verdes.</t>
  </si>
  <si>
    <t>Bosa, Usaquen, Ciudad Bolívar y Fontibón, Usme, San Cristobal, Bosa, Fontibón, Suba, Antonio Nariño, Puente Aranda, Rafael Uribe Uribe</t>
  </si>
  <si>
    <t>total upz territorializadas (Ene-may2021) =35</t>
  </si>
  <si>
    <t>total barrios territorializados (Ene-May 2021)= 42</t>
  </si>
  <si>
    <t xml:space="preserve">polígono
 (Remitirse a Generación de Shape  carpeta denominada:
SHP META 1_2021)                               
</t>
  </si>
  <si>
    <t>DISTRITO CAPITAL</t>
  </si>
  <si>
    <t>1. Politica Pública de Ecourbanismo y Construcción Sostenible, Politica Distrtial del Agua, Plan Distrital de Gestión del Riesgo de Desastres y del Cambio Climático – PDGRDCC.</t>
  </si>
  <si>
    <t>SIN DEFINIR</t>
  </si>
  <si>
    <t>Esta meta no realiza la definición de la población, dado que los determinantes ambientales se emiten en una etapa previa de diseño y formulacion, por lo que no se tiene certeza de que el proyecto sea ejecutado, si sufrira modificaciones y la población que sera beneficiada finalmente,
 Esta meta es atendida por demanda, por lo que solo a finalizar cada mes se puede definir las zonas beneficiadas, la territorialización de la meta se realiza a escala de localidad, dado que que la incorporcion de criterios de ecourbanismo y sostenibilidad ambiental en proyecto de infraestructura genera beneficios intrinsecos y complejos de definir su impacto, dado que no todos los proyectos incorporan los mismo determintes y requeriria de estudios especializados por cada proyecto, para calcular los beneficios ambientales y la poblacion beneficiada, lo cual desborda lo programado en la meta.</t>
  </si>
  <si>
    <t>USAQUEN</t>
  </si>
  <si>
    <t>En la localidad de Usaquén se ha emitido determianntes ambientales al Plan Parcial de Desarrollo Tibabita y al diseño paisajistico de parques y zonas verdes del proyecto renovación Edificio Concord Center 122,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</si>
  <si>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 USAQUÉN</t>
  </si>
  <si>
    <t>UPZ 1
UPZ 16</t>
  </si>
  <si>
    <t>TIBABITA RURAL
SANTA BARBARA OCCIDENTAL</t>
  </si>
  <si>
    <t>USME</t>
  </si>
  <si>
    <t>En la localidad de Usme se ha emitido determinantes ambientales al Plan Parcial de Desarrollo poligono 3 y Plan de Implantación Nuevo Hospital de Usme,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</si>
  <si>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 USME</t>
  </si>
  <si>
    <t>UPZ 64
UPZ 61</t>
  </si>
  <si>
    <t>MOCHUELO ALTO RURAL
PUERTA AL LLANO</t>
  </si>
  <si>
    <t>CANDELARIA</t>
  </si>
  <si>
    <t>LA CANDELARIA</t>
  </si>
  <si>
    <t>UPZ 94</t>
  </si>
  <si>
    <t>LA CATEDRAL
SANTA BARBARA</t>
  </si>
  <si>
    <t xml:space="preserve">polígono
 (Remitirse a Generación de Shape,
Meta 1_Julio 2020),                                Meta 1_Agosto2020), 
Meta 1_Septiembre2020),
Meta 1_Octubre2020),
Meta 1_Noviembre2020),
Meta 1_Diciembre2020)
</t>
  </si>
  <si>
    <t>CHAPINERO</t>
  </si>
  <si>
    <t>En la localidad de Chapinero se ha emitido determinantes ambientales al Diseño Paisajístico de la propuesta de compensación del Contrato EAAB 1-01-32100-1290-2017 Obras de Rehabilitación de los Colectores La Vieja y Las Delicias,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</si>
  <si>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90</t>
  </si>
  <si>
    <t>MARÍA CRISTINA</t>
  </si>
  <si>
    <t xml:space="preserve">polígono
 (Remitirse a Generación de Shape  carpeta denominada:
SHP META 1_2021)     </t>
  </si>
  <si>
    <t>SANTA FE</t>
  </si>
  <si>
    <t>En la localidad de Santa Fé se ha emitido determinantes ambientales al Plan Parcial de Renovación Urbana Centro San Bernanrdo,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</si>
  <si>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SANTA FÉ</t>
  </si>
  <si>
    <t xml:space="preserve">UPZ 91
UPZ 95
</t>
  </si>
  <si>
    <t>LA MERCED
SAN BERNARDO</t>
  </si>
  <si>
    <t>TMI  LAS CRUCES  CRUZA  PPRU CENTRO SAN BERNARDO</t>
  </si>
  <si>
    <t>SAN CRISTOBAL</t>
  </si>
  <si>
    <t>En la localidad de San Cristobal se ha emitido determinantes ambientales al Plan Parcial de Desarrollo Bosques de San José y Diseño paisajístico de las zonas de cesión del Proyecto Urbanístico Buenos Aires (WR 1130),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</si>
  <si>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51
UPZ 32</t>
  </si>
  <si>
    <t>LAS GAVIOTAS
BUENOS AIRES</t>
  </si>
  <si>
    <t xml:space="preserve"> PROYECTO PPD BOSQUES DE SAN JOSÉ CRUZA CON TMI LOS LIBERTADORES
TMI SAN BLAS CRUZA CON PROYECTO DISEÑO PAISAJÍSTICO BUENOS AIRES</t>
  </si>
  <si>
    <t>Varias 
 (Remitirse a Generación de Shape)</t>
  </si>
  <si>
    <t xml:space="preserve">Punto 
 (Remitirse a Generación de Shape,
Meta 1_Julio 2020),                                Meta 1_Agosto2020), 
Meta 1_Septiembre2020),
Meta 1_Octubre2020),
Meta 1_Noviembre2020),
Meta 1_Diciembre2020)
</t>
  </si>
  <si>
    <t>TUNJUELITO</t>
  </si>
  <si>
    <t xml:space="preserve">UPZ 42
UPZ 62
</t>
  </si>
  <si>
    <t>SAN CARLOS
PARQUE EL TUNAL</t>
  </si>
  <si>
    <t>TMI TUNJUELITO (Contrato de obra IDU 1639/2019)</t>
  </si>
  <si>
    <t>BOSA</t>
  </si>
  <si>
    <t>En la localidad de Bosa se ha emitido determinantes ambientales al Plan Parcial de Desarrollo Eden El Descanso y Diseño paisajístico de la franja de control ambiental (área anexa) de la Sede Ciudadela Educativa El Porvenir de la Universidad Distrital Francisco José de Caldas (WR 1131),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</si>
  <si>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87
UPZ 86</t>
  </si>
  <si>
    <t>S.BERNARDINO XVIII
PARCELA EL PORVENIR</t>
  </si>
  <si>
    <t>TMI BOSA OCCIDENTAL CRUZA CON PPD EDÉN EL DESCANSO</t>
  </si>
  <si>
    <t>KENNEDY</t>
  </si>
  <si>
    <t>En la localidad de Kennedy se ha emitido determinantes ambientales Diseño Paisajístico de la propuesta de compensación del proyecto “ESTUDIOS Y DISEÑOS
 COMPLEMENTARIOS PARA EL TRASLADO ANTICIPADO DE REDES MATRICES Y REDES MENORES DE
 ACUEDUCTO, ASOCIADAS A LA PRIMERA LÍNEA DEL METRO DE BOGOTÁ, UBICADAS EN LA AV. 1 DE MAYO
 CON AV. CARRERA 68,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</si>
  <si>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86</t>
  </si>
  <si>
    <t>OSORIO XXIII</t>
  </si>
  <si>
    <t xml:space="preserve">polígono
 (Remitirse a Generación de Shape  carpeta denominada:
SHP META 1_2021)    </t>
  </si>
  <si>
    <t>FONTIBÓN</t>
  </si>
  <si>
    <t>En la localidad de Fontibón se ha emitido determinantes ambientales  para uso de vivienda en Suelo Restringido del predio con CHIIP AAA0140JNNX y determinantes ambientales en los diseños paisajisticos de parques y zonas verdes del proyecto VERNAZZA y el proyecto CONTRATO DE OBRA No. 1-01-25400-1493-2019- OBJETO: GRUPO 3 DE LAS OBRAS PARA EL TRASLADO ANTICIPADO DE REDES MATRICES DE ACUEDUCTO, REDES TRONCALES DE ALCANTARILLADO Y REDES MENORES Y LOCALES DE ACUEDUCTO Y ALCANTARILLADO ASOCIADAS, QUE INTERFIEREN CON LA PRIMERA LÍNEA DEL METRO DE BOGOTÁ, EN EL CORREDOR DE LA AV. 1° MAYO, ENTRE LA AV. VILLAVICENCIO Y LA AV. CARRERA 68 y Diseño paisajístico de las zonas de cesión de la Urbanización El Montijo, Control Ambiental y Desaceleración,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</si>
  <si>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 FONTIBÓN</t>
  </si>
  <si>
    <t>UPZ 77
UPZ 114
UPZ 112</t>
  </si>
  <si>
    <t>EL CHANCO I
CAPELLANÍA
VILLA ALSACIA
EL TINTAL CENTRAL</t>
  </si>
  <si>
    <t>ENGATIVÁ</t>
  </si>
  <si>
    <t>En la localidad de Engativá se ha emitido determinantes ambientales al Plan de Implantación Universidad Minuto de Dios, UNIMINUTO - sede calle 90 y Diseño paisajístico de las zonas de cesión del Proyecto Urbanístico Área Occidente (WR1129),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</si>
  <si>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ENGATIVA</t>
  </si>
  <si>
    <t>UPZ 29
UPZ 74</t>
  </si>
  <si>
    <t>LOS CEREZOS
VILLA GLADYS</t>
  </si>
  <si>
    <t xml:space="preserve">polígono
 (Remitirse a Generación de Shape  carpeta denominada:
SHP META 1_2021)      </t>
  </si>
  <si>
    <t>TMI ENGATIVÁ CRUZA CON DISEÑO PAISAJÍSTICO PROYECTO URBANÍSTICO ÁREA OCCIDENTE</t>
  </si>
  <si>
    <t>SUBA</t>
  </si>
  <si>
    <t>En la localidad de Suba se ha emitido determinantes ambientales al Diseño paisajístico del Contrato IDU 1552 de 2018, Estudios y diseños para la ampliación y mejoramiento de los cicloparqueaderos asociados a la infraestructura física de TransMilenio en la ciudad de Bogotá y al Diseño paisajístico cuenca Torca - CONTRATO DE PRESTACIÓN DE SERVICIOS No. 1-05-
 24300-1498-2019, Diseño paisajístico de las zonas de cesión del proyecto local colina-av Boyacá 152,  Diseño paisajístico de los parques del Contrato 429 de 2019 FDLS Alcaldía de Suba. Parque
 Fontana, Diseño paisajístico de los parques del Contrato 429 de 2019 FDLS Alcaldía de Suba. Parque
 Arovi y Diseño paisajístico del proyecto “ESTUDIO, DISEÑO Y CONSTRUCCIÓN DE LAS MEJORAS GEOMÉTRICAS Y NUEVA SALIDA PORTAL TRONCAL 80, EN LA CIUDAD DE BOGOTÁ D.C.”, Diseño Paisajistico PARQUE URBANIZACION PARQUES DE CAMPO PREDIO EL CAMPITO 11-671, Diseño paisajístico de las zonas de cesión del proyecto Punta del Este, Diseño paisajístico de las zonas de cesión Andén Kr 74 y Cll 167 del proyecto Corporación
 Escuela Ecuestre Bacatá,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</si>
  <si>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27
UPZ 2
UPZ 23
UPZ 18
UPZ 72
UPZ 71
UPZ 28
UPZ 23</t>
  </si>
  <si>
    <t>EL POA
CASABLANCA SUBA URBANO
EL PLAN
PINOS DE LOMBARDIA
GRANADA NORTE
BOCHICA II
SABANA DE TIBABUYES
CLUB DE LOS LAGARTOS
CASABLANCA SUBA</t>
  </si>
  <si>
    <t xml:space="preserve"> PROYECTO Diseño paisajístico del Contrato IDU 1552 de 2018 CRUZA CON TMI SUBA
TMI SUBA CRUZA CON PROY DISEÑO PAISAJÍSTICO PARQUE FONTANA
TPI TIBABUYES CRUZA CON PROYECTO EL CAMPITO
TPI EL RINCÓN CRUZA CON PROYESTO Punta del Este</t>
  </si>
  <si>
    <t>BARRIOS UNIDOS</t>
  </si>
  <si>
    <t>SIN TERRITORIALIZAR</t>
  </si>
  <si>
    <t xml:space="preserve">SIN TERRITORIALIZAR(pertenece a proyectos del la meta 1_Agosto 2020, sin territorializar)
</t>
  </si>
  <si>
    <t>TEUSAQUILLO</t>
  </si>
  <si>
    <t>UPZ 101
UPZ 109</t>
  </si>
  <si>
    <t>LA SOLEDAD
CIUDAD SALITRE NOR-ORIENTAL</t>
  </si>
  <si>
    <t>LOS MARTIRES</t>
  </si>
  <si>
    <t>ANTONIO NARIÑO</t>
  </si>
  <si>
    <t>En la localidad de Antonio Nariño se ha emitido determinantes ambientales al Diseño Paisajistico Balance de zonas verdes del contrato IDU 973 de 2020 CONSTRUCCIÓN DE LA AMPLIACIÓN DE ESTACIONES DEL SISTEMA TRANSMILENIO EN TRONCALES FASE I Y FASE II, POR EMERGENCIA EN BOGOTÁ D.C. – GRUPO III,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</si>
  <si>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38</t>
  </si>
  <si>
    <t>VILLA MAYOR ORIENTAL</t>
  </si>
  <si>
    <t>PUENTE ARANDA</t>
  </si>
  <si>
    <t>En la localidad de Puente Aranda se ha emitido determinantes ambientales al Plan Parcial de  renovacion urbana Avenida Colon, Plan Parcial de  renovacion urbana Cartón Colombia, Plan Parcial de Renovación Urbana Los Comuneros, Plan Parcila de Renovacion Urbana Pensilvania y Plan Parcila de Renovacion Urbana San Rafael, Diseño paisajístico de las zonas de cesión del proyecto MAZZARO y diseños paisajísticos contrato IDU-1624 de 2019 ESTUDIOS, DISEÑOS Y CONSTRUCCIÓN DE PASEOS COMERCIALES FASE II, EN LAS LOCALIDADES DE PUENTE ARANDA EN LA CIUDAD DE BOGOTÁ D. C.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</si>
  <si>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UPZ43
UPZ 108
UPZ 40
UPZ 41
</t>
  </si>
  <si>
    <t xml:space="preserve">SAN RAFAEL INDUSTRIAL
LOS EJIDOS
COMUNEROS
PENSILVANIA
ALQUERÍA
</t>
  </si>
  <si>
    <t>RAFAEL URIBE URIBE</t>
  </si>
  <si>
    <t>En la localidad de Rafael Uribe Uribe se ha emitido determinantes ambientales al Plan Parcial Desarrollo El Consuelo, Diseño Paisajístico Parque vecinal Urbanización Zarazota I (18-038) (Acta WR 1133) y Diseño Paisajístico Parque vecinal Urbanización Zarazota I (18-180) (Acta WR 1134), Diseño Paisajístico Parque vecinal Urbanización Quiroga Etapa I, II y III (18-202), Aprobación del Diseño Paisajístico Parque vecinal Urbanización Quiroga VII Etapa (18-125), Diseño Paisajístico Parque vecinal Urbanización Quiroga Etapa IV, V y VI (18-436) y Diseño Paisajístico Parque vecinal Desarrollo Palermo Sur (18-084),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</si>
  <si>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39
UPZ 54
UPZ 55</t>
  </si>
  <si>
    <t>ARBOLEDA SUR
QUIROGA I
QUIROGA CENTRAL
QUIROGA
PALERMO SUR</t>
  </si>
  <si>
    <t xml:space="preserve">polígono
 (Remitirse a Generación de Shape  carpeta denominada:
SHP META 1_2021)                               </t>
  </si>
  <si>
    <t>TMI MARRUECOS CRUZA CON PPD EL CONSUELO
TMI MARRUECOS CRUZA CON PROYECTO DISEÑO PAISAJÍSTICO Zarazota I (18-038)
TMI MARRUECOS CRUZA CON DP Zarazota I (18-180)
TPI DIANA TURBAY CRUZA CON PROYECTO Palermo Sur</t>
  </si>
  <si>
    <t>CIUDAD BOLIVAR</t>
  </si>
  <si>
    <t>En la localidad de Ciudad Bolivar se ha emitido determinantes ambientales al Diseño paisajístico por compensación del proyecto “Estudios y diseños detallados para la
 ampliación del tanque El Volador de la EAAB-ESP” Y Diseño Paisajístico de las franjas ambientales del Plan de Implantación para la Universidad Distrital Francisco José de Caldas Sede el Ensueño (Res. 1727/2018) (WR 1132),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</si>
  <si>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67
UPZ 70</t>
  </si>
  <si>
    <t>BRISAS DEL VOLADOR
VERONA</t>
  </si>
  <si>
    <t>TMI LUCERO CRUZA CON PROYECTO: DISEÑO PAISAJÍSTICO TANQUE EL VOLADOR EAAB
TMI JERUSALEM CRUZA CON PROYECTO FRANJA DE CONTROL AMBIENTAL U DISTRITAL SEDE EL  ENSUEÑO</t>
  </si>
  <si>
    <t>DISTRITAL (Por Ejecutar)</t>
  </si>
  <si>
    <t>TOTAL LOCALIZACIONES META</t>
  </si>
  <si>
    <t>LOCALIDADES:La Secretaría Distrital de Ambiente ha realizado importantes esfuerzos incorporando criterios de ecourbanismo y construcción sostenible en proyectos urbanos y arquitectónicos en la Ciudad, por lo cual mediante esta meta se realiza la verificación en la incorporación de los lineamientos y determinantes ambientales de ecourbanismo y construcción sostenible a proyectos de infraestructura que actualmente están en operación, evaluando su aporte a las políticas nacionales y distritales que rigen en esta materia y su aporte a la gestión de la crisis climática; así mismo, esta verificación permitirá conocer las dificultades por parte del sector construcción en la incorporación de estos criterios, permitiendo que desde la administración distrital genere estrategias para promover y fortalecer la construcción sostenible en la Ciudad.</t>
  </si>
  <si>
    <t>Meta cumplida de acuerdo con lo programado</t>
  </si>
  <si>
    <t xml:space="preserve">El ejecutado durante la vigencia 2021 corresponde a treinta y dos (32) proyecto a los cuales se les verifico la incorporación de criterios de sostenibilidad, (5 proyectos en enero, 6 en febrero, 7 en marzo, 7 en abril y 7 en mayo), de la siguiente manera:  Tres (3) Planes Directores de Parques de la Ciudad y veintinueve (29) Diseños paisajísticos de parques y zonas verdes. </t>
  </si>
  <si>
    <t>Bosa,  Engativá, Suba, Barrios Unidos, Ciudad Bolivar, Chapinero, Fontibon,  teusaquillo, San Cristobal</t>
  </si>
  <si>
    <t>Total UPZ territorializadas (Ene-Mayo 2021) = 25</t>
  </si>
  <si>
    <t xml:space="preserve">Total BARRIOS territorializadas (Ene-May 2021)  =31 </t>
  </si>
  <si>
    <t xml:space="preserve">polígono
 (Remitirse a Generación de Shape carpta denominada:
SHP META 2_2021)                               
</t>
  </si>
  <si>
    <t>Durante la actual vigencia en la localidad de usaquen, se verifico la incorporacion de incorporación de los lineamientos y determinantes ambientales de ecourbanismo y construcción sostenible, al diseño paisajistico del proyecto WR 567 Alameda Perimetral Carrera Séptima entre las
Calles 102 y 106, WR 539 Proyecto Akasha 106 y WR 568 Proyecto MERIDIANO 116,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</si>
  <si>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 14
UPZ 16
</t>
  </si>
  <si>
    <t>ESCUELA DE INFANTERÍA
ANA OCCIDENTAL
SAN PATRICIO</t>
  </si>
  <si>
    <t>Durante la actual vigencia en la localidad de chapinero, se verifico la incorporacion de incorporación de los lineamientos y determinantes ambientales de ecourbanismo y construcción sostenible, al diseño paisajistico del proyecto WR 566 Nueva Facultad de Artes, Diseño Jorge Tadeo Lozano y WR 400 Andenes edificio Ochenta81, WR 590 Diseño Paisajístico Andenes Proyecto Rosales 77, WR 606 Diseño Paisajístico Intervención en espacio publico ECOTEK 99 y  WR 601 Edificio el palco,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</si>
  <si>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 99
UPZ 97
UPZ 88 </t>
  </si>
  <si>
    <t>CHAPINERO CENTRALSUCRE
ESPARTILLAL
LOS ROSALES
CHICO NORTE II SECTOR
LA CABRERA</t>
  </si>
  <si>
    <t>Durante la actual vigencia en la localidad de Santa Fé, se verifico la incorporacion de incorporación de los lineamientos y determinantes ambientales de ecourbanismo y construcción sostenible, al diseño paisajistico del proyecto WR 414 Andenes Konrad Lorenz y WR 586  Tiendas Ara Calle 42,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</si>
  <si>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 91
UPZ 93
</t>
  </si>
  <si>
    <t>SAN DIEGO
LAS NIEVES</t>
  </si>
  <si>
    <t>Durante la actual vigencia en la localidad de Bosa, se verifico la incorporacion de incorporación de los lineamientos y determinantes ambientales de ecourbanismo y construcción sostenible, al diseño paisajistico del proyecto WR 414 Andenes Konrad Lorenz,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</si>
  <si>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 PARCELA EL PORVENIR</t>
  </si>
  <si>
    <t>Durante la actual vigencia en la localidad de Kennedy, se verifico la incorporacion de incorporación de los lineamientos y determinantes ambientales de ecourbanismo y construcción sostenible, al diseño paisajistico del proyecto WR 555 Proyecto Parques, Andenes Vías Locales y Controles Ambientales,
Predio COMPLEJO INDUSTRIAL y EMPRESARIAL ETAPA 3 (AMÉRICAS DEL TINTAL),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</si>
  <si>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 44
UPZ 45
UPZ 48
UPZ 46
UPZ 79 </t>
  </si>
  <si>
    <t xml:space="preserve">HIPOTECHO OCCIDENTAL
PROVIVIENDA
SANTA CATALINA
VALLADOLID
OSORIO III
</t>
  </si>
  <si>
    <t>Durante la actual vigencia en la localidad de Fontibón, se verifico la incorporacion de incorporación de los lineamientos y determinantes ambientales de ecourbanismo y construcción sostenible, al diseño paisajistico del proyecto WR 427 Parque vecinal Urbanización Oikos Hayuelos, diseño paisajistico del proyecto WR 494 Parque metropolitano zona Franca, el diseño paisajistico del proyecto WR 393A Urbanización la Felicidad y WR 572 Proyecto Tiendas ARA Fontibón COLORES, WR 399 Proyecto andén carrera 68D Edificio Cámara de Comercio de Bogotá Sede
Avenida El Dorado.,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</si>
  <si>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FONTIBON</t>
  </si>
  <si>
    <t>UPZ 75
UPZ 77
 UPZ 112
UPZ 110</t>
  </si>
  <si>
    <t>VILLEMAR
EL TINTAL FONTIBÓN
CIUDAD HAYUELOS
CENTRO FONTIBÓN
SALITRE OCCIDENTAL</t>
  </si>
  <si>
    <t>Durante la actual vigencia en la localidad de Engativá, se verifico la incorporacion de incorporación de los lineamientos y determinantes ambientales de ecourbanismo y construcción sostenible, al Plan Director del Parque Vecinal Ciudadela Colsubsidio,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</si>
  <si>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10-ENGATIVÁ</t>
  </si>
  <si>
    <t xml:space="preserve"> UPZ 72</t>
  </si>
  <si>
    <t>CIUDADELA COLSUBSIDIO</t>
  </si>
  <si>
    <t>Durante la actual vigencia en la localidad de Suba, se verifico la incorporacion de incorporación de los lineamientos y determinantes ambientales de ecourbanismo y construcción sostenible, al Plan Director del Parque Zonal Fontanar del Río, WR 398 Diseño Paisajístico Torre Imperial y WR 578 sede HARD BODY,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</si>
  <si>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11- SUBA</t>
  </si>
  <si>
    <t>UPZ 71
UPZ 27
UPZ 18</t>
  </si>
  <si>
    <t>TIBABUYES II
TUNA BAJA
PORTALES DEL NORTE</t>
  </si>
  <si>
    <t>TMI TIBAYUBES CRUZA CON PD PARQUE FONTANAR DEL RÍO
TMI SUBA CRUZA  CON PROYECTO Diseño Paisaísticoj Torre Imperial</t>
  </si>
  <si>
    <t>Durante la actual vigencia en la localidad de Barrios Unidos, se verifico la incorporacion de incorporación de los lineamientos y determinantes ambientales de ecourbanismo y construcción sostenible, al Plan Director del Parque Zonal La Estación, WR 410 A Diseño Paisajístico Zonas de cesión para parque de la Urbanización K 68,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</si>
  <si>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12- BARRIOS UNIDOS</t>
  </si>
  <si>
    <t>UPZ 98
UPZ 22</t>
  </si>
  <si>
    <t>SAN FELIPE
SAN FERNANDO OCCIDENTAL</t>
  </si>
  <si>
    <t>Durante la actual vigencia en la localidad de Teusaquillo, se verifico la incorporacion de incorporación de los lineamientos y determinantes ambientales de ecourbanismo y construcción sostenible, el diseño paisajistico del proyecto WR 493 A Andenes Corferias y el diseño paisajistico del proyecto WR 498 Ciudad Empresarial Sarmiento Angulo, WR 585 Diseño Paisajístico Ciudad Empresarial Sarmiento Angulo, Supermanzana 17, Lotes B y C. y WR 453 A Diseño Paisajístico de la plazoleta y sótano de parqueaderos del Concejo de Bogotá y las
obras del espacio público hasta el costado norte de la Calle 26,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</si>
  <si>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107
UPZ 109
101</t>
  </si>
  <si>
    <t xml:space="preserve">CENTRO NARIÑO
CIUDAD SALITRE NOR-ORIENTAL
LAS AMERICAS
</t>
  </si>
  <si>
    <t>RESTREPO</t>
  </si>
  <si>
    <t>Durante la actual vigencia en la localidad de Puente Aranda, se verifico la incorporacion de incorporación de los lineamientos y determinantes ambientales de ecourbanismo y construcción sostenible, WR 464B y WR 464C Establecimiento de Sanidad Militar,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</si>
  <si>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PUNETE ARANDA</t>
  </si>
  <si>
    <t>UPZ 111</t>
  </si>
  <si>
    <t>SALAZAR GOMEZ</t>
  </si>
  <si>
    <t>Durante la actual vigencia en la localidad de Rafael Uribe Uribe, se verifico la incorporacion de incorporación de los lineamientos y determinantes ambientales de ecourbanismo y construcción sostenible, WR418A Diseño Paisajístico para las obras de intervención física a escala barrial Tramo cuatro (4) Sector
Marruecos Contrato CVP 469 y 440 de 2014,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</si>
  <si>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54</t>
  </si>
  <si>
    <t>CALLEJON SANTA BARBARA</t>
  </si>
  <si>
    <t xml:space="preserve">MARCO FIDEL SUAREZ (PLAN DIRECTOR PARQUE SANTA LUCÍA)
TMI MARRUECOS CRUZA CON PROY DP TRAMO 4
</t>
  </si>
  <si>
    <t>Durante la actual vigencia en la localidad de Ciudad Bolivar, se verifico la incorporacion de incorporación de los lineamientos y determinantes ambientales de ecourbanismo y construcción sostenible, al Parque Vecinal Juan José Rondón, WR418A Diseño Paisajístico para las obras de intervención física a escala barrial Tramo tres (3) Sector San
Francisco Contrato CVP 469 y 440 de 2014.,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</si>
  <si>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19-CIUDAD BOLÍVAR</t>
  </si>
  <si>
    <t>UPZ 66</t>
  </si>
  <si>
    <t>Juan José Rondón</t>
  </si>
  <si>
    <t>TMI SAN FRANCISCO CRUZA CON  PD JUAN JOSÉ RONDÓN
TMI SAN FRANCISCO CRUZA CON PROY DJ TRAMO 3</t>
  </si>
  <si>
    <t>Durante la actual vigencia en la localidad de San Cristobal, se verifico la incorporacion de incorporación de los lineamientos y determinantes ambientales de ecourbanismo y construcción sostenible, al Diseño Paisajistico  WR 595 INTERVENCIÓN ZMPA Q. MORALES, evaluando su aporte a la gestión de la crisis climática.</t>
  </si>
  <si>
    <t xml:space="preserve">
UPZ 51
</t>
  </si>
  <si>
    <t>EL PINAR</t>
  </si>
  <si>
    <t xml:space="preserve">polígono
 (Remitirse a Generación de Shape carpta denominada:
SHP META 2_2021)       </t>
  </si>
  <si>
    <t>TPI LOS LIBERTADORES CRUZA DISEÑO PAISAJÍSTICO  ENDURECIMIENTO Q. MORALES</t>
  </si>
  <si>
    <t>UPZ 12
UPZ 16</t>
  </si>
  <si>
    <t>LA LIBERIA
SANTA BARBARA OCCIDENTAL</t>
  </si>
  <si>
    <t>polígono
 (Remitirse a Generación de Shape,
Meta 2_Septiembre2020),
Meta 2_Octubre2020),
Meta 2_Noviembre2020),
Meta 2_Diciembre2020)</t>
  </si>
  <si>
    <t>LOCALIDADES: Se realizará  acompañamiento técnico a techos verdes y jardines verticales, lo cual promueve la conservación y mejoramiento de estas estructuras que ofrecen múltiples beneficios ambientales (Eje. Retienen el agua lluvia, mitigan el efecto isla de calor, absorben el ruido), sociales (Eje. Mejoran el paisaje urbano, aumentan el área verde de la ciudad, mejoran la calidad de vida) y económicos (Eje. Mantienen la comodidad térmica al interior de las edificaciones, evitando el uso de calefactores, valorizan el predio, permiten integrarse con sistemas de aprovechamiento de agua lluvia, ahorrando consumo de agua), para la ciudad y sus habitantes.</t>
  </si>
  <si>
    <t>Durante enero y mayo de la vigencia 2021, se ha realizado acompañamiento técnico a 1463 m2 de techos verdes y jardines verticales, (246 m2 en enero, 301 m2 en febrero, 296 m2 en marzo, 300 m2 en abril y 320 m2 en mayo) promovidos en las siguientes localidades: Engativá (300m2), Chapinero (712m2), Puente Aranda (182 m2), Usaquén (30 m2), Los Mártires (154m2) y Santa Fe (85 m2).</t>
  </si>
  <si>
    <t>Chapinero, Puente Aranda, Usaquén.</t>
  </si>
  <si>
    <t>total upz territorializadas ENE-MAY 2021) = 8</t>
  </si>
  <si>
    <t>total barrios territorializadas (ENE-MAY 2021) = 10</t>
  </si>
  <si>
    <t xml:space="preserve">Punto
 (Remitirse a Generación de Shape denominado:
SHP META 3_2021)                               
</t>
  </si>
  <si>
    <t>1. Politica Pública de Ecourbanismo y Construcción Sostenible, Politica de Biodiversidad</t>
  </si>
  <si>
    <t>La territorialización de la meta se realiza a escala de localidad, dado que la incorporcion de criterios de ecourbanismo y sostenibilidad ambiental en proyecto de infraestructura genera beneficios intrinsecos y complejos de definir su impacto, dado que no todos los proyectos incorporan los mismo determintes y requeriria de estudios especializados por cada proyecto, para calcular los beneficios ambientales y la poblacion beneficiada, lo cual desborda lo programado en la meta.</t>
  </si>
  <si>
    <t>CHAPINERO, EDIFICIO CHICO 92 - 11, Calle 92 # 11 - 51, CHIP AAA0250JWYX</t>
  </si>
  <si>
    <t>Durante la actual vigencia en la localidad de Chapinero, se realizó acompañamiento técnico a 320 m2 de  jardines verticales en el EDIFICIO CHICO 92 - 11, Calle 92 # 11 - 51, CHIP AAA0250JWYX.</t>
  </si>
  <si>
    <t>02- CHAPINERO</t>
  </si>
  <si>
    <t>UPZ 97</t>
  </si>
  <si>
    <t>EL CHICO</t>
  </si>
  <si>
    <t>CHAPINERO, EDIFICIO 81 - 11, Calle 81 # 11 - 08, CHIP AAA0097UHNX.</t>
  </si>
  <si>
    <t>Durante la actual vigencia en la localidad de Chapinero, se realizó acompañamiento técnico a 216 m2 de  jardines verticales en el EDIFICIO 81 - 11, Calle 81 # 11 - 08, CHIP AAA0097UHNX.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</si>
  <si>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UPZ97</t>
  </si>
  <si>
    <t>ESPARTILLAL</t>
  </si>
  <si>
    <t xml:space="preserve">Punto
 (Remitirse a Generación de Shape carpata denominada:
SHP META 3_2021)                               
</t>
  </si>
  <si>
    <t>CHAPINERO, EDIFICIO 81 , Calle 81 # 11 - 55, CHIP AAA0097SFSY.</t>
  </si>
  <si>
    <t>Durante la actual vigencia en la localidad de Chapinero, se realizó acompañamiento técnico a 96 m2 de  jardines verticales en el EDIFICIO 81 , Calle 81 # 11 - 55, CHIP AAA0097SFSY.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</si>
  <si>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UPZ97
</t>
  </si>
  <si>
    <t xml:space="preserve">ESPARTILLAL
</t>
  </si>
  <si>
    <t>CHAPINERO, HOTEL BIOXURY, Calle  84B # 9- 52, CHIP AAA0097CWJH.</t>
  </si>
  <si>
    <t>Durante la actual vigencia en la localidad de Chapinero, se realizó acompañamiento técnico a 80 m2 de  jardines verticales en el  HOTEL BIOXURY, Calle  84B # 9- 52, CHIP AAA0097CWJH.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</si>
  <si>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
UPZ88</t>
  </si>
  <si>
    <t xml:space="preserve">
EL RETIRO</t>
  </si>
  <si>
    <t>USAQUEN, RESTAURANTE COCTEL DEL MAR, AK 19 # 123 - 26 CHIP AK 19 # 123 - 26.</t>
  </si>
  <si>
    <t>Durante la actual vigencia en la localidad de Usaquén, se realizó acompañamiento técnico a 30 m2 de  jardines verticales en el   RESTAURANTE COCTEL DEL MAR, AK 19 # 123 - 26 CHIP AK 19 # 123 - 26.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</si>
  <si>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01- USAQUEN</t>
  </si>
  <si>
    <t>UPZ16</t>
  </si>
  <si>
    <t>SANTA BARBARA OCCIDENTAL</t>
  </si>
  <si>
    <t>PUENTE ARANDA, ALCALDIA LOCAL DE PUENTE ARANDA, Carrera 31 D # 4 - 05, CHIPAAA0035WRZE</t>
  </si>
  <si>
    <t>Durante la actual vigencia en la localidad de Puente Aranda, se realizó acompañamiento técnico a 142 m2 de  jardines verticales en el  ALCALDIA LOCAL DE PUENTE ARANDA, Carrera 31 D # 4 - 05, CHIP AAA0035WRZE.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</si>
  <si>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16- PUENTE ARANDA</t>
  </si>
  <si>
    <t>UPZ 40</t>
  </si>
  <si>
    <t>COMUNEROS</t>
  </si>
  <si>
    <t>PUENTE ARANDA, GECOLSA S.A, Avenida Américas # 42 A 21, CHIP AAA0073SLZE</t>
  </si>
  <si>
    <t>Durante la actual vigencia en la localidad de Puente Aranda, se realizó acompañamiento técnico a 40 m2 de  jardines verticales en el   RESTAURANTE COCTEL DEL MAR, AK 19 # 123 - 26 CHIP AK 19 # 123 - 26.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</si>
  <si>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UPZ108</t>
  </si>
  <si>
    <t>INDUSTRIAL CENTENARIO</t>
  </si>
  <si>
    <t>SANTA FE, EDIFICIO ALTA VISTA, Calle 32 # 13 - 52. AAA0207OWYN</t>
  </si>
  <si>
    <t>Durante la actual vigencia en la localidad de Santa Fé, se realizó acompañamiento técnico a 85 m2 de  jardines verticales en el   EDIFICIO ALTA VISTA, Calle 32 # 13 - 52. AAA0207OWYN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</si>
  <si>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Santa Fé</t>
  </si>
  <si>
    <t>UPZ91</t>
  </si>
  <si>
    <t>SAMPER</t>
  </si>
  <si>
    <t>ENGATIVÁ, CENTRO COMERCIAL DIVER PLAZA, TV 99 Bis # 70A - 89, AAA0186YDPP</t>
  </si>
  <si>
    <t>Durante la actual vigencia en la localidad de Engativá, se realizó acompañamiento técnico a 300 m2 de  jardines verticales en el    CENTRO COMERCIAL DIVER PLAZA, TV 99 Bis # 70A - 89, AAA0186YDPP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</si>
  <si>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73
UPZ 26</t>
  </si>
  <si>
    <t xml:space="preserve">SANTA MÓNICA </t>
  </si>
  <si>
    <t>UPZ 25</t>
  </si>
  <si>
    <t>ANDES NORTE</t>
  </si>
  <si>
    <t>punto
 (Remitirse a Generación de Shape,
Meta 3_Agosto2020,
Meta3_Septiembre2020,
Meta3_Octubre2020,
Meta3_Noviembre2020,
Meta3_Diciembre2020.</t>
  </si>
  <si>
    <t>UPZ98</t>
  </si>
  <si>
    <t>CONCEPCION NORTE</t>
  </si>
  <si>
    <t xml:space="preserve">LOS MARTIRES, COLEGIO DISTRITAL PANAMERICANO, AK 27 # 24 C  - 19, CHIP AAA0072LHLF </t>
  </si>
  <si>
    <t>Durante la actual vigencia en la localidad de Santa Fé, se realizó acompañamiento técnico a 102 m2 de  jardines verticales en el   COLEGIO DISTRITAL PANAMERICANO, AK 27 # 24 C  - 19, CHIP AAA0072LHLF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</si>
  <si>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102</t>
  </si>
  <si>
    <t>FLORIDA</t>
  </si>
  <si>
    <t>LOS MARTIRES, COMPLEJO JUDICIAL PALO QUEMADO, CHIP AAA0072ZKAF</t>
  </si>
  <si>
    <t>Durante la actual vigencia en la localidad de Santa Fé, se realizó acompañamiento técnico a 52 m2 de  jardines verticales en el LOS MARTIRES, COMPLEJO JUDICIAL PALO QUEMADO, CHIP AAA0072ZKAF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</si>
  <si>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PALOQUEMAO</t>
  </si>
  <si>
    <t>UPZ104
UPZ106
UPZ109</t>
  </si>
  <si>
    <t>CENTRO ADMINISTRATIVO OCC.
CIUDAD UNIVERSITARIA
CIUDAD SALITRE SUR-ORIENTAL</t>
  </si>
  <si>
    <t xml:space="preserve">UPZ 108
</t>
  </si>
  <si>
    <t>ESTACION CENTRAL</t>
  </si>
  <si>
    <t>LA CATEDRAL</t>
  </si>
  <si>
    <t>DISTRITAL
La Estrategia Distrital de Crecimiento Verde permitirá dinamizar en el corto y mediano plazo, acciones fundamentales, en torno al uso sostenible del capital natural, bioeconomía, sostenibilidad energética y economía circular, entre otras; soportadas en la ciencia, tecnología e innovación y la gobernanza entre el sector público y privado, para impulsar el crecimiento económico integrado con sostenibilidad ambiental, de manera que incida en la generación del conocimiento, generación de empleos verdes y valor agregado en la cadena de producción y consumo, para lograr una ciudad sostenible, eficiente y baja en carbono, y por ende el mejoramiento de la calidad de vida en el Distrito Capital.</t>
  </si>
  <si>
    <t>DISTRITAL</t>
  </si>
  <si>
    <t>e</t>
  </si>
  <si>
    <t xml:space="preserve">Reunión con servidoras y servidores públicos </t>
  </si>
  <si>
    <t>DISTRITAL
La SDA desarrolla el Programa Gestión Ambiental Empresarial integrado por los mecanismos de fortalecimiento de capacidades para la sostenibilidad (ACERCAR, PREAD y PROREDES), el cual brinda acompañamiento profesional al sector empresarial ubicado en el perímetro urbano de Bogotá en el mejoramiento del desempeño ambiental, a través del diseño e implantación de proyectos dirigidos al uso eficiente de los recursos naturales agua, energía, aire y materiales, lo cual representa un aporte al mejoramiento del ambiente de la ciudad.</t>
  </si>
  <si>
    <r>
      <t xml:space="preserve">Producto de la asistencia técnica, para este periodo y de acuerdo a la programación de la meta, se reportan 5 proyectos presentados por las empresas participantes dirigidos al uso eficiente de los recursos naturales y materiales los cuales aportan al desempeño ambiental de las organizaciones, para un avance consolidado en la vigencia 2021 de 45 proyectos de acuerdo a lo programado.
</t>
    </r>
    <r>
      <rPr>
        <sz val="10"/>
        <color rgb="FFFF0000"/>
        <rFont val="Arial"/>
        <family val="2"/>
      </rPr>
      <t xml:space="preserve">
</t>
    </r>
  </si>
  <si>
    <t>1. USAQUÉN</t>
  </si>
  <si>
    <t>1. Politica Distrital de Producción y Consumo Sostenible</t>
  </si>
  <si>
    <t>Teniendo en cuenta que la población objeto corresponde al sector empresarial ubicado en el perímetro urbano de Bogotá, es dificil definir el area de influencia, por lo cual se incluye como area el distrito capital, ya que se presenta gran dificultad y escasa confiabilidad en la adquisición de información dado el universo de empresas participantes, respecto a ubicación de vivienda de colaboradores, así mismo, dada la naturaleza comercial de estas organizaciones es impreciso determinar el detalle en ubicación, población, genero, grupos, condiciones sociales de las personas con las que puedan desarrollar relaciones comerciales (clientes, proveedores, otros), de tipo social con organizaciones sin animo de lucro y la académia.
Por lo anterior, no se encuentran definidos los grupos etarios, de condición poblacional, etnicos y demas información solicitada en las columnas AQ a la AW.</t>
  </si>
  <si>
    <t>En el marco del Programa Gestión Ambiental Empresarial y de acuerdo al cronograma de reporte para la vigencia 2021, producto de la asistencia técnica enmarcado en acompañamiento se reporta para el mes de marzo (1) proyecto dirigido al uso eficiente en el consumo del agua.
No obstante, se cuenta con un acumulado de (2) proyectos dirigidos al uso eficiente de los recursos naturales (1 residuos y 1 en agua).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</si>
  <si>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UPZ99
UPZ97</t>
  </si>
  <si>
    <t>MARLY
CHICO NORTE</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</si>
  <si>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una empresa de tamaño grande de la que se reporta 1 proyecto.
No obstante, se tiene de esta localidad un acumulado de 2 proyectos pertenecientes a (2 grandes ).</t>
  </si>
  <si>
    <t>En el marco del Programa Gestión Ambiental Empresarial y de acuerdo al cronograma de reporte para la vigencia 2021, producto de la asistencia técnica enmarcado en acompañamiento se reporta para el mes de marzo (1) proyecto dirigido en la eficiencia en el uso de recursos materiales y la disminución en la generación de residuos.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</si>
  <si>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UPZ93</t>
  </si>
  <si>
    <t>LA ALAMEDA</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</si>
  <si>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una empresa de tamaño grande de la que se reporta 1 proyecto.</t>
  </si>
  <si>
    <t>DANUBIO</t>
  </si>
  <si>
    <t>UPZ 42</t>
  </si>
  <si>
    <t>ISLA DEL SOL, VENECIA OCCIDENTAL
PARQUE EL TUNAL</t>
  </si>
  <si>
    <t>En el marco del Programa Gestión Ambiental Empresarial y de acuerdo al cronograma de reporte para la vigencia 2021, producto de la asistencia técnica enmarcado en acompañamiento se reportan en esta localidad (1) proyectos dirigidos al uso eficiente de los recursos naturales y materiales (1 en energía).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</si>
  <si>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44</t>
  </si>
  <si>
    <t>ALQUERIA LA FRAGUA II</t>
  </si>
  <si>
    <t>UPZ112
UPZ115
UPZ 117
UPZ75
UPZ76
UPZ 77</t>
  </si>
  <si>
    <t>GRANJAS DE TECHO, MONTEVIDEO
SAN JOSE DE FONTIBON 
AEROPUERTO EL DORADO 
LA CABANA FONTIBON 
BRISAS ALDEA FONTIBON, SAN PABLO JERICO 
ZONA FRANCA, EL CHANCO I</t>
  </si>
  <si>
    <t>En el marco del Programa Gestión Ambiental Empresarial y de acuerdo al cronograma de reporte para la vigencia 2021, producto de la asistencia técnica enmarcado en acompañamiento se reporta para el mes de marzo (1) proyecto dirigido al uso eficiente en el consumo de la energía.
Sin embargo, en la vigencia se tiene un acumulado de (7) proyectos dirigidos al uso eficiente de los recursos naturales y materiales (1 en agua, 3 en energía y 3 en residuos).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</si>
  <si>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UPZ105
UPZ116
UPZ26
UPZ74
</t>
  </si>
  <si>
    <t>JARDIN BOTANICO
LOS ALAMOS, SAN IGNACIO
LAS FERIAS OCCIDENTAL
VILLA GLADYS</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</si>
  <si>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una empresa de tamaño grande de la que se reporta 1 proyecto.
No obstante, se tiene de esta localidad un acumulado de 7 proyectos pertenecientes a (2 grandes, 3 medianas y 2 microempresas).</t>
  </si>
  <si>
    <t>En el marco del Programa Gestión Ambiental Empresarial y de acuerdo al cronograma de reporte para la vigencia 2021, producto de la asistencia técnica enmarcado en acompañamiento se reporta (1) proyecto dirigido al uso eficiente del agua.
No obstante, se cuenta con un acumulado de (4) proyectos dirigidos al uso eficiente de los recursos naturales (3 en agua y 1 en residuos).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</si>
  <si>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UPZ19
UPZ 24
UPZ 27</t>
  </si>
  <si>
    <t>PRADO VERANIEGO
NIZA SUBA
TUNA BAJA, SUBA URBANO</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</si>
  <si>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una empresa de tamaño mediano de la que se reporta 1 proyecto.
No obstante, se tiene de esta localidad un acumulado de 4 proyectos pertenecientes a (2 grandes y 2 mediana).</t>
  </si>
  <si>
    <t>En el marco del Programa Gestión Ambiental Empresarial y de acuerdo al cronograma de reporte para la vigencia 2021, producto de la asistencia técnica enmarcado en acompañamiento se reportan en esta localidad (2) proyectos dirigidos al uso eficiente en el consumo del agua.
No obstante, se cuenta con un acumulado de (4) proyectos dirigidos al uso eficiente de los recursos naturales (2 en agua y 2 en residuos).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</si>
  <si>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UPZ21
UPZ22
UPZ98</t>
  </si>
  <si>
    <t>LA CASTELLANA
SIETE DE AGOSTO, DOCE DE OCTUBRE
ALCAZARES</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</si>
  <si>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para el presente reporte se presenta (2) proyectos desarrollados por empresas de tamaño grande.
No obstante, se tiene de esta localidad un acumulado de 4 proyectos pertenecientes a (1 grande y 3 medianas).</t>
  </si>
  <si>
    <t>UPZ100
UPZ104</t>
  </si>
  <si>
    <t>GALERIAS
CENTRO ADMINISTRATIVO OCC.</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</si>
  <si>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para el presente reporte se presenta (1) tamaño mediano.</t>
  </si>
  <si>
    <t>LOS MÁRTIRES</t>
  </si>
  <si>
    <t>En el marco del Programa Gestión Ambiental Empresarial y de acuerdo al cronograma de reporte para la vigencia 2021, producto de la asistencia técnica enmarcado en acompañamiento se reporta en esta localidad un (1) proyecto dirigido al uso eficiente de la energía.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</si>
  <si>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UPZ102</t>
  </si>
  <si>
    <t>RICAUTE</t>
  </si>
  <si>
    <t>UPZ 108
UPZ 111
UPZ43</t>
  </si>
  <si>
    <t>RAFAEL URIBE</t>
  </si>
  <si>
    <t>En el marco del Programa Gestión Ambiental Empresarial y de acuerdo al cronograma de reporte para la vigencia 2021, producto de la asistencia técnica enmarcado en acompañamiento se reporta en esta localidad (1) proyectos a la disminución en la generación de residuos.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</si>
  <si>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65
UPZ69</t>
  </si>
  <si>
    <t>RAFAEL ESCAMILLA
PRIMAVERA II</t>
  </si>
  <si>
    <t>ISMAEL PERDOMO</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</si>
  <si>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para el presente reporte se presenta (2) tamaño grande.</t>
  </si>
  <si>
    <t>CHAPINERO, BOSA, USME, PUENTE ARANDA, CIUDAD BOLIVAR, ENGATIVA, FONTIBÓN, KENNEDY, MARTIRES, RAFAEL URIBE URIBE, SAN CRISTOBAL, SUBA, TUNJUELITO, USAQUEN Y ESPECIAL</t>
  </si>
  <si>
    <t>DISTRITAL: acompañamiento y verificación de los Negocios Verdes que se encuentran en la ciudad, por la  oferta de bienes y servicios de impacto ambiental positivo.</t>
  </si>
  <si>
    <t>Se cumplió conforme a lo programado</t>
  </si>
  <si>
    <t xml:space="preserve">DISTRITAL
</t>
  </si>
  <si>
    <t>Teniendo en cuenta que son negocios nuestra población objeto no se limita a algún grupo etario o con condición poblacional específica el alcance sino a toda la población de la localidad y/o el distrito capital</t>
  </si>
  <si>
    <t>La enpresa cumplió con los requisitos de verificación en los componentes ambientales, de responsabilidad social y económicos.</t>
  </si>
  <si>
    <t>El negocio verificado es una microempresa, razón por la cual tiene 4 personas que la conforman. Se describe el género y el grupo etario de éstos.</t>
  </si>
  <si>
    <t>Las enpresas cumplieron con los requisitos de verificación en los componentes ambientales, de responsabilidad social y económicos.</t>
  </si>
  <si>
    <t>TIBABUYES</t>
  </si>
  <si>
    <t>La empresa se inscribió y cumplió los requisitos de verificación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</si>
  <si>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UPZ297</t>
  </si>
  <si>
    <t>CHICO NORTE</t>
  </si>
  <si>
    <t>Punto. Shapefile_Proy7794_meta6_MAR2021</t>
  </si>
  <si>
    <t>La empresa se inscribío a demanda en el mes de febrero y al realizar su verificación cumplió los requisitos para ser un negocio verde.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</si>
  <si>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UPZ80</t>
  </si>
  <si>
    <t>CHUCUA DE LA VACA II</t>
  </si>
  <si>
    <t>Shapefile_Proy7794_meta6_FEB2021</t>
  </si>
  <si>
    <t>La empresa se inscribío a demanda y al realizar su verificación cumplió los requisitos para ser un negocio verde</t>
  </si>
  <si>
    <t>DISTRITAL: se realiza un análisis e identificación de oportunidades en economía circular, para posteriormente formular proyectos pilotos en diferentes sectores económicos.</t>
  </si>
  <si>
    <t>Para el presente reporte el avance físico de la meta consistió en la generación de herramientas de apoyo para orientar la transición hacia la economía circular en las empresas de la ciudad, por lo que no existe un territorio especifico y aplica en general para Bogotá.</t>
  </si>
  <si>
    <t>Debido a que su aplicación en para toda la ciudad, no se indica la especificidad en la descripción de la población.</t>
  </si>
  <si>
    <t xml:space="preserve">DISTRITAL
Formulación del primer proyecto a realizar con el sector de curtiembres siendo uno de los tres sectores priorizados por el POMCA (Curtiembres, galvanoplastia y minería); razón por la cual, durante el reporte aún no se presenta resultados de territorialización, considerando la fase de formulación en la que se encuentra. Una vez, inicie la implementación de los proyectos se realizará el respectivo alcance territorial. </t>
  </si>
  <si>
    <t>Articular y consolidar un (1) Plan de Acción Climática para Bogotá D.C. 2020 - 2050.</t>
  </si>
  <si>
    <t>DISTRITAL
consolidación de un documento que presente los ejes programáticos y el cronograma de un plan con acciones articuladas de gestión ambiental, gestión del cambio climático y gestión del riesgo de desastres, para que Bogotá se prepare con medidas de mitigación y de adaptación al cambio climático, en un periodo de 30 años (de 2020 a 2050).</t>
  </si>
  <si>
    <t>Las distintas actividades ejecutadas para cumplir con la meta se realizan en el Distrito Capital y no en puntos específicos.
Se tuvo en cuenta la reserva presupuestal para llevar a cabo las acciones de la magnitud física.
Se da por cumplida esta meta en un 100%</t>
  </si>
  <si>
    <t>Política Nacional de Cambio Climático
Política Nacional de Gestión del Riesgo de Desastres</t>
  </si>
  <si>
    <t>DISTRITAL
Ejecución de acciones tanto de mitigación de gases de efecto invernadero, como de adaptación con resiliencia al cambio climático, asociados al Plan de Acción Climática</t>
  </si>
  <si>
    <t xml:space="preserve">Las distintas actividades ejecutadas para cumplir con la meta se realizan en el Distrito Capital y no en puntos específicos.
</t>
  </si>
  <si>
    <r>
      <t>CORTE A__MAYO___</t>
    </r>
    <r>
      <rPr>
        <b/>
        <u/>
        <sz val="12"/>
        <rFont val="Arial"/>
        <family val="2"/>
      </rPr>
      <t xml:space="preserve"> </t>
    </r>
    <r>
      <rPr>
        <b/>
        <sz val="12"/>
        <rFont val="Arial"/>
        <family val="2"/>
      </rPr>
      <t xml:space="preserve"> AÑO</t>
    </r>
    <r>
      <rPr>
        <sz val="12"/>
        <rFont val="Arial"/>
        <family val="2"/>
      </rPr>
      <t xml:space="preserve"> _2021___</t>
    </r>
  </si>
  <si>
    <t>La aplicación de determinantes ambientales en proyectos urbanos y arquitectónicos de diferentes escalas, así como a instrumentos de planeamiento urbano, promueve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</si>
  <si>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Archivo de Gestión SEGAE.</t>
  </si>
  <si>
    <t>La Secretaría Distrital de Ambiente ha realizado importantes esfuerzos incorporando criterios de ecourbanismo y construcción sostenible en proyectos urbanos y arquitectónicos en la Ciudad, por lo cual es necesario realizar la verificación en la incorporación de los lineamientos y determinantes ambientales de ecourbanismo y construcción sostenible a proyectos de infraestructura que actualmente están en operación, evaluando su aporte a las políticas nacionales y distritales que rigen en esta materia y su aporte a la gestión de la crisis climática; así mismo, esta verificación permitirá conocer las dificultades por parte del sector construcción en la incorporación de estos criterios, permitiendo que desde la administración distrital genere estrategias para promover y fortalecer la construcción sostenible en la Ciudad.</t>
  </si>
  <si>
    <t>El acompañamiento técnico a techos verdes y jardines verticales, promueve la conservación y mejoramiento de estas estructuras, las cuales ofrecen múltiples beneficios ambientales (Eje. Retienen el agua lluvia, mitigan el efecto isla de calor, absorben el ruido), sociales (Eje. Mejoran el paisaje urbano, aumentan el área verde de la ciudad, mejoran la calidad de vida) y económicos (Eje. Mantienen la comodidad térmica al interior de las edificaciones, evitando el uso de calefactores, valorizan el predio, permiten integrarse con sistemas de aprovechamiento de agua lluvia, ahorrando consumo de agua), para la ciudad y sus habitantes.</t>
  </si>
  <si>
    <t>7794 - Fortalecimiento de la gestión ambiental sectorial, el ecourbanismo y cambio climático en el D.C. Bogotá.</t>
  </si>
  <si>
    <t>1. Realizar el acompañamiento para la incorporación de criterios y determinantes ambientales en proyectos de infraestructura.</t>
  </si>
  <si>
    <t>X</t>
  </si>
  <si>
    <t>2. Verificar en proyectos de infraestructura  la incorporación de  criterios y determinantes ambientales en proyectos de infraestructura.</t>
  </si>
  <si>
    <t>3. Realizar el acompañamiento técnico a  techos verdes y jardines verticales en la Ciudad.</t>
  </si>
  <si>
    <t>4. Diseñar la estrategia de crecimiento verde para la ciudad.</t>
  </si>
  <si>
    <t>5. Desarrollar proyectos de asistencia técnica para el mejoramiento del desempeño ambiental en empresas participantes de programas voluntarios ofrecidos por la SEGAE.</t>
  </si>
  <si>
    <t>6.Desarrollar las actividades programadas en cada convocatoria del Programa de Excelencia Ambiental Distrital - PREAD.</t>
  </si>
  <si>
    <t>7. Desarrollo de estrategias o escenarios para el fortalecimiento de los  emprendimientos y negocios verdes.</t>
  </si>
  <si>
    <t xml:space="preserve">8. Realizar el acompañamiento en el proceso de fortalecimiento de negocios verdes </t>
  </si>
  <si>
    <t>9. Verificación y seguimiento a los criterios de negocios verdes.</t>
  </si>
  <si>
    <t>10. Mesas de articulación con actores gremiales, académicos e interinstitucionales.</t>
  </si>
  <si>
    <t>11. Realizar el acompañamiento de los procesos de promoción de los proyectos.</t>
  </si>
  <si>
    <t>12. Presentación de avances o boletines de los proyectos.</t>
  </si>
  <si>
    <t>13. Formulación e implementación de un plan anual para la implementación de producción más limpia en los sectores de curtiembres y metalurgia (galvanoplastia), que incluya programación de capacitaciones.</t>
  </si>
  <si>
    <t xml:space="preserve">14. Formulación e implementación del plan anual de apoyo técnico y buenas prácticas  a explotaciones mineras. </t>
  </si>
  <si>
    <t>15.Actualización de datos del INGEI para los 4 sectores a 2018, de acuerdo con Plan de trabajo definido por la DCA.</t>
  </si>
  <si>
    <t>x</t>
  </si>
  <si>
    <t>Se consolidó la estimación de emisiones de Gases de Efecto Invernadero (GEI) para el año 2018 aplicando la metodología del Informe especial sobre la protección de
la capa de ozono (IPCC) y Protocolo Global para Inventarios de Emisión de Gases de Efecto Invernadero a Escala Comunitaria (GPC).</t>
  </si>
  <si>
    <t xml:space="preserve">16. Formulación de Plan de Gestión del INGEI </t>
  </si>
  <si>
    <t>Se realizó estructuración preliminar de documento de Plan de Gestión del Inventario de Gases Efecto Invernadero (INGEI). Se consolidó documento de Plan de Gestión del Inventario de Emisiones y Absorciones de GEI.</t>
  </si>
  <si>
    <t xml:space="preserve">17. Consolidación de banco de proyecto de mitigación y adaptación con información de emisiones de GEI </t>
  </si>
  <si>
    <t>Se socializaron proyectos (Subacciones) orientados a reducción de emisiones de Gases de Efecto de Invernadero en el marco del proceso de validación de las Acciones de Mitigación del pac con entidades como UAESP, EAAB, SDP, SDHábitat. Se realizó proceso de validación y concertación de Acciones y subacciones con los actores de los diferentes sectores del Distrito Capital y se consolidaron las subacciones (Instrumentos y proyectos) que aportan al logro de los objetivos de Mitigación y Adaptación al Cambio climático en el marco del Plan de Acción Climática para Bogotá 2020 -2050.</t>
  </si>
  <si>
    <t xml:space="preserve">18. Documento con acciones priorizadas a implementar en 2020-2024 </t>
  </si>
  <si>
    <t>Se realizaron reuniones Intersectoriales con el objetivo de validar acciones de Mitigación de Cambio Climático en el marco del Plan de Acción Climática para Bogotá 2020 - 2050.; en este ejercicio se incluye actividades para priorizar dichas acciones con criterios de cobeneficios y factibilidad. Las reuniones se realizaron con las entidades SDP, SDHábitat, EAAB y UAESP. Se realizó ejercicio de priorización de las acciones de mitigación a partir de criterios de cobeneficios, viabilidad de implementación y costos.</t>
  </si>
  <si>
    <t xml:space="preserve">19. Hoja de Ruta del Plan de Acción Climática con acciones priorizadas a 2024 + hitos 2030 y 2050. </t>
  </si>
  <si>
    <t>Se realizó un proceso de validación de las Acciones de  Mitigación y Adaptación al Cambio climático que hacen parte de la versión inicial del Plan de Acción Climática para Bogotá 2020 - 2050, con el propósito de definir la ruta de implementación de dichas acciones. Se realizó ejercicio de priorización de acciones de mitigación del Cambio climático en el marco de estructuración del Plan de Acción Climática. En el marco de estructuración del Plan de Acción para Bogotá 2020 - 2050, se validaron y consolidaron las acciones que hacen parte de la ruta de implementación de Mitigación y Adaptación al Cambio climático para el Distrito Capital.</t>
  </si>
  <si>
    <t>20.Consolidar la información sobre los  riesgos climáticos y la capacidad adaptativa de la ciudad que permita cumplir con el nivel de buenas prácticas del Framework de C40, incluyendo el componente de inclusión.</t>
  </si>
  <si>
    <t xml:space="preserve">Entre enero y abril de 2021, se apoyó la revisión de la metodología propuesta por el IDIGER para el ajuste del Índice de Riesgo Climático (IRC). Para la del IRC por incendios forestales, se incluyó el déficit hídrico esperado a 2040. Se realizaron observaciones técnicas y de forma a las versiones 2 y 3 de la Evaluación de Riesgo Climático (ERC)  generada por el IDIGER, las cuales se complementaron con los comentarios de C40. Se elaboró la primera versión del análisis de capacidad adaptativa de la ciudad. 
Como parte del componente de inclusión, se realizó una reunión con la Alta Consejería para las Víctimas en la que se revisó el IRC como variable para el análisis de conflictos ambientales en los territorios de los Programas de Desarrollo con Enfoque Territorial (PDET). También, se llevó a cabo reunión con Planeación Distrital, para identificar la forma de incluir el IRC en la toma de decisiones urbanísticas en el POT.
Se llevaron a cabo sesiones de trabajo con el IDIGER que aportaron a la elaboración del resumen ejecutivo del componente de adaptación que se incluyó en Plan de Acción Climática para Bogotá 2020-2050 (PAC) y que fue presentado a la ciudadanía el 22/04/21. De esta manera, la ciudad cuenta con el primer análisis de riesgos climáticos a nivel de UPZ y UPR para las siguientes amenazas climáticas que más la afectan y cuyos impactos serán más graves en 2040: inundaciones, movimientos en masa, incendios forestales, avenidas torrenciales e islas de calor urbanas. Así mismo, se cuenta con una primera aproximación a los índices de exposición, sensibilidad y capacidad adaptativa, como insumo para definir prioridades de adaptación al cambio climático.
Con lo anterior, se cumplió el 100% de la actividad. </t>
  </si>
  <si>
    <t xml:space="preserve">21. Desarrollar procesos de concertación sectorial para la validación y priorización de las acciones de mitigación y adaptación incluidas en el PAC. </t>
  </si>
  <si>
    <t xml:space="preserve">Entre enero y abril de 2021, se realizaron 26 reuniones intersectoriales y varias sesiones de trabajo al interior de la SDA para concertar las acciones de adaptación y transversales del PAC. Los comentarios se sistematizaron y se ajustaron las fichas de dichas acciones, incluyendo: definición preliminar de indicadores, metas, línea base y presupuesto. Se generaron 15 acciones y 82 subacciones de adaptación distribuidas así: 47% ecosistemas y biodiversidad, 27% gestión de riesgos hidroclimáticos, 20% construcciones y edificaciones y 7% servicios públicos y líneas de vida.
También se generaron 4 acciones transversales y 30 subacciones, que abarcan temas de gobernanza, ordenamiento territorial, justicia climática y articulación institucional, regional, nacional e internacional. 
Se realizó el proceso de evaluación de cobeneficios y factibilidad de las 30 acciones del PAC, a partir de la herramienta ASAP de C40. Para las acciones de adaptación, se determinó su cobertura y efectividad para la reducción del riesgo climático. 
Se desarrollaron reuniones de trabajo con la Subdirección de Políticas y con el IDIGER, sobre el seguimiento al PAC.
Se analizó el aporte de las acciones de adaptación y transversales del PAC para el cumplimiento de los 10 mandatos del Acuerdo 790/20 sobre la emergencia climática. Se concluyó que, de las 39 acciones estratégicas del Acuerdo que se relacionan con adaptación, resiliencia, gobernanza, inclusión, educación, etc. las acciones de adaptación y transversales del PAC contribuyen a su implementación directa en 74%, indirecta en 10% y en el 15% no se aporta a su implementación. 
De esta manera, culminó la definición de medidas transformadoras de adaptación que le permitan a la ciudad ser resiliente al cambio climático en 2050; estas acciones son la base para la implementación de otros instrumentos como el Acuerdo 790/20.
Con lo anterior se cumplió el 100% de la actividad. </t>
  </si>
  <si>
    <t>22. Desarrollar una propuesta de seguimiento de la implementación del PAC.</t>
  </si>
  <si>
    <t>23. Ejecutar acciones de gestión del riesgo por incendio forestal.</t>
  </si>
  <si>
    <t>24. Respuesta a las emergencias de los servicios básicos en los que la SDA actúa como responsable ejecutor.</t>
  </si>
  <si>
    <t>25. Adelantar la implementación de los instrumentos de planeación de gestión ambiental  PIGA-PACA.</t>
  </si>
  <si>
    <t>26. Seguimiento a las acciones establecidas en los instrumentos de planeación existentes y orientados a recuperar y manejar ambientalmente los “Suelos de Protección por Riesgo no Mitigable”.</t>
  </si>
  <si>
    <t>TOTAL PONDERACIÓN</t>
  </si>
  <si>
    <t>La implementación de una Estrategia Distrital de Crecimiento Verde permitirá realizar acciones que incentiven la competitividad en el sector empresarial con la sostenibilidad en el uso de los recursos, menor generación en impactos ambientales y con la promoción de nuevas oportunidades de negocios basados en el aprovechamiento sostenible del capital natural.</t>
  </si>
  <si>
    <t>Archivo de gestión SEGAE.</t>
  </si>
  <si>
    <t>La aplicación y seguimiento de determinantes ambientales en proyectos urbanos y arquitectónicos de diferentes escalas, así como a instrumentos de planeamiento urbano, promueve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</si>
  <si>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Oficios FOREST, Actas, Archivo de Gestión SEGAE.</t>
  </si>
  <si>
    <t>La Secretaría Distrital de Ambiente ha  incorporando criterios de ecourbanismo y construcción sostenible en proyectos urbanos y arquitectónicos en la Ciudad, por lo cual es necesario realizar la verificación en la incorporación de los lineamientos y determinantes ambientales de ecourbanismo y construcción sostenible a proyectos de infraestructura que actualmente están en operación, evaluando su aporte a las políticas nacionales y distritales que rigen en esta materia y su aporte a la gestión de la crisis climática; así mismo, esta verificación permitirá conocer las dificultades por parte del sector construcción en la incorporación de estos criterios, permitiendo que desde la administración distrital genere estrategias para promover y fortalecer la construcción sostenible en la Ciudad.</t>
  </si>
  <si>
    <t>Matriz de reporte, archivo de gestión SEGAE.</t>
  </si>
  <si>
    <t xml:space="preserve">El mejoramiento ambiental de las organizaciones a partir de estrategias de prevención, que permitan minimizar el impacto ambiental generado en la ciudad. </t>
  </si>
  <si>
    <t>Se cumplió con lo programado. Se avanzó en el documento con el desarrollo de los documentos técnicos generados por los diferentes equipos que integran los componentes estructurales de la estrategia (Economía circular, Sostenibilidad energética, Negocios verdes, métrica, empleos verdes, Ecourbanismo y transversales). Se realizó con Departamento Nacional de Planeación articulación para desarrollar los indicadores de monitoreo de la implementación de la EDCV. Se parcipó en la construcción del Plan de Acción de la Politica de Desarrollo Económico con la articulación de las acciones de la Estrategia Distrital de Crecimiento Verde. Se continuaron las articulacoines con otras entidades.</t>
  </si>
  <si>
    <t>22 personas (Reuniones realizadas 03/05/2021: 6, 12/05/2021: 9, 25-05-2021: 12, 27/05/2021:10)</t>
  </si>
  <si>
    <t>El 03/05/2021. Participantes Secretaría Distrital de Ambiente (equipo Estrategia Distrital de Crecmiento Verde (EDCV) y Secretaría de Desarrollo Económico (grupo de políticas). Reunión explicatoria para el diligenciamiento del formato plan de acción de la Política de desarrollo Económico articulando las acciones de la (EDCV).
12/05/2021. Participantes Secretaría Distrital de Ambiente (equipo Estrategia Distrital de Crecmiento Verde (EDCV)), Secretaría de Hacienda Distrital y Bancolombia. Presentación de la experiencia de Bonos Verdes por parte de Bancolombia para establecer la posibilidad de crear este proyecto para Bogotá.
25/05/2021. Participantes Secretaría Distrital de Ambiente (equipo Estrategia Distrital de Crecmiento Verde (EDCV) y Programa Empleos Verdes en la Economía Circular - PREVEC giz│ Deutsche Gesellschaft für Internationale Zusammenarbeit (GIZ) GmbH. Presentación del proyecto PREVEC y Programa de Gestión Ambiental Empresarial en el marco de la EDCV, con el fin de establecer puntos de articulación.
27/05/2021. Participantes Secretaría Distrital de Ambiente (equipo Estrategia Distrital de Crecmiento Verde (EDCV) y Departamento Nacional de Planieación. Conocer la formulación de los indicadores nacionales de Crecimiento Verde a fin de articularlos a la EDCV y establecer el mecanismo para el seguimiento de la misma.</t>
  </si>
  <si>
    <r>
      <t xml:space="preserve">En el marco del Programa Gestión Ambiental Empresarial y de acuerdo al cronograma de reporte para la vigencia 2021, producto de la asistencia técnica enmarcado en acompañamiento se reporta para el mes de mayo (1) proyecto dirigido al uso eficiente en el consumo de la energía.
No obstante, se cuenta con un acumulado de (5) proyectos dirigidos al uso eficiente de los recursos naturales (1 residuos, 2 energía y 2 en agua).
</t>
    </r>
    <r>
      <rPr>
        <sz val="9"/>
        <color rgb="FFFF0000"/>
        <rFont val="Arial"/>
        <family val="2"/>
      </rPr>
      <t>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r>
  </si>
  <si>
    <r>
      <t xml:space="preserve">En el marco del Programa Gestión Ambiental Empresarial y de acuerdo al cronograma de reporte para la vigencia 2021, producto de la asistencia técnica enmarcado en acompañamiento se reporta en esta localidad (1) proyecto dirigido al uso eficiente de los recursos naturales (agua).
No obstante, se cuenta con un acumulado de (12) proyectos dirigidos al uso eficiente de los recursos naturales (5 residuos, 3 energía, 3 en agua y 1 en emisiones).
</t>
    </r>
    <r>
      <rPr>
        <sz val="9"/>
        <color rgb="FFFF0000"/>
        <rFont val="Arial"/>
        <family val="2"/>
      </rPr>
      <t>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r>
  </si>
  <si>
    <r>
      <t xml:space="preserve">En el marco del Programa Gestión Ambiental Empresarial y de acuerdo al cronograma de reporte para la vigencia 2021, producto de la asistencia técnica enmarcado en acompañamiento se reporta en esta localidad un (1) proyecto dirigido aluso eficiente de la energía.
No obstante, se cuenta con un acumulado de (3) proyectos dirigidos al uso eficiente de los recursos naturales (1 en agua, 1 en energía y 1 en residuos).
</t>
    </r>
    <r>
      <rPr>
        <sz val="9"/>
        <color rgb="FFFF0000"/>
        <rFont val="Arial"/>
        <family val="2"/>
      </rPr>
      <t>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r>
  </si>
  <si>
    <r>
      <t xml:space="preserve">En el marco del Programa Gestión Ambiental Empresarial y de acuerdo al cronograma de reporte para la vigencia 2020, producto de la asistencia técnica enmarcado en acompañamiento se reporta en esta localidad (2) proyectos dirigidos al uso eficiente de los recursos naturales (1 en agua y 1 en energía).
No obstante, se cuenta con un acumulado de (13) proyectos dirigidos al uso eficiente de los recursos naturales (3 en agua, 7 en energía, 2 en residuos y 1 en emisiones).
</t>
    </r>
    <r>
      <rPr>
        <sz val="9"/>
        <color rgb="FFFF0000"/>
        <rFont val="Arial"/>
        <family val="2"/>
      </rPr>
      <t>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r>
  </si>
  <si>
    <t>Shapefile_Proy7794_meta5_MAY2021 subido al drive: https://drive.google.com/drive/u/1/folders/1aNcJhPGfXWBLSyMneEHnfSIoin8dI2yt</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</si>
  <si>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una empresa de tamaño mediano de la que se reporta 1 proyecto.
No obstante, se tiene de esta localidad un acumulado de 5 proyectos pertenecientes a (2 grandes y 3 medianas).</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</si>
  <si>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una empresa de tamaño mediano de la que se reporta 1 proyecto.
No obstante, se tiene de esta localidad un acumulado de 12 proyectos pertenecientes a (4 grandes y 8 mediana).</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</si>
  <si>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para el presente reporte se presenta (1) tamaño grande.
No obstante, se tiene de esta localidad un acumulado de 3 proyectos pertenecientes a (2 grandes y 1 mediana).</t>
  </si>
  <si>
    <t>EL EJIDO, GORGONZOLA, LOS EJIDOS
CENTRO INDUSTRIAL, PUENTE ARANDA, SALAZAR GOMEZ
SAN RAFAEL INDUSTRIAL</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</si>
  <si>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para el presente reporte se presenta (2) proyectoS desarrollados por empresa de tamaño grande.
No obstante, se tiene de esta localidad un acumulado de 13 proyectos pertenecientes a (5 grandes, 7 medianas y 1 pequeña).</t>
  </si>
  <si>
    <t>Permite promover el fortalecimiento de actividades económicas que ofrecen bienes o servicios que generan impactos ambientales positivos y que, además, incorpora buenas prácticas ambientales, sociales, económicas, con enfoque de ciclo de vida, contribuyendo al consumo sostenible y a la conservación del ambiente como capital natural que soporta el desarrollo de la región y la estrategia de crecimiento verde.</t>
  </si>
  <si>
    <t>Avanza en la transición de una economía lineal hacía una economía circular en sectores económicos priorizados, a través de la reincorporación y valorización de materiales y residuos, así como en la incorporación de energías renovables y el uso eficiente de la energía eléctrica.</t>
  </si>
  <si>
    <t>La empresa se inscribío a demanda  y al realizar su verificación cumplió los requisitos para ser un negocio verde en el mes de mayo</t>
  </si>
  <si>
    <t>En la vigencia se tienen 7 negocios verdes, distribuidos así: 3 en Suba, 1 en Chapinero, 1 en Kennedy y 2 Usaquén</t>
  </si>
  <si>
    <t>UPZ13
UPZ16</t>
  </si>
  <si>
    <t>CEDRITOS
SAN PATRICIO</t>
  </si>
  <si>
    <t>Punto. Shapefile_Proy7794_meta6_MAY2021 subido al drive: https://drive.google.com/drive/u/1/folders/1ZSqxrBWuR8DsLVf9scwGAG7Xr6iUAH-L</t>
  </si>
  <si>
    <t>Los negocios verificados son microempresas, razón por la cual tiene pocas personas que la conforman. Se describe el género y el grupo etario de éstos.</t>
  </si>
  <si>
    <t>UPZ20
UPZ71
UPZ19</t>
  </si>
  <si>
    <t>PASADENA
SAN PEDRO
MAZUREN</t>
  </si>
  <si>
    <t>6 (30 A 50 AÑOS)</t>
  </si>
  <si>
    <t>VÍCTIMA CONFLICTO ARMADO
MADRE CABEZA DE HOGAR</t>
  </si>
  <si>
    <t>1
1</t>
  </si>
  <si>
    <t>INGÍGENA</t>
  </si>
  <si>
    <t>El principal beneficio asociado al desarrollo de 9 proyectos de producción más limpia en los sectores priorizados se encuentra relacionado con el apoyo a la ordenación de la cuenca del Río Bogotá con el ánimo de solucionar su estado de contaminación.  Es así como, a partir de la aprobación del ajuste y actualización del Plan de Ordenación y Manejo de la Cuenca Hidrográfica del río Bogotá - POMCA, se busca la implementación de proyectos de producción mas limpia a través de la optimización y desarrollo de buenas prácticas ambientales de los procesos industriales en Pymes de metalurgia y curtiembres en Bogotá, al igual que, el apoyo técnico y seguimiento socioambiental de las actividades minero industriales; lo que a su vez contribuye con la descontaminación del río Bogotá.</t>
  </si>
  <si>
    <t>Archivos de gestión SEGAE</t>
  </si>
  <si>
    <t>Durante el mes de mayo no se presentan resultados de territorialización dado que, aun no inicia la fase de implementación de los proyectos. En el mes se realizaron mesas de trabajo con empresas del sector galvánico, siendo uno de los sectores priorizados por el POMCA, para establecer la hoja de ruta de formulación e implementación del proyecto.
Igualmente, con las curtiembres se está a la espera de la formalización del proyecto para dar inicio a la fase de implementación. Lo cual permitirá reportar la  respectiva territorialización</t>
  </si>
  <si>
    <t xml:space="preserve">Durante el mes de mayo no se presentan resultados de territorialización dado que, aun no inicia la fase de implementación de los proyectos. En el mes se realizaron mesas de trabajo con empresas del sector galvánico, siendo uno de los sectores priorizados por el POMCA, para establecer la hoja de ruta de formulación e implementación del proyecto.
Igualmente, con las curtiembres se está a la espera de la formalización del proyecto para dar inicio a la fase de implementación. Lo cual permitirá reportar la  respectiva territorialización
</t>
  </si>
  <si>
    <t>Durante la vigencia 2021 se realizaron reuniones de socialización de las Acciones de Adaptación y Mitigación del Cambio climático que se caracterizaron en la versión inicial del Plan de Acción Climática para Bogotá 2020 - 2050 con el objetivo de ser validadas por los diferentes sectores responsables de su implementación. De manera adicional se validaron y consolidaron  las acciones de Adaptación y Mitigación que conforman el Plan de Acción Climática para Bogotá 2020 - 2050 con los actores de los diferentes sectores del Distrito capital. Con estas acciones se avanza en el 0,1 de ejecución logrando a cabalidad el cumplimiento de la meta.</t>
  </si>
  <si>
    <t>Los cambios que se presentan en el clima son tanto naturales como resultado de actividades humanas, pero últimamente son estos últimos los que más aceleran el proceso, conscientes de la situación y el escenario que ello genera, el Plan de Desarrollo Distrital determina avanzar en la estructuración de un plan de acción climática para Bogotá D.C., con un horizonte a 2050, que contribuya con lineamientos y acciones concretas de adaptación y mitigación, para hacer frente a los efectos del calentamiento global. Para ello, se tendrá como uno de los referentes principales el Plan Distrital de Gestión del Riesgo de Desastres y del Cambio Climático para Bogotá D.C., 2018-2030</t>
  </si>
  <si>
    <t>Archivo de gestión DCA</t>
  </si>
  <si>
    <t>La ciudad cuenta con un Plan de Acción Climática con horizonte a 2050 que plantea acciones de mitigación y de adaptación al cambio climático, a fin de enfrentar, de la mejor manera, sus efectos y favorecer la resiliencia.</t>
  </si>
  <si>
    <t>Presentaciones y actas de reuniones, documentos técnicos, informes de convenios y contratos, reportes de emergencias respondidas por la entidad, informes de seguimiento y de evaluación del PACA, informes de gestión, reportes de seguimiento.</t>
  </si>
  <si>
    <r>
      <rPr>
        <sz val="12"/>
        <rFont val="Arial"/>
        <family val="2"/>
      </rPr>
      <t xml:space="preserve">PROGRAMACIÓN, ACTUALIZACIÓN Y SEGUIMIENTO DEL PLAN DE ACCIÓN
Actualización y seguimiento a la </t>
    </r>
    <r>
      <rPr>
        <b/>
        <sz val="12"/>
        <rFont val="Arial"/>
        <family val="2"/>
      </rPr>
      <t>Territorialización</t>
    </r>
  </si>
  <si>
    <t xml:space="preserve">6, ACTUALIZACIÓN </t>
  </si>
  <si>
    <t>7,EJECUTADO</t>
  </si>
  <si>
    <t>8, LOCALIZACIÓN GEOGRÁFICA</t>
  </si>
  <si>
    <t>9, ORIENTACIÓN</t>
  </si>
  <si>
    <t>REPROGRAMACIÓN VIGENCIA</t>
  </si>
  <si>
    <t>8,1 LOCALIDAD(ES)</t>
  </si>
  <si>
    <t>8.2 UPZ(S)</t>
  </si>
  <si>
    <t>8,3 BARRIO(S)</t>
  </si>
  <si>
    <t>8,4 GEORREFERENCIACIÓN</t>
  </si>
  <si>
    <t>8,5 ÁREA DE INFLUENCIA E INCIDENCIA</t>
  </si>
  <si>
    <t>9,1 POLÍGONO DE MEJORAMIENTO INTEGRAL</t>
  </si>
  <si>
    <t>9,2 POLÍTICA</t>
  </si>
  <si>
    <t>10.1 POBLACIÓN RELACIONADA A LA LOCALIZACIÓN</t>
  </si>
  <si>
    <t>10.2 NÚMERO DE HOMBRES</t>
  </si>
  <si>
    <t>10.3 NÚMERO DE MUJERES</t>
  </si>
  <si>
    <t xml:space="preserve">10.4 NÚMERO INTERSEXUAL </t>
  </si>
  <si>
    <t>10.5  GRUPO ETARIO</t>
  </si>
  <si>
    <t>10.6  NÚMERO PERSONAS POR GRUPO ETARIO</t>
  </si>
  <si>
    <t>10.7  CONDICION POBLACIONAL</t>
  </si>
  <si>
    <t>10.8 NUMERO PERSONAS POR CONDICIÓN POBLACIONAL</t>
  </si>
  <si>
    <t>10.9  GRUPOS ETNICOS</t>
  </si>
  <si>
    <t>10.10 NÚMERO DE PERSONAS POR GRUPOS ETNICOS</t>
  </si>
  <si>
    <t>10.11  SEGUIMIENTO A LA POBLACIÓN
PERSONAS/CANTIDAD</t>
  </si>
  <si>
    <t>En la localidad de San Cristobal se ha emitido determinantes ambientales al Plan Parcial de Desarrollo Bosques de San José y Diseño paisajístico de las zonas de cesión del Proyecto Urbanístico Buenos Aires (WR 1130),  promoviendo la construcción sostenible y el ecourbanismo en la ciudad.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</si>
  <si>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En la localidad de Kennedy se ha emitido determinantes ambientales Diseño Paisajístico de la propuesta de compensación del proyecto “ESTUDIOS Y DISEÑOS
 COMPLEMENTARIOS PARA EL TRASLADO ANTICIPADO DE REDES MATRICES Y REDES MENORES DE
 ACUEDUCTO, ASOCIADAS A LA PRIMERA LÍNEA DEL METRO DE BOGOTÁ, UBICADAS EN LA AV. 1 DE MAYO
 CON AV. CARRERA 68,  promoviendo la construcción sostenible y el ecourbanismo en la ciudad.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</si>
  <si>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En la localidad de Antonio Nariño se ha emitido determinantes ambientales al Diseño Paisajistico Balance de zonas verdes del contrato IDU 973 de 2020 CONSTRUCCIÓN DE LA AMPLIACIÓN DE ESTACIONES DEL SISTEMA TRANSMILENIO EN TRONCALES FASE I Y FASE II, POR EMERGENCIA EN BOGOTÁ D.C. – GRUPO III,  promoviendo la construcción sostenible y el ecourbanismo en la ciudad.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</si>
  <si>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Chapinero, se realizó acompañamiento técnico a 216 m2 de  jardines verticales en el EDIFICIO 81 - 11, Calle 81 # 11 - 08, CHIP AAA0097UHNX.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</si>
  <si>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Chapinero, se realizó acompañamiento técnico a 96 m2 de  jardines verticales en el EDIFICIO 81 , Calle 81 # 11 - 55, CHIP AAA0097SFSY.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</si>
  <si>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Chapinero, se realizó acompañamiento técnico a 80 m2 de  jardines verticales en el  HOTEL BIOXURY, Calle  84B # 9- 52, CHIP AAA0097CWJH.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</si>
  <si>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Usaquén, se realizó acompañamiento técnico a 30 m2 de  jardines verticales en el   RESTAURANTE COCTEL DEL MAR, AK 19 # 123 - 26 CHIP AK 19 # 123 - 26.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</si>
  <si>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Puente Aranda, se realizó acompañamiento técnico a 142 m2 de  jardines verticales en el  ALCALDIA LOCAL DE PUENTE ARANDA, Carrera 31 D # 4 - 05, CHIP AAA0035WRZE.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</si>
  <si>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Santa Fé, se realizó acompañamiento técnico a 85 m2 de  jardines verticales en el   EDIFICIO ALTA VISTA, Calle 32 # 13 - 52. AAA0207OWYN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</si>
  <si>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Engativá, se realizó acompañamiento técnico a 300 m2 de  jardines verticales en el    CENTRO COMERCIAL DIVER PLAZA, TV 99 Bis # 70A - 89, AAA0186YDPP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</si>
  <si>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Proyecto 7794 - Fortalecimiento de la gestión ambiental sectorial, el ecourbanismo y cambio climático en el D.C.</t>
  </si>
  <si>
    <t>Propósito 02: Cambiar nuestros hábitos de vida para reverdecer a Bogotá y adaptarnos y mitigar la crisis climática</t>
  </si>
  <si>
    <t>Programa Cambio Cultural para la gestión de la crisis climática</t>
  </si>
  <si>
    <t>Promover el ecourbanismo y construcción sostenible</t>
  </si>
  <si>
    <t>Servicio de asistencia técnica para la incorporación de variables ambientales en la planificación sectorial</t>
  </si>
  <si>
    <t>Entidades y sectores asistidos técnicamente para la incorporación de variables ambientales en la planificación sectorial</t>
  </si>
  <si>
    <t>Durante el mes de octubre de 2020, se incorporó criterios de sostenibilidad ambiental a 11 proyectos, tanto en espacio público como en privado. Así mismo, se realizó la verificación a la incorporación de determinantes ambientales a 4 proyectos de infraestructura en el espacio público.</t>
  </si>
  <si>
    <t>Fortalecer las capacidades de las actividades económicas, hacia modelos con enfoque de sostenibilidad, economía circular  e innovación que permita la transición hacia un crecimiento verde</t>
  </si>
  <si>
    <t>Servicio de asistencia técnica para la consolidación de negocios verdes</t>
  </si>
  <si>
    <t xml:space="preserve">Negocios verdes consolidados </t>
  </si>
  <si>
    <t>Se reconoce a dos (2) negocios verdes en el mes de octubre que obtienen un puntaje mayor del 50% en los criterios evaluados, generando un acumulado de ocho (8) negocios verdes. Adicionalmente, 10 negocios verdes fueron aceptados en el marco de la convocatoria de Innpulsa -Cree.</t>
  </si>
  <si>
    <t>Intervenir  los sectores priorizados por el POMCA del Río Bogotá, a través de proyectos de producción más Limpia</t>
  </si>
  <si>
    <t>Servicio de divulgación de la incorporación de consideraciones ambientales en la planificación sectorial</t>
  </si>
  <si>
    <t>Campañas divulgadas</t>
  </si>
  <si>
    <t xml:space="preserve">Durante octubre se avanzó en la formulación del proyecto dirigido al sector de las curtiembres, se definieron los antecedentes, identificación de la problematica y una formulación preliminar de alternativas. Adicionalmente se avanzó en el inventario de curtiembres, se han identificado 309 usuarios. </t>
  </si>
  <si>
    <t>Articular, consolidar e iniciar la implementación de un plan de acción que oriente las acciones para afrontar los efectos del cambio climático en el Distrito Capital en el periodo 2020 - 2050</t>
  </si>
  <si>
    <t>Documentos de lineamientos técnicos para mejorar la calidad ambiental de las áreas urbanas</t>
  </si>
  <si>
    <t>Documentos de lineamientos técnicos para para mejorar la calidad ambiental de las áreas urbanas elaborados.</t>
  </si>
  <si>
    <t>Avance en la formulación del Plan de Acción Climática y en algunas acciones priorizadas, que contribuyen a mejorar la calidad ambiental y reducir los efectos del cambio climático, en especial, mediante medidas de adaptación.</t>
  </si>
  <si>
    <t>Durante el mes de noviembre de 2020, se incorporó criterios de sostenibilidad ambiental a 11 proyectos, tanto en espacio público como en privado. Así mismo, se realizó la verificación a la incorporación de determinantes ambientales a 6 proyectos de infraestructura en el espacio público - Parques Distritales.</t>
  </si>
  <si>
    <t>Se reconoce a UN (1) negocio verde en el mes de noviembre que obtienen un puntaje mayor del 53% en los criterios evaluados, generando un acumulado de nueve (9) negocios verdes. Adicionalmente, 10 negocios verdes fueron aceptados en el marco de la convocatoria de Innpulsa -Cree.</t>
  </si>
  <si>
    <t>Durante noviembre se avanzó en la formulación del proyecto dirigido al sector de las curtiembres, se definieron las alternativas de posibles proyectos, las cuales fueron priorizados a través de criterios, económicos, técnicos y legales. Esta priorización permitió establecer que la alternativa de mayor viabilidad es desarrollar un proyecto de  Fortalecimiento de la cadena de valor del cuero sostenible. Adicionalmente para avanzar en el censo de curtiembres, actualmente se esta procesando la base de datos recibida de la camara de comercio.</t>
  </si>
  <si>
    <t>Avance en la formulación del Plan de Acción Climática; el documento se encuentra al 80%. También, se han realizado acciones priorizadas, que contribuyen a mejorar la calidad ambiental y reducir los efectos del cambio climático, en especial, mediante medidas de adaptación.</t>
  </si>
  <si>
    <t>Durante el mes de diciembre de 2020, se incorporó y verifico criterios de sostenibilidad ambiental a diecinueve (19) proyectos. Así mismo, se brindo acompañamiento tecnico a 290 m2 de techos verdes y jardines verticales en la ciudad.</t>
  </si>
  <si>
    <t xml:space="preserve">Se reconoce a un (1) negocio verde en el mes de diciembre que obtienen un puntaje mayor del 57% en los criterios evaluados, generando un acumulado de diez (10) negocios verdes que permiten el cumplimiento de la meta. </t>
  </si>
  <si>
    <t xml:space="preserve">Durante el mes de diciembre se avanzó en la formulación del proyecto dirigido al sector de las curtiembres. Se definieron objetivo general, específicos y se concluyo la fase de formulacion del proyecto. Adicionalmente, se avanzó en el diagnóstico ambiental sectorial. Todo esto sumado a la operación de la mesa de curtiembres y las demás reuniones de gestión requeridas. Así mismo, se apoyo el proceso de votación en presupuestos participativos para el desarrollo del Centro de Innovación Ambiental y de calidad CINAC".
</t>
  </si>
  <si>
    <t>Plan de Acción Climática (versión 1) formulado.
Ejecución de algunas acciones de adaptación al cambio climatico priorizadas, para mejorar la calidad ambiental y reducir los efectos del cambio climático.</t>
  </si>
  <si>
    <t>Durante el mes de enero de 2021, se incorporó y verifico criterios de sostenibilidad ambiental a diez (10) proyectos. Así mismo, se brindo acompañamiento tecnico a 245 m2 de techos verdes y jardines verticales en la ciudad.</t>
  </si>
  <si>
    <t xml:space="preserve">Se reconoce a un (1) negocio verde en el mes de enero que obtienen un puntaje mayor del 51% en los criterios evaluados, generando el cumplimiento de la meta. </t>
  </si>
  <si>
    <t>Durante el mes de enero se inició con la formulación del proyecto dirigido al sector de galvanoplastia, con quienes se desarrollo una agenda de 9 reuniones que pemitieron definir las lineas de acción para el proyecto de fortalecimiento del sector de recubrimientos electroliticos, con enfoque de cadena de valor. 
Para el sector de minería se realizó un conversatorio sobre la gobernanza de los recursos minerales, con la asistencia de 40 personas y permitió hacer un acercamiento con los empresarios de la mineria de la ciudad con el fin de difundir sus buenas practicas.</t>
  </si>
  <si>
    <t>Ejecución de algunas acciones de adaptación al cambio climático priorizadas del Plan de Acción Climática para Bogotá 2020-2050, para mejorar la calidad ambiental y reducir los efectos del cambio climático.</t>
  </si>
  <si>
    <t>Durante el mes de febrero de 2021, se incorporó y verifico criterios de sostenibilidad ambiental a catorce (14) proyectos. Así mismo, se brindo acompañamiento tecnico a 301 m2 de techos verdes y jardines verticales en la ciudad.</t>
  </si>
  <si>
    <t xml:space="preserve">Se reconoce a un (1) negocio verde en el mes de febrero que obtiene un puntaje del 58% en los criterios evaluados, generando el cumplimiento de la meta. </t>
  </si>
  <si>
    <t>El primer proyecto formulado fue del sector curtiembres y en este sentido una en la mesa distrital de curtiembres llevada a cabo el día 19 de febrero. Así mismo, se continuó con la formulación del proyecto dirigido al sector de galvanoplastia. Para el sector de minería se realizó reunión con la Secretaría Distrital de Planeación para analizar la inclusión de actividades mineras en el POT. Adicionalmente, se realizó la consolidación de necesidades y propuestas para el articulado del POT.</t>
  </si>
  <si>
    <t>Articular, consolidar e iniciar la implementación de un plan de acción que oriente las acciones para afrontar los efectos del cambio climático en el Distrito Capital en el periodo 2020 - 2051</t>
  </si>
  <si>
    <t>Durante el mes de marzo de 2021, se incorporó y verifico criterios de sostenibilidad ambiental a diecisiete (17) proyectos. Así mismo, se brindo acompañamiento tecnico a 296 m2 de techos verdes y jardines verticales en la ciudad.</t>
  </si>
  <si>
    <t xml:space="preserve">Se reconoce a un (1) negocio verde en el mes de marzo que obtiene un puntaje del 63% en los criterios evaluados, generando el cumplimiento de la meta. </t>
  </si>
  <si>
    <t xml:space="preserve">Se sustentó ante el panel de evaluadores de Innpulsa la formulación realizada conjuntamente con la Universidad de los Andes para el fortalecimiento de la innovación y los mercados sostenibles, en San Benito se definió conjutamente con la CAR, la jornada de capacitación en buenas practicas de PML dirigida a todas las curtiembres.
Para el sector de galvanoplastia, se inscribieron 11 empresas , a las cuales se les aplicó una encuesta que permitió definir las prioridades de las líneas de intervención del proyecto y los temas de asistencia técnica a desarrollar.   </t>
  </si>
  <si>
    <t>Ajustes al Plan de Acción Climática para Bogotá 2020-2050 y ejecución de algunas acciones de adaptación para mejorar la calidad ambiental y reducir los efectos del cambio climático.</t>
  </si>
  <si>
    <t>Durante el mes de abril de 2021, se incorporó y verifico criterios de sostenibilidad ambiental a diecisiete (17) proyectos. Así mismo, se brindo acompañamiento tecnico a 300 m2 de techos verdes y jardines verticales en la ciudad.</t>
  </si>
  <si>
    <t xml:space="preserve">Se reconocen 5 negocios verdes; 1 (ene), 1 (feb), 1 (mar) y 2 (abril), los cuales superaron el 51% de los criterios evaluados, logrando el cumplimiento de la meta. </t>
  </si>
  <si>
    <t>Se aprobó por INNPULSA el proyecto de fortalecimiento de valor de cuero y se gestionó documentación para su vinculación. En Galvánico se inició la documentación del proyecto con antecedentes y problemática central, y, para minería se gestionó el apoyo desde SRHS para capacitaciones al sector</t>
  </si>
  <si>
    <t>Ajuste final al Plan de Acción Climática para Bogotá 2020-2050 y lanzamiento del Plan a la ciudad. Ejecución de algunas acciones de adaptación para mejorar la calidad ambiental y reducir los efectos del cambio climático.</t>
  </si>
  <si>
    <t xml:space="preserve"> Asistir a 800 proyectos participantes de programas voluntarios ofrecidos por la SEGAE, para el mejoramiento del desempeño ambiental.</t>
  </si>
  <si>
    <t xml:space="preserve">Acompañar y promover a 100 empresas en el proceso de verificación de los criterios de Negocios verdes.
</t>
  </si>
  <si>
    <t>Desarrollar 9 proyectos de producción más limpia en los sectores priorizados.</t>
  </si>
  <si>
    <t>III ACTIVIDADES SUIFT (PRESUPUESTO) VIGENCIA 2022</t>
  </si>
  <si>
    <t>PRESUPUESTO VIGENCIA SUIFP 2022</t>
  </si>
  <si>
    <t>PRESUPUESTO
OBLIGADO (GIRADO) 2022</t>
  </si>
  <si>
    <t>0900G149-conceptos técnicos emitidos frente a requerimientos de otras instituciones</t>
  </si>
  <si>
    <t>Durante el mes de diciembre de 2020, se incorporó criterios de sostenibilidad ambiental a 11 proyectos, tanto en espacio público como en privado. Así mismo, se realizó la verificación a la incorporación de determinantes ambientales a 8 proyectos de infraestructura en el espacio público</t>
  </si>
  <si>
    <t>0900G107-Hectareas monitoreadas</t>
  </si>
  <si>
    <t>Ha</t>
  </si>
  <si>
    <t>Durante el mes de diciembre de 2020 se ha realizado el acompañamiento técnico a 290 m2 correspondientes a jardines verticales, en proyectos existentes en espacio público y privado de las localidades de San Cristobal, Chapinero, Engativá y Puente Aranda  de la Ciudad de Bogotá.</t>
  </si>
  <si>
    <t>0900G113-Planes De Acción O Gestión Con Seguimiento.</t>
  </si>
  <si>
    <t>En 2020 acorde a lo planeado se lleva un acumulado de 0,1. En diciembre, se envió a revisión para observaciones capítulos 1,2 y 3 del documento preliminar de la EDCV. Mapeo entidades de financiamiento a proyectos verdes. Se continuó articulación de agendas con la academia y con SDDE a quien se invitó a participar del curso Ecodiseño en la economía Circular.</t>
  </si>
  <si>
    <t>0900G024- Seguimiento A La Formulación Del Proyecto De Procesos De Tecnologías Limpias</t>
  </si>
  <si>
    <t>Se realiza seguimiento a la formulación de los proyectos de producción más limpia, encontrando que la formulación del primer proyecto a desarrollar esta enfocado a las curtiembres de San Benito y se realizó la definición de objetivos completando su fase de formulacion. De otra parte se formulo un proyecto presentado en diciembre a la convocatoria de Innovacluster. Así mismo, se dará continuidad al inventario de curtiembres.</t>
  </si>
  <si>
    <t>0900G112- Planes De Acción O Gestión Formulados.</t>
  </si>
  <si>
    <t>Culminó la formulación de la primera versión del Plan de Acción Climática. 
Ejecución de algunas acciones de adaptación priorizadas: proyectos de adaptación al cambio climático; Gestión del riesgo por incendio forestal; Respuesta a emergencias; Implementación de instrumentos (PIGA y PACA); Seguimiento para recuperar y manejar suelos de protección por riesgo no mitigable.</t>
  </si>
  <si>
    <t>Durante el mes de febrero de 2021, se incorporó criterios de sostenibilidad ambiental a ocho (8) proyectos de diferentes escalas, tanto en espacio público como en privado, promoviendo la construcción sostenible y el ecourbanismo en la ciudad. Los proyectos a los cuales se les incorporo criterios de sostenibilidad corresponden a: Un (01) Plan Parcial de Desarrollo, un (01) Plan Parcial de Renovación Urbana y seis (06) Diseños paisajísticos de parques y zonas verdes.
Así mismo, se realizó la verificación a la incorporación de determinantes ambientales a seis (6) proyectos de infraestructura en el espacio público, correspondientes a Planes Directores para Parques.</t>
  </si>
  <si>
    <t>Durante el mes defebrero de 2021 se ha realizado el acompañamiento técnico a 301 m2 correspondientes a jardines verticales, en proyectos existentes en espacio público y  privado de las localidades de Chapinero y Santa Fé.</t>
  </si>
  <si>
    <t>Con avance 2020, se consolidó árbol de problemas de la Estrategia Distrital de Crecimiento Verde (EDCV) según metodología CONPES, se desarrolló agenda de articulación con Secretaría de Desarrollo Económico y Cámara de Comercio de Bogotá. Se aplicaron encuestas de la EDCV a empresas del Programa GAE.</t>
  </si>
  <si>
    <t>Se realizó seguimiento a la formulación de los proyectos de producción más limpia, encontrando que para el sector curtiembres se encuentra avance al informar al sector de curtiembres a través de ASOPIESB sobre las mejoras requeriddas respecto a su propuesta de PTAR  para San Benito, de acuerdo a lo conceptuado por la EAAB . De otra parte se evidenció el inicio de la agenda para definir los lineamientos para las actividades posmineria presentes en Bogotá y para el sector de galvanoplastia se inicio la implementación de visitas y jornadas de trabajo virtuales para avanzar en la formulación del proyecto.</t>
  </si>
  <si>
    <t>Ejecución de acciones de adaptación priorizadas del Plan de Acción Climática para Bogotá 2020-2050: Gestión del riesgo por incendio forestal; Respuesta a emergencias; Implementación de instrumentos (PIGA y PACA); Seguimiento para recuperar y manejar suelos de protección por riesgo no mitigable.</t>
  </si>
  <si>
    <t>Durante el mes de Marzo de 2021, se incorporó criterios de sostenibilidad ambiental a diez (10) proyectos de diferentes escalas, tanto en espacio público como en privado, promoviendo la construcción sostenible y el ecourbanismo en la ciudad. Los proyectos a los cuales se les incorporo criterios de sostenibilidad corresponden a: Un (01) Plan Parcial de Desarrollo, un (01) Plan Parcial de Renovación Urbana, un (01) Plan de Implantación y siete (07) Diseños paisajísticos de parques y zonas verdes. 
Así mismo, se realizó la verificación a la incorporación de determinantes ambientales a siete (7) proyectos de infraestructura en el espacio público, correspondientes a Diseños paisajisticos de parques y zonas verdes.</t>
  </si>
  <si>
    <t>Durante el mes de MARZO de 2021 se ha realizado el acompañamiento técnico a 296 m2 correspondientes a jardines verticales, en proyectos existentes en espacio público y  privado de las localidades de Martires y Puente Aranda.</t>
  </si>
  <si>
    <t xml:space="preserve">Se envió la versión 3 del árbol de problemas de la Estrategia Distrital de Crecimiento Verde al área de políticas de la Secretaria de Desarrollo Económico para sus comentarios y acuerdos, se detalló puntos focales de agenda con Cámara de Comercio de Bogotá. Se aplicó encuesta a empresas ACERCAR. </t>
  </si>
  <si>
    <t>Se realizó seguimiento al proyecto de fortalecimiento de la cadena de valor del cuero y se realizó planeación de capacitaciones para las curtiembres. Para galvanoplastia se recibio inscripción de 11 empresas y se aplico encuesta para priorizar lineas de intervención en PML. Para mineria se definieron lineas gruesas de intervención para el 2021.</t>
  </si>
  <si>
    <t>Ajustes al Plan de Acción Climática para Bogotá 2020-2050 y ejecución de algunas: Gestión del riesgo por incendio forestal; Respuesta a emergencias; Instrumentos (PIGA y PACA); Seguimiento para recuperar y manejar suelos de protección por riesgo no mitigable.</t>
  </si>
  <si>
    <t>Se incorporó criterios de sostenibilidad ambiental a 10 proyectos de diferentes escalas, tanto en espacio público como en privado.
Así mismo, se realizó la verificación a la incorporación de determinantes ambientales a 7 proyectos de infraestructura en el espacio público.</t>
  </si>
  <si>
    <t>Durante el mes de Abril de 2021 se ha realizado el acompañamiento técnico a 300 m2 correspondientes a jardines verticales, en un proyecto existente en espacio  privado pero abierto al publico de la localidad de Engativá.</t>
  </si>
  <si>
    <t>Se avanzó en el documento con la reestructuración del índice y en la consolidación para infografía del capítulo de antecedentes. Se orientó al equipo de líderes de los diferentes componentes de la estrategia para la elaboración del documento técnico. Se continuó con articulación interinstitucional.</t>
  </si>
  <si>
    <t>Ajuste final del Plan de Acción Climática para Bogotá 2020-2050 y lanzamiento. Ejecución de acciones de adaptación: Gestión del riesgo por incendio forestal; Respuesta a emergencias; Instrumentos (PIGA y PACA); Seguimiento para recuperar y manejar suelos de protección por riesgo no mitigable.</t>
  </si>
  <si>
    <t>Durante el mes de mayo de 2021, se incorporó y verifico criterios de sostenibilidad ambiental a diecisiete (17) proyectos. Así mismo, se brindo acompañamiento tecnico a 320 m2 de  jardines verticales en la ciudad.</t>
  </si>
  <si>
    <t xml:space="preserve">Se reconocen 7 negocios verdes; 1 (ene), 1 (feb), 1 (mar), 2 (abril) y 2 (mayo), los cuales en promedio lograron el 66% de los criterios evaluados, logrando el cumplimiento de la meta. </t>
  </si>
  <si>
    <t>En curtiembres se realizó la mesa interinstitucional para logística de la jornada de Benchmarking y se hizo inscripción al curso: Manipulación de RESPEL con un total de 34 inscritos del sector galvánico y curtiembres. En minería se realizó logística y convocatoria para capacitación a realizar.</t>
  </si>
  <si>
    <t>Inicio de la definición del esquema de seguimiento al Plan de Acción Climática para Bogotá 2020-2050  y lanzamiento del Plan a la ciudad. Ejecución de algunas acciones de adaptación para mejorar la calidad ambiental y reducir los efectos del cambio climático.</t>
  </si>
  <si>
    <t>Se incorporó criterios de sostenibilidad ambiental a 10 proyectos de de parques y zonas verdes en espacio público .
Así mismo, se realizó la verificación a la incorporación de determinantes ambientales a 7 proyectos de infraestructura en el espacio público.</t>
  </si>
  <si>
    <t>Durante el mes de mayo de 2021 se ha realizado el acompañamiento técnico a 320 m2 correspondientes a jardines verticales, en un proyecto existente en espacio  privado de la localidad de Chapinero.</t>
  </si>
  <si>
    <t>Participación en el plan de acción de la Política de desarrollo Económico articulando la Estrategia Distrital de Crecimiento Verde. Árbol de objetivos en versión final. Desarrollo de documentos técnicos que soportan los componentes de la estrategia. Avance en indicadores de medición.</t>
  </si>
  <si>
    <t xml:space="preserve">Se gestionó en el marco de la convocatoria de INNPULSA la documentación para la contratación del profesional por parte de la SDA para el proyecto de fortalecimiento de valor del cuero . En galvánico, se continuó la documentación del proyecto con formulación de alternativas.  </t>
  </si>
  <si>
    <t>Inicio del esquema para la definición del seguimiento al PACB 2020-2050. Ejecución de acciones de adaptación: Gestión del riesgo por incendio forestal; Respuesta a emergencias; Instrumentos PIGA y PACA; Seguimiento para recuperar y manejar suelos de protección por riesgo no mitigable.</t>
  </si>
  <si>
    <t>UPZ 88</t>
  </si>
  <si>
    <t>EL NOGAL</t>
  </si>
  <si>
    <t>Shapefile_Proy7794_meta6_JUN2021. Subido al drive: https://drive.google.com/drive/u/1/folders/1MST5yuR8aFQa5bYv2_EJBV3oQI3HJr3x</t>
  </si>
  <si>
    <t>UPZ80
UPZ46</t>
  </si>
  <si>
    <t>CHUCUA DE LA VACA II
VALLADOLID</t>
  </si>
  <si>
    <t>Durante el mes de junio de 2021, se incorporó y verifico criterios de sostenibilidad ambiental a diecisiete (17) proyectos. Así mismo, se brindo acompañamiento tecnico a 297 m2 de  jardines verticales en la ciudad.</t>
  </si>
  <si>
    <t xml:space="preserve">Se reconocen 9 negocios verdes; 1 (ene), 1 (feb), 1 (mar), 2 (abril), 2 (mayo), 2 junio los cuales en promedio lograron el 65% de los criterios evaluados, logrando el cumplimiento de la meta. </t>
  </si>
  <si>
    <t>Se realizó el curso Manipulación de RESPEL e inició el de SUPERVISIÓN en RESPEL para los 3 sectores. Se brindó capacitación de desclasificación de RESPEL. Se hizó BENCHMARKING de experiencias nacionales en el sector curtidor y en minería el conversatorio para mejoras en la presentación de PML</t>
  </si>
  <si>
    <t>Avance en el esquema de seguimiento del Plan de Acción Climática para Bogotá 2020-2050. Ejecución de algunas acciones de adaptación para mejorar la calidad ambiental y reducir los efectos del cambio climático.</t>
  </si>
  <si>
    <t>Se incorporó criterios de sostenibilidad ambiental a 10 proyectos de parques y zonas verdes en espacio público .
Así mismo, se realizó la verificación a la incorporación de determinantes ambientales a 7 proyectos de infraestructura en el espacio público.</t>
  </si>
  <si>
    <t>Durante el mes de junio de 2021 se ha realizado el acompañamiento técnico a 297 m2 correspondientes a jardines verticales, en un proyecto existente en espacio  privado de la localidad de Chapinero.</t>
  </si>
  <si>
    <t>Se avanzó en el desarrollo del documento, consolidación de capítulo 3 y capitulo 4, en este último se establecen de manera preliminar acciones de ciudad e instrumentales que implementan la estrategia. Se aplicó encuesta a ciudadanía y se continua articulación interinstitucional.</t>
  </si>
  <si>
    <t>Se realizó apertura con empresas del proyecto de fortalecimiento de valor del cuero, el cual está en proceso de formalización para la adjudicación de recursos. En galvánico se definió objetivos, metas e indicadores. En minería se gestionó articulación con el MinMinas para priorización de acciones.</t>
  </si>
  <si>
    <t>Avance en el esquema de seguimiento del PACB 2020-2050. Ejecución de acciones de adaptación: Gestión del riesgo por incendio forestal; Respuesta a emergencias; Instrumentos PIGA y PACA; Seguimiento para recuperar y manejar suelos de protección por riesgo no mitigable.</t>
  </si>
  <si>
    <t>EJECUTADO JUN.</t>
  </si>
  <si>
    <t>En la localidad de Engativá se ha emitido determinantes ambientales al Plan de Implantación Universidad Minuto de Dios, UNIMINUTO - sede calle 90 y Diseño paisajístico de las zonas de cesión del Proyecto Urbanístico Área Occidente (WR1129), zonas de cesión de la Urbanización Oikos Varena,  promoviendo la construcción sostenible y el ecourbanismo en la ciudad.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</si>
  <si>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UPZ 51</t>
  </si>
  <si>
    <t>YOMASA</t>
  </si>
  <si>
    <t xml:space="preserve">Shapefile tipo punto
 (Remitirse a Generación de Shape denominado:
SHP META 3_2021)     
DISPONIBLE EN EL SIGUIENTE ENLACE: DRIVE SDA
https://drive.google.com/drive/u/1/folders/1ni390p2SPGzsHn8uJ2qsVs4DLWMzmCEf
</t>
  </si>
  <si>
    <t>SAN CRISTOBAL, AULA AMBIENTAL JUAN REY. Cra 11 C ESTE # 72SUR - 01</t>
  </si>
  <si>
    <t>CHAPINERO, BPN PARIBAS CARDIF, Cra 7 # 75 - 66, CHIP AAA0244RZJH.</t>
  </si>
  <si>
    <t>BELLAVISTA</t>
  </si>
  <si>
    <t>PUENTE ARANDA, COLEGIO DISTRITAL ANTONIO JOSE DE SUCRE, Calle 11 # 65 B - 10, AAA0074KNCX</t>
  </si>
  <si>
    <t>UPZ108
UPZ 111</t>
  </si>
  <si>
    <t>SANTA FE, JUNTA DE ACCION COMUNAL LA PERSEVERANCIA, Cra 4 bis A # 32 -  2, AAA0087FUTO</t>
  </si>
  <si>
    <t>UPZ91
UPZ 92</t>
  </si>
  <si>
    <t>LA PERSEVERANCIA</t>
  </si>
  <si>
    <t>SUBA, EDIFICIO ALTOS DE LA COLINA, Calle 169 b # 75 - 60, AAA0223MBEA</t>
  </si>
  <si>
    <t>UPZ 23</t>
  </si>
  <si>
    <t>VEREDA SUBA CERROS II</t>
  </si>
  <si>
    <t>TEUSAQUILLO. TRIBUNALES DE CUNDINAMARCA, AV ESPERANZA # 54 - 28, AAA0204LAKC</t>
  </si>
  <si>
    <t>UPZ 109</t>
  </si>
  <si>
    <t xml:space="preserve">                CIUDAD SALITRE SUR-ORIENTAL</t>
  </si>
  <si>
    <t>Durante la actual vigencia en la localidad de Los Martires, se realizó acompañamiento técnico a 102 m2 de  jardines verticales en el   COLEGIO DISTRITAL PANAMERICANO, AK 27 # 24 C  - 19, CHIP AAA0072LHLF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</si>
  <si>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Los Martires, se realizó acompañamiento técnico a 52 m2 de  jardines verticales en el COMPLEJO JUDICIAL PALO QUEMADO, CHIP AAA0072ZKAF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</si>
  <si>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</si>
  <si>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UPZ10
UPZ13
UPZ16</t>
  </si>
  <si>
    <t>SANTA TERESA
CEDRITOS
SAN PATRICIO</t>
  </si>
  <si>
    <t>Punto. Shapefile_Proy7794_meta6_JUL2021 subido al drive: https://drive.google.com/drive/u/3/folders/1DFmPwj_7LeRfP2AhlLDpsR2TeTC91gSa</t>
  </si>
  <si>
    <t>CHICO NORTE
PORCIUNCULA</t>
  </si>
  <si>
    <t>madre cabeza de familia
Victima del conflicto
Adulto mayor</t>
  </si>
  <si>
    <t>1
1
1</t>
  </si>
  <si>
    <t>UPZ62</t>
  </si>
  <si>
    <t>SAN BENITO</t>
  </si>
  <si>
    <t>Punto. Shapefile Shapefile_Proy7794_meta8_JUL2021 almacenado en: https://drive.google.com/drive/u/3/folders/19_sDBTHEiR6VHJwdiqh2MKBe7a73ogWe</t>
  </si>
  <si>
    <t>Durante el mes de julio de 2021, se incorporó y verifico criterios de sostenibilidad ambiental a diecisiete (17) proyectos. Así mismo, se brindo acompañamiento tecnico a 293 m2 de  techos verde y jardines verticales en la ciudad.</t>
  </si>
  <si>
    <t>Se incorporó criterios de sostenibilidad ambiental a 10 proyectos.
Así mismo, se realizó la verificación a la incorporación de determinantes ambientales a 7 proyectos de infraestructura en el espacio público.</t>
  </si>
  <si>
    <t>Durante el mes de julio de 2021 se ha realizado el acompañamiento técnico a 293 m2 correspondientes a jardines verticales y techos verdes, en siete proyecto existente en espacio público y privado de las localidades de Chapinero, Puente Aranda, San Cristóbal, Santa Fé, Suba y Teusaquillo.</t>
  </si>
  <si>
    <t>Se reconocen 11 negocios verdes; 1 (ene), 1 (feb), 1 (mar), 2 (abril), 2 (mayo), 2 (junio) y  2 julio, los cuales en promedio lograron el 62,5% de los criterios evaluados, logrando el cumplimiento de la meta.</t>
  </si>
  <si>
    <t xml:space="preserve">Se dio continuidad al curso de supervisión de residuos peligrosos para los tres sectores de galvánico, minería y curtiembres. Así mismo, se dio lanzamiento al programa piloto de proveedores verdes para el sector de recubrimientos electrolíticos </t>
  </si>
  <si>
    <t>Avance en el esquema de seguimiento del Plan de Acción Climática para Bogotá 2020-2050. Realización de algunas acciones de adaptación para mejorar la calidad ambiental y reducir los efectos del cambio climático.</t>
  </si>
  <si>
    <t>En julio, fue enviado para revisión y aprobación el documento técnico de la EDCV, este producto fue el resultado de la articulación y desarrollo técnico. Se elaboró y entrego para diseño el documento aprobado de resumen de la EDCV. Se continuó articulación de actores externos.</t>
  </si>
  <si>
    <t>Se firmó el acta de inicio para el proyecto de fortalecimiento de valor del cuero, se planeó el proyecto con la Embajada de Holanda con selección de empresas, estado del arte y propuesta de intervención. Para galvánico se continuo con mesas de trabajo para identificación de acciones con el secto</t>
  </si>
  <si>
    <t>Avance en el esquema de seguimiento del Plan de Acción Climática (PAC) 2020-2050. Realización de acciones de adaptación: Gestión del riesgo por incendio forestal; Respuesta a emergencias; Instrumentos PIGA y PACA; Seguimiento para recuperar y manejar suelos de protección por riesgo no mitigable.</t>
  </si>
  <si>
    <t>Se incluyen   columnas con nuevos patrones de medición en los omponentes de Gestión e Inversión</t>
  </si>
  <si>
    <t>Radicado No. 2021IE106063 del 31 de mayo del 2021.</t>
  </si>
  <si>
    <t>UPZ 35</t>
  </si>
  <si>
    <t>CIUDAD JARDIN SUR</t>
  </si>
  <si>
    <t>SANTA FE, PUENTE VEHICULAR CRA 7 CON 26 COSTADO NORTE,  Carrera  7 # 26 - 01, AAA0087RWRU</t>
  </si>
  <si>
    <t xml:space="preserve">UPZ 91
</t>
  </si>
  <si>
    <t xml:space="preserve">SAN DIEGO
</t>
  </si>
  <si>
    <t>BAQUERO</t>
  </si>
  <si>
    <t>Shapefile_Proy7794_meta6_AGO2021. Subido al drive: https://drive.google.com/drive/u/0/folders/1gU4LWmcc5HhxqP2Wi_oSuBxUL0JTOLNg</t>
  </si>
  <si>
    <t>D,E</t>
  </si>
  <si>
    <t>D:1
E:5</t>
  </si>
  <si>
    <t xml:space="preserve"> persona con discipacidad
adulto mayor</t>
  </si>
  <si>
    <t>1 persona con discipacidad
1 adulto mayor</t>
  </si>
  <si>
    <t>Durante el mes de agosto de 2021, se incorporó y verifico criterios de sostenibilidad ambiental a diecisiete (17) proyectos. Así mismo, se brindo acompañamiento tecnico a 311 m2 de  jardines verticales en la ciudad.</t>
  </si>
  <si>
    <t xml:space="preserve">Se reconocen 13 negocios verdes; 1 (ene), 1 (feb), 1 (mar), 2 (abril), 2 (mayo), 2 (junio), 2 j(ulio) y 2 (agosto) los cuales en promedio lograron el 58% de los criterios evaluados, logrando el cumplimiento de la meta. </t>
  </si>
  <si>
    <t>Durante el mes de agosto de 2021 se ha realizado el acompañamiento técnico a 311 m2 correspondientes a jardines verticales, en un proyecto existente en espacio público de la localidad de Santa Fé.</t>
  </si>
  <si>
    <t>En agosto, se consolidaron los comentarios para fortalecer el documento técnico de la EDCV, fue logrado el documento resumen de la estrategia por el diseñador, se gestionaron y entregaron insumos para preparar el evento de lanzamiento.</t>
  </si>
  <si>
    <t>En la localidad de Teusaquillo se ha emitido determinantes ambientales al PPRU “Corferias – EAAB-ESP”,  promoviendo la construcción sostenible y el ecourbanismo en la ciudad.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</si>
  <si>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San Cristóbal, se realizó acompañamiento técnico a 10 m2 de  jardines verticales en el AULA AMBIENTAL JUAN REY, Carrera 3ª ESTE # 50 - 00 SUR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</si>
  <si>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San Cristóbal, se realizó acompañamiento técnico a 117 m2 de techos verdes en el AULA AMBIENTAL JUAN REY, Cra 11 C ESTE # 72SUR - 01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</si>
  <si>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Chapinero, se realizó acompañamiento técnico a 297 m2 de  jardines verticales en el EDIFICIO PALCO 81, Calle 81 # 9 - 36, CHIP AAA0260BNDM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</si>
  <si>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Chapinero, se realizó acompañamiento técnico a 320 m2 de  jardines verticales en el EDIFICIO CHICO 92 - 11, Calle 92 # 11 - 51, CHIP AAA0250JWYX.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</si>
  <si>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 xml:space="preserve">Durante la actual vigencia en la localidad de Chapinero, se realizó acompañamiento técnico a 60 m2 de  jardines verticales en el BPN PARIBAS CARDIF, Cra 7 # 75 - 66, CHIP AAA0244RZJH.
Se disminuyó el presupuesto de la vigencia con respecto al mes anterior, teniendo en cuenta el comportamiento de la meta, ya que en los primeros meses se comprometió la mayor parte del presupuesto y a lo largo del año se verá reflejado el aumento de la magnitud de la meta.
</t>
  </si>
  <si>
    <t>Durante la actual vigencia en la localidad de Puente Aranda, se realizó acompañamiento técnico a 7 m2 de  jardines verticales en el COLEGIO DISTRITAL ANTONIO JOSE DE SUCRE, Calle 11 # 65 B - 10, AAA0074KNCX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</si>
  <si>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Santa Fé, se realizó acompañamiento técnico a 311 m2 de  jardines verticales en el   PUENTE VEHICULAR CRA 7 CON 26 COSTADO NORTE,  Carrera  7 # 26 - 01, AAA0087RWRU.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</si>
  <si>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Santa Fé, se realizó acompañamiento técnico a 45 m2 de  jardines verticales en el JUNTA DE ACCION COMUNAL LA PERSEVERANCIA, Cra 4 bis A # 32 -  2, AAA0087FUTO.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</si>
  <si>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 xml:space="preserve">Durante la actual vigencia en la localidad de Suba, se realizó acompañamiento técnico a 22 m2 de  jardines verticales en el EDIFICIO ALTOS DE LA COLINA, Calle 169 b # 75 - 60, AAA0223MBEA.
Se disminuyó el presupuesto de la vigencia con respecto al mes anterior, teniendo en cuenta el comportamiento de la meta, ya que en los primeros meses se comprometió la mayor parte del presupuesto y a lo largo del año se verá reflejado el aumento de la magnitud de la meta.
</t>
  </si>
  <si>
    <t xml:space="preserve">Durante la actual vigencia en la localidad de Teusaquillo, se realizó acompañamiento técnico a 32 m2 de  jardines verticales en el TRIBUNALES DE CUNDINAMARCA, AV ESPERANZA # 54 - 28, AAA0204LAKC
Se disminuyó el presupuesto de la vigencia con respecto al mes anterior, teniendo en cuenta el comportamiento de la meta, ya que en los primeros meses se comprometió la mayor parte del presupuesto y a lo largo del año se verá reflejado el aumento de la magnitud de la meta.
</t>
  </si>
  <si>
    <t>Se realizó programación y socializó las fechas para talleres de economia circular para las curtiembres. Adicionalmente, se realizó la primera jornada de sensibilización sobre el proyecto de la PTAR de San Benito, con el fin de vincular mas empresas al cumplimiento de la sentencia Río Bogotá.</t>
  </si>
  <si>
    <t>Avance en la batería de indicadores para el seguimiento del PAC. Ejecución de acciones de adaptación para mejorar la calidad ambiental y reducir los efectos del cambio climático.</t>
  </si>
  <si>
    <t>Se inició el proyecto con la Embajada de Holanda para la asistencia técnica en tratamiento de aguas residuales, con la contratación del experto técnico, una reunión de inicio y la elaboración de un informe con el estado de las curtiembres de San Benito, como insumo. El proyecto del sector galvanico, inicio visitas de autodiagnóstico para validar el inventario de empresas, antes de continuar su implementación.</t>
  </si>
  <si>
    <t>Avance en la batería de indicadores del esquema de seguimiento del PAC. Realización de acciones de adaptación: Gestión del riesgo por incendio forestal; Respuesta a emergencias; Instrumentos PIGA y PACA; Seguimiento para recuperar y manejar suelos de protección por riesgo no mitigable.</t>
  </si>
  <si>
    <t>USAQUÉN, BELLA VITA, Carrera 7 A # 127 B - 23, CHIP AAA0101FMUH.</t>
  </si>
  <si>
    <t>USAQUÉN, EDIFICIO VALESIA 129, Carrera 7 D BIS # 129 - 40, CHIP AAA0250XACX.</t>
  </si>
  <si>
    <t>USAQUEN , EDIFICIO GUTENBERG, Carrera 7 D BIS # 129 - 25, CHIP  AAA0247RRJZ.</t>
  </si>
  <si>
    <t>UPZ 39
UPZ 54
UPZ 55
UPZ 53</t>
  </si>
  <si>
    <t>UPZ 22</t>
  </si>
  <si>
    <t>POPULAR MODELO</t>
  </si>
  <si>
    <t xml:space="preserve">Shapefile tipo polígono
 (Remitirse a carpeta denominada:
SHP META 2_2021)   
DISPONIBLE EN EL SIGUIENTE ENLACE: DRIVE SDA
https://drive.google.com/drive/u/1/folders/1ni390p2SPGzsHn8uJ2qsVs4DLWMzmCEf      
</t>
  </si>
  <si>
    <t xml:space="preserve">Shapefile tipo polígono
 (Remitirse a carpeta denominada:
SHP META 1_2021)   
DISPONIBLE EN EL SIGUIENTE ENLACE: DRIVE SDA
https://drive.google.com/drive/u/1/folders/1ni390p2SPGzsHn8uJ2qsVs4DLWMzmCEf      
</t>
  </si>
  <si>
    <t>UPZ 98
UPZ 22
UPZ 103
UPZ 21</t>
  </si>
  <si>
    <t>UPZ 86
UPZ 84</t>
  </si>
  <si>
    <t>UPZ 99
UPZ 97
UPZ 88
UPZ 94</t>
  </si>
  <si>
    <t xml:space="preserve">UPZ 14
</t>
  </si>
  <si>
    <t>BELLA SUIZA</t>
  </si>
  <si>
    <t>QUINTA CAMACHO</t>
  </si>
  <si>
    <t>E</t>
  </si>
  <si>
    <t>PENSILVANIA</t>
  </si>
  <si>
    <t>D:2
E:9</t>
  </si>
  <si>
    <t>2 Madres cabezas de familia</t>
  </si>
  <si>
    <t>Durante el mes de septiembre de 2021, se incorporó y verifico criterios de sostenibilidad ambiental a diecisiete (17) proyectos. Así mismo, se brindo acompañamiento tecnico a 295 m2 de  jardines verticales en la ciudad.</t>
  </si>
  <si>
    <t>Se reconocen 15 negocios verdes -NV-; 1 (ene), 1 (feb), 1 (mar), 2 (abril), 2 (mayo), 2 (junio), 2 j(ulio), 2 (agosto) y 2 (septiembre), los cuales en promedio lograron el 64% de los criterios evaluados logrando el cumplimiento de la meta, adicionalmente, los NV del último mes hacen parte de la categoría de Ecoproductos Industriales.</t>
  </si>
  <si>
    <t>Se realizaron 2 talleres de economía circular y jornadas individuales de acompañamiento a empresas del proyecto de fortalecimiento de la cadena de valor. Se hizo jornada de formulación de proyectos con empresarios a través de la CCB y 2da jornada de sensibilización sobre PTAR de San Benito</t>
  </si>
  <si>
    <t>Avance en la definición del Monitoreo, Evaluación y Reporte del PAC. Ejecución de acciones de adaptación para mejorar la calidad ambiental y reducir los efectos del cambio climático.</t>
  </si>
  <si>
    <t>Durante el mes de septiembre de 2021 se ha realizado el acompañamiento técnico a 295 m2 correspondientes a jardines verticales, en un proyecto existente en espacio público de la localidad de Santa Fé.</t>
  </si>
  <si>
    <t xml:space="preserve">En septiembre, se realizó revisión de estilo al documento técnico de la EDCV, se realizaron ajustes y se obtuvo final del resumen. Se consolidaron temas de articulación a trabajar en el marco del memorando de entendimiento con SDDE y CCB. </t>
  </si>
  <si>
    <t>Se inició la fase de identificación y evaluación de soluciones técnicas con la Embajada de Holanda realizando una primera reunión de acercamiento eInició fase de evaluación de soluciones técnicas con la Embajada de Holanda, por lo cual se hizo reunión de acercamiento con ASOPIESB. En galvánico continuó las visitas para inventario y en minería se revisó requisitos para la certificación en el Sello Ambiental Colombiano de ladrillos y arcillas ntre la Embajada y ASOPIESB</t>
  </si>
  <si>
    <t>Revisión de indicadores del Monitoreo, Evaluación y Reporte del PAC. Realización de acciones de adaptación: Gestión del riesgo por incendio forestal; Respuesta a emergencias; Instrumentos PIGA y PACA; Seguimiento para recuperar y manejar suelos de protección por riesgo no mitigable.</t>
  </si>
  <si>
    <t>CHAPINERO, EDIFICIO ESQUINA REPUBLICA, Carrera 18  # 86 - 19, CHIP AAA0249XOPP</t>
  </si>
  <si>
    <t>USAQUÉN, CAMINO DE BELLA SUIZA, CL 128 # 7d - 60, AAA0094XWWF</t>
  </si>
  <si>
    <t>FONTIBÓN. AEROPUERTO EL DORADO</t>
  </si>
  <si>
    <t>Chapinero, Puente Aranda, Usaquén, Suba, Los Martires, Teusaquillo, San Cristobal, Santa Fé, Fontibon</t>
  </si>
  <si>
    <t>TEUSAQUILLO. CENTRO COMERCIAL MONASTERIO, CALLE 53 # 17 - 24, AAA0084EMZM.</t>
  </si>
  <si>
    <t>Bosa,  Engativá, Suba, Barrios Unidos, Ciudad Bolivar, Chapinero, Fontibon,  teusaquillo, San Cristobal. Kennedy, puente aranda, antonio nariño, usaquen</t>
  </si>
  <si>
    <t>ANTIGUO COUNTRY</t>
  </si>
  <si>
    <t>UPZ 14</t>
  </si>
  <si>
    <t>BRISAS ALDEA FONTIBÓN</t>
  </si>
  <si>
    <t>UPZ 76</t>
  </si>
  <si>
    <t>UPZ 100</t>
  </si>
  <si>
    <t>BANCO CENTRAL</t>
  </si>
  <si>
    <t xml:space="preserve"> PARCELA EL PORVENIR
SAN BERNARDINO XIX
</t>
  </si>
  <si>
    <t>JUAN JOSÉ RENDON
ARBORIZADORA ALTA</t>
  </si>
  <si>
    <t>UPZ 66
UPZ 70</t>
  </si>
  <si>
    <t xml:space="preserve">
Shapefile tipo polígono
 (Remitirse a carpeta denominada:
SHP META 1_2021)   
DISPONIBLE EN EL SIGUIENTE ENLACE: DRIVE SDA
https://drive.google.com/drive/u/1/folders/1ni390p2SPGzsHn8uJ2qsVs4DLWMzmCEf      
</t>
  </si>
  <si>
    <t>ISLA DEL SOL, VENECIA OCCIDENTAL, PARQUE EL TUNAL</t>
  </si>
  <si>
    <t>UPZ85</t>
  </si>
  <si>
    <t>BSA CENTRAL</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</si>
  <si>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proyecto perteneciente a  1 empresa de tamaño (1 grande).</t>
  </si>
  <si>
    <t>GRAN BRITALIA</t>
  </si>
  <si>
    <t>UPZ105
UPZ116
UPZ26
UPZ73
UPZ74
UPZ31</t>
  </si>
  <si>
    <t>UPZ21
UPZ22
UPZ98</t>
  </si>
  <si>
    <t>UPZ 108
UPZ 111
UPZ43</t>
  </si>
  <si>
    <t>UPZ 65
UPZ69</t>
  </si>
  <si>
    <t>RAFAEL ESCAMILLA
PRIMAVERA II</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</si>
  <si>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para el presente reporte se presenta (2) tamaño grande.
No obstante, se tiene de esta localidad un acumulado de 4 proyectos pertenecientes a (4 grandes).</t>
  </si>
  <si>
    <t>UPZ20
UPZ25
UPZ71
UPZ19</t>
  </si>
  <si>
    <t>PASADENA
POTOSI
SAN PEDRO
MAZUREN</t>
  </si>
  <si>
    <t>Shapefile_Proy7794_meta6_OCT2021. Subido al drive: https://drive.google.com/drive/u/1/folders/1JM20CZnDcwBzzZm2nrk7KDd-PNnO0J4d</t>
  </si>
  <si>
    <t>UPZ100
UPZ101
UPZ106
UPZ107</t>
  </si>
  <si>
    <t>SAN LUIS
TEUSAQUILLO
NICOLAS DE FEDERMAN
ACEVEDO TEJADA</t>
  </si>
  <si>
    <t>En la localidad de Barrios Unidos se ha emitido determinantes ambientales Diseño paisajistico para proyecto PRM Nuevo Campus Universitario Fundacion universitaria de Ciencias de la Salud, Diseño Paisajístico en espacio privado, Proyecto denominado Hospital Universitario Mederi, promoviendo la construcción sostenible y el ecourbanismo en la ciudad.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</si>
  <si>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Santa Fé, se verifico la incorporacion de incorporación de los lineamientos y determinantes ambientales de ecourbanismo y construcción sostenible, al diseño paisajistico del proyecto WR 414 Andenes Konrad Lorenz y WR 586  Tiendas Ara Calle 42, evaluando su aporte a la gestión de la crisis climática.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</si>
  <si>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Teusaquillo, se verifico la incorporacion de incorporación de los lineamientos y determinantes ambientales de ecourbanismo y construcción sostenible, el diseño paisajistico del proyecto WR 493 A Andenes Corferias y el diseño paisajistico del proyecto WR 498 Ciudad Empresarial Sarmiento Angulo, WR 585 Diseño Paisajístico Ciudad Empresarial Sarmiento Angulo, Supermanzana 17, Lotes B y C. y WR 453 A Diseño Paisajístico de la plazoleta y sótano de parqueaderos del Concejo de Bogotá y las
obras del espacio público hasta el costado norte de la Calle 26, WR 458 Nuevo Centro Operativo de Recursos del Agua - Andenes, Proyecto Ciudadela Empresarial Sarmiento Angulo,evaluando su aporte a la gestión de la crisis climática.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</si>
  <si>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Antonio Nariño, se verifico la incorporacion de incorporación de los lineamientos y determinantes ambientales de ecourbanismo y construcción sostenible, Proyecto Jardinera primera de Mayo, Iglesia Universal del reino de Dios,evaluando su aporte a la gestión de la crisis climática.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</si>
  <si>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Rafael Uribe Uribe, se verifico la incorporacion de incorporación de los lineamientos y determinantes ambientales de ecourbanismo y construcción sostenible, WR418A Diseño Paisajístico para las obras de intervención física a escala barrial Tramo cuatro (4) Sector
Marruecos Contrato CVP 469 y 440 de 2014, evaluando su aporte a la gestión de la crisis climática.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</si>
  <si>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Ciudad Bolivar, se verifico la incorporacion de incorporación de los lineamientos y determinantes ambientales de ecourbanismo y construcción sostenible, al Parque Vecinal Juan José Rondón, WR418A Diseño Paisajístico para las obras de intervención física a escala barrial Tramo tres (3) Sector San
Francisco Contrato CVP 469 y 440 de 2014, Bosques de Madrigal., evaluando su aporte a la gestión de la crisis climática.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</si>
  <si>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San Cristobal, se verifico la incorporacion de incorporación de los lineamientos y determinantes ambientales de ecourbanismo y construcción sostenible, al Diseño Paisajistico  WR 595 INTERVENCIÓN ZMPA Q. MORALES, evaluando su aporte a la gestión de la crisis climática.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</si>
  <si>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Chapinero, se realizó acompañamiento técnico a 20 m2 de  jardines verticales en el Notaria 16, KR 9 # 69A - 6, CHIP AAA0088UAMS.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</si>
  <si>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Usaquen, se realizó acompañamiento técnico a 40 m2 de  jardines verticales en el BELLA VITA, Carrera 7 A # 127 B - 23, CHIP AAA0101FMUH.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</si>
  <si>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Usaquen, se realizó acompañamiento técnico a 105 m2 de  jardines verticales en el EDIFICIO VALESIA 129, Carrera 7 D BIS # 129 - 40, CHIP AAA0250XACX.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</si>
  <si>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Usaquen, se realizó acompañamiento técnico a 130 m2 de  jardines verticales en el EDIFICIO GUTENBERG, Carrera 7 D BIS # 129 - 25, CHIP  AAA0247RRJZ.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</si>
  <si>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el mes de octubre de 2021 se ha realizado el acompañamiento técnico a 292 m2 correspondientes a jardines verticales, en un proyecto existente en espacio público de la localidad de Santa Fé.</t>
  </si>
  <si>
    <t>En octubre, se obtuvo diseño del documento técnico de la EDCV en versión inicial. Se realizó articulación que direccionó la caracterización de los indicadores de resultado y de publicación en el Observatorio Ambiental de Bogotá. Se modeló el plan de seguimiento de las acciones de la estrategia.</t>
  </si>
  <si>
    <t>Se reconocen 17 negocios verdes -NV-; 1 (ene), 1 (feb), 1 (mar), 2 (abril), 2 (mayo), 2 (junio), 2 j(ulio), 2 (agosto), 2 (septiembre) y 2 (octubre), los cuales en promedio lograron el 57% de los criterios evaluados logrando el cumplimiento de la meta, adicionalmente, los NV del último mes hacen parte de la categoría de Ecoproductos Industriales.</t>
  </si>
  <si>
    <t xml:space="preserve">Continuó el proyecto con la Embajada de Holanda para lo cual la Embajada realizó visitas y se preparó la logística para capacitaciones a realizar. En galvánico se realizó acompañamiento para proyectos individuales de las empresas y se presentó el proyecto de sello verde para empresas ladrilleras </t>
  </si>
  <si>
    <t xml:space="preserve">Se realizó 2 talleres en herramientas de formulación para proyectos de economía circular para curtiembres, en galvánico se gestionó capacitación para el manejo de sustancias químicas y se realizó planeación para el programa de proveedores verdes. Para minería se brindó capacitación en la NTC 6033 </t>
  </si>
  <si>
    <t>Ajuste de acciones para CONPES. Ejecución de acciones de adaptación para mejorar la calidad ambiental y reducir los efectos del cambio climático.</t>
  </si>
  <si>
    <t>Ajuste de acciones para CONPES. Realización de acciones de adaptación: Gestión del riesgo por incendio forestal; Respuesta a emergencias; Instrumentos PIGA y PACA; Seguimiento para recuperar y manejar suelos de protección por riesgo no mitigable.</t>
  </si>
  <si>
    <t>Se incluyen   columnas con nuevos patrones de medición en los imponentes de Gestión e Inversión</t>
  </si>
  <si>
    <t>Durante el mes de octubre de 2021, se incorporó y verifico criterios de sostenibilidad ambiental a diecisiete (17) proyectos. Así mismo, se brindo acompañamiento técnico a 292 m2 de  jardines verticales en la ciudad.</t>
  </si>
  <si>
    <t>Bosa, Usaquen, Ciudad Bolívar y Fontibón, Usme, San Cristobal, Bosa, Fontibón, Suba, Antonio Nariño, Puente Aranda, Rafael Uribe Uribe, chapinero, teusaquillo, santa fé, engativa, barrios unidos, candelaria.</t>
  </si>
  <si>
    <t>TEUSAQUILLO, EDIFICIO CALLE 54 #14 - 12. AAA0083ZCJH</t>
  </si>
  <si>
    <t xml:space="preserve">TEUSAQUILLO, EDIFICIO CONTRALORIA, Cra 32a #26A-10, AAA0055CKKL </t>
  </si>
  <si>
    <t>LA CANDELARIA, HOTEL AVENIDA JIMENEZ,  Av Jimenez - Calle 13 # 4-69, AAA0032OAMR</t>
  </si>
  <si>
    <t>CHAPINERO, COLEGIO MANUELA BELTRAN, CL 58 # 13 - 84, AAA0091DYDE</t>
  </si>
  <si>
    <t>CHAPINERO, MINISTERIO DE JUSTICIA Y DEL DERECHO, CL 53 # 13 - 27, AAA0090RWUZ</t>
  </si>
  <si>
    <t>CHAPINERO, EDIFICIO EL DORADO, Calle 73 # 10 - 10,AAA0094MNNN</t>
  </si>
  <si>
    <t>CHAPINERO, EDIFICIO SEMANA, Cra 11 # 77- 49, AAA0097JZKL</t>
  </si>
  <si>
    <t>CHAPINERO, EDIFICIO EMPRESARIAL GROUPM, Carrera 19 # 89 - 21, AAA0096ADDM</t>
  </si>
  <si>
    <t>ENGATIVÁ, UNIVERSIDAD LIBRE, Carrera 70 No. 53-40, AAA0060JMKC</t>
  </si>
  <si>
    <t>KENNEDY, HUMEDAL LA VACA</t>
  </si>
  <si>
    <t>SAN CRISTOBAL, COLEGIO DISTRITAL 20 DE JULIO, Cra  7 # 24  SUR - 1,  AAA0007UUXS</t>
  </si>
  <si>
    <t>SANTA FE, PLAZA DE MERCADO LA PERSEVERANCIA. Cra 5 # 30 A - 40,  AAA0087JMJH</t>
  </si>
  <si>
    <t>SANTA FE, BANCO CREDIFINANCIERA, Diagonal 40A # 13A - 16, AAA0086YTDE</t>
  </si>
  <si>
    <t>Regularización del desarrollo Soratama DENTRO TMI SAN CRISTÓBAL NORTE</t>
  </si>
  <si>
    <t xml:space="preserve"> Desarrollo Puerta al Llano Portal Divino Niño- DENTRO TMI  ALFONSO LOPEZ</t>
  </si>
  <si>
    <t>TMI BOSA OCCIDENTAL CRUZA CON PPD EDÉN EL DESCANSO
Desarrollo San José La Huerta DENTRO TMI BOSA CENTRAL</t>
  </si>
  <si>
    <t xml:space="preserve"> PROYECTO Diseño paisajístico del Contrato IDU 1552 de 2018 DENTRO TMI SUBA
PROY DISEÑO PAISAJÍSTICO PARQUE FONTANA DENTRO TMI SUBA
 PROYECTO EL CAMPITO DENTRO TMI TIBABUTES
 PROYESTO Punta del Este DENTRO TMI EL RINCÓN
 Diseño Paisajístico zonas cesión proyecto PLAN PARCIAL  Bosque Sabana dentro TMI Suba
Diseño Paisajístico del CPS 477/2020
DENTRO TMI SUBA
DISEÑO PAISAJÍSTICO ZONAS CESIÓN ZIMA DENTRO TMI SUBA</t>
  </si>
  <si>
    <t>TMI MARRUECOS CRUZA CON PPD EL CONSUELO
TMI MARRUECOS CRUZA CON PROYECTO DISEÑO PAISAJÍSTICO Zarazota I (18-038)
TMI MARRUECOS CRUZA CON DP Zarazota I (18-180)
TMI DIANA TURBAY CRUZA CON PROYECTO Palermo Sur
DISEÑO PAISAJÍSTICO zonas cesión Urb.ALAMEDA DE SAN JORGE DENTRO TMI MARCO FIDEL SUAREZ</t>
  </si>
  <si>
    <t xml:space="preserve">TMI SAN FRANCISCO CRUZA CON  PD JUAN JOSÉ RONDÓN
TMI SAN FRANCISCO CRUZA CON PROY DJ TRAMO 3
PROYECTO PLAN DIRECTOR BOSQUES DE MADRIGAL DENTRO TMI JERUSALEM
</t>
  </si>
  <si>
    <t>TMI LOS LIBERTADORES CRUZA DISEÑO PAISAJÍSTICO  ENDURECIMIENTO Q. MORALES</t>
  </si>
  <si>
    <t>SAN VICTORINO
SANTA FE</t>
  </si>
  <si>
    <t xml:space="preserve">UPZ 90
UPZ 97
</t>
  </si>
  <si>
    <t>CIUDADELA COLSUBSIDIO
LOS ALAMOS
VILLA DEL MAR
BOSQUE POPULAR</t>
  </si>
  <si>
    <t xml:space="preserve">
UPZ 72
UPZ 116
UPZ 73
UPZ 26</t>
  </si>
  <si>
    <t>UPZ 99</t>
  </si>
  <si>
    <t>CHAPINERO CENTRAL</t>
  </si>
  <si>
    <t>MARLY</t>
  </si>
  <si>
    <t xml:space="preserve">UPZ 92
</t>
  </si>
  <si>
    <t>LA MACARENA</t>
  </si>
  <si>
    <t>PORCIUNCULA</t>
  </si>
  <si>
    <t>CHAPINERO OCCIDENTAL</t>
  </si>
  <si>
    <t>UPZ 34</t>
  </si>
  <si>
    <t>VEINTE DE JULIO</t>
  </si>
  <si>
    <t>UPZ 80</t>
  </si>
  <si>
    <t>CHUCUA DE LA VACA III</t>
  </si>
  <si>
    <t>UPZ 105</t>
  </si>
  <si>
    <t>JARDIN BOTANICO</t>
  </si>
  <si>
    <t>SAGRADO CORAZON</t>
  </si>
  <si>
    <t>UPZ 107</t>
  </si>
  <si>
    <t>ACEVEDO TEJADA</t>
  </si>
  <si>
    <t xml:space="preserve">El acumulado ejecutado desde el año 2020 hasta noviembre del 2021 es de 190 proyectos, de los cuales en la vigencia 2021 corresponde a 140, con avance en noviembre de 34.
Los proyectos se extraen del acompañamiento realizado a las empresas participantes en el Programa Gestión Ambiental Empresarial (PGAE) integrado por ACERCAR, Programa de Excelencia Ambiental Distrital (PREAD) y algunos que en el marco de los Proyectos de Responsabilidad Empresarial y Sostenibilidad (PROREDES) se presentan de forma individual. De manera transversal, el Índice de Desempeño Ambiental (I.D.A.E.) mide el mejoramiento del desempeño ambiental de las empresas PGAE.
Producto de la asistencia a las empresas participantes del PGAE en la implementación de acciones para el mejoramiento de la productividad, competitividad y sostenibilidad, se obtiene la presentación de proyectos para la eficiencia de sus recursos naturales y materiales reflejado en el mejoramiento de su desempeño ambiental, el acompañamiento surte las fases de formulación, implementación y terminación.
El reporte se concentra en los proyectos con resultados ambientales y económicos. Conforme a la programación de la meta para la vigencia 2021, se realizó la asistencia y reporte de proyectos así: enero 20, febrero 20, marzo 5, abril 5, mayo 5, junio 2, julio 2, agosto 2, septiembre 15, octubre 30, noviembre 34 para un total de avance de 140 proyectos que se implementan en los predios participantes de lo cual se evidencia mejora en el uso eficiente de los recursos y de aporte al mejoramiento ambiental de la ciudad.
De manera transversal, el I.D.A.E. realizó acciones de seguimiento a los indicadores: primero, se asignaron 72 empresas ACERCAR para medición. Segundo, se culminó con la validación de 16 empresas PREAD 2021. Y tercero, modelación de los sectores educativo, químico y farmacéutico, y la viabilidad de obtención de resultados en los sectores de: logística, transporte, eléctrico y electrónica, y, gestión de residuos.
</t>
  </si>
  <si>
    <t>Se cumplió con lo programado. Se logró estructurar el plan de acción de la estrategia para el 2022 y se envió a comentarios. Se revisó la aplicación de la formulación de los indicadores, realizando ajustes a los iniciales. Se continuó con articulación de actores.</t>
  </si>
  <si>
    <t>USAQUÉN</t>
  </si>
  <si>
    <t>UPZ88
UPZ90
UPZ99
UPZ97</t>
  </si>
  <si>
    <t>EMAUS
LA SALLE
MARLY
 CHICO NORTE, CHICO NORTE III SECTOR, QUINTA CAMACHO, ESPARTILLAL</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</si>
  <si>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5 proyectos pertenecientes a  5 empresas ( 2 de tamaño mediana, 2 grandes u 1 pequeña). No obstante, se tiene de esta localidad un acumulado de 11 proyectos pertenecientes a (5 grandes, 5 medianas y 1 pequeña).</t>
  </si>
  <si>
    <t>LA ALAMEDA, VERACRUZ</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</si>
  <si>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proyecto pertenecientes a  1  empresas de tamaño mediano). No obstante, se tiene de esta localidad un acumulado de 2 proyectos pertenecientes a (1 grandes y 1 medianas).</t>
  </si>
  <si>
    <t>UPZ 44
UPZ45
UPZ47
UPZ81
UPZ113</t>
  </si>
  <si>
    <t>ALQUERIA LA FRAGUA II, HIPOTECHO OCCIDENTAL
ALQUERIA LA FRAGUA, PROVIVIENDA OCCIDENTAL
CIUDAD KENNEDY ORIENTAL
GRAN BRITALIA I
LUSITANIA</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</si>
  <si>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(3) proyectos de tamaño (1 mediana, 2 grandes).
No obstante, se tiene de esta localidad un acumulado de 11 proyectos pertenecientes a (5 medianas, 4 grandes y 2 pequeñas).</t>
  </si>
  <si>
    <t>UPZ112
UPZ115
UPZ 117
UPZ75
UPZ76
UPZ 77</t>
  </si>
  <si>
    <t>LA CASTELLANA, RIONEGRO
SIETE DE AGOSTO, POPULAR MODELO
DOCE DE OCTUBRE, ALCAZARES, POLO CLUB, SANTA SOFIA</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</si>
  <si>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para el presente reporte se presenta (2) proyectos desarrollados por empresas de tamaño pequeño.
No obstante, se tiene de esta localidad un acumulado de 8 proyectos pertenecientes a (2, pequeño, 2 grande y 4 medianas).</t>
  </si>
  <si>
    <t>UPZ100
UPZ101
UPZ104
UPZ109</t>
  </si>
  <si>
    <t>GALERIAS
TEUSAQUILLO
CENTRO ADMINISTRATIVO OCC.
CIUDAD SALITRE NORORIENTAL</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</si>
  <si>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para el presente reporte se presenta (1) proyectos desarrollados por empresas de tamaño grande.
No obstante, se tiene de esta localidad un acumulado de 7 proyectos pertenecientes a ( 4 grandes y 3 medianas).</t>
  </si>
  <si>
    <t>UPZ102
UPZ37</t>
  </si>
  <si>
    <t>RICAUTE, LA FAVORITA, PALOQUEMAO, VOTO NACIONAL
EDUARDO SANTOS, EL VERGEL</t>
  </si>
  <si>
    <t xml:space="preserve">UPZ38
</t>
  </si>
  <si>
    <t xml:space="preserve">VILLA MAYOR ORIENTAL
</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</si>
  <si>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para el presente reporte se presenta (1) proyecto desarrollados por empresas de tamaño (1 mediana).
No obstante, se tiene de esta localidad un acumulado de 7 proyectos pertenecientes a ( 2 medianas).</t>
  </si>
  <si>
    <t>EL EJIDO, GORGONZOLA, PENSILVANIA, LOS EJIDOS
CENTRO INDUSTRIAL, PUENTE ARANDA, ORTEZAL, SALAZAR GOMEZ
SAN RAFAEL INDUSTRIAL, CENTRO INDUSTRIAL, LA PRADERA</t>
  </si>
  <si>
    <t>UPZ94</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</si>
  <si>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para el presente reporte se presenta (1) proyecto desarrollados por empresas de tamaño (1 grande).</t>
  </si>
  <si>
    <t>La empresa se inscribío a demanda  y al realizar su verificación cumplió los requisitos para ser un negocio verde en el mes de noviembre</t>
  </si>
  <si>
    <t>Punto.
Shapefile_Proy7794_meta6_NOV2021 subido al drive: https://drive.google.com/drive/u/1/folders/1jl5SbtVInthVLwvEsJ8Hn9X3RFHecBx7</t>
  </si>
  <si>
    <t>Reincorporado</t>
  </si>
  <si>
    <t>Reincorporado (1)</t>
  </si>
  <si>
    <t>En la localidad de Candelaria se ha emitido determinantes ambientales al proyecto mantenimiento, rehabilitación y embellecimiento de áreas verdes, puntos críticos, y de acumulación en la localidad de la Candelaria, Contrato interadministrativo 044, Proyecto Ministerios-Manzana 6,  promoviendo la construcción sostenible y el ecourbanismo en la ciudad.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</si>
  <si>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En la localidad de Ciudad Bolivar se ha emitido determinantes ambientales al Diseño paisajístico por compensación del proyecto “Estudios y diseños detallados para la
 ampliación del tanque El Volador de la EAAB-ESP” Y Diseño Paisajístico de las franjas ambientales del Plan de Implantación para la Universidad Distrital Francisco José de Caldas Sede el Ensueño (Res. 1727/2018) (WR 1132), Diseño paisajístico de las zonas de cesión del proyecto TORRES DE PORTAL, Determinates ambientales para uso de vivienda en Suelo Restringido de los predios CHIP AAA0018LDHK y  AAA0018LDJZ, Proyecto caja de vivienda popular - CVP 415 de 2021,Desarrollo Legalizado Arabia,   promoviendo la construcción sostenible y el ecourbanismo en la ciudad.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</si>
  <si>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Bosa, se verifico la incorporacion de incorporación de los lineamientos y determinantes ambientales de ecourbanismo y construcción sostenible, al diseño paisajistico del proyecto WR 414 Andenes Konrad Lorenz, Parque Zonal CP4-ZV Urbanización Nuevo Recreo Plan Parcial La Pradera, WR 426A URBANIZACIÓN BOSA 601 , evaluando su aporte a la gestión de la crisis climática.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</si>
  <si>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Kennedy, se verifico la incorporacion de incorporación de los lineamientos y determinantes ambientales de ecourbanismo y construcción sostenible, al diseño paisajistico del proyecto WR 555 Proyecto Parques, Andenes Vías Locales y Controles Ambientales,
Predio COMPLEJO INDUSTRIAL y EMPRESARIAL ETAPA 3 (AMÉRICAS DEL TINTAL), Parque Zonal Las Margaritas (Gilma Jimenez), WR 281A  Parque Urbanización Las Margaritas I y II , evaluando su aporte a la gestión de la crisis climática.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</si>
  <si>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Fontibón, se verifico la incorporacion de incorporación de los lineamientos y determinantes ambientales de ecourbanismo y construcción sostenible, al diseño paisajistico del proyecto WR 427 Parque vecinal Urbanización Oikos Hayuelos, diseño paisajistico del proyecto WR 494 Parque metropolitano zona Franca, el diseño paisajistico del proyecto WR 393A Urbanización la Felicidad y WR 572 Proyecto Tiendas ARA Fontibón COLORES, WR 399 Proyecto andén carrera 68D Edificio Cámara de Comercio de Bogotá Sede
Avenida El Dorado, WR 478A Urbanización Avenida El Dorado y WR 538 Diseño Paisajístico Contrato 170 – 2015 Fondo Desarrollo Local de Fontibón – Consorcio Malla vial, Avenida Ferrocarril Construcción Tramos Faltantes entre la Carrera 100
y la 96I y la 96C y la 93, WR 237A URBANIZACIÓN LA ESPERANZA B2, evaluando su aporte a la gestión de la crisis climática.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</si>
  <si>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Chapinero, se realizó acompañamiento técnico a 42 m2 de  jardines verticales en el EDIFICIO ESQUINA REPUBLICA, Carrera 18  # 86 - 19, CHIP AAA0249XOPP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</si>
  <si>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Usaquen, se realizó acompañamiento técnico a 140 m2 de  jardines verticales en el  CAMINO DE BELLA SUIZA, CL 128 # 7d - 60, AAA0094XWWF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</si>
  <si>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Fontibón, se realizó acompañamiento técnico a 100 m2 de  jardines verticales en el   AEROPUERTO EL DORADO.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</si>
  <si>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Teusaquillo, se realizó acompañamiento técnico a 10 m2 de  jardines verticales en el CENTRO COMERCIAL MONASTERIO, CALLE 53 # 17 - 24, AAA0084EMZM.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</si>
  <si>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En el marco del Programa Gestión Ambiental Empresarial y de acuerdo al cronograma de reporte para la vigencia 2021, producto de la asistencia técnica enmarcado en acompañamiento se reporta en esta localidad un (1) proyecto dirigido al uso eficiente de los recursos materiales (1 residuos)
No obstante, se cuenta con un acumulado de (7) proyectos dirigidos al uso eficiente de los recursos naturales (1 en agua, 3 en energía y 3 en residuos).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</si>
  <si>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 xml:space="preserve">En el marco del Programa Gestión Ambiental Empresarial y de acuerdo al cronograma de reporte para la vigencia 2020, producto de la asistencia técnica enmarcado en acompañamiento se reporta en esta localidad (2) proyectos dirigidos al uso eficiente de (2 residuos).
No obstante, se cuenta con un acumulado de (4) proyectos dirigidos al uso eficiente de los recursos naturales (4 en residuos).
Se disminuyó el presupuesto de la vigencia con respecto al mes anterior, teniendo en cuenta el comportamiento de la meta, ya que en los primeros meses se comprometió la mayor parte del presupuesto y a lo largo del año se verá reflejado el aumento de la magnitud de la meta.
</t>
  </si>
  <si>
    <t xml:space="preserve">La empresa se inscribío a demanda  y al realizar su verificación cumplió los requisitos para ser un negocio verde en el mes de noviembre. 
</t>
  </si>
  <si>
    <t xml:space="preserve">La empresa se inscribío a demanda  y al realizar su verificación cumplió los requisitos para ser un negocio verde en el mes de noviembre. </t>
  </si>
  <si>
    <t>Durante el mes de noviembre de 2021, se incorporó y verifico criterios de sostenibilidad ambiental a quince (15) proyectos. Así mismo, se brindo acompañamiento tecnico a 291 m2 de  jardines verticales en la ciudad.</t>
  </si>
  <si>
    <t>Se reconocen 17 negocios verdes -NV-; 1 (ene), 1 (feb), 1 (mar), 2 (abril), 2 (mayo), 2 (junio), 2 j(ulio), 2 (agosto), 2 (septiembre), 2 (octubre) y 2 (noviembre), los cuales en promedio lograron el 60,5% de los criterios evaluados logrando el cumplimiento de la meta, adicionalmente, los NV del último mes hacen parte de la categoría de bienes y servicios sostenibles provenientes de recursos naturales</t>
  </si>
  <si>
    <t xml:space="preserve">Se hizo 3 capacitaciones con enfoque hacia la identificación de iniciativas de economía circular para el sector curtidor y se gestionó asesoría individual con la CCB para formulación del proyecto de ASOPIESB. En galvánico se realizó jornada de benchmarking para tratamientos con tecnología nano </t>
  </si>
  <si>
    <t>Ajuste final de resultados, productos e indicadores del PAC. Ejecución de acciones de adaptación para mejorar la calidad ambiental y reducir los efectos del cambio climático.</t>
  </si>
  <si>
    <t>Se incorporó criterios de sostenibilidad ambiental a 10 proyectos.
Así mismo, se realizó la verificación a la incorporación de determinantes ambientales a 5 proyectos de infraestructura en el espacio público.</t>
  </si>
  <si>
    <t>Durante el mes de noviembre de 2021 se ha realizado el acompañamiento técnico a 291 m2 correspondientes a jardines verticales, en un proyecto existente en espacio público de las localidades de Santa Fé, teusaquillo, san cristobal, kennedy, engativa, chapinero y candelaria.</t>
  </si>
  <si>
    <t>En noviembre, se realizaron mesas de trabajo con el equipo técnico para estructurar el plan de acción de la estrategia para el 2022 y se envió a comentarios. Se revisó la aplicación de la formulación de los indicadores, realizando ajustes a los iniciales. Se continuó con articulación de actores.</t>
  </si>
  <si>
    <t>Se realizó 2 talleres con la Embajada de Holanda para presentar tecnologías sostenibles para la industria del cuero con expertos . En galvánico se hizo lanzamiento del programa proveedores verdes y se finalizaron visitas y minería se realizó versión preliminar de la lista de chequeo de la NTC 6033</t>
  </si>
  <si>
    <t>Revisión y ajuste final de resultados, productos e indicadores del PAC. Realización de acciones de adaptación: Gestión del riesgo por incendio forestal; Respuesta a emergencias; Instrumentos PIGA y PACA; Seguimiento para recuperar y manejar suelos de protección por riesgo no mitigable.</t>
  </si>
  <si>
    <t>El acumulado ejecutado plan de desarrollo corresponde a 6040 m2 de techos verdes y jardines verticales con acompañamiento técnico, de los cuales 2500 m2 fueron atendidos en la vigencia 2020 y los restantes 3540 m2 corresponden a la gestión adelantada en el transcurso de la vigencia 2021.
Durante la vigencia 2021, se ha realizado acompañamiento técnico a 3540 m2 de techos verdes y jardines verticales, (246 m2 en enero, 301 m2 en febrero, 296 m2 en marzo, 300 m2 en abril, 320 m2 en mayo, 297 m2 en junio, 293 m2 en julio, 311 m2 en agosto, 295 m2 en septiembre de 2021, 292 m2 en octubre, 291 m2 en noviembre y 298 m2 en diciembre) promovidos en las siguientes localidades: Candelaria (30 m2), Engativá (318m2), Chapinero (1562 m2), Puente Aranda (189 m2), San Cristóbal (149 m2), Suba (22 m2), Teusaquillo (70 m2), Usaquén (445 m2), Kennedy (04) Fontibón (100 m2), Los Mártires (154m2) y Santa Fe (497 m2).</t>
  </si>
  <si>
    <t>El acumulado ejecutado al plan de desarrollo corresponde a ciento setenta y nueve (179) proyectos con gestión para la incorporación de determinantes ambientales con medidas de mitigación y adaptación al cambio climático, de los cuales sesenta y seis (66) fueron atendidos en la vigencia 2020 y los restantes ciento trece (113) en la vigencia 2021 (5 en enero, 8 en febrero, 10 en marzo, 10 en abril, 10 en mayo, 10 de junio, 10 en julio, 10 en agosto, 10 en septiembre, 10 en octubre, 10 en noviembre y 10 en diciembre). Los proyectos a los cuales se les ha incorporado criterios de sostenibilidad corresponden a: Diez (10) Plan Parcial de Desarrollo, doce (12) Planes Parciales de Renovación Urbana, ocho (08) Proyectos de Legalización y Regularización de Barrios, ocho (08) Planes de Implantación, dos (02) Plan de Regularización y Manejo, cuatro (04) Planes Directores para parques, dos (02) Planes de Manejo de Humedales, ciento un (101) Diseños paisajísticos de parques y zonas verdes, veintiún (21) proyectos de compatibilidad de uso de vivienda en suelo restringido, dos (02) Balances de zonas verdes, un (01) Patio zonal para el Sistema Integrado de Transporte Publico – SITP, un (01) proyecto Bogotá Construcción Sostenible y siete (07) proyectos de infraestructura especial como colegios, tramos viales en intervenciones en áreas verdes y Zonas de Manejo y Preservación Ambiental.
Las anteriores acciones se han desarrollado en las siguientes localidades: trece (13) Bosa, diez (10) Chapinero, ocho (08) Kennedy, tres (03) Barrios Unidos, tres (03) Los Mártires, once (11) Ciudad Bolívar, once (11) Rafael Uribe Uribe, cuatro (04) Santa Fe, un (01) Tunjuelito, cinco (05) Engativá, seis (06) San Cristóbal, dos (02) Antonio Nariño, cuatro (04) Candelaria, tres (03) Teusaquillo, trece (13) Puente Aranda, treinta y cinco (35) Fontibón, veintinueve (29) Suba, cinco (05) Usme y trece (13) Usaquén.
Durante la vigencia de 2021 corresponde a ciento trece (113) proyectos, a los cuales se les ha incorporado criterios de sostenibilidad y corresponden a: Siete (07) Plan Parcial de Desarrollo, diez (10) Planes Parciales de Renovación Urbana, dos (02) Planes de Implantación, un (01) Plan de Regularización y Manejo, cinco (05) Proyectos de Legalización y Regularización de Barrios, diecisiete (17) proyectos de compatibilidad de uso de vivienda en suelo restringido, dos (02) Balances de zonas verdes, sesenta y siete (67) Diseños paisajísticos de parques y zonas verdes, un (01) proyecto de la Caja de Vivienda Popular y un (01) proyecto del programa Bogotá Construcción Sostenible.</t>
  </si>
  <si>
    <t>El acumulado ejecutado a la vigencia 2021 corresponde a noventa y ocho (98) proyectos de ciudad con seguimiento de la aplicación de los determinantes ambientales, de los cuales veinte (20) fueron verificados en la vigencia 2020 y los restantes setenta y ocho (78) han sido verificados en la vigencia 2021. Los proyectos a los cuales se les ha verificado la incorporación de sus determinantes ambientales corresponden a: Diecinueve (19) Planes Directores de Parques de la Ciudad y setenta y nueve (79) Diseños paisajísticos de parques y zonas verdes.
Las anteriores acciones se han desarrollado en las siguientes localidades: dos (02) Santa Fe, doce (12) Chapinero, seis (06) Kennedy, cuatro (04) Ciudad Bolívar, dos (02) Rafael Uribe, dos (02) Antonio Nariño, un (01) Los Mártires, dos (02) San Cristóbal, cuatro (04) Puente Aranda, cinco (05) Bosa, siete (07) Engativá, diez (10) Suba, uno (01) Usme, once (11) Fontibón, doce (12) Barrios Unidos, seis (06) Teusaquillo y once (11) Usaquén.
Durante la vigencia 2021, se ha verificado la incorporación de determinantes ambientales a setenta y ocho (78) proyectos de infraestructura en el espacio público, ocho (8) de ellos corresponde a Planes Directores para parques y los restantes sesenta y setenta (70) son diseños paisajísticos de parques y zonas verdes.</t>
  </si>
  <si>
    <t>Durante la vigencia 2021, se ha realizado acompañamiento técnico a 3540 m2 de techos verdes y jardines verticales, (246 m2 en enero, 301 m2 en febrero, 296 m2 en marzo, 300 m2 en abril, 320 m2 en mayo, 297 m2 en junio, 293 m2 en julio, 311 m2 en agosto, 295 m2 en septiembre de 2021, 292 m2 en octubre, 291 m2 en noviembre y 298 m2 en diciembre) promovidos en las siguientes localidades: Candelaria (30 m2), Engativá (318m2), Chapinero (1562 m2), Puente Aranda (189 m2), San Cristóbal (149 m2), Suba (22 m2), Teusaquillo (70 m2), Usaquén (445 m2), Kennedy (04) Fontibón (100 m2), Los Mártires (154m2) y Santa Fe (497 m2).</t>
  </si>
  <si>
    <t>Durante la vigencia 2021, se ha verificado la incorporación de determinantes ambientales a setenta y ocho (78) proyectos de infraestructura en el espacio público, ocho (8) de ellos corresponde a Planes Directores para parques y los restantes sesenta y setenta (70) son diseños paisajísticos de parques y zonas verdes, a los cuales se les verifico la incorporación de determinantes ambientales de ecourbanismo y construcción sostenible, generado una informe técnico de seguimiento a cada uno de ellos.</t>
  </si>
  <si>
    <t>Durante la vigencia de 2021 corresponde a ciento trece (113) proyectos, a los cuales se les ha incorporado criterios de sostenibilidad y corresponden a: Siete (07) Plan Parcial de Desarrollo, diez (10) Planes Parciales de Renovación Urbana, dos (02) Planes de Implantación, un (01) Plan de Regularización y Manejo, cinco (05) Proyectos de Legalización y Regularización de Barrios, diecisiete (17) proyectos de compatibilidad de uso de vivienda en suelo restringido, dos (02) Balances de zonas verdes, sesenta y siete (67) Diseños paisajísticos de parques y zonas verdes, un (01) proyecto de la Caja de Vivienda Popular y un (01) proyecto del programa Bogotá Construcción Sostenible.
Durante el mes de diciembre de 2021, se incorporó criterios de sostenibilidad ambiental a un (01) Plan Parcial de Renovación Urbana y nueve (09) proyectos de compatibilidad de uso de vivienda en suelo restringido, promoviendo la construcción sostenible y el ecourbanismo en la ciudad. Los proyectos reportados de la vigencia 2020 (66) y los meses de enero a diciembre del año 2021 (113), permiten alcanzar un acumulado Plan de desarrollo de 179 proyectos de infraestructura con gestión para la aplicación de determinantes ambientales.</t>
  </si>
  <si>
    <t>El ejecutado durante la vigencia 2021 corresponde a ciento trece (113) proyectos (5 en enero, 8 en febrero, 10 en marzo, 10 en abril, 10 en mayo, 10 de junio, 10 en julio, 10 en agosto, 10 en septiembre, 10 en octubre, 10 en noviembre y 10 en diciembre), a los cuales se les ha incorporado criterios de sostenibilidad y corresponden a: Siete (07) Plan Parcial de Desarrollo, diez (10) Planes Parciales de Renovación Urbana, dos (02) Planes de Implantación, un (01) Plan de Regularización y Manejo, cinco (05) Proyectos de Legalización y Regularización de Barrios, diecisiete (17) proyectos de compatibilidad de uso de vivienda en suelo restringido, dos (02) Balances de zonas verdes, sesenta y siete (67) Diseños paisajísticos de parques y zonas verdes, un (01) proyecto de la Caja de Vivienda Popular y un (01) proyecto del programa Bogotá Construcción Sostenible.</t>
  </si>
  <si>
    <t>Durante enero y diciembre de 2021, se ha verificado la incorporación de determinantes ambientales a setenta y ocho (78) proyectos de infraestructura en el espacio público, ocho (8) de ellos corresponde a Planes Directores para parques y los restantes setenta (70) son diseños paisajísticos de parques y zonas verdes.</t>
  </si>
  <si>
    <t>CHAPINERO, EDIFICIO TEKTO SAN MARCOS, Carrera 13 # 40 B - 74, CHIP AAA0254DEJH</t>
  </si>
  <si>
    <t>Durante la actual vigencia en la localidad de Chapinero, se realizó acompañamiento técnico a 298 m2 de  jardines verticales en el EDIFICIO TEKTO SAN MARCOS, Carrera 13 # 40 B - 74, CHIP AAA0254DEJH.</t>
  </si>
  <si>
    <t>Durante la actual vigencia en la localidad de Usme, se verifico la incorporacion de incorporación de los lineamientos y determinantes ambientales de ecourbanismo y construcción sostenible, al diseño paisajistico del proyecto WR 923  parque VECINAL NUEVO MILENIO  , evaluando su aporte a la gestión de la crisis climática.</t>
  </si>
  <si>
    <t xml:space="preserve">Durante la actual vigencia en la localidad de usaquen, se verifico la incorporacion de incorporación de los lineamientos y determinantes ambientales de ecourbanismo y construcción sostenible, al diseño paisajistico del proyecto WR 567 Alameda Perimetral Carrera Séptima entre las
Calles 102 y 106, WR 539 Proyecto Akasha 106 y WR 568 Proyecto MERIDIANO 116, WR 649 Tiendas Ara Porvenir, WR 657 Intervención en Andenes Edificio Calle 116, WR 811 parque desarrollo BUENA VISTA 2,  WR 784 andenes Albatross, WR 794  andenes edificio meraki, evaluando su aporte a la gestión de la crisis climática.
</t>
  </si>
  <si>
    <t xml:space="preserve">Durante la actual vigencia en la localidad de Suba, se verifico la incorporacion de incorporación de los lineamientos y determinantes ambientales de ecourbanismo y construcción sostenible, al Plan Director del Parque Zonal Fontanar del Río, WR 398 Diseño Paisajístico Torre Imperial y WR 578 sede HARD BODY, WR 535 Diseño Paisajístico Urbanización Las Mercedes, WR 683 iglesia DIOS MINISTERIAL, WR 702 CENTRO DE ESTUDIOS SUPERIORES POLICIA NACIONAL, Espacio público tipo anden de la carrera 68 entre calles 180 y 183 ,  WR 810 Anden RESERVA DE MAZUREN, evaluando su aporte a la gestión de la crisis climática.
</t>
  </si>
  <si>
    <t>total barrios territorializados (Ene-NOV 2021)= 90</t>
  </si>
  <si>
    <t>total upz territorializadas (Ene-DIC 2021) =57</t>
  </si>
  <si>
    <t xml:space="preserve">TIBABITA RURAL
SANTA BARBARA OCCIDENTAL
SANTA BIBIANA
LA CITA
SAN GABRIEL NORTE
</t>
  </si>
  <si>
    <t xml:space="preserve">UPZ 1
UPZ 16
UPZ 11
UPZ 14
</t>
  </si>
  <si>
    <t xml:space="preserve">MOCHUELO ALTO RURAL
PUERTA AL LLANO RURAL
LA FISCALA NORTE
PUERTA AL LLANO DE USME
</t>
  </si>
  <si>
    <t xml:space="preserve">UPZ 64
UPZ 61
UPZ 56
UPZ 59
</t>
  </si>
  <si>
    <t xml:space="preserve">EGIPTO
CENTRO ADMINISTRATIVO
</t>
  </si>
  <si>
    <t xml:space="preserve">MARÍA CRISTINA
CHICÓ NORTE
PORCIUNCULA
CHICO NORTE III SECTOR
SAN FELIPE
</t>
  </si>
  <si>
    <t xml:space="preserve">SAN BERNARDO
LAS CRUCES
LA ALAMEDA
</t>
  </si>
  <si>
    <t xml:space="preserve">UPZ 91
UPZ 95
UPZ 93
</t>
  </si>
  <si>
    <t xml:space="preserve">S.BERNARDINO XVIII
PARCELA EL PORVENIR
NUEVA GRANADA BOSA
BRASIL
OSORIO XII
EL JARDIN
</t>
  </si>
  <si>
    <t xml:space="preserve">UPZ 87
UPZ 86
UPZ 85
UPZ 84
UPZ 83
</t>
  </si>
  <si>
    <t xml:space="preserve">
EL CHANCO I
CAPELLANÍA
VILLA ALSACIA
EL TINTAL CENTRAL
LOS ALAMOS
SANTA CECILIA
CIUDAD HAYUELOS
BELEN FONTIBÓN
SAN PABLO JERICO
MONTEVIDEO
ZONA FRANCA
LA LAGUNA FONTIBÓN
SABANA GRANDE
</t>
  </si>
  <si>
    <t xml:space="preserve">UPZ 77
UPZ 114
UPZ 112
UPZ 117
UPZ 115
UPZ 75
UPZ 76
</t>
  </si>
  <si>
    <t xml:space="preserve">LOS CEREZOS
VILLA GLADYS
SAN IGNACIO
CENTRO ENGATIVA II
CAMPO EUCARISTICO
</t>
  </si>
  <si>
    <t xml:space="preserve">UPZ 29
UPZ 116
UPZ 74
UPZ 105
</t>
  </si>
  <si>
    <t xml:space="preserve">EL POA
CASABLANCA SUBA URBANO
 EL PLAN
PINOS DE LOMBARDIA
GRANADA NORTE
BOCHICA II
SABANA DE TIBABUYES
CLUB DE LOS LAGARTOS
CASABLANCA SUBA
BRITALIA
CASABLANCA SUBA I
TUNA BAJA
CAMPANELLA
TIBABUYES
PORTALES DEL NORTE
GILMAR
SUBA URBANO
SAN JOSE V SECTOR
SAN JOSE DE BAVARIA
</t>
  </si>
  <si>
    <t xml:space="preserve">UPZ 27
UPZ 2
UPZ 23
UPZ 18
UPZ 72
UPZ 71
UPZ 28
UPZ 3
UPZ 17
</t>
  </si>
  <si>
    <t xml:space="preserve">
UPZ 107</t>
  </si>
  <si>
    <t>ORTEZAL</t>
  </si>
  <si>
    <t xml:space="preserve">SAN RAFAEL INDUSTRIAL
LOS EJIDOS
COMUNEROS
PENSILVANIA
ALQUERIA
TIBANA
</t>
  </si>
  <si>
    <t xml:space="preserve">UPZ 43
UPZ 108
UPZ 40
UPZ 41
</t>
  </si>
  <si>
    <t xml:space="preserve">ARBOLEDA SUR
QUIROGA I
QUIROGA CENTRAL
QUIROGA
PALERMO SUR
CERROS DE ORIENTE
SAN AGUSTIN
LA RESURRECCIÓN
</t>
  </si>
  <si>
    <t xml:space="preserve">BRISAS DEL VOLADOR
VERONA
LA ESTANCIA
RAFAEL ESCAMILLA
SANTA VIVIANA
ARABIA
</t>
  </si>
  <si>
    <t xml:space="preserve">UPZ 67
UPZ 70
UPZ 69
UPZ 65
UPZ 68
</t>
  </si>
  <si>
    <t>Total UPZ territorializadas (Ene-DIC 2021) = 48</t>
  </si>
  <si>
    <t xml:space="preserve">Total BARRIOS territorializadas (Ene-DIC 2021)  =65 </t>
  </si>
  <si>
    <t xml:space="preserve">SAN FELIPE
SAN FERNANDO OCCIDENTAL
BOSQUE POPULAR
LA ESPERANZA
POLO CLUB
LA CASTELLANA
SANTA SOFÍA
POPULAR MODELO
</t>
  </si>
  <si>
    <t xml:space="preserve">CHAPINERO CENTRAL
SUCRE
ESPARTILLAL
LOS ROSALES
CHICO NORTE II SECTOR
LA CABRERA
EL REFUGIO
ANTIGUO COUNTRY
CHICÓ NORTE III
</t>
  </si>
  <si>
    <t xml:space="preserve">VILLEMAR
EL TINTAL FONTIBÓN
CIUDAD HAYUELOS
CENTRO FONTIBÓN
SALITRE OCCIDENTAL
SANTA CECILIA
SAN PABLO JERICO
FERROCAJA FONTIBON
LA ESPERANZA NORTE
</t>
  </si>
  <si>
    <t xml:space="preserve">UPZ 75
UPZ 77
UPZ 112
UPZ 110
UPZ 116
UPZ 76
UPZ 114
</t>
  </si>
  <si>
    <t>PLAN DIRECTOR LAS MARGARITAS DENTRO TMI GRAN BRITALIA</t>
  </si>
  <si>
    <t xml:space="preserve">OSORIO III
JORGE URIBE BOTERO
LAS MARGARITAS
</t>
  </si>
  <si>
    <t xml:space="preserve">UPZ 79
UPZ 81
UPZ 83
</t>
  </si>
  <si>
    <t xml:space="preserve">SALAZAR GOMEZ
SAN FRANCISCO
LOS EJIDOS
</t>
  </si>
  <si>
    <t xml:space="preserve">UPZ 111
UPZ 43
UPZ 108
</t>
  </si>
  <si>
    <t xml:space="preserve">
UPZ 93
</t>
  </si>
  <si>
    <t xml:space="preserve">
LAS NIEVES</t>
  </si>
  <si>
    <t xml:space="preserve">TIBABUYES II
TUNA BAJA
PORTALES DEL NORTE
LOS ALCÁZARES
ESCUELA DE CARABINEROS
IBERIA
SAN JOSÉ DE BAVARIA
BATAN
MAZURÉN
</t>
  </si>
  <si>
    <t xml:space="preserve">UPZ 71
UPZ 27
UPZ 18
UPZ 98
UPZ 23
UPZ 24
UPZ 17
UPZ 19
</t>
  </si>
  <si>
    <t xml:space="preserve">CENTRO NARINO
CIUDAD SALITRE NOR-ORIENTAL
LAS AMERICAS
ESTACIÓN CENTRAL
</t>
  </si>
  <si>
    <t xml:space="preserve">UPZ 107
UPZ 109
UPZ 101
UPZ108
</t>
  </si>
  <si>
    <t xml:space="preserve">PLAN DIRECTOR PARQUE FONTANAR DEL RÍO DENTRO TMI TIBAYUBES
PLAN DIRECTOR PARQUE FONTANAR DEL RÍO DENTRO TMI TIBABUYES
PROYECTO Diseño Paisaístico  Torre Imperial DENTRO TMI SUBA
PROYECTO URB LAS MERCEDES DENTRO TMI SUBA
</t>
  </si>
  <si>
    <t xml:space="preserve">ESCUELA DE INFANTERÍA
ANA OCCIDENTAL
SAN PATRICIO
SANTA BÁRBARA OCCIDENTAL
LA CALLEJA
LA ESTRELLITA I
LA CAROLINA
MOLINOS NORTE
</t>
  </si>
  <si>
    <t>UPZ 14
UPZ 16
UPZ 15
UPZ 19</t>
  </si>
  <si>
    <t>PROYECTO Parque Desarrollo Buena Vista DENTRO TMI VERBENAL</t>
  </si>
  <si>
    <t>PORVENIR</t>
  </si>
  <si>
    <t>UPZ 56</t>
  </si>
  <si>
    <t>PROYECTO Parque Vecinal Nuevo Milenio DENTRO TMI DANUBIO</t>
  </si>
  <si>
    <t>total upz territorializadas ENE-DIC 2021) = 22</t>
  </si>
  <si>
    <t>total barrios territorializadas (ENE-DIC 2021) = 35</t>
  </si>
  <si>
    <t>SUCRE</t>
  </si>
  <si>
    <t>TMI LOS LIBERTADORES CRUZA CON PROYECTO- JARDÍN VERTICAL COLEGIO DISTRITAL 20 DE JULIO</t>
  </si>
  <si>
    <r>
      <t xml:space="preserve">TMI LOS LIBERTADORES CRUZA CON PROYECTO- </t>
    </r>
    <r>
      <rPr>
        <u/>
        <sz val="9"/>
        <rFont val="Arial"/>
        <family val="2"/>
      </rPr>
      <t>TECHO VERDE</t>
    </r>
    <r>
      <rPr>
        <sz val="9"/>
        <rFont val="Arial"/>
        <family val="2"/>
      </rPr>
      <t xml:space="preserve"> AULA AMBIENTAL JUAN REY</t>
    </r>
  </si>
  <si>
    <r>
      <t xml:space="preserve">TMI LOS LIBERTADORES CRUZA CON PROYECTO- </t>
    </r>
    <r>
      <rPr>
        <u/>
        <sz val="9"/>
        <rFont val="Arial"/>
        <family val="2"/>
      </rPr>
      <t>JARDÍN VERTICAL</t>
    </r>
    <r>
      <rPr>
        <sz val="9"/>
        <rFont val="Arial"/>
        <family val="2"/>
      </rPr>
      <t xml:space="preserve">  AULA AMBIENTAL JUAN REY</t>
    </r>
  </si>
  <si>
    <t>En enero del 2021, se reestructuro la metodología y se inició el plan de trabajo. En febrero, se construyó el árbol de problemas. Se modeló encuesta y aplicó en empresas PREAD del Programa de Gestión Ambiental Empresarial (PGAE). En marzo, se consolido el árbol de problemas en versión final, fue enviado para aportes a Secretaría de Desarrollo Económico (SDDE). Con Cámara de Comercio de Bogotá se pactó agenda 2021. Se aplicó encuesta a empresas ACERCAR del PGAE. En abril, se avanzó en el documento con los antecedentes. En mayo, se participó en la elaboración del plan de acción de la Política de desarrollo Económico articulando las acciones de la EDCV. Se desarrollaron los documentos técnicos que soportan los ejes de la estrategia. En junio, se realizó la consolidación de los capítulos 3 y 4. Se aplicó encuesta a la ciudadanía. En julio, fue enviado para aprobación el documento técnico de la EDCV. Se elaboró y entrego para diseño el resumen de la EDCV. En agosto, se atendieron los comentarios al documento técnico de la EDCV. Se preparó el lanzamiento de la estrategia. En septiembre, se remitió a revisión de estilo el documento de la EDCV. Dada la firma del memorando de entendimiento entre SDA, SDDE y CCB se generó plan de articulación. En octubre, se obtuvo el diseño creativo inicial del documento de la EDCV. Se realizó articulación que direccionó la caracterización de los indicadores en Observatorio Ambiental de Bogotá (OAB). En noviembre, se elaboró el plan de implementación de la estrategia para el 2022. Se revisó la aplicación de los indicadores y se realizaron ajustes. 
En diciembre, se realizó el lanzamiento de la EDCV en el marco de la XXI ceremonia del PREAD. Se obtuvo el diseño definitivo del documento técnico de la estrategia. Se pactó plan de trabajo con el OAB para realizar el montaje de información e indicadores. Se continuó con articulación de actores.
Para la vigencia 2021, se presenta un avance consolidado de 0,20, avanzando en diciembre en 0,01.</t>
  </si>
  <si>
    <t>En el marco del programa Gestión Ambiental Empresarial integrado por ACERCAR, PREAD PROREDES y transversal IDAE, se acompañan a las empresas para el fortalecimiento de capacidades para el mejoramiento del desempeño ambiental.
ACERCAR para la presente vigencia 2021, inició la etapa de acompañamiento a 381 empresas inscritas, para el mes de diciembre elaboró para revisión los informes finales a 253 empresas activas que completaron todo el proceso de acompañamiento respecto a los componentes requisito normativo ambiental, Sistemas de Gestión Ambiental, implementación de proyectos de mejoramiento ambiental y acciones de responsabilidad social Empresarial con enfoque ambiental. En paralelo, se realizó convocatoria para el 2022. 
Por otra parte, el I.D.A.E. realizó la revisión de soportes de los indicadores energía eléctrica, agua, energía térmica y generación de residuos peligrosos; 35 empresas fueron consolidadas en la matriz del I.D.A.E con el fin de obtener la categoría de su desempeño ambiental.
Para la vigencia 2021 y de acuerdo a lo programado, resultado del acompañamiento empresarial generado por el PREAD y ACERCAR, se presenta un avance consolidado de 160 proyectos, avanzando en diciembre con la presentación de 20 proyectos dirigidos al uso eficiente de los recursos naturales y materiales.</t>
  </si>
  <si>
    <t>El Programa de Excelencia Ambiental Distrital (PREAD) desarrolla la XXI convocatoria del año 2021, en la cual se postularon 225 empresas y se presentaron 28 novedades (retiros y/o no aceptadas) para un total de 197 empresas activas. Su operación está compuesta a través de varias etapas: postulación, verificación, ejecución de auditorías, entrega de informes y reconocimiento. 
Durante el mes de diciembre, se realizó la preparación y desarrollo de la XXI ceremonia de reconocimiento del PREAD, evento glamuroso que reconoció a 182 empresas y en el que además la señora secretaria Carolina Urrutia realizó el lanzamiento de la Estrategia Distrital de Crecimiento Verde. 
Se finalizó la modelación sectorial con las empresas participantes en la convocatoria XXI del PREAD, con 5 sectores llevados hasta el final del proceso, de ellos se evidenciaron resultados en los indicadores de energía eléctrica, agua y residuos peligrosos con respecto a la unidad de producción estándar, generando así 57 informes. Por otra parte, se llevó a cabo el análisis de 9 sectores que no llegaron al final del proceso.
Para la vigencia 2021 y de acuerdo a lo programado, resultado del acompañamiento empresarial generado por el PREAD y ACERCAR, se presenta un avance consolidado de 160 proyectos, avanzando en diciembre con la presentación de 20 proyectos dirigidos al uso eficiente de los recursos naturales y materiales.</t>
  </si>
  <si>
    <t>29 personas (p) (Reuniones realizadas 1/12/2021 - 9am: 8p;  2/12/2021 - 10:40am: 2p; 2/12/2021 - 11am: 6p; 13/12/2021 - 8am: 7p; 15/12/2021 - 10am: 2p; 14/12/2021 - 4pm: 4p.)</t>
  </si>
  <si>
    <t xml:space="preserve">La reuniones realizadas en este periodo fueron de articulación:
 1/12/2021 - 9am: 8p. Mesa de trabajo Indicador Biosolidos - EAAB.
2/12/2021 - 11am: 6p. Mesa de Trabajo - Indicador – TAREREP: Tasa de aprovechamiento de residuos de los esquemas de responsabilidad extendida al productor.
2/12/2021 - 10:40am: 2p. Diseño creativo del documento técnico de la EDCV.
13/12/2021 - 8am: 7p. Reunión interna seguimiento y medición con Observatorio Ambiental de Bogotá (OAB).
14/12/2021 - 4pm: 4p. Socializar dudas relacionadas con el boletín DANE para la temática de Empleos Verdes.
15/12/2021 - 10am: 2p. Avances y actividades a ejecutar para la implementación de la EDCV en el 2022.
</t>
  </si>
  <si>
    <t xml:space="preserve">Producto de la asistencia técnica, para este periodo y de acuerdo a la programación de la meta, se reportan 20 proyectos presentados por las empresas participantes dirigidos al uso eficiente de los recursos naturales y materiales los cuales aportan al desempeño ambiental de las organizaciones, para un avance consolidado en la vigencia 2021 de 160 proyectos de acuerdo a lo programado.
</t>
  </si>
  <si>
    <t>En el marco del Programa Gestión Ambiental Empresarial y de acuerdo al cronograma de reporte para la vigencia 2021, producto de la asistencia técnica enmarcado en acompañamiento se reporta 1 proyecto dirigido a la disminución de residuos
No obstante, se cuenta con un acumulado de (2) proyectos dirigidos al uso eficiente de los recursos naturales (1 residuos, 1 emisiones atmosféricas).</t>
  </si>
  <si>
    <t xml:space="preserve">
UPZ11
UPZ16</t>
  </si>
  <si>
    <t xml:space="preserve">
SAN CRISTOBAL NORTE
RINCON DEL CHICO</t>
  </si>
  <si>
    <t>Shapefile_Proy7794_meta5_DIC2021 subido al drive:https://drive.google.com/drive/u/1/folders/18yh1d9LnXGYinqqtF4_wh5R4ZRRrN4Cq</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</si>
  <si>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proyecto perteneciente a  1 empresa mediana.
No obstante, se tiene de esta localidad un acumulado de 2 proyectos pertenecientes a (2 medianas).</t>
  </si>
  <si>
    <t xml:space="preserve">En el marco del Programa Gestión Ambiental Empresarial y de acuerdo al cronograma de reporte para la vigencia 2021, producto de la asistencia técnica enmarcado en acompañamiento se reporta en esta localidad (1) proyecto dirigido a la disminución de residuos.
</t>
  </si>
  <si>
    <t>SURAMERICA</t>
  </si>
  <si>
    <t>20 DE JULIO</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</si>
  <si>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proyecto perteneciente a  1 empresa grande.</t>
  </si>
  <si>
    <t>En el marco del Programa Gestión Ambiental Empresarial y de acuerdo al cronograma de reporte para la vigencia 2021, producto de la asistencia técnica enmarcado en acompañamiento se reporta  (1) proyecto dirigido a la disminución de residuos.
No obstante, se cuenta con un acumulado de (6) proyectos dirigidos al uso eficiente de los recursos naturales (2 residuos, 2 energía y 2 en agua).</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</si>
  <si>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una empresa de tamaño grande de la que se reporta 1 proyecto.
No obstante, se tiene de esta localidad un acumulado de 6 proyectos pertenecientes a (3 grandes y 3 medianas).</t>
  </si>
  <si>
    <t>En el marco del Programa Gestión Ambiental Empresarial y de acuerdo al cronograma de reporte para la vigencia 2021, producto de la asistencia técnica enmarcado en acompañamiento se reporta en esta localidad (5) proyecto dirigido al uso eficiente de los recursos naturales (1 energia, 1 agua y 6 en residuos).
No obstante, con este proyecto se cuenta con un acumulado de (37) proyectos dirigidos al uso eficiente de los recursos naturales (19 residuos, 9 energía, 6 en agua y 3 en emisiones).</t>
  </si>
  <si>
    <t>EL TINTAL CENTRAL, GRANJAS DE TECHO, MONTEVIDEO, FRANCO, INTERINDUSTRIAL, MONTEVIDEO
SAN JOSE DE FONTIBON, SANTA CECILIA, PUERTA DE TEJA
AEROPUERTO EL DORADO 
LA CABANA FONTIBON, CENTRO FONTIBON, VILLEMAR, VILLEMAR
BRISAS ALDEA FONTIBON, SAN PABLO JERICO 
ZONA FRANCA, EL CHANCO I</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</si>
  <si>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(5) empresas de tamaño (1 grande, 2 medianas, 1 pequeña).
No obstante, se tiene de esta localidad un acumulado de 37 proyectos pertenecientes a (17 grandes, 17 medianas y 3 pequeña  ).</t>
  </si>
  <si>
    <t>En el marco del Programa Gestión Ambiental Empresarial y de acuerdo al cronograma de reporte para la vigencia 2021, producto de la asistencia técnica enmarcado en acompañamiento se reportan (1) proyecto dirigidos a la disminución de residuos.
Sin embargo, en la vigencia incluyendo este proyecto se tiene un acumulado de (18) proyectos dirigidos al uso eficiente de los recursos naturales y materiales (3 en agua, 6 en energía, 9 en residuos).</t>
  </si>
  <si>
    <t>JARDIN BOTANICO
LOS ALAMOS, SAN IGNACIO
LAS FERIAS OCCIDENTAL, LAS FERIAS
EL MADRIGAL
VILLA GLADYS, CENTRO ENGATIVA II
EL ENCANTO</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</si>
  <si>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empresas  de tamaño (1 grande).
No obstante, se tiene de esta localidad un acumulado de 18 proyectos pertenecientes a (7 grandes, 9 medianas y 2 microempresas).</t>
  </si>
  <si>
    <t>En el marco del Programa Gestión Ambiental Empresarial y de acuerdo al cronograma de reporte para la vigencia 2021, producto de la asistencia técnica enmarcado en acompañamiento se reportan (2) proyecto dirigido al uso eficiente de (1 energía, 1 residuos)
No obstante, se cuenta con un acumulado de (10) proyectos dirigidos al uso eficiente de los recursos naturales (4 en agua, 1 energía y 5 en residuos).</t>
  </si>
  <si>
    <t>UPZ2
UPZ19
UPZ 24
UPZ25
UPZ 27</t>
  </si>
  <si>
    <t>CASABLANCA SUBA URBANO
PRADO VERANIEGO
NIZA SUBA, LAS VILLAS
JULIO FLOREZ, POTOSI,SANTA ROSA, TUNA BAJA
EL POA, SUBA URBANO</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</si>
  <si>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(2) empresa de tamaño (2 grande) reportan proyecto cada una.
No obstante, se tiene de esta localidad un acumulado de 10 proyectos pertenecientes a (5 grandes, 4 medianas y 1 pequeña).</t>
  </si>
  <si>
    <t>En el marco del Programa Gestión Ambiental Empresarial y de acuerdo al cronograma de reporte para la vigencia 2021, producto de la asistencia técnica enmarcado en acompañamiento se reporta en esta localidad un (2) proyecto dirigido al uso eficiente de recursoso naturales (1 energía y 1 residuos)
No obstante, se cuenta con un acumulado de (9) proyectos dirigidos al uso eficiente de los recursos naturales (1 en agua, 4 en energía y 4 en residuos).</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</si>
  <si>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para el presente reporte se presenta (2) proyectos desarrollados por empresas de tamaño (2 grandes).
No obstante, se tiene de esta localidad un acumulado de 9 proyectos pertenecientes a ( 3 pequeñas, 4 grandes y 2 medianas).</t>
  </si>
  <si>
    <t xml:space="preserve">En el marco del Programa Gestión Ambiental Empresarial y de acuerdo al cronograma de reporte para la vigencia 2021, producto de la asistencia técnica enmarcado en acompañamiento se reporta en esta localidad (7) proyectos dirigidos al uso eficiente de recursos (4 residuos, 2 agua y 1 energía).
No obstante, se cuenta con un acumulado de (30) proyectos dirigidos al uso eficiente de los recursos naturales (8 en agua, 12 en energía, 9 en residuos y 2 en emisiones).
</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</si>
  <si>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para el presente reporte se presenta (7) proyectos desarrollados por empresas (1 mediana y 6 grandes). 
No obstante, se tiene de esta localidad un acumulado de 30 proyectos pertenecientes a (12 grandes, 13 medianas, 2 pequeña y 3 microempresas).</t>
  </si>
  <si>
    <t xml:space="preserve">El acumulado ejecutado para el año 2021 es de 20; distribuidos de la siguiente manera:  uno (1) enero, uno (1) febrero, uno (1) marzo, dos (2) abril, dos (2) mayo, dos (2) junio, dos (2) julio, dos (2) agosto, dos (2) septiembre, dos (2) octubre, dos (2) noviembre y (1) diciembre. Éste último hace parte del sector de bienes y servicios provenientes de la naturaleza.  Adicionalmente, los negocios verdes participantes de la convocatoria de Escalamiento de Innpulsa han realizado las fases de conecta, de generación de su modelo de negocio, de desarrollo de un sitio web basado en el ecodirectorio empresarial el cual ya se encuentra relacionado a la página web de la SDA y fue presentado en un conversatorio en línea.  A su vez se han realizado los seguimientos a negocios verdes verificados que han cumplido un año en la ventanilla de negocios verdes y se llevo a cabo el inicio de la ruta de emprendimiento verde con los 60 emprendedores postulados, de los cuales 40 han participado de los entrenamientos brindados, 20 han sido activos en el proceso y han participado del espacio del consultorio de emprendimiento generado todas las semanas. Asimismo, se han gestionado espacios como ferias para apoyar el proceso de reactivación económica para los negocios verdes, entre ellas: bioexpo, la Salle, Mercados Campesinos, distrito ambiental 3.0 y la rueda de negocio. Por último, se ha gestionado con la CCB y la SDDE el desarrollo de la ruta de emprendimiento de manera conjunta. Lo anterior sumado a la gestión de la vigencia 2020 con 10 proyectos nos permite llegar a un acumulado del plan de desarrollo de 30 proyectos con verificación de los criterios de Negocios verdes. </t>
  </si>
  <si>
    <t>Acumulado ejecutado del 2021 es de 0,60 corresponden a; 0,06 en enero, 0,03 en febrero, 0,06 en marzo, 0,05 en abril, 0,05 mayo, 0,05 junio, 0,05 julio, 0,05 agosto, 0,05 septiembre, 0,05 octubre, 0,05 noviembre y 0,05 diciembre .  Lo anterior obedece al diseño del proyecto: "laboratorio de prototipado circular" en donde se están formulando los proyectos de modelos de negocio circular por parte de las empresas participantes, se han recibido 30 propuestas de proyectos en una versión básica y 30 en fase proponer, y de los cuales se ha realizado la retroalimentación respectiva y se remitieron los puntajes definitivos, de acuerdo al avance de cada proyecto. Cabe anotar que 5 empresas generaron un enlace con la academia o Innovalab en el marco del laboratorio de Prototipado y éstas se encuentran en proceso de ejecución de su plan de acción. Adicionalmente,  se realizó un proceso de fortalecimiento de capacidades a través del curso training of trainners en modelos de negocio circular en el mes de mayo, en donde se certificaron 74 personas, asimismo, se realizó la postulación de la calculadora Ecocirculab al Tecnoparque para su digitalización. Por otra parte, se avanzó en el proceso del portafolio de economía circular en el marco de la cooperación con Chile, desarrollando 10 casos en las fichas dispuestas para ello y gestionando el desarrollo de más casos. En otro sentido, en el proceso de gestión energética se avanzó en las visitas técnicas para determinar los progresos en implementación de proyectos, y se generaron los informes de resultados de las empresas participantes en Pro-RedES. Adicionalmente, se ha gestionado la información solicitada en el marco de la convocatoria de Bienes Públicos Regionales del BID y el diseño preliminar de la iniciativa de Bogotá Circular.</t>
  </si>
  <si>
    <t>En la vigencia se han desarrollado diferentes articulaciones con aliados estratégicos como son: el SENNOVA, la Secretaría de Desarrollo Económico, SENA, la Cámara Verde y la academia con la Universidad Nacional. Asimismo, se diseñó la ruta de emprendimiento verde, para el mes de mayo se realizó la convocatoria en donde se inscribieron preliminarmente 160 emprendedores, para los meses de junio y julio se iniciaron las actividades de acompañamiento a través del SENA, en agosto se han realizado entrenamientos en temas de marketing digital, fortalecimiento del negocio y finanzas empresariales, con el apoyo de los actores, en septiembre se participó en la Feria Internacional del Medio Ambiente realizando la presentación de la ventanilla, para octubre se llevaron a cabo 7 escenarios de fortalecimiento y en noviembre los negocios verdes participaron en Bioexpo, mercados campesinos y la rueda de negocios verdes, mientras que los emprendedores en la feria de empendimiento de la Universidad de La Salle. Asimismo se llevaron a cabo reuniones con la CCB y la SDDE el desarrollo de la ruta de emprendimiento de manera conjunta.</t>
  </si>
  <si>
    <t>En el marco de la convocatoria de escalamiento creativo de innpulsa, los negocios verdes participaron de los diferentes talleres de innovación abierta, cuyo fin está en formular una solución que pretenda activar la dinámica económica de los negocios verdes participantes. En tal sentido, se adelantaron las sesiones de presentación del reto para los negocios verdes, con el fin de encontrar un solucionador que apoye el proceso de crecimiento, y en el mes de mayo se definió la última versión del modelo de negocio, el plan de inversión asociado y el desarrollo de un sitio web para promocionar los negocios verdes. Adicionalmente, para el mes de junio se realizó un proceso de acompañamiento a los 58 emprendedores en su autodiagnóstico y fomento en los procesos de comercialización en ferias locales. En el mes de julio se dió inicio a la ruta de emprendimiento en conjunto con el SENA, así mismo, para la orientación de los emprendedores se realiza el consultorio de emprendimiento como un espacio para aclarar inquietudes. En el mes de octubre, se realizaron 3 sesiones asociadas a temáticas de: SST, trámites ambientales y prototipado, en noviembre se llevo a cabo acompañamiento en 3 sesiones asociadas a métodos de presentar el negocio y canvas verde y en diciembre se realizó la presentación de los requisitos INVIMA.</t>
  </si>
  <si>
    <t>Durante el año 2021 se han llevado a cabo 19 verificaciones.  Lo anterior, se desarrolla en el marco de los criterios establecidos en el Plan Nacional de Negocios Verdes. Adicionalmente, se llevaron a cabo 5 seguimientos en el mes de octubre, 2 en noviembre y 6 en diciembre.</t>
  </si>
  <si>
    <t>Se realizaron reuniones con el DANE, CIEC, Tecnoparque-SENA, las Universidades EAN, Salle y ECCI, con el fin de fortalecer la estrategia de economía circular. Adicionalmente, se desarrollo el curso Training of Trainners en modelos de negocio circular, en donde participaron 68 empresas y se recibió el apoyo de 5 expertos en la materia. Para el mes de mayo se entregaron las certificaciones al curso a 74 personas, quienes podrán avanzar en el proceso del laboratorio de prototipado circular. Asimismo, se llevaron a cabo reuniones con empresas que han adelantado procesos de economía circular, como casos de inspiración para los demás participantes. Por otra parte, se adelantaron acciones con innovalab para fortalecer los procesos de innovación en los proyectos empresariales, y con la Universidades de la Salle y la Javeriana. Respecto a los acotres gremiales, en septiembre se tuvo acercamiento con Acoplásticos. En el contexto de sostenibilidad energética se han llevado a cabo reuniones con Enel- Codensa, Distritos Térmicos, Unisabana y Andesco. Para el mes de octubre, se llevo a cabo una visita a protolab y se asisitó a las sesiones desarrolladas en la convocatoria de FITIC, en noviembre y diciembre se consolidó el  mapeo de actores que puedan fortalecer el laboratorio de prototipado.</t>
  </si>
  <si>
    <t>Se atendieron 162 solicitudes de inscripción a los diferentes proyectos de responsabilidad empresarial y sostenibilidad, de éstas 68 en economía circular, lo anterior, es un mecanismo de acompañamiento y promoción. Adicionalmente, se remitió la herramienta de autodiagnóstico de economía circular y de sostenibilidad energética para fortalecer los esquemas de acompañamiento y se desarrolló el seminario de "aprender haciendo en sostenibilidad energética" como una acción desde la economía circular. En el mes de mayo se recibieron 18 proyectos formulados preliminarmente por las empresas y 24 posibles prototipos. Asimismo, se realizaron mesas de trabajo y acompañamiento en el que se presentaron casos de empresas que han adelantado procesos de economía circular. Por otra parte, se adelantaron las visitas a empresas del proyecto de sostenibillidad energética, la retroalimentación a los proyectos de modelos de negocio circular, la sesión de proponer para facilitar el proceso de formulación de proyectos, la remisión de los puntajes parciales  de los proyectos empresariales y se generó un pitch para apoyar el proceso de presentación de los proyectos por parte de las empresas participantes. En el mes de octubre se realizaron visitas a los casos definidos y se participó en 3 escenarios de acompañamiento; en noviembre, se lleva a cabo la feria de soluciones tecnológicas y en diciembre,  se genera el 100% de los informes de retroalimentación a las empresas participantes, así como la mención a las mejores empresas por cada proyecto.</t>
  </si>
  <si>
    <t>Se presentaron las condiciones de los proyectos que se llevaran a cabo para el año 2021 a las empresas interesadas, se desarrollaron dos sities en donde se publican los avances, memorias y resultados que se han adelantado en los proyectos.  Asimismo, se generó el boletín de gestión del 2021.</t>
  </si>
  <si>
    <t>La empresa se inscribío a demanda  y al realizar su verificación cumplió los requisitos para ser un negocio verde en el mes de diciembre</t>
  </si>
  <si>
    <t>UPZ30</t>
  </si>
  <si>
    <t>LOS ALAMOS</t>
  </si>
  <si>
    <t>Punto.
Shapefile_Proy7794_meta6_DIC2021 subido al drive: https://drive.google.com/drive/u/1/folders/1c74kaV8St-ZeTku5OzTVwiSqtrvqpiRs</t>
  </si>
  <si>
    <t xml:space="preserve">Para el año 2021 se presenta un avance acumulativo del 1.4 dando cumplimiento a la meta programada para el año 2021. A continuación se relacionan las acciones realizadas en el mes de diciembre: Para cada sector se realizaron mesas institucionales para gestionar las acciones de producción más limpia. En el sector curtidor se concluyó el proyecto de cooperación con la Embajada de Holanda para el acompañamiento de las curtiembres en el tratamiento de vertimientos, para lo cual se realizó la socialización de las conclusiones obtenidas a ASOPIESB; se propone viabilizar la continuación de acompañamiento al sector en articulación con la Embajada. A su vez, en el marco del proyecto de fortalecimiento de la innovación y mercados sostenibles del cuero se realizó la presentación preliminar de los proyectos individuales formulados por cada una de las organizaciones. Por otra parte, se tuvo asesoría de la CCB a la Asociación para continuar con la formulación del proyecto PTAR de San Benito, se realizó mesa distrital de curtiembres y visita y reunión con el comité de verificación de la sentencia del río Bogotá. En el sector galvánico se realizó reunión de bienvenida a las empresas inscritas al proyecto de fortalecimiento de la cadena del sector de recubrimientos, de otra parte se realizó reunión con la empresa Colmena para conocer los resultados del proyecto de recuperación de ácido clorhídrico; se realizó visita a la empresa INDUSEL con el comité verificador de la sentencia para conocer las prácticas de PML implementadas en la organización. En el sector de minería se llevó a cabo mesas interinstitucionales con el fin de verificar y validar los contaminantes criterios de la actividad productiva de la minería; a su vez, se diseñó y trabajó conjuntamente con la CAR la herramienta de autodiagnóstico para aquellas empresas interesadas en el proyecto de “Ladrillos verdes” mediante la lista de chequeo de la NTC 6033. </t>
  </si>
  <si>
    <t>El acumulado ejecutado desde el 2020 hasta diciembre del 2021 corresponde a 0,25 de los cuales en diciembre se avanzó en el 0,01. El consolidado del 2021 es de 0,20 cumpliendo la meta.
Con base en el avance del año 2020, en enero del 2021, se reestructuró el diseño de la Estrategia Distrital de Crecimiento Verde (EDCV). En febrero, se construyó el árbol de problemas. Se modeló encuesta y aplicó en empresas PREAD del Programa de Gestión Ambiental Empresarial (PGAE). En marzo, se envió el árbol de problemas para aportes a Secretaría de Desarrollo Económico (SDDE). Con Cámara de Comercio de Bogotá (CCB) se proyectó agenda 2021. Se aplicó encuesta a empresas ACERCAR del PGAE. En abril, se avanzó en el documento con los antecedentes. En mayo, se participó en la elaboración del plan de acción de la Política de desarrollo Económico articulando las acciones de la EDCV. Se desarrollaron los documentos técnicos estructurales de la estrategia. En junio, se consolidó capítulos 3 y 4. Se aplicó la encuesta dirigida a la ciudadanía. En julio, fue enviado para aprobación el documento de la EDCV. Se entregó para diseño el documento resumen de la EDCV. En agosto, se preparó el evento de lanzamiento. En septiembre, se remitió a revisión de estilo el documento de la EDCV. Dada la firma del memorando de entendimiento entre SDA, SDDE y CCB se generó plan de articulación. En octubre, se obtuvo el diseño creativo inicial del documento de la EDCV. Se inició con el Observatorio Ambiental de Bogotá (OAB) la caracterización de los indicadores. En noviembre, se realizó plan de acción para la implementación de la EDCV en el 2022. Se revisó la aplicación de indicadores y se realizaron ajustes. En diciembre, se realizó el lanzamiento de la EDCV en el marco de la XXI ceremonia del PREAD. Se obtuvo el diseño definitivo del documento técnico de la estrategia. Se pactó plan de trabajo con el OAB para realizar el montaje de información e indicadores. Se continuó con articulación de actores externos.</t>
  </si>
  <si>
    <t>Durante el 2021, se presenta un avance acumulativo del 100% (5% en enero, 9% en febrero, 9% en marzo, 9% de abril, 9% de mayo, 9% de junio, 9% julio, 9% agosto, 9% septiembre, 9% octubre, 9% noviembre Y 5% en diciembre), que corresponde a las siguientes acciones: 
Para cada sector se realizaron mesas institucionales para gestionar las acciones de producción más limpia. En el sector curtidor se concluyó el proyecto de cooperación con la Embajada de Holanda para el acompañamiento de las curtiembres en el tratamiento de vertimientos, para lo cual el día 16 de diciembre se realizó la socialización de las conclusiones obtenidas a ASOPIESB; se propone viabilizar la continuación de acompañamiento al sector en articulación con la Embajada. A su vez, en el marco del proyecto de fortalecimiento de la innovación y mercados sostenibles del cuero se realizó la presentación preliminar de los proyectos individuales formulados por cada una de las organizaciones. Por otra parte, se tuvo asesoría de la CCB a la Asociación para continuar con la formulación del proyecto PTAR de San Benito, finalmente, el día 7 de diciembre se realizó mesa distrital de curtiembres y el día 13, se realizó visita y reunión con el comité de verificación de la sentencia del río Bogotá. En el sector galvánico se realizó reunión de bienvenida a las empresas inscritas al proyecto de fortalecimiento de la cadena del sector de recubrimientos, de otra parte se realizó reunión con la empresa Colmena para conocer los resultados del proyecto de recuperación de ácido clorhídrico; finalmente, el día 13 de diciembre se realizó visita a la empresa INDUSEL con el comité verificador de la sentencia para conocer las prácticas de PML implementadas en la organización.</t>
  </si>
  <si>
    <t xml:space="preserve">Durante el 2021, se presenta un avance acumulativo del 100% (5% en enero, 9% en febrero, 9% en marzo, 9% de abril, 9% de mayo, 9% de junio, 9% julio, 9% agosto, 9% septiembre, 9% octubre, 9% noviembre y 5% diciembre), que corresponde a las siguientes acciones: En el sector de minería se llevó a cabo mesas interinstitucionales con el fin de verificar y validar los contaminantes criterios de la actividad productiva de la minería; a su vez, se diseñó y trabajó conjuntamente con la CAR la herramienta de autodiagnóstico para aquellas empresas interesadas en el proyecto de “Ladrillos verdes” mediante la lista de chequeo de la NTC 6033. </t>
  </si>
  <si>
    <t xml:space="preserve">En diciembre, se finalizó el proyecto de cooperación con la Embajada de Holanda, para el acompañamiento de las curtiembres en el tratamiento de vertimientos, dando énfasis al proyecto de la PTAR para San Benito. Durante el mes, se realizó reunión de cierre el día 16 de diciembre con el fin de retroalimentar a la asociación de curtidores ASOPIESB los resultados obtenidos y viabilizar a su vez opciones para continuar el acompañamiento al sector. 
Teniendo en cuenta que dentro de las soluciones técnicas planteadas se encuentra el acompañamiento a la PTAR de San Benito, la cual está a cargo de la asociación de curtidores (ASOPIESB), se incluye en la territorialización el total de predios de las empresas asociadas. </t>
  </si>
  <si>
    <t xml:space="preserve">El proyecto a territorializar en el barrio San Benito, corresponde a un proyecto de Cooperación realizado con la Embajada de Holanda. El avance correspondiente al mes de diciembre es del 0.07 sobre la magnitud de la meta. El proyecto tiene un alcance territorial en el barrio San Benito, localidad de Tunjuelito. El proyecto tuvo como finalidad brindar el acompañamiento de las curtiembres en materia de tratamiento de vertimientos que incluye la PTAR propuesta por ASOPIESB (Asociación de curtidores del barrio San Benito). </t>
  </si>
  <si>
    <t xml:space="preserve">El acumulado al Plan de Desarrollo presenta un avance desde 2020 hasta diciembre 2021 de 0,35, de los cuales en la vigencia 2021 corresponde al 0,30, en diciembre se aporta 0,01 con las siguientes acciones:
Con base en el avance realizado en el año 2020, en enero del 2021 se reestructuro el documento de la Estrategia Distrital de Crecimiento Verde (EDCV). En febrero, se enriqueció el árbol de problemas, se continuó articulación con actores estratégicos como la Secretaria Distrital de Secretaria de Desarrollo Económico (SDDE) y Cámara de Comercio de Bogotá (CCB), se actualizó la conceptualización de la estrategia y se aplicaron encuestas a empresas PREAD del Programa de Gestión Ambiental Empresarial (PGAE). En marzo, el árbol de problemas en versión final fue entregado a SDDE para aportes, se concertaron agendas con la CCB y se aplicó encuesta a empresas ACERCAR del PGAE. En abril, se continuo la escritura del documento con los antecedentes, se extrajo el árbol de objetivos y se orientó la estructuración de acciones de la estrategia. Para mayo, se participó en la elaboración del plan de acción de la Política de desarrollo Económico articulando las acciones de la EDCV. Se desarrollaron los documentos técnicos soporte de la estrategia. En junio, se realizó la consolidación de los capítulos 3 y 4. Se aplicó la encuesta dirigida a la ciudadanía. En julio, se consolido el documento técnico de la EDCV el cual fue enviado para revisión y aprobación. En paralelo, se elaboró y entrego para diseño el documento aprobado de resumen de la EDCV. En agosto, se ajustó documento técnico de la EDCV, se gestionaron y entregaron insumos para preparar el evento de lanzamiento. En septiembre, se remitió a revisión de estilo el documento técnico de la EDCV, logrando la versión corregida para diseño. Dada la firma del memorando de entendimiento entre SDA, SDDE y CCB se generó plan de articulación. En octubre, se obtuvo versión inicial del diseño del documento técnico de la EDCV. Se realizó articulación interna que direccionó la caracterización de los indicadores de resultado en Observatorio Ambiental de Bogotá. En noviembre, se realizaron mesas de trabajo para estructurar el plan de acción para la implementación de la EDCV del 2022. Se realizó revisión de línea base y ajustes a los indicadores. 
En diciembre, se realizó el lanzamiento de la EDCV en el marco de la XXI ceremonia del PREAD. Se obtuvo el diseño definitivo del documento técnico de la estrategia. Se pactó plan de trabajo con el OAB para realizar el montaje de información base e indicadores. Se continuó con articulación de actores externos.
De las agendas desarrolladas, se generó la asistencia a proyectos presentados por las empresas del PGAE, acompañamiento y promoción a negocios verdes, economía circular y producción más limpia en sectores priorizados, estos aportes se incorporan en el diseño y desarrollo de la EDCV.
</t>
  </si>
  <si>
    <t>Entre mayo y noviembre, se estructuró la propuesta de Monitoreo, Evaluación y Reporte (MER) del Plan de Acción Climática (PAC), según las directrices de C40 y la Secretaría Distrital de Planeación para la elaboración de documentos CONPES D.C. La propuesta incluye objetivos, actores y roles,  indicadores, formatos para recopilar información, frecuencia de monitoreo, tipos de reporte y articulación del MER con otros instrumentos de cambio climático de Bogotá. 
Para mitigación, se definieron resultados, asociados a la reducción de emisiones de Gases de Efecto Invernadero-GEI y productos, derivados de las acciones del PAC. Para adaptación y el componente transversal, se ajustaron las subacciones a productos y se establecieron resultados, asociados al aumento de la adaptación y la transversalización de la acción climática. Para los tres componentes, se elaboraron indicadores de producto y resultado. Para adaptación, se definieron indicadores de impacto que muestran la variación del índice de riesgo climático. Se identificaron algunas metas y sus vacíos de información. Esto fue revisado en reuniones con la Subdirección de Políticas y Planes Ambientales y ajustado según las observaciones de dicha área, así como de C40. 
Se realizó la validación de las entidades Distritales y las áreas de la SDA implementadoras del PAC. Se proyectó y ajustó, según las observaciones de la Dirección Legal Ambiental la exposición de motivos y el decreto de adopción del PAC. Para mitigación, se actualizó el Inventario de GEI a 2018 y se definió su plan de mejora. 
En diciembre, se realizaron reuniones con el IDIGER y el Jardín Botánico para revisar y validar los ajustes a las subacciones de adaptación y transversal y a sus indicadores y metas. La DGA realizó la territorialización de las acciones de adaptación en función de los elementos de la Estructura Ecológica Principal. Para mitigación, se actualizó el inventario de GEI a 2019.</t>
  </si>
  <si>
    <t>De ene a nov se avanzó:
Conocimiento:
2 campañas prevención incendios ftales.
Aportes y reportes plan temporadas menos lluvias/21.
Evaluación complejidad 7 incendios: dic/20 (4) y 2021 (3). 
Revisión 34 Planes de Manejo Ambiental–PMA, para verificar medidas contingencia y propuesta proyecto para incorporar esas medidas en PMA Ramsar.
Viabilización Estrategia de comunicación e identificación acción mitigación en Zonas Interfaz que podría adelantar la Comisión Distrital para la Prevención y Mitigación de Incendios Forestales-CDPMIF.
Curso Consejos Locales Gestión Riesgo.
Reducción:
Prevención: capacitaciones a comunidad y gestores gestión del riesgo; ejecución Estrategia comunicación.
Mitigación: control y mant. áreas control retamo (2,35 ha Aguas Claras y 1,35 ha Arboleda); plantación árboles en rondas quebradas Los Verejones (222) y Aguas Claras (320); acciones para reducir incendios en Tibanica, Meandro y Usme; verif. áreas en control retamo.
Manejo:
Revisión eventos ocurridos en humedales, revisión sistemas suministro agua, generación mapa hidrantes Tibanica y Meandro e identificación hidrantes en PEDHs.
Georreferenciación incendios ocurridos ene/21. 
Visitas para despeje caminos en cerros.
Socialización valoración de daños ocasionados por incendios Bosa (ene/20) y Sumapaz (dic/20). 
Visitas para priorizar áreas incendiadas y viabilidad mant. de áreas restauradas.
Presidencia CDPMIF:
Presidencia sesiones 2021. 
Reporte Plan Acción IV trim/20 y I, II y III trim/21.
Elaboración informe anual gestión/20 y publicación. 
Trámite act. Dec. 377/14 y revisión origen “incendio de la cobertura vegetal”.
Act. Plan acción.
Diciembre:
Conocimiento: inicio campaña; aportes plan temporada menos lluvias/22; curso Escuela de Gestión de Riesgo; evaluación evento forestal.
Reducción: Prevención: 2 capacitaciones. Mitigación: acciones para reducir incendios en Meandro; visita para despeje caminos cerros.
Manejo: Georreferenciación evento nov/21 y salida gráfica.
Presidencia CDPMIF.</t>
  </si>
  <si>
    <t>Entre enero y noviembre  de 2021, la entidad activó 1987 emergencias, a las cuales dio respuesta y correspondieron con los siguientes servicios básicos:
- Manejo de Materiales y/o Residuos peligrosos:  25 emergencias por MATPEL y RESPEL.
- Saneamiento básico: 10 emergencias por afectación a la calidad del aire y vertimientos. 
- Manejo de escombros y obras de emergencia: 674 emergencias por árboles caídos y 1278 emergencias por árboles en riesgo de caída.
En diciembre  de 2021, se activaron 137 emergencias, las cuales se respondieron, y se asocian a los siguientes servicios de respuesta:
- Manejo de escombros y obras de emergencia: 46 emergencias por árboles caídos y 83 emergencias por árboles en riesgo de caída.
- Manejo de Materiales y/o Residuos peligrosos: 2 por RESPEL y 6 por RESPEL  RH.</t>
  </si>
  <si>
    <t xml:space="preserve">Seguimiento a las acciones establecidas en los instrumentos de planeación existentes y orientados a recuperar y manejar ambientalmente los “Suelos de Protección por Riesgo no Mitigable”, así: 
•Visitas técnicas a las zonas en alto riesgo no mitigable del D.C.: Altos de La Estancia (14), Nueva Esperanza (8), Santa Cecilia (4), Tibaque (1) y Cerro La Conejera (1). Instalación de 1 huerta comunitaria en Sierra Morena; Jornada de capacitación para la nueva Huerta Guaduales (25/09/21). Avance en acciones de restauración y cerramiento en 2,2 ha parte alta Q. Santo Domingo: el 29/08/21 se realizó plantación de 60 individuos con participación comunitaria, completando 1260 individuos. Asistencia a sesiones de la mesa ampliada de Santa Cecilia (08/10/21) y (19/11/2021). 
•Reuniones para programar, coordinar y ejecutar acciones encaminadas a la protección y recuperación de las zonas en alto riesgo no mitigable (15 (1 en dic/21  - Plan acción Altos de la Estancia)). 
•Firma del Pacto por Altos de La Estancia (31/07/21), 2 sesiones de la Mesa de Seguimiento del Pacto (24/10/21 y 06/11/2021) y socialización de la herramienta tablero digital (4/11/2021). Reuniones (3) con Alcaldía Local de San Cristóbal.
•Operativos de control de ocupaciones tendientes a la protección de la Estructura Ecológica Principal – EEP (27 (3 en diciembre: Chapinero). 
•Resolución SDA 3236 de 2021: reunión con Caja de la Vivienda Popular sobre observaciones a la modificación de la Res. 3168/15; elaboración del Documento Técnico Soporte; expedición de la Resolución (derogó la Res. 3168/15). En diciembre: revisión información de 32 predios ubicados en las localidades de Ciudad Bolívar, San Cristóbal y Rafael Uribe Uribe, para dar continuidad al proceso de recibo.
</t>
  </si>
  <si>
    <t>En la vigencia se tienen 20 negocios verdes.</t>
  </si>
  <si>
    <t>Corresponde a la etapa de formulacion del proyecto, por lo cual no cuenta con territorialización en las diferentes localidades</t>
  </si>
  <si>
    <t xml:space="preserve">Avance meta: 27,5 (12,5 en 2020 y 15 en 2021).
Riesgos climáticos, acciones adaptación y seguimiento al Plan de Acción Climática (PAC): Evaluación Riesgos Climáticos. Acciones, subacciones, resultados y productos adaptación y transversales. PAC presentado a la ciudad. Propuesta de Monitoreo, Evaluación y Reporte. Indicadores de resultado, impacto y producto. Avances en definición metas y en Decreto adopción PAC.
Gestión riesgo incendio forestal: Campañas; aportes planes temporadas menos lluvias; evaluación 7 incendios; revisión 34 PMA y acciones para medidas contingencia; diseño y ejecución Estrategia comunicación; educación Consejos Locales. Mitigación y Prevención. En humedales: revisión eventos, sistemas suministro agua, recorridos y mapas hidrantes. Georreferenciación eventos ene-nov/21; Valoración daños incendios_20 (Bosa-Sumapaz).
Respuesta a Emergencias: 2124 emergencias respondidas.
PIGA: 38 jornadas actualización; 102 requerimientos respondidos; aportes normativa; apoyo PIGA SDA; desarrollo semana ambiental; 13 mesas con Alcaldías Locales; apoyo Guía Residuos; reconocimiento 23 entidades desempeño ambiental 2020; premiación “Al trabajo en Bici 2021”; premiación Buenas Prácticas Ambientales; conversatorio estrategias ambientales. PACA: reporte Cuenta Anual PACA 2020 (2 PDD); matriz seguimiento PACA 2020 (2 PDD); definición indicadores PACA 2020-2024 OAB, revisión fichas técnicas; ajustes formulación PACA; consolidación seguimiento PACA I2021, socialización seguimiento 2020-2021; solicitud seguimiento II2021 y cuenta anual.
Seguimiento acciones recuperación ambiental suelos protección riesgo no mitigable: 49 seguimientos áreas riesgo no mitigable. Altos de La Estancia: control a pastoreo ganado; concertación, firma Pacto e inicio implementación (avance restauración 2,2 ha -1260 individuos plantados), 3 huertas fortalecidas y 1 instalada. Acompañamiento a 30 operativos control ocupaciones. Expedición Res. SDA 3236/21.
</t>
  </si>
  <si>
    <t>Durante el mes de diciembre de 2021, se incorporó y verifico criterios de sostenibilidad ambiental a dieciseis (16) proyectos. Así mismo, se brindo acompañamiento tecnico a 298 m2 de  techos verdes en la ciudad.</t>
  </si>
  <si>
    <t>Se reconocen 20 negocios verdes -NV-; 1 (ene), 1 (feb), 1 (mar), 2 (abril), 2 (mayo), 2 (junio), 2 j(ulio), 2 (agosto), 2 (septiembre), 2 (octubre), 2 (noviembre) y 1 (diciembre), el cual logró el 60,31% de los criterios evaluados logrando el cumplimiento de la meta, adicionalmente, dicho negocio hace parte de la categoría de bienes y servicios sostenibles provenientes de recursos naturales</t>
  </si>
  <si>
    <t>Se realizó reunión con la empresa Colmena para los resultados del proyecto; se hizo visita a la empresa INDUSEL con el comité verificador de la sentencia para conocer las prácticas de PML. En minería se trabajó con la CAR la herramienta de autodiagnóstico para el proyecto de “Ladrillos verdes”</t>
  </si>
  <si>
    <t>Consolidación de propuesta de Monitoreo, Evaluación y Reporte del componente de mitigación del PAC. Ejecución de acciones de adaptación para mejorar la calidad ambiental y reducir los efectos del cambio climático.</t>
  </si>
  <si>
    <t>Se incorporó criterios de sostenibilidad ambiental a 10 proyectos.
Así mismo, se realizó la verificación a la incorporación de determinantes ambientales a 6 proyectos de infraestructura en el espacio público.</t>
  </si>
  <si>
    <t>Durante el mes de diciembre de 2021 se ha realizado el acompañamiento técnico a 298 m2 correspondientes a techos verdes, en un proyecto existente en espacio público de las localidades de Santa Fé, teusaquillo, san cristobal, kennedy, engativa, chapinero y candelaria.</t>
  </si>
  <si>
    <t>En diciembre, se realizó el lanzamiento de la EDCV en el marco de la XXI ceremonia del PREAD. Se obtuvo el diseño definitivo del documento técnico de la estrategia. Se pactó plan de trabajo con el OAB para realizar el montaje de información e indicadores. Se continuó con articulación de actores.</t>
  </si>
  <si>
    <t xml:space="preserve">Se finalizó proyecto con la Embajada de Holanda, se realizó la presentación de proyectos individuales formulados en el proyecto de la cadena de valor del cuero. En galvánico se hizo apertura para el proyecto de fortalecimiento de la cadena del sector de recubrimientos con las empresas inscritas </t>
  </si>
  <si>
    <t>Consolidación de propuesta de Monitoreo, Evaluación y Reporte del componente de mitigación del PAC. Acciones de adaptación: Gestión del riesgo por incendio forestal; Respuesta a emergencias; Instrumentos PIGA y PACA; Seguimiento para recuperar y manejar suelos de protección por riesgo no mitigable.</t>
  </si>
  <si>
    <r>
      <t>7, LOGROS CORTE A</t>
    </r>
    <r>
      <rPr>
        <b/>
        <u/>
        <sz val="10"/>
        <rFont val="Arial"/>
        <family val="2"/>
      </rPr>
      <t xml:space="preserve"> DICIEMBRE </t>
    </r>
    <r>
      <rPr>
        <b/>
        <sz val="10"/>
        <rFont val="Arial"/>
        <family val="2"/>
      </rPr>
      <t>AÑO _2021___</t>
    </r>
  </si>
  <si>
    <r>
      <rPr>
        <u/>
        <sz val="9"/>
        <rFont val="Arial"/>
        <family val="2"/>
      </rPr>
      <t>PIGA</t>
    </r>
    <r>
      <rPr>
        <sz val="9"/>
        <rFont val="Arial"/>
        <family val="2"/>
      </rPr>
      <t xml:space="preserve">: En el 2021 se realizaron 38 jornadas de actualización en temas ambientales a entidades distritales y nacionales con  1781 asistentes; se dio respuesta a 102 requerimientos en diferentes temas ambientales; hubo participación en la  actualización de la Res. 242/14  y en la elaboración del Decreto 317/21 para la adquisición y consumo de plásticos de un solo uso. Se desarrolló la semana ambiental con la presentación de temas de interés ambiental y la participación de  487 asistentes; se realizaron 13 mesas trabajo con las Alcaldías Locales para brindar el acompañamiento técnico y fortalecimiento de su desempeño ambiental; premiación a tres entidades distritales como ganadores al concurso  “Al trabajo en bici” (Acuerdo 660/16),  realizado con el acompañamiento de la SDM y el IDRD. Acompañamiento al PIGA Institucional; premiación  a 23 entidades como reconocimiento por su excelente desempeño ambiental; premiación a 5  entidades en el concurso de Buenas Prácticas Ambientales; acompañamiento a la SEGAE en la elaboración de la Guía para el Manejo Integral de los Residuos; realización del conversatorio “Estrategias ambientales implementadas en entidades del Distrito” y entrega de incentivos. 
</t>
    </r>
    <r>
      <rPr>
        <u/>
        <sz val="9"/>
        <rFont val="Arial"/>
        <family val="2"/>
      </rPr>
      <t>PACA</t>
    </r>
    <r>
      <rPr>
        <sz val="9"/>
        <rFont val="Arial"/>
        <family val="2"/>
      </rPr>
      <t>: se presentó el reporte Cuenta Anual PACA 2020 para los dos PDD; se consolidó matriz de seguimiento PACA 2020 para los dos PDD; se definieron indicadores PACA 2020-2024 para el OAB y se revisaron las fichas técnicas. Se hizo la presentación de ajustes a la formulación PACA, así como el cargue de ajustes de la formulación en Forest. Se consolidó el seguimiento PACA del primer semestre 2021, presentación ajustes y seguimiento del primer semestre 2021 a la SPPA; se realizaron ajustes al módulo PACA en Forest y la socialización a los gerentes de proyecto o sus delegados del seguimiento al II semestre 2020 y I semestre 2021. Se hizo solicitud de información para el seguimiento del II semestre 2021 y la cuenta anual.</t>
    </r>
  </si>
  <si>
    <r>
      <t xml:space="preserve">REPROGRAMACIÓN </t>
    </r>
    <r>
      <rPr>
        <b/>
        <sz val="12"/>
        <rFont val="Arial Nova Cond Light"/>
        <family val="2"/>
      </rPr>
      <t>VIGENCIA 
(VALOR INICIAL)</t>
    </r>
  </si>
  <si>
    <r>
      <t>PROGRAMADO</t>
    </r>
    <r>
      <rPr>
        <b/>
        <sz val="12"/>
        <rFont val="Arial Nova Cond Light"/>
        <family val="2"/>
      </rPr>
      <t xml:space="preserve"> JUN.</t>
    </r>
  </si>
  <si>
    <r>
      <t xml:space="preserve">EJECUTADO </t>
    </r>
    <r>
      <rPr>
        <b/>
        <sz val="12"/>
        <rFont val="Arial Nova Cond Light"/>
        <family val="2"/>
      </rPr>
      <t>JUN.</t>
    </r>
  </si>
  <si>
    <r>
      <t>PROGRAMADO</t>
    </r>
    <r>
      <rPr>
        <b/>
        <sz val="12"/>
        <rFont val="Arial Nova Cond Light"/>
        <family val="2"/>
      </rPr>
      <t xml:space="preserve"> JUL.</t>
    </r>
  </si>
  <si>
    <r>
      <t xml:space="preserve">EJECUTADO  </t>
    </r>
    <r>
      <rPr>
        <b/>
        <sz val="12"/>
        <rFont val="Arial Nova Cond Light"/>
        <family val="2"/>
      </rPr>
      <t>JUL.</t>
    </r>
  </si>
  <si>
    <r>
      <t xml:space="preserve">PROGRAMADO </t>
    </r>
    <r>
      <rPr>
        <b/>
        <sz val="12"/>
        <rFont val="Arial Nova Cond Light"/>
        <family val="2"/>
      </rPr>
      <t>AGO.</t>
    </r>
  </si>
  <si>
    <r>
      <t xml:space="preserve">EJECUTADO  </t>
    </r>
    <r>
      <rPr>
        <b/>
        <sz val="12"/>
        <rFont val="Arial Nova Cond Light"/>
        <family val="2"/>
      </rPr>
      <t>AGO.</t>
    </r>
  </si>
  <si>
    <r>
      <t xml:space="preserve">PROGRAMADO </t>
    </r>
    <r>
      <rPr>
        <b/>
        <sz val="12"/>
        <rFont val="Arial Nova Cond Light"/>
        <family val="2"/>
      </rPr>
      <t>SEP.</t>
    </r>
  </si>
  <si>
    <r>
      <t xml:space="preserve">EJECUTADO  </t>
    </r>
    <r>
      <rPr>
        <b/>
        <sz val="12"/>
        <rFont val="Arial Nova Cond Light"/>
        <family val="2"/>
      </rPr>
      <t>SEP</t>
    </r>
    <r>
      <rPr>
        <sz val="12"/>
        <rFont val="Arial Nova Cond Light"/>
        <family val="2"/>
      </rPr>
      <t>.</t>
    </r>
  </si>
  <si>
    <r>
      <t>PROGRAMADO</t>
    </r>
    <r>
      <rPr>
        <b/>
        <sz val="12"/>
        <rFont val="Arial Nova Cond Light"/>
        <family val="2"/>
      </rPr>
      <t xml:space="preserve"> OCT.</t>
    </r>
  </si>
  <si>
    <r>
      <t xml:space="preserve">EJECUTADO  </t>
    </r>
    <r>
      <rPr>
        <b/>
        <sz val="12"/>
        <rFont val="Arial Nova Cond Light"/>
        <family val="2"/>
      </rPr>
      <t>OCT</t>
    </r>
    <r>
      <rPr>
        <sz val="12"/>
        <rFont val="Arial Nova Cond Light"/>
        <family val="2"/>
      </rPr>
      <t>.</t>
    </r>
  </si>
  <si>
    <r>
      <t xml:space="preserve">PROGRAMADO </t>
    </r>
    <r>
      <rPr>
        <b/>
        <sz val="12"/>
        <rFont val="Arial Nova Cond Light"/>
        <family val="2"/>
      </rPr>
      <t>NOV.</t>
    </r>
  </si>
  <si>
    <r>
      <t xml:space="preserve">EJECUTADO </t>
    </r>
    <r>
      <rPr>
        <b/>
        <sz val="12"/>
        <rFont val="Arial Nova Cond Light"/>
        <family val="2"/>
      </rPr>
      <t>NOV.</t>
    </r>
  </si>
  <si>
    <r>
      <t xml:space="preserve">PROGRAMADO  </t>
    </r>
    <r>
      <rPr>
        <b/>
        <sz val="12"/>
        <rFont val="Arial Nova Cond Light"/>
        <family val="2"/>
      </rPr>
      <t>DIC.</t>
    </r>
  </si>
  <si>
    <r>
      <t xml:space="preserve">EJECUTADO </t>
    </r>
    <r>
      <rPr>
        <b/>
        <sz val="12"/>
        <rFont val="Arial Nova Cond Light"/>
        <family val="2"/>
      </rPr>
      <t>DIC.</t>
    </r>
  </si>
  <si>
    <r>
      <t xml:space="preserve">PROGRAMADO </t>
    </r>
    <r>
      <rPr>
        <b/>
        <sz val="12"/>
        <rFont val="Arial Nova Cond Light"/>
        <family val="2"/>
      </rPr>
      <t>ENE.</t>
    </r>
  </si>
  <si>
    <r>
      <t xml:space="preserve">EJECUTADO </t>
    </r>
    <r>
      <rPr>
        <b/>
        <sz val="12"/>
        <rFont val="Arial Nova Cond Light"/>
        <family val="2"/>
      </rPr>
      <t>ENE.</t>
    </r>
  </si>
  <si>
    <r>
      <t>PROGRAMADO</t>
    </r>
    <r>
      <rPr>
        <b/>
        <sz val="12"/>
        <rFont val="Arial Nova Cond Light"/>
        <family val="2"/>
      </rPr>
      <t xml:space="preserve"> FEB.</t>
    </r>
  </si>
  <si>
    <r>
      <t xml:space="preserve">EJECUTADO </t>
    </r>
    <r>
      <rPr>
        <b/>
        <sz val="12"/>
        <rFont val="Arial Nova Cond Light"/>
        <family val="2"/>
      </rPr>
      <t>FEB.</t>
    </r>
  </si>
  <si>
    <r>
      <t xml:space="preserve">PROGRAMADO </t>
    </r>
    <r>
      <rPr>
        <b/>
        <sz val="12"/>
        <rFont val="Arial Nova Cond Light"/>
        <family val="2"/>
      </rPr>
      <t>MAR.</t>
    </r>
  </si>
  <si>
    <r>
      <t xml:space="preserve">EJECUTADO </t>
    </r>
    <r>
      <rPr>
        <b/>
        <sz val="12"/>
        <rFont val="Arial Nova Cond Light"/>
        <family val="2"/>
      </rPr>
      <t>MAR.</t>
    </r>
  </si>
  <si>
    <r>
      <t xml:space="preserve">PROGRAMADO </t>
    </r>
    <r>
      <rPr>
        <b/>
        <sz val="12"/>
        <rFont val="Arial Nova Cond Light"/>
        <family val="2"/>
      </rPr>
      <t>ABR.</t>
    </r>
  </si>
  <si>
    <r>
      <t xml:space="preserve">EJECUTADO </t>
    </r>
    <r>
      <rPr>
        <b/>
        <sz val="12"/>
        <rFont val="Arial Nova Cond Light"/>
        <family val="2"/>
      </rPr>
      <t>ABR.</t>
    </r>
  </si>
  <si>
    <r>
      <t xml:space="preserve">PROGRAMADO </t>
    </r>
    <r>
      <rPr>
        <b/>
        <sz val="12"/>
        <rFont val="Arial Nova Cond Light"/>
        <family val="2"/>
      </rPr>
      <t>MAY.</t>
    </r>
  </si>
  <si>
    <r>
      <t xml:space="preserve">EJECUTADO  </t>
    </r>
    <r>
      <rPr>
        <b/>
        <sz val="12"/>
        <rFont val="Arial Nova Cond Light"/>
        <family val="2"/>
      </rPr>
      <t>MAY.</t>
    </r>
  </si>
  <si>
    <t>EJECUTADO  JUL.</t>
  </si>
  <si>
    <r>
      <t xml:space="preserve">PROGRAMADO </t>
    </r>
    <r>
      <rPr>
        <b/>
        <sz val="14"/>
        <rFont val="Arial Nova Cond Light"/>
        <family val="2"/>
      </rPr>
      <t>ENE.</t>
    </r>
  </si>
  <si>
    <r>
      <t xml:space="preserve">EJECUTADO </t>
    </r>
    <r>
      <rPr>
        <b/>
        <sz val="14"/>
        <rFont val="Arial Nova Cond Light"/>
        <family val="2"/>
      </rPr>
      <t>ENE.</t>
    </r>
  </si>
  <si>
    <r>
      <t>PROGRAMADO</t>
    </r>
    <r>
      <rPr>
        <b/>
        <sz val="14"/>
        <rFont val="Arial Nova Cond Light"/>
        <family val="2"/>
      </rPr>
      <t xml:space="preserve"> FEB.</t>
    </r>
  </si>
  <si>
    <r>
      <t xml:space="preserve">EJECUTADO </t>
    </r>
    <r>
      <rPr>
        <b/>
        <sz val="14"/>
        <rFont val="Arial Nova Cond Light"/>
        <family val="2"/>
      </rPr>
      <t>FEB.</t>
    </r>
  </si>
  <si>
    <r>
      <t xml:space="preserve">PROGRAMADO </t>
    </r>
    <r>
      <rPr>
        <b/>
        <sz val="14"/>
        <rFont val="Arial Nova Cond Light"/>
        <family val="2"/>
      </rPr>
      <t>MAR.</t>
    </r>
  </si>
  <si>
    <r>
      <t xml:space="preserve">EJECUTADO </t>
    </r>
    <r>
      <rPr>
        <b/>
        <sz val="14"/>
        <rFont val="Arial Nova Cond Light"/>
        <family val="2"/>
      </rPr>
      <t>MAR.</t>
    </r>
  </si>
  <si>
    <r>
      <t>PROGRAMADO</t>
    </r>
    <r>
      <rPr>
        <b/>
        <sz val="14"/>
        <rFont val="Arial Nova Cond Light"/>
        <family val="2"/>
      </rPr>
      <t xml:space="preserve"> ABR.</t>
    </r>
  </si>
  <si>
    <r>
      <t xml:space="preserve">EJECUTADO </t>
    </r>
    <r>
      <rPr>
        <b/>
        <sz val="14"/>
        <rFont val="Arial Nova Cond Light"/>
        <family val="2"/>
      </rPr>
      <t>ABR.</t>
    </r>
  </si>
  <si>
    <r>
      <t xml:space="preserve">PROGRAMADO </t>
    </r>
    <r>
      <rPr>
        <b/>
        <sz val="14"/>
        <rFont val="Arial Nova Cond Light"/>
        <family val="2"/>
      </rPr>
      <t>MAY.</t>
    </r>
  </si>
  <si>
    <r>
      <t xml:space="preserve">EJECUTADO  </t>
    </r>
    <r>
      <rPr>
        <b/>
        <sz val="14"/>
        <rFont val="Arial Nova Cond Light"/>
        <family val="2"/>
      </rPr>
      <t>MAY.</t>
    </r>
  </si>
  <si>
    <r>
      <t>PROGRAMADO</t>
    </r>
    <r>
      <rPr>
        <b/>
        <sz val="14"/>
        <rFont val="Arial Nova Cond Light"/>
        <family val="2"/>
      </rPr>
      <t xml:space="preserve"> JUN.</t>
    </r>
  </si>
  <si>
    <r>
      <t xml:space="preserve">EJECUTADO </t>
    </r>
    <r>
      <rPr>
        <b/>
        <sz val="14"/>
        <rFont val="Arial Nova Cond Light"/>
        <family val="2"/>
      </rPr>
      <t>JUN.</t>
    </r>
  </si>
  <si>
    <r>
      <t>PROGRAMADO</t>
    </r>
    <r>
      <rPr>
        <b/>
        <sz val="14"/>
        <rFont val="Arial Nova Cond Light"/>
        <family val="2"/>
      </rPr>
      <t xml:space="preserve"> JUL.</t>
    </r>
  </si>
  <si>
    <r>
      <t xml:space="preserve">EJECUTADO  </t>
    </r>
    <r>
      <rPr>
        <b/>
        <sz val="14"/>
        <rFont val="Arial Nova Cond Light"/>
        <family val="2"/>
      </rPr>
      <t>JUL.</t>
    </r>
  </si>
  <si>
    <r>
      <t xml:space="preserve">PROGRAMADO </t>
    </r>
    <r>
      <rPr>
        <b/>
        <sz val="14"/>
        <rFont val="Arial Nova Cond Light"/>
        <family val="2"/>
      </rPr>
      <t>AGO.</t>
    </r>
  </si>
  <si>
    <r>
      <t xml:space="preserve">EJECUTADO  </t>
    </r>
    <r>
      <rPr>
        <b/>
        <sz val="14"/>
        <rFont val="Arial Nova Cond Light"/>
        <family val="2"/>
      </rPr>
      <t>AGO.</t>
    </r>
  </si>
  <si>
    <r>
      <t xml:space="preserve">PROGRAMADO </t>
    </r>
    <r>
      <rPr>
        <b/>
        <sz val="14"/>
        <rFont val="Arial Nova Cond Light"/>
        <family val="2"/>
      </rPr>
      <t>SEP.</t>
    </r>
  </si>
  <si>
    <r>
      <t xml:space="preserve">EJECUTADO  </t>
    </r>
    <r>
      <rPr>
        <b/>
        <sz val="14"/>
        <rFont val="Arial Nova Cond Light"/>
        <family val="2"/>
      </rPr>
      <t>SEP</t>
    </r>
    <r>
      <rPr>
        <sz val="14"/>
        <rFont val="Arial Nova Cond Light"/>
        <family val="2"/>
      </rPr>
      <t>.</t>
    </r>
  </si>
  <si>
    <r>
      <t>PROGRAMADO</t>
    </r>
    <r>
      <rPr>
        <b/>
        <sz val="14"/>
        <rFont val="Arial Nova Cond Light"/>
        <family val="2"/>
      </rPr>
      <t xml:space="preserve"> OCT.</t>
    </r>
  </si>
  <si>
    <r>
      <t xml:space="preserve">EJECUTADO  </t>
    </r>
    <r>
      <rPr>
        <b/>
        <sz val="14"/>
        <rFont val="Arial Nova Cond Light"/>
        <family val="2"/>
      </rPr>
      <t>OCT</t>
    </r>
    <r>
      <rPr>
        <sz val="14"/>
        <rFont val="Arial Nova Cond Light"/>
        <family val="2"/>
      </rPr>
      <t>.</t>
    </r>
  </si>
  <si>
    <r>
      <t xml:space="preserve">PROGRAMADO </t>
    </r>
    <r>
      <rPr>
        <b/>
        <sz val="14"/>
        <rFont val="Arial Nova Cond Light"/>
        <family val="2"/>
      </rPr>
      <t>NOV.</t>
    </r>
  </si>
  <si>
    <r>
      <t xml:space="preserve">EJECUTADO </t>
    </r>
    <r>
      <rPr>
        <b/>
        <sz val="14"/>
        <rFont val="Arial Nova Cond Light"/>
        <family val="2"/>
      </rPr>
      <t>NOV.</t>
    </r>
  </si>
  <si>
    <r>
      <t xml:space="preserve">PROGRAMADO  </t>
    </r>
    <r>
      <rPr>
        <b/>
        <sz val="14"/>
        <rFont val="Arial Nova Cond Light"/>
        <family val="2"/>
      </rPr>
      <t>DIC.</t>
    </r>
  </si>
  <si>
    <r>
      <t xml:space="preserve">EJECUTADO </t>
    </r>
    <r>
      <rPr>
        <b/>
        <sz val="14"/>
        <rFont val="Arial Nova Cond Light"/>
        <family val="2"/>
      </rPr>
      <t>DIC.</t>
    </r>
  </si>
  <si>
    <r>
      <t xml:space="preserve">PROGRAMADO </t>
    </r>
    <r>
      <rPr>
        <b/>
        <sz val="14"/>
        <rFont val="Arial Nova Cond Light"/>
        <family val="2"/>
      </rPr>
      <t>ABR.</t>
    </r>
  </si>
  <si>
    <t>En la localidad de Usaquén se ha emitido determianntes ambientales al Plan Parcial de Desarrollo Tibabita y al diseño paisajistico de parques y zonas verdes del proyecto renovación Edificio Concord Center 122 y al diseño paisajistico del CONTRATO DE OBRA IDU, No. 1646 DE 2019, ESTUDIOS, DISEÑOS Y CONSTRUCCIÓN DE PUENTES PEATONALES PARA ACCESO A LAS ESTACIONES CALLE 142, CALLE 146, MAZURÉN Y TOBERÍN, Y DE OBRAS GEOMÉTRICAS COMPLEMENTARIAS EN LA AUTOPISTA NORTE EN LA CIUDAD DE BOGOTA D.C.”. Diseño Paisajístico de las zonas de cesión del proyecto Ápice Chicó, Regularización del desarrollo Soratama, Regularización del desarrollo  Delicias del Carmen,  promoviendo la construcción sostenible y el ecourbanismo en la ciudad.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</si>
  <si>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 xml:space="preserve">En la localidad de Usme se ha emitido determinantes ambientales al Plan Parcial de Desarrollo poligono 3 y Plan de Implantación Nuevo Hospital de Usme, paso peatonal y vehicular sobre la Quebrada la Hoya del Ramo, en la Calle 58 sur por Diagonal 60 sur,  promoviendo la construcción sostenible y el ecourbanismo en la ciudad. 
Se disminuyó el presupuesto de la vigencia con respecto al mes anterior, teniendo en cuenta el comportamiento de la meta, ya que en los primeros meses se comprometió la mayor parte del presupuesto y a lo largo del año se verá reflejado el aumento de la magnitud de la meta.
</t>
  </si>
  <si>
    <t>En la localidad de Chapinero se ha emitido determinantes ambientales al Diseño Paisajístico de la propuesta de compensación del Contrato EAAB 1-01-32100-1290-2017 Obras de Rehabilitación de los Colectores La Vieja y Las Delicias y Diseño Paisajistico Andenes proyecto Área 93, para licencia de intervención al espacio publico, proyecto Primera Línea del Metro de Bogotá (Deprimido Vehicular Calle 72 Av. Caracas), promoviendo la construcción sostenible y el ecourbanismo en la ciudad.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</si>
  <si>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 xml:space="preserve">En la localidad de Santa Fé se ha emitido determinantes ambientales al Plan Parcial de Renovación Urbana Centro San Bernanrdo, Proyecto de Accesibilidad Universal para Monumentos, contrato
 797 de 2020_IDPC, PPRU “Estación Metro Calle 26",  promoviendo la construcción sostenible y el ecourbanismo en la ciudad. 
</t>
  </si>
  <si>
    <t>En la localidad de Bosa se ha emitido determinantes ambientales al Plan Parcial de Desarrollo Eden El Descanso y Diseño paisajístico de la franja de control ambiental (área anexa) de la Sede Ciudadela Educativa El Porvenir de la Universidad Distrital Francisco José de Caldas (WR 1131) y Diseño paisajístico de las zonas de cesión de la Urbanización Senderos de Madelena., zonas de cesión del proyecto Urbanización Parques de Bosa30/07/2021, CALLE 54 SUR ENTRE CARRERA 88 C Y CARRERA 89, Diseño Paisajístico del Parque Metropolitano El Porvenir Gibraltar_Contrato IDRD 3694 de 2019, Desarrollo San José La Huerta ,  promoviendo la construcción sostenible y el ecourbanismo en la ciudad. 
Se disminuyó el presupuesto de la vigencia con respecto al mes anterior, teniendo en cuenta el comportamiento de la meta, ya que en los primeros meses se comprometió la mayor parte del presupuesto y a lo largo del año se verá reflejado el aumento de la magnitud de la meta.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</si>
  <si>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 xml:space="preserve">En la localidad de Fontibón se ha emitido determinantes ambientales  para uso de vivienda en Suelo Restringido del predio con CHIIP AAA0140JNNX y determinantes ambientales en los diseños paisajisticos de parques y zonas verdes del proyecto VERNAZZA y el proyecto CONTRATO DE OBRA No. 1-01-25400-1493-2019- OBJETO: GRUPO 3 DE LAS OBRAS PARA EL TRASLADO ANTICIPADO DE REDES MATRICES DE ACUEDUCTO, REDES TRONCALES DE ALCANTARILLADO Y REDES MENORES Y LOCALES DE ACUEDUCTO Y ALCANTARILLADO ASOCIADAS, QUE INTERFIEREN CON LA PRIMERA LÍNEA DEL METRO DE BOGOTÁ, EN EL CORREDOR DE LA AV. 1° MAYO, ENTRE LA AV. VILLAVICENCIO Y LA AV. CARRERA 68 y Diseño paisajístico de las zonas de cesión de la Urbanización El Montijo, Control Ambiental y Desaceleración y Determinates ambientales para uso de vivienda en Suelo Restringido chip AAA00153LYUZ y Determinates ambientales para uso de vivienda en Suelo Restringido chip AAA0066KLDE, AAA0066KLBS, AAA0066KLAW, AAA0066KLCN, chip AAA0062KKFT y AAA0062KKEA, Diseño Paisajístico de las zonas de cesión del proyecto de la urbanización la FELICIDAD UNIDAD DE
 GESTIÓN 5 (UG5) ETAPAS I Y II, Diseño Paisajístico de las zonas de cesión del proyecto URBANIZACIÓN LARES FONTIBON 2; Diseños paisajísticos de las zonas de cesión del urbanismo Plan Parcial Montevideo,parque metropolitano Zona Franca,  CALLE 54 SUR ENTRE CARRERA 88 C Y CARRERA 89, proyecto Línea Avenida Centenario - Alsacia, la felicidad unidad de gestion 4 y 5, Contrato CVP 415 de 2021, Diseño paisajístico de las zonas de cesión de la Urbanización Parque Central Fontibón, Proyectos de compatibilidad de uso de vivienda en suelo restringido de los predios Chip AAA0143YJRJ, Chip AAA0140JNEP, Chip AAA0140JNHK, Chip AAA0160WOHK, Chip AAA0143YJPA, Chip AAA0142UXMS, Chip AAA0137OXKL, Chip AAA0137OXTO y Chip AAA0137OXXR. ,  promoviendo la construcción sostenible y el ecourbanismo en la ciudad. 
</t>
  </si>
  <si>
    <t>En la localidad de Suba se ha emitido determinantes ambientales al Diseño paisajístico del Contrato IDU 1552 de 2018, Estudios y diseños para la ampliación y mejoramiento de los cicloparqueaderos asociados a la infraestructura física de TransMilenio en la ciudad de Bogotá y al Diseño paisajístico cuenca Torca - CONTRATO DE PRESTACIÓN DE SERVICIOS No. 1-05-
 24300-1498-2019, Diseño paisajístico de las zonas de cesión del proyecto local colina-av Boyacá 152,  Diseño paisajístico de los parques del Contrato 429 de 2019 FDLS Alcaldía de Suba. Parque
 Fontana, Diseño paisajístico de los parques del Contrato 429 de 2019 FDLS Alcaldía de Suba. Parque
 Arovi y Diseño paisajístico del proyecto “ESTUDIO, DISEÑO Y CONSTRUCCIÓN DE LAS MEJORAS GEOMÉTRICAS Y NUEVA SALIDA PORTAL TRONCAL 80, EN LA CIUDAD DE BOGOTÁ D.C.”, Diseño Paisajistico PARQUE URBANIZACION PARQUES DE CAMPO PREDIO EL CAMPITO 11-671, Diseño paisajístico de las zonas de cesión del proyecto Punta del Este, Diseño paisajístico de las zonas de cesión Andén Kr 74 y Cll 167 del proyecto Corporación
 Escuela Ecuestre Bacatá y Plan parcial de desarrollo Colegios No. 8 y Plan parcial de desarrollo el sauce - No. 27, Diseño Paisajístico de las zonas de cesión del proyecto Plan Parcial Bosque Sabana, Aprobación del Diseño Paisajístico del CPS 477/2020, Contratar la prestación de servicios para realizar intervenciones de renaturalización en la localidad de Suba, Diseño paisajístico de las zonas de cesión del proyecto Colegio Colombo Americano ,Diseño paisajístico realizado para el puente peatonal de la Av. Suba planteado en la modificación del Plan Parcial Lombardía, derivado del Convenio 001 de 2005, Diseño Paisajístico de las zonas de cesión del proyecto Urbanización Colina 163, Diseño paisajístico Parque zonal la sirena,  Diseño paisajístico de las zonas de cesión del proyecto ZIMA  ,  promoviendo la construcción sostenible y el ecourbanismo en la ciudad.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</si>
  <si>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En la localidad de Teusaquillo se ha emitido determinantes ambientales al Diseño Paisajístico de las zonas de cesión del proyecto Plan Parcial Sabana,  promoviendo la construcción sostenible y el ecourbanismo en la ciudad.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</si>
  <si>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En la localidad de Puente Aranda se ha emitido determinantes ambientales al Plan Parcial de  renovacion urbana Avenida Colon, Plan Parcial de  renovacion urbana Cartón Colombia, Plan Parcial de Renovación Urbana Los Comuneros, Plan Parcila de Renovacion Urbana Pensilvania y Plan Parcila de Renovacion Urbana San Rafael, Diseño paisajístico de las zonas de cesión del proyecto MAZZARO y diseños paisajísticos contrato IDU-1624 de 2019 ESTUDIOS, DISEÑOS Y CONSTRUCCIÓN DE PASEOS COMERCIALES FASE II, EN LAS LOCALIDADES DE PUENTE ARANDA EN LA CIUDAD DE BOGOTÁ D. C. promoviendo la construcción sostenible y el ecourbanismo en la ciudad.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</si>
  <si>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En la localidad de Rafael Uribe Uribe se ha emitido determinantes ambientales al Plan Parcial Desarrollo El Consuelo, Diseño Paisajístico Parque vecinal Urbanización Zarazota I (18-038) (Acta WR 1133) y Diseño Paisajístico Parque vecinal Urbanización Zarazota I (18-180) (Acta WR 1134), Diseño Paisajístico Parque vecinal Urbanización Quiroga Etapa I, II y III (18-202), Aprobación del Diseño Paisajístico Parque vecinal Urbanización Quiroga VII Etapa (18-125), Diseño Paisajístico Parque vecinal Urbanización Quiroga Etapa IV, V y VI (18-436) y Diseño Paisajístico Parque vecinal Desarrollo Palermo Sur (18-084) y Diseño Paisajístico Parque vecinal Cerros de Oriente II Sector (18-326),  Puente San Agustín y el Puente Los Andes, Diseño paisajístico de las zonas de cesión del proyecto URBANIZACIÓN ALAMEDA DE SAN
 JORGE , promoviendo la construcción sostenible y el ecourbanismo en la ciudad.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</si>
  <si>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 xml:space="preserve">Durante la actual vigencia en la localidad de chapinero, se verifico la incorporacion de incorporación de los lineamientos y determinantes ambientales de ecourbanismo y construcción sostenible, al diseño paisajistico del proyecto WR 566 Nueva Facultad de Artes, Diseño Jorge Tadeo Lozano y WR 400 Andenes edificio Ochenta81, WR 590 Diseño Paisajístico Andenes Proyecto Rosales 77, WR 606 Diseño Paisajístico Intervención en espacio publico ECOTEK 99 y  WR 601 Edificio el palco, Diseño Paisajístico Proyecto Andenes edificio 8111, Diseño Paisajístico Proyecto Cenit de la Cabrera, Parque Vecinal Urbanización Antiguo Country Club Código IDRD 02- 044, evaluando su aporte a la gestión de la crisis climática.
Se disminuyó el presupuesto de la vigencia con respecto al mes anterior, teniendo en cuenta el comportamiento de la meta, ya que en los primeros meses se comprometió la mayor parte del presupuesto y a lo largo del año se verá reflejado el aumento de la magnitud de la meta.
</t>
  </si>
  <si>
    <t xml:space="preserve">Durante la actual vigencia en la localidad de Engativá, se verifico la incorporacion de incorporación de los lineamientos y determinantes ambientales de ecourbanismo y construcción sostenible, al Plan Director del Parque Vecinal Ciudadela Colsubsidio, Urbanizaciòn los Angeles, Diseño Paisajístico “Me la juego por Conecta”, evaluando su aporte a la gestión de la crisis climática.
Se disminuyó el presupuesto de la vigencia con respecto al mes anterior, teniendo en cuenta el comportamiento de la meta, ya que en los primeros meses se comprometió la mayor parte del presupuesto y a lo largo del año se verá reflejado el aumento de la magnitud de la meta.
</t>
  </si>
  <si>
    <t xml:space="preserve">Durante la actual vigencia en la localidad de Barrios Unidos, se verifico la incorporacion de incorporación de los lineamientos y determinantes ambientales de ecourbanismo y construcción sostenible, al Plan Director del Parque Zonal La Estación, WR 410 A Diseño Paisajístico Zonas de cesión para parque de la Urbanización K 68, WR 925A Diseño Paisajístico del Parque Metropolitano Simón Bolívar Sector Parque de los Niños, WR 515 Diseño Paisajístico proyecto Libertadores Macro - Andenes , WR 610 PARQUE COD 12-064 La Colombiana III sector, WR 611 PARQUE COD 12-065 La Colombiana III sector, WR 612 PARQUE COD 12-066 La Colombiana III sector, Diseño de Andenes Proyecto Castellana 98, Andenes Edificio Fincomercio, Parque Código 12-055 La Esperanza, Parque Código 12-014 Modelo Norte del proyecto Contrato de Obra No. 90 de 2015, firmado entre la Alcaldía Local de Barrios Unidos y Consorcio Elisur.  ,evaluando su aporte a la gestión de la crisis climática.
Se disminuyó el presupuesto de la vigencia con respecto al mes anterior, teniendo en cuenta el comportamiento de la meta, ya que en los primeros meses se comprometió la mayor parte del presupuesto y a lo largo del año se verá reflejado el aumento de la magnitud de la meta.
</t>
  </si>
  <si>
    <t xml:space="preserve">Durante la actual vigencia en la localidad de Puente Aranda, se verifico la incorporacion de incorporación de los lineamientos y determinantes ambientales de ecourbanismo y construcción sostenible, WR 464B y WR 464C Establecimiento de Sanidad Militar, Parque Industrial Puente Aranda, WR 697 FRANJA DE AISLAMIENTO POR CAMBIO DE USO DE SUELO BALI APARTAMENTOS, WR 694A BALI (ANDENES), evaluando su aporte a la gestión de la crisis climática.
</t>
  </si>
  <si>
    <t>Durante la actual vigencia en la localidad de San Cristóbal, se realizó acompañamiento técnico a 22 m2 de  jardines verticales en el COLEGIO DISTRITAL 20 DE JULIO, Cra  7 # 24  SUR - 1,  AAA0007UUXS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</si>
  <si>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Chapinero, se realizó acompañamiento técnico a 30 m2 de  jardines verticales en el COLEGIO MANUELA BELTRAN, CL 58 # 13 - 84, AAA0091DYDE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</si>
  <si>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Chapinero, se realizó acompañamiento técnico a 36 m2 de  jardines verticales en el MINISTERIO DE JUSTICIA Y DEL DERECHO, CL 53 # 13 - 27, AAA0090RWUZ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</si>
  <si>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Chapinero, se realizó acompañamiento técnico a 9 m2 de  jardines verticales en el EDIFICIO EL DORADO, Calle 73 # 10 - 10,AAA0094MNNN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</si>
  <si>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Chapinero, se realizó acompañamiento técnico a 25 m2 de  jardines verticales en el EDIFICIO SEMANA, Cra 11 # 77- 49, AAA0097JZKL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</si>
  <si>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Chapinero, se realizó acompañamiento técnico a 33 m2 de  jardines verticales en el EDIFICIO EMPRESARIAL GROUPM, Carrera 19 # 89 - 21, AAA0096ADDM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</si>
  <si>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Santa Fé, se realizó acompañamiento técnico a 33 m2 de  jardines verticales en el   PLAZA DE MERCADO LA PERSEVERANCIA. Cra 5 # 30 A - 40,  AAA0087JMJH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</si>
  <si>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Santa Fé, se realizó acompañamiento técnico a 23 m2 de  jardines verticales en el BANCO CREDIFINANCIERA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</si>
  <si>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Engativá, se realizó acompañamiento técnico a 18 m2 de  jardines verticales en el   UNIVERSIDAD LIBRE, Carrera 70 No. 53-40, AAA0060JMKC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</si>
  <si>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TEUSAQUILLO, se realizó acompañamiento técnico a 18 m2 de  jardines verticales en el EDIFICIO CALLE 54 #14 - 12. AAA0083ZCJH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</si>
  <si>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TEUSAQUILLO, se realizó acompañamiento técnico a 10 m2 de  jardines verticales en el EDIFICIO CONTRALORIA, Cra 32a #26A-10, AAA0055CKKL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</si>
  <si>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kENNEDY, se realizó acompañamiento técnico a 4 m2 de  jardines verticales en el HUMEDAL LA VACA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</si>
  <si>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La Candelaria, se realizó acompañamiento técnico a 30 m2 de  jardines verticales en el HOTEL AVENIDA JIMENEZ,  Av Jimenez - Calle 13 # 4-69, AAA0032OAMR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</si>
  <si>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En el marco del Programa Gestión Ambiental Empresarial y de acuerdo al cronograma de reporte para la vigencia 2021, producto de la asistencia técnica enmarcado en acompañamiento se reportan (5) proyectos ambientales (dirigidos 2 al uso eficiente en el consumo de la energía, 1 al uso eficientedel agua, 1 a la disminución de residuos y 1 a emisiones)
No obstante, se cuenta con un acumulado de (6) proyectos dirigidos al uso eficiente de los recursos naturales (4 residuos, 4 energía, 2 en agua y 1 en aire).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</si>
  <si>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En el marco del Programa Gestión Ambiental Empresarial y de acuerdo al cronograma de reporte para la vigencia 2021, producto de la asistencia técnica enmarcado en acompañamiento se reporta (1) proyecto dirigido en la eficiencia en el uso eficiente de la energía.
No obstante, se cuenta con un acumulado de (2) proyectos dirigidos al uso eficiente de los recursos naturales (1 residuos y 1 energía).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</si>
  <si>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 xml:space="preserve">En el marco del Programa Gestión Ambiental Empresarial y de acuerdo al cronograma de reporte para la vigencia 2021, producto de la asistencia técnica enmarcado en acompañamiento se reporta para esta localidad (1) proyecto dirigido en la eficiencia en el uso de recursos materiales y la disminución en la generación de residuos.
Se disminuyó el presupuesto de la vigencia con respecto al mes anterior, teniendo en cuenta el comportamiento de la meta, ya que en los primeros meses se comprometió la mayor parte del presupuesto y a lo largo del año se verá reflejado el aumento de la magnitud de la meta.
</t>
  </si>
  <si>
    <t>En el marco del Programa Gestión Ambiental Empresarial y de acuerdo al cronograma de reporte para la vigencia 2021, producto de la asistencia técnica enmarcado en acompañamiento se reportan en esta localidad (3) proyectos ambientales dirigidos al uso eficiente  (1 en emisiones, 2 en residuos).
No obstante, se cuenta con un acumulado de (10) proyectos dirigidos al uso eficiente de los recursos naturales (3 residuos, 2 energía , 4 en agua y uno en emisiones).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</si>
  <si>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 xml:space="preserve">En el marco del Programa Gestión Ambiental Empresarial y de acuerdo al cronograma de reporte para la vigencia 2021, producto de la asistencia técnica enmarcado en acompañamiento se reportan en esta localidad (2) proyectos dirigidos al uso eficiente de (1 agua, 1 residuos)
No obstante, se cuenta con un acumulado de (8) proyectos dirigidos al uso eficiente de los recursos naturales (3 en agua, 1 energía y 4 en residuos).
Se disminuyó el presupuesto de la vigencia con respecto al mes anterior, teniendo en cuenta el comportamiento de la meta, ya que en los primeros meses se comprometió la mayor parte del presupuesto y a lo largo del año se verá reflejado el aumento de la magnitud de la meta.
</t>
  </si>
  <si>
    <t>En el marco del Programa Gestión Ambiental Empresarial y de acuerdo al cronograma de reporte para la vigencia 2021, producto de la asistencia técnica enmarcado en acompañamiento se reporta en esta localidad (1) proyecto dirigidos al uso eficiente de ( 1 en agua).
No obstante, se cuenta con un acumulado de (2) proyectos dirigidos al uso eficiente de los recursos naturales (1 en agua y 1 en energía).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</si>
  <si>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En el marco del Programa Gestión Ambiental Empresarial y de acuerdo al cronograma de reporte para la vigencia 2021, producto de la asistencia técnica enmarcado en acompañamiento se reporta en esta localidad (1) proyectos dirigidos al uso eficiente del agua.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</si>
  <si>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 xml:space="preserve">La empresa se inscribío a demanda  y al realizar su verificación cumplió los requisitos para ser un negocio verde en el mes de octubre
</t>
  </si>
  <si>
    <t xml:space="preserve">La empresa se inscribío a demanda  y al realizar su verificación cumplió los requisitos para ser un negocio verde en el mes de octubre.
</t>
  </si>
  <si>
    <t xml:space="preserve">La empresa se inscribío a demanda  y al realizar su verificación cumplió los requisitos para ser un negocio verde en el mes de agosto.
</t>
  </si>
  <si>
    <t>El ejecutado durante la vigencia 2021 corresponde a ciento trece (113) proyectos (5 en enero, 8 en febrero, 10 en marzo, 10 en abril, 10 en mayo, 10 de junio, 10 en julio, 10 en agosto, 10 en septiembre, 10 en octubre, 10 en noviembre y 10 en diciembre), a los cuales se les ha incorporado criterios de sostenibilidad y corresponden a: Siete (07) Plan Parcial de Desarrollo, diez (10) Planes Parciales de Renovación Urbana, dos (02) Planes de Implantación, un (01) Plan de Regularización y Manejo, cinco (05) Proyectos de Legalización y Regularización de Barrios, diecisiete (17) proyectos de compatibilidad de uso de vivienda en suelo restringido, dos (02) Balances de zonas verdes, sesenta y siete (67) Diseños paisajísticos de parques y zonas verdes, un (01) proyecto de la Caja de Vivienda Popular y un (01) proyecto del programa Bogotá Construcción Sostenible.
Se realizó una programacion de la magnitud de 109 a 113 teniendo en cuenta la dinamica de la meta, ya que los proyectos se radican a demanda a la entidad.</t>
  </si>
  <si>
    <t>1-USAQUEN</t>
  </si>
  <si>
    <t>2- CHAPINERO</t>
  </si>
  <si>
    <t>3-SANTA FE</t>
  </si>
  <si>
    <t>4-SAN CRISTOBAL</t>
  </si>
  <si>
    <t>5-USME</t>
  </si>
  <si>
    <t>7-BOSA</t>
  </si>
  <si>
    <t>8-KENNEDY</t>
  </si>
  <si>
    <t>9-FONTIBÓN</t>
  </si>
  <si>
    <t>11-SUBA</t>
  </si>
  <si>
    <t>12-BARRIOS UNIDOS</t>
  </si>
  <si>
    <t>13-TEUSAQUILLO</t>
  </si>
  <si>
    <t>15-ANTONIO NARIÑO</t>
  </si>
  <si>
    <t>16-PUENTE ARANDA</t>
  </si>
  <si>
    <t>18-RAFAEL URIBE URIBE</t>
  </si>
  <si>
    <t>19-CIUDAD BOLIVAR</t>
  </si>
  <si>
    <t>108,646,338.00</t>
  </si>
  <si>
    <t>2-CHAPINERO</t>
  </si>
  <si>
    <t>41,858,171.00</t>
  </si>
  <si>
    <t>4-SAN CRISTOBAL, AULA AMBIENTAL JUAN REY, Carrera 3ª ESTE # 50 - 00 SUR</t>
  </si>
  <si>
    <t>14-LOS MARTIRES, COMPLEJO JUDICIAL PALO QUEMADO, CHIP AAA0072ZKAF</t>
  </si>
  <si>
    <t xml:space="preserve">14-LOS MARTIRES, COLEGIO DISTRITAL PANAMERICANO, AK 27 # 24 C  - 19, CHIP AAA0072LHLF </t>
  </si>
  <si>
    <t>6-TUNJUELITO</t>
  </si>
  <si>
    <t>9-FONTIBON</t>
  </si>
  <si>
    <t>10-ENGATIVA</t>
  </si>
  <si>
    <t>13- TEUSAQUILLO</t>
  </si>
  <si>
    <t>14-LOS MÁRTIRES</t>
  </si>
  <si>
    <t>249,089,777.00</t>
  </si>
  <si>
    <t>CORTE A DICIEMBRE AÑO 2021</t>
  </si>
  <si>
    <r>
      <t xml:space="preserve">Avance acumulado de la meta: 0,4: 0,15 en 2020 y 0,25 en 2021:
</t>
    </r>
    <r>
      <rPr>
        <u/>
        <sz val="11"/>
        <rFont val="Calibri"/>
        <family val="2"/>
        <scheme val="minor"/>
      </rPr>
      <t>Riesgos climáticos, acciones de adaptación y seguimiento al Plan de Acción Climática (PAC)</t>
    </r>
    <r>
      <rPr>
        <sz val="11"/>
        <rFont val="Calibri"/>
        <family val="2"/>
        <scheme val="minor"/>
      </rPr>
      <t xml:space="preserve">: Evaluación de Riesgos Climáticos. Acciones, subacciones, resultados y productos de adaptación y transversales. PAC presentado a la ciudad. Propuesta de Monitoreo, Evaluación y Reporte. Indicadores de resultado, producto e impacto revisados. Validación de entidades implementadoras del PAC. Avances en la definición de metas. Exposición proyecto de decreto de adopción del PAC. 
</t>
    </r>
    <r>
      <rPr>
        <u/>
        <sz val="11"/>
        <rFont val="Calibri"/>
        <family val="2"/>
        <scheme val="minor"/>
      </rPr>
      <t>Gestión riesgo por incendio forestal:</t>
    </r>
    <r>
      <rPr>
        <sz val="11"/>
        <rFont val="Calibri"/>
        <family val="2"/>
        <scheme val="minor"/>
      </rPr>
      <t xml:space="preserve"> 4 campañas; aportes a Planes temporadas menos lluvias; evaluación complejidad incendios; revisión medidas contingencia en 34 PMA y acciones para incluirlas; socialización zonas interfaz; diseño y ejecución estrategia comunicación; identificación acción mitigación en ZIUF; educación Consejos Locales. Acciones mitigación y prevención. Restauración 3 ha afectadas por fuego (2020), definición áreas a intervenir y enriquecimiento vegetal (2021: plantación 542 árboles); viabilidad mant. áreas restauradas; valoración daños incendios de 2020; georreferenciación eventos y generación mapas; revisión eventos y sistemas suministro agua y generación mapas hidrantes humedales. Presidencia Comisión. 
</t>
    </r>
    <r>
      <rPr>
        <u/>
        <sz val="11"/>
        <rFont val="Calibri"/>
        <family val="2"/>
        <scheme val="minor"/>
      </rPr>
      <t>Respuesta a Emergencias</t>
    </r>
    <r>
      <rPr>
        <sz val="11"/>
        <rFont val="Calibri"/>
        <family val="2"/>
        <scheme val="minor"/>
      </rPr>
      <t xml:space="preserve">: 856 emergencias en 2020 y 2124 en 2021.
</t>
    </r>
    <r>
      <rPr>
        <u/>
        <sz val="11"/>
        <rFont val="Calibri"/>
        <family val="2"/>
        <scheme val="minor"/>
      </rPr>
      <t>Instrumentos Planeación Ambiental</t>
    </r>
    <r>
      <rPr>
        <sz val="11"/>
        <rFont val="Calibri"/>
        <family val="2"/>
        <scheme val="minor"/>
      </rPr>
      <t xml:space="preserve">: PIGA: En 2020: 11 capacitaciones; respuesta a 49 requerimientos; observaciones Decreto plásticos de un solo uso; premiación ganadores Al Trabajo en Bici  y al  concurso Buenas Prácticas Ambientales; reconocimiento a  14 entidades con calificación alto desempeño 2019.  En  2021: 38  jornadas actualización temas ambientales; respuesta  102 requerimientos; aportes actualización y creación normativa; semana ambiental; 13 mesas con Alcaldías Locales; acompañamiento elaboración Guía Residuos; reconocimiento a 23 entidades desempeño ambiental 2020; premiación concurso “Al trabajo en Bici 2021”; premiación concurso Buenas Prácticas Ambientales, conversatorio Estrategias ambientales implementadas entidades del distrito, entrega incentivos. PACA: 2020: seguimiento y evaluación  PACA BMPT 2020; Cuenta Anual PACA 2019; formulación PACA 2020-2024; actualización procedimiento PACA y módulo en Forest. 2021: reporte Cuenta Anual PACA 2020  los 2 PDD; matriz de seguimiento PACA 2020 los 2 PDD; definición indicadores PACA 2020-2024 OAB, revisión fichas técnicas; presentación ajustes formulación PACA; consolidación seguimiento PACA I- 2021, socialización seguimiento 2020-2021.
</t>
    </r>
    <r>
      <rPr>
        <u/>
        <sz val="11"/>
        <rFont val="Calibri"/>
        <family val="2"/>
        <scheme val="minor"/>
      </rPr>
      <t>Seguimiento acciones recuperación ambiental suelos de protección por riesgo no mitigable</t>
    </r>
    <r>
      <rPr>
        <sz val="11"/>
        <rFont val="Calibri"/>
        <family val="2"/>
        <scheme val="minor"/>
      </rPr>
      <t>: seguimiento áreas riesgo no mitigable (61). Altos de La Estancia: Control a pastoreo de ganado; Concertación y firma Pacto; avance restauración en 2,2 ha (1260 individuos plantados), 3 huertas comunitarias fortalecidas e instalación de 1 nueva. Acompañamiento operativos control ocupaciones (30). Expedición Res. SDA 3236/2021 recibo predios riesgo no mitigable.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</si>
</sst>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 #,##0.00_ ;_ * \-#,##0.00_ ;_ * &quot;-&quot;??_ ;_ @_ "/>
    <numFmt numFmtId="165" formatCode="_-&quot;$&quot;* #,##0_-;\-&quot;$&quot;* #,##0_-;_-&quot;$&quot;* &quot;-&quot;_-;_-@_-"/>
    <numFmt numFmtId="166" formatCode="_-&quot;$&quot;* #,##0.00_-;\-&quot;$&quot;* #,##0.00_-;_-&quot;$&quot;* &quot;-&quot;??_-;_-@_-"/>
    <numFmt numFmtId="167" formatCode="_(&quot;$&quot;\ * #,##0.00_);_(&quot;$&quot;\ * \(#,##0.00\);_(&quot;$&quot;\ * &quot;-&quot;??_);_(@_)"/>
    <numFmt numFmtId="168" formatCode="_(* #,##0.00_);_(* \(#,##0.00\);_(* &quot;-&quot;??_);_(@_)"/>
    <numFmt numFmtId="169" formatCode="_-* #,##0.00\ &quot;€&quot;_-;\-* #,##0.00\ &quot;€&quot;_-;_-* &quot;-&quot;??\ &quot;€&quot;_-;_-@_-"/>
    <numFmt numFmtId="170" formatCode="_-* #,##0.00\ _€_-;\-* #,##0.00\ _€_-;_-* &quot;-&quot;??\ _€_-;_-@_-"/>
    <numFmt numFmtId="171" formatCode="_ &quot;$&quot;\ * #,##0.00_ ;_ &quot;$&quot;\ * \-#,##0.00_ ;_ &quot;$&quot;\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000;\-#,##0.000"/>
    <numFmt numFmtId="180" formatCode="#,##0.000"/>
    <numFmt numFmtId="181" formatCode="#,##0_ ;\-#,##0\ "/>
    <numFmt numFmtId="182" formatCode="&quot;$&quot;\ #,##0"/>
    <numFmt numFmtId="183" formatCode="&quot;$&quot;\ #,##0.00"/>
    <numFmt numFmtId="184" formatCode="#,##0.0"/>
    <numFmt numFmtId="185" formatCode="#,##0.0;\-#,##0.0"/>
    <numFmt numFmtId="186" formatCode="_-&quot;$&quot;\ * #,##0_-;\-&quot;$&quot;\ * #,##0_-;_-&quot;$&quot;\ * &quot;-&quot;??_-;_-@_-"/>
    <numFmt numFmtId="187" formatCode="_-* #,##0_-;\-* #,##0_-;_-* &quot;-&quot;??_-;_-@_-"/>
  </numFmts>
  <fonts count="111"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b/>
      <sz val="9"/>
      <name val="Arial"/>
      <family val="2"/>
    </font>
    <font>
      <sz val="11"/>
      <color theme="1"/>
      <name val="Calibri"/>
      <family val="2"/>
      <scheme val="minor"/>
    </font>
    <font>
      <sz val="10"/>
      <color theme="1"/>
      <name val="Calibri"/>
      <family val="2"/>
      <scheme val="minor"/>
    </font>
    <font>
      <sz val="11"/>
      <color theme="1"/>
      <name val="Arial Narrow"/>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sz val="10.5"/>
      <color theme="1"/>
      <name val="Times New Roman"/>
      <family val="1"/>
    </font>
    <font>
      <b/>
      <sz val="11"/>
      <name val="Arial"/>
      <family val="2"/>
    </font>
    <font>
      <sz val="11"/>
      <color indexed="8"/>
      <name val="Calibri"/>
      <family val="2"/>
      <scheme val="minor"/>
    </font>
    <font>
      <sz val="11"/>
      <color rgb="FF000000"/>
      <name val="Calibri"/>
      <family val="2"/>
      <scheme val="minor"/>
    </font>
    <font>
      <b/>
      <sz val="9"/>
      <color rgb="FF000000"/>
      <name val="Tahoma"/>
      <family val="2"/>
    </font>
    <font>
      <sz val="9"/>
      <color rgb="FF000000"/>
      <name val="Tahoma"/>
      <family val="2"/>
    </font>
    <font>
      <b/>
      <u/>
      <sz val="12"/>
      <name val="Arial"/>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22"/>
      <name val="Arial"/>
      <family val="2"/>
    </font>
    <font>
      <b/>
      <sz val="30"/>
      <name val="Arial"/>
      <family val="2"/>
    </font>
    <font>
      <b/>
      <sz val="30"/>
      <name val="Calibri"/>
      <family val="2"/>
      <scheme val="minor"/>
    </font>
    <font>
      <sz val="12"/>
      <color indexed="81"/>
      <name val="Tahoma"/>
      <family val="2"/>
    </font>
    <font>
      <sz val="22"/>
      <name val="Arial"/>
      <family val="2"/>
    </font>
    <font>
      <b/>
      <sz val="22"/>
      <color theme="1"/>
      <name val="Calibri"/>
      <family val="2"/>
      <scheme val="minor"/>
    </font>
    <font>
      <sz val="8"/>
      <color theme="1"/>
      <name val="Calibri"/>
      <family val="2"/>
      <scheme val="minor"/>
    </font>
    <font>
      <sz val="10"/>
      <color rgb="FFFF0000"/>
      <name val="Arial"/>
      <family val="2"/>
    </font>
    <font>
      <sz val="9"/>
      <name val="Calibri"/>
      <family val="2"/>
      <scheme val="minor"/>
    </font>
    <font>
      <sz val="9"/>
      <color rgb="FFFF0000"/>
      <name val="Arial"/>
      <family val="2"/>
    </font>
    <font>
      <b/>
      <u/>
      <sz val="10"/>
      <name val="Arial"/>
      <family val="2"/>
    </font>
    <font>
      <sz val="11"/>
      <name val="Arial Narrow"/>
      <family val="2"/>
    </font>
    <font>
      <u/>
      <sz val="11"/>
      <name val="Calibri"/>
      <family val="2"/>
      <scheme val="minor"/>
    </font>
    <font>
      <u/>
      <sz val="9"/>
      <name val="Arial"/>
      <family val="2"/>
    </font>
    <font>
      <sz val="11"/>
      <color theme="1"/>
      <name val="Arial Nova Cond Light"/>
      <family val="2"/>
    </font>
    <font>
      <b/>
      <sz val="30"/>
      <name val="Arial Nova Cond Light"/>
      <family val="2"/>
    </font>
    <font>
      <sz val="24"/>
      <color theme="1"/>
      <name val="Arial Nova Cond Light"/>
      <family val="2"/>
    </font>
    <font>
      <sz val="30"/>
      <name val="Arial Nova Cond Light"/>
      <family val="2"/>
    </font>
    <font>
      <b/>
      <sz val="20"/>
      <name val="Arial Nova Cond Light"/>
      <family val="2"/>
    </font>
    <font>
      <sz val="20"/>
      <color theme="1"/>
      <name val="Arial Nova Cond Light"/>
      <family val="2"/>
    </font>
    <font>
      <b/>
      <sz val="14"/>
      <name val="Arial Nova Cond Light"/>
      <family val="2"/>
    </font>
    <font>
      <sz val="10"/>
      <name val="Arial Nova Cond Light"/>
      <family val="2"/>
    </font>
    <font>
      <sz val="8"/>
      <name val="Arial Nova Cond Light"/>
      <family val="2"/>
    </font>
    <font>
      <sz val="12"/>
      <name val="Arial Nova Cond Light"/>
      <family val="2"/>
    </font>
    <font>
      <b/>
      <sz val="12"/>
      <name val="Arial Nova Cond Light"/>
      <family val="2"/>
    </font>
    <font>
      <b/>
      <sz val="16"/>
      <name val="Arial Nova Cond Light"/>
      <family val="2"/>
    </font>
    <font>
      <sz val="14"/>
      <name val="Arial Nova Cond Light"/>
      <family val="2"/>
    </font>
    <font>
      <sz val="9"/>
      <color indexed="8"/>
      <name val="Arial Nova Cond Light"/>
      <family val="2"/>
    </font>
    <font>
      <b/>
      <sz val="11"/>
      <color theme="1"/>
      <name val="Arial Nova Cond Light"/>
      <family val="2"/>
    </font>
    <font>
      <b/>
      <sz val="20"/>
      <color theme="1"/>
      <name val="Arial Nova Cond Light"/>
      <family val="2"/>
    </font>
    <font>
      <b/>
      <sz val="14"/>
      <color theme="0"/>
      <name val="Arial Nova Cond Light"/>
      <family val="2"/>
    </font>
    <font>
      <sz val="10"/>
      <color indexed="8"/>
      <name val="Arial Nova Cond Light"/>
      <family val="2"/>
    </font>
    <font>
      <b/>
      <sz val="10"/>
      <name val="Arial Nova Cond Light"/>
      <family val="2"/>
    </font>
    <font>
      <b/>
      <sz val="10"/>
      <color theme="1"/>
      <name val="Arial Nova Cond Light"/>
      <family val="2"/>
    </font>
    <font>
      <sz val="10"/>
      <color theme="1"/>
      <name val="Arial Nova Cond Light"/>
      <family val="2"/>
    </font>
    <font>
      <b/>
      <sz val="10"/>
      <color indexed="8"/>
      <name val="Arial Nova Cond Light"/>
      <family val="2"/>
    </font>
    <font>
      <sz val="16"/>
      <name val="Arial"/>
      <family val="2"/>
    </font>
    <font>
      <sz val="14"/>
      <name val="Calibri"/>
      <family val="2"/>
      <scheme val="minor"/>
    </font>
    <font>
      <sz val="14"/>
      <color theme="1"/>
      <name val="Calibri"/>
      <family val="2"/>
      <scheme val="minor"/>
    </font>
  </fonts>
  <fills count="3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34998626667073579"/>
        <bgColor indexed="64"/>
      </patternFill>
    </fill>
    <fill>
      <patternFill patternType="solid">
        <fgColor rgb="FFFFFF00"/>
        <bgColor indexed="64"/>
      </patternFill>
    </fill>
    <fill>
      <patternFill patternType="solid">
        <fgColor rgb="FF7EE5F0"/>
        <bgColor indexed="64"/>
      </patternFill>
    </fill>
    <fill>
      <patternFill patternType="solid">
        <fgColor rgb="FF9999FF"/>
        <bgColor indexed="64"/>
      </patternFill>
    </fill>
    <fill>
      <patternFill patternType="solid">
        <fgColor rgb="FF66FFFF"/>
        <bgColor indexed="64"/>
      </patternFill>
    </fill>
    <fill>
      <patternFill patternType="solid">
        <fgColor theme="0" tint="-0.249977111117893"/>
        <bgColor indexed="64"/>
      </patternFill>
    </fill>
  </fills>
  <borders count="6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right style="thin">
        <color auto="1"/>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auto="1"/>
      </right>
      <top/>
      <bottom style="thin">
        <color auto="1"/>
      </bottom>
      <diagonal/>
    </border>
    <border>
      <left style="medium">
        <color auto="1"/>
      </left>
      <right/>
      <top style="thin">
        <color auto="1"/>
      </top>
      <bottom style="thin">
        <color auto="1"/>
      </bottom>
      <diagonal/>
    </border>
    <border>
      <left style="thin">
        <color auto="1"/>
      </left>
      <right/>
      <top/>
      <bottom/>
      <diagonal/>
    </border>
    <border>
      <left style="thin">
        <color auto="1"/>
      </left>
      <right/>
      <top/>
      <bottom style="thin">
        <color auto="1"/>
      </bottom>
      <diagonal/>
    </border>
    <border>
      <left style="medium">
        <color indexed="64"/>
      </left>
      <right style="thin">
        <color auto="1"/>
      </right>
      <top style="medium">
        <color indexed="64"/>
      </top>
      <bottom style="medium">
        <color indexed="64"/>
      </bottom>
      <diagonal/>
    </border>
  </borders>
  <cellStyleXfs count="2869">
    <xf numFmtId="0" fontId="0" fillId="0" borderId="0"/>
    <xf numFmtId="164" fontId="9" fillId="0" borderId="0" applyFont="0" applyFill="0" applyBorder="0" applyAlignment="0" applyProtection="0"/>
    <xf numFmtId="164" fontId="4" fillId="0" borderId="0" applyFont="0" applyFill="0" applyBorder="0" applyAlignment="0" applyProtection="0"/>
    <xf numFmtId="170" fontId="6" fillId="0" borderId="0" applyFont="0" applyFill="0" applyBorder="0" applyAlignment="0" applyProtection="0"/>
    <xf numFmtId="168" fontId="19" fillId="0" borderId="0" applyFont="0" applyFill="0" applyBorder="0" applyAlignment="0" applyProtection="0"/>
    <xf numFmtId="170" fontId="1" fillId="0" borderId="0" applyFont="0" applyFill="0" applyBorder="0" applyAlignment="0" applyProtection="0"/>
    <xf numFmtId="168" fontId="1" fillId="0" borderId="0" applyFont="0" applyFill="0" applyBorder="0" applyAlignment="0" applyProtection="0"/>
    <xf numFmtId="169" fontId="4" fillId="0" borderId="0" applyFont="0" applyFill="0" applyBorder="0" applyAlignment="0" applyProtection="0"/>
    <xf numFmtId="170" fontId="1" fillId="0" borderId="0" applyFont="0" applyFill="0" applyBorder="0" applyAlignment="0" applyProtection="0"/>
    <xf numFmtId="169" fontId="6" fillId="0" borderId="0" applyFont="0" applyFill="0" applyBorder="0" applyAlignment="0" applyProtection="0"/>
    <xf numFmtId="169" fontId="1" fillId="0" borderId="0" applyFont="0" applyFill="0" applyBorder="0" applyAlignment="0" applyProtection="0"/>
    <xf numFmtId="171" fontId="4" fillId="0" borderId="0" applyFont="0" applyFill="0" applyBorder="0" applyAlignment="0" applyProtection="0"/>
    <xf numFmtId="173" fontId="4" fillId="0" borderId="0" applyFont="0" applyFill="0" applyBorder="0" applyAlignment="0" applyProtection="0"/>
    <xf numFmtId="167" fontId="19" fillId="0" borderId="0" applyFont="0" applyFill="0" applyBorder="0" applyAlignment="0" applyProtection="0"/>
    <xf numFmtId="174" fontId="13" fillId="0" borderId="0" applyFont="0" applyFill="0" applyBorder="0" applyAlignment="0" applyProtection="0"/>
    <xf numFmtId="169"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0" fontId="4" fillId="0" borderId="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1" borderId="0" applyNumberFormat="0" applyBorder="0" applyAlignment="0" applyProtection="0"/>
    <xf numFmtId="49" fontId="36" fillId="0" borderId="0" applyFill="0" applyBorder="0" applyProtection="0">
      <alignment horizontal="left" vertical="center"/>
    </xf>
    <xf numFmtId="0" fontId="37" fillId="0" borderId="0" applyNumberFormat="0" applyFill="0" applyBorder="0" applyProtection="0">
      <alignment horizontal="left" vertical="center"/>
    </xf>
    <xf numFmtId="0" fontId="37" fillId="0" borderId="0" applyNumberFormat="0" applyFill="0" applyBorder="0" applyProtection="0">
      <alignment horizontal="righ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7"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4" fontId="36" fillId="0" borderId="0" applyFill="0" applyBorder="0" applyProtection="0">
      <alignment horizontal="right" vertical="center"/>
    </xf>
    <xf numFmtId="22" fontId="36" fillId="0" borderId="0" applyFill="0" applyBorder="0" applyProtection="0">
      <alignment horizontal="right" vertical="center"/>
    </xf>
    <xf numFmtId="4" fontId="36" fillId="0" borderId="0" applyFill="0" applyBorder="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0" fontId="35" fillId="5" borderId="0" applyNumberFormat="0" applyBorder="0" applyAlignment="0" applyProtection="0"/>
    <xf numFmtId="0" fontId="38" fillId="5" borderId="0" applyNumberFormat="0" applyBorder="0" applyAlignment="0" applyProtection="0"/>
    <xf numFmtId="177" fontId="36" fillId="0" borderId="0" applyFill="0" applyBorder="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0" fontId="37" fillId="2" borderId="0" applyNumberFormat="0" applyBorder="0" applyProtection="0">
      <alignment horizontal="center" vertical="center"/>
    </xf>
    <xf numFmtId="0" fontId="37" fillId="12" borderId="0" applyNumberFormat="0" applyBorder="0" applyProtection="0">
      <alignment horizontal="center" vertical="center" wrapText="1"/>
    </xf>
    <xf numFmtId="0" fontId="36" fillId="12" borderId="0" applyNumberFormat="0" applyBorder="0" applyProtection="0">
      <alignment horizontal="right" vertical="center" wrapText="1"/>
    </xf>
    <xf numFmtId="0" fontId="37" fillId="13" borderId="0" applyNumberFormat="0" applyBorder="0" applyProtection="0">
      <alignment horizontal="center" vertical="center"/>
    </xf>
    <xf numFmtId="0" fontId="37" fillId="14" borderId="0" applyNumberFormat="0" applyBorder="0" applyProtection="0">
      <alignment horizontal="center" vertical="center" wrapText="1"/>
    </xf>
    <xf numFmtId="0" fontId="37" fillId="14" borderId="0" applyNumberFormat="0" applyBorder="0" applyProtection="0">
      <alignment horizontal="righ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2" fontId="1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6" fontId="39" fillId="0" borderId="0" applyFont="0" applyFill="0" applyBorder="0" applyAlignment="0" applyProtection="0"/>
    <xf numFmtId="169"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9"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19" fillId="0" borderId="0" applyFont="0" applyFill="0" applyBorder="0" applyAlignment="0" applyProtection="0"/>
    <xf numFmtId="167" fontId="4" fillId="0" borderId="0" applyFont="0" applyFill="0" applyBorder="0" applyAlignment="0" applyProtection="0"/>
    <xf numFmtId="166" fontId="19"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39"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40" fillId="0" borderId="0" applyFont="0" applyFill="0" applyBorder="0" applyAlignment="0" applyProtection="0"/>
    <xf numFmtId="166" fontId="40" fillId="0" borderId="0" applyFont="0" applyFill="0" applyBorder="0" applyAlignment="0" applyProtection="0"/>
    <xf numFmtId="166" fontId="40" fillId="0" borderId="0" applyFont="0" applyFill="0" applyBorder="0" applyAlignment="0" applyProtection="0"/>
    <xf numFmtId="166" fontId="40" fillId="0" borderId="0" applyFont="0" applyFill="0" applyBorder="0" applyAlignment="0" applyProtection="0"/>
    <xf numFmtId="166" fontId="40" fillId="0" borderId="0" applyFont="0" applyFill="0" applyBorder="0" applyAlignment="0" applyProtection="0"/>
    <xf numFmtId="166" fontId="40" fillId="0" borderId="0" applyFont="0" applyFill="0" applyBorder="0" applyAlignment="0" applyProtection="0"/>
    <xf numFmtId="166" fontId="40" fillId="0" borderId="0" applyFont="0" applyFill="0" applyBorder="0" applyAlignment="0" applyProtection="0"/>
    <xf numFmtId="166" fontId="40" fillId="0" borderId="0" applyFont="0" applyFill="0" applyBorder="0" applyAlignment="0" applyProtection="0"/>
    <xf numFmtId="166" fontId="40" fillId="0" borderId="0" applyFont="0" applyFill="0" applyBorder="0" applyAlignment="0" applyProtection="0"/>
    <xf numFmtId="166" fontId="40"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41" fillId="9" borderId="0" applyNumberFormat="0" applyBorder="0" applyAlignment="0" applyProtection="0"/>
    <xf numFmtId="0" fontId="19" fillId="0" borderId="0"/>
    <xf numFmtId="0" fontId="4" fillId="0" borderId="0"/>
    <xf numFmtId="0" fontId="39" fillId="0" borderId="0"/>
    <xf numFmtId="0" fontId="33" fillId="0" borderId="0"/>
    <xf numFmtId="0" fontId="33" fillId="0" borderId="0"/>
    <xf numFmtId="0" fontId="39" fillId="0" borderId="0"/>
    <xf numFmtId="0" fontId="4" fillId="0" borderId="0"/>
    <xf numFmtId="0" fontId="19" fillId="0" borderId="0"/>
    <xf numFmtId="0" fontId="4" fillId="0" borderId="0"/>
    <xf numFmtId="0" fontId="39" fillId="0" borderId="0"/>
    <xf numFmtId="0" fontId="39" fillId="0" borderId="0"/>
    <xf numFmtId="0" fontId="34" fillId="0" borderId="0"/>
    <xf numFmtId="0" fontId="42" fillId="0" borderId="0"/>
    <xf numFmtId="0" fontId="4" fillId="0" borderId="0"/>
    <xf numFmtId="3" fontId="36" fillId="0" borderId="0" applyFill="0" applyBorder="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19" fillId="0" borderId="0" applyFont="0" applyFill="0" applyBorder="0" applyAlignment="0" applyProtection="0"/>
    <xf numFmtId="0" fontId="34" fillId="0" borderId="0"/>
    <xf numFmtId="41" fontId="19" fillId="0" borderId="0" applyFont="0" applyFill="0" applyBorder="0" applyAlignment="0" applyProtection="0"/>
  </cellStyleXfs>
  <cellXfs count="1541">
    <xf numFmtId="0" fontId="0" fillId="0" borderId="0" xfId="0"/>
    <xf numFmtId="0" fontId="0" fillId="0" borderId="0" xfId="0" applyFill="1"/>
    <xf numFmtId="0" fontId="7" fillId="0" borderId="0" xfId="0" applyFont="1"/>
    <xf numFmtId="0" fontId="0" fillId="3" borderId="0" xfId="0" applyFill="1"/>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0" fillId="0" borderId="0" xfId="0" applyFill="1" applyAlignment="1">
      <alignment horizontal="center"/>
    </xf>
    <xf numFmtId="0" fontId="27" fillId="0" borderId="0" xfId="0" applyFont="1" applyFill="1"/>
    <xf numFmtId="0" fontId="29" fillId="0" borderId="0" xfId="0" applyFont="1" applyFill="1"/>
    <xf numFmtId="0" fontId="0" fillId="0" borderId="1" xfId="0" applyFill="1" applyBorder="1" applyAlignment="1">
      <alignment horizontal="center" vertical="center"/>
    </xf>
    <xf numFmtId="0" fontId="22" fillId="3" borderId="0" xfId="0" applyFont="1" applyFill="1"/>
    <xf numFmtId="0" fontId="20" fillId="0" borderId="0" xfId="0" applyFont="1"/>
    <xf numFmtId="0" fontId="43" fillId="15" borderId="0" xfId="0" applyFont="1" applyFill="1"/>
    <xf numFmtId="4" fontId="43" fillId="15" borderId="0" xfId="0" applyNumberFormat="1" applyFont="1" applyFill="1"/>
    <xf numFmtId="0" fontId="45" fillId="15" borderId="0" xfId="0" applyFont="1" applyFill="1"/>
    <xf numFmtId="0" fontId="23" fillId="15" borderId="0" xfId="0" applyFont="1" applyFill="1" applyProtection="1">
      <protection locked="0"/>
    </xf>
    <xf numFmtId="0" fontId="24" fillId="15" borderId="0" xfId="0" applyFont="1" applyFill="1" applyAlignment="1" applyProtection="1">
      <alignment horizontal="center"/>
      <protection locked="0"/>
    </xf>
    <xf numFmtId="0" fontId="45" fillId="16" borderId="1" xfId="0" applyFont="1" applyFill="1" applyBorder="1" applyAlignment="1">
      <alignment horizontal="center" vertical="center"/>
    </xf>
    <xf numFmtId="0" fontId="43" fillId="0" borderId="0" xfId="0" applyFont="1"/>
    <xf numFmtId="4" fontId="43" fillId="0" borderId="0" xfId="0" applyNumberFormat="1" applyFont="1"/>
    <xf numFmtId="178" fontId="5" fillId="0" borderId="0" xfId="0" applyNumberFormat="1" applyFont="1" applyAlignment="1">
      <alignment horizontal="center"/>
    </xf>
    <xf numFmtId="182" fontId="0" fillId="0" borderId="0" xfId="0" applyNumberFormat="1"/>
    <xf numFmtId="0" fontId="7" fillId="0" borderId="0" xfId="0" applyFont="1" applyFill="1"/>
    <xf numFmtId="0" fontId="7" fillId="0" borderId="0" xfId="0" applyFont="1" applyFill="1" applyAlignment="1">
      <alignment vertical="center"/>
    </xf>
    <xf numFmtId="0" fontId="0" fillId="0" borderId="0" xfId="0" applyAlignment="1">
      <alignment horizontal="center"/>
    </xf>
    <xf numFmtId="0" fontId="10" fillId="0" borderId="0"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15" fillId="17" borderId="4" xfId="16" applyFont="1" applyFill="1" applyBorder="1" applyAlignment="1">
      <alignment horizontal="center" vertical="center" textRotation="90" wrapText="1"/>
    </xf>
    <xf numFmtId="0" fontId="43" fillId="15" borderId="0" xfId="0" applyFont="1" applyFill="1" applyAlignment="1">
      <alignment horizontal="center"/>
    </xf>
    <xf numFmtId="0" fontId="23" fillId="15" borderId="0" xfId="0" applyFont="1" applyFill="1" applyAlignment="1" applyProtection="1">
      <alignment horizontal="center"/>
      <protection locked="0"/>
    </xf>
    <xf numFmtId="0" fontId="60" fillId="18" borderId="18" xfId="0" applyFont="1" applyFill="1" applyBorder="1" applyAlignment="1">
      <alignment horizontal="center" vertical="center"/>
    </xf>
    <xf numFmtId="0" fontId="60" fillId="19" borderId="1" xfId="2867" applyFont="1" applyFill="1" applyBorder="1" applyAlignment="1">
      <alignment horizontal="center" vertical="center" wrapText="1"/>
    </xf>
    <xf numFmtId="0" fontId="60" fillId="19" borderId="11" xfId="2867" applyFont="1" applyFill="1" applyBorder="1" applyAlignment="1">
      <alignment horizontal="center" vertical="center" wrapText="1"/>
    </xf>
    <xf numFmtId="0" fontId="61"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56" xfId="0" applyBorder="1"/>
    <xf numFmtId="0" fontId="0" fillId="0" borderId="12" xfId="0" applyBorder="1"/>
    <xf numFmtId="0" fontId="60" fillId="19" borderId="4" xfId="2867" applyFont="1" applyFill="1" applyBorder="1" applyAlignment="1">
      <alignment horizontal="center" vertical="center" wrapText="1"/>
    </xf>
    <xf numFmtId="0" fontId="60" fillId="19" borderId="12" xfId="2867" applyFont="1" applyFill="1" applyBorder="1" applyAlignment="1">
      <alignment horizontal="center" vertical="center" wrapText="1"/>
    </xf>
    <xf numFmtId="0" fontId="61" fillId="0" borderId="1" xfId="0" applyFont="1" applyBorder="1"/>
    <xf numFmtId="0" fontId="61" fillId="0" borderId="11" xfId="0" applyFont="1" applyBorder="1"/>
    <xf numFmtId="0" fontId="61" fillId="0" borderId="4" xfId="0" applyFont="1" applyBorder="1"/>
    <xf numFmtId="0" fontId="0" fillId="0" borderId="39" xfId="0" applyBorder="1"/>
    <xf numFmtId="0" fontId="0" fillId="0" borderId="5" xfId="0" applyBorder="1"/>
    <xf numFmtId="0" fontId="0" fillId="0" borderId="21" xfId="0" applyBorder="1"/>
    <xf numFmtId="0" fontId="0" fillId="0" borderId="26" xfId="0" applyBorder="1"/>
    <xf numFmtId="0" fontId="0" fillId="0" borderId="27" xfId="0" applyBorder="1"/>
    <xf numFmtId="0" fontId="58" fillId="17" borderId="1" xfId="0" applyFont="1" applyFill="1" applyBorder="1" applyAlignment="1">
      <alignment horizontal="center" vertical="center" wrapText="1"/>
    </xf>
    <xf numFmtId="0" fontId="0" fillId="0" borderId="1" xfId="0"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xf>
    <xf numFmtId="0" fontId="43" fillId="15" borderId="0" xfId="0" applyNumberFormat="1" applyFont="1" applyFill="1" applyAlignment="1">
      <alignment horizontal="center" vertical="center"/>
    </xf>
    <xf numFmtId="0" fontId="5" fillId="0" borderId="0" xfId="0" applyFont="1" applyFill="1"/>
    <xf numFmtId="0" fontId="0" fillId="0" borderId="0" xfId="0" applyAlignment="1">
      <alignment horizontal="center"/>
    </xf>
    <xf numFmtId="4" fontId="43" fillId="15" borderId="0" xfId="0" applyNumberFormat="1" applyFont="1" applyFill="1" applyAlignment="1">
      <alignment horizontal="center"/>
    </xf>
    <xf numFmtId="2" fontId="0" fillId="0" borderId="0" xfId="0" applyNumberFormat="1" applyFill="1" applyAlignment="1">
      <alignment horizontal="center"/>
    </xf>
    <xf numFmtId="2" fontId="0" fillId="0" borderId="0" xfId="0" applyNumberFormat="1" applyAlignment="1">
      <alignment horizontal="center"/>
    </xf>
    <xf numFmtId="43" fontId="63" fillId="0" borderId="0" xfId="0" applyNumberFormat="1" applyFont="1" applyFill="1" applyAlignment="1"/>
    <xf numFmtId="41" fontId="0" fillId="0" borderId="0" xfId="0" applyNumberFormat="1" applyFill="1" applyAlignment="1">
      <alignment horizontal="center"/>
    </xf>
    <xf numFmtId="0" fontId="0" fillId="0" borderId="0" xfId="0" applyAlignment="1">
      <alignment wrapText="1"/>
    </xf>
    <xf numFmtId="0" fontId="0" fillId="0" borderId="0" xfId="0" applyAlignment="1">
      <alignment horizontal="center"/>
    </xf>
    <xf numFmtId="43" fontId="0" fillId="0" borderId="0" xfId="0" applyNumberFormat="1" applyFill="1" applyAlignment="1">
      <alignment horizontal="center"/>
    </xf>
    <xf numFmtId="0" fontId="0" fillId="0" borderId="0" xfId="0" applyAlignment="1">
      <alignment horizontal="center"/>
    </xf>
    <xf numFmtId="0" fontId="0" fillId="0" borderId="0" xfId="0" applyAlignment="1">
      <alignment horizontal="center"/>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69"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48" fillId="0" borderId="0" xfId="0" applyFont="1" applyFill="1" applyBorder="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66" fillId="0" borderId="0" xfId="0" applyFont="1" applyFill="1" applyBorder="1" applyAlignment="1">
      <alignment horizontal="center" vertical="center"/>
    </xf>
    <xf numFmtId="0" fontId="50" fillId="0" borderId="0" xfId="0" applyFont="1" applyFill="1" applyBorder="1" applyAlignment="1">
      <alignment horizontal="left" vertical="top" wrapText="1"/>
    </xf>
    <xf numFmtId="0" fontId="50" fillId="0" borderId="0" xfId="0" applyFont="1" applyFill="1" applyBorder="1" applyAlignment="1">
      <alignment horizontal="center" vertical="center" wrapText="1"/>
    </xf>
    <xf numFmtId="184" fontId="65" fillId="0" borderId="0" xfId="0" applyNumberFormat="1" applyFont="1" applyFill="1" applyBorder="1" applyAlignment="1">
      <alignment horizontal="center" vertical="center" wrapText="1"/>
    </xf>
    <xf numFmtId="2" fontId="64" fillId="0" borderId="0" xfId="0" applyNumberFormat="1" applyFont="1" applyFill="1" applyBorder="1" applyAlignment="1">
      <alignment horizontal="center" vertical="center"/>
    </xf>
    <xf numFmtId="9" fontId="67" fillId="0" borderId="0" xfId="21" applyFont="1" applyFill="1" applyBorder="1" applyAlignment="1">
      <alignment horizontal="center" vertical="center"/>
    </xf>
    <xf numFmtId="10" fontId="67" fillId="0" borderId="0" xfId="21" applyNumberFormat="1" applyFont="1" applyFill="1" applyBorder="1" applyAlignment="1">
      <alignment horizontal="center" vertical="center" wrapText="1"/>
    </xf>
    <xf numFmtId="10" fontId="71" fillId="0" borderId="0" xfId="21" applyNumberFormat="1" applyFont="1" applyFill="1" applyBorder="1" applyAlignment="1">
      <alignment horizontal="center" vertical="center" wrapText="1"/>
    </xf>
    <xf numFmtId="0" fontId="0" fillId="0" borderId="0" xfId="0" applyAlignment="1">
      <alignment horizontal="center"/>
    </xf>
    <xf numFmtId="182" fontId="18" fillId="25" borderId="1" xfId="0" applyNumberFormat="1" applyFont="1" applyFill="1" applyBorder="1" applyAlignment="1">
      <alignment horizontal="left" vertical="center" wrapText="1"/>
    </xf>
    <xf numFmtId="182" fontId="18" fillId="25" borderId="1" xfId="0" applyNumberFormat="1" applyFont="1" applyFill="1" applyBorder="1" applyAlignment="1">
      <alignment horizontal="center" vertical="center" wrapText="1"/>
    </xf>
    <xf numFmtId="183" fontId="18" fillId="25" borderId="1" xfId="0" applyNumberFormat="1" applyFont="1" applyFill="1" applyBorder="1" applyAlignment="1">
      <alignment horizontal="center" vertical="center" wrapText="1"/>
    </xf>
    <xf numFmtId="182" fontId="2" fillId="25" borderId="1" xfId="0" applyNumberFormat="1" applyFont="1" applyFill="1" applyBorder="1" applyAlignment="1">
      <alignment vertical="center" wrapText="1"/>
    </xf>
    <xf numFmtId="0" fontId="18" fillId="25" borderId="1" xfId="0" applyFont="1" applyFill="1" applyBorder="1" applyAlignment="1">
      <alignment horizontal="left" vertical="center" wrapText="1"/>
    </xf>
    <xf numFmtId="42" fontId="18" fillId="25" borderId="1" xfId="0" applyNumberFormat="1" applyFont="1" applyFill="1" applyBorder="1" applyAlignment="1">
      <alignment horizontal="center" vertical="center" wrapText="1"/>
    </xf>
    <xf numFmtId="0" fontId="2" fillId="25" borderId="1" xfId="0" applyFont="1" applyFill="1" applyBorder="1" applyAlignment="1">
      <alignment vertical="center" wrapText="1"/>
    </xf>
    <xf numFmtId="0" fontId="2" fillId="17" borderId="15"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17" borderId="4" xfId="0" applyFont="1" applyFill="1" applyBorder="1" applyAlignment="1">
      <alignment horizontal="center" vertical="top" wrapText="1"/>
    </xf>
    <xf numFmtId="0" fontId="2" fillId="17" borderId="56" xfId="0" applyFont="1" applyFill="1" applyBorder="1" applyAlignment="1">
      <alignment horizontal="center" vertical="center" wrapText="1"/>
    </xf>
    <xf numFmtId="0" fontId="2" fillId="17" borderId="59" xfId="0" applyFont="1" applyFill="1" applyBorder="1" applyAlignment="1">
      <alignment horizontal="center" vertical="top" wrapText="1"/>
    </xf>
    <xf numFmtId="10" fontId="4" fillId="17" borderId="35" xfId="16" applyNumberFormat="1" applyFill="1" applyBorder="1" applyAlignment="1">
      <alignment horizontal="center" vertical="center" wrapText="1"/>
    </xf>
    <xf numFmtId="0" fontId="2" fillId="17" borderId="45" xfId="0" applyFont="1" applyFill="1" applyBorder="1" applyAlignment="1">
      <alignment horizontal="center" vertical="center" wrapText="1"/>
    </xf>
    <xf numFmtId="0" fontId="4" fillId="17" borderId="35" xfId="16" applyNumberFormat="1" applyFill="1" applyBorder="1" applyAlignment="1">
      <alignment horizontal="center" vertical="center" wrapText="1"/>
    </xf>
    <xf numFmtId="0" fontId="2" fillId="17" borderId="35" xfId="0" applyFont="1" applyFill="1" applyBorder="1" applyAlignment="1">
      <alignment horizontal="center" vertical="center" wrapText="1"/>
    </xf>
    <xf numFmtId="0" fontId="2" fillId="17" borderId="35" xfId="0" applyFont="1" applyFill="1" applyBorder="1" applyAlignment="1">
      <alignment horizontal="center" vertical="top" wrapText="1"/>
    </xf>
    <xf numFmtId="0" fontId="43" fillId="0" borderId="1" xfId="0" applyFont="1" applyFill="1" applyBorder="1" applyAlignment="1">
      <alignment horizontal="center" vertical="center"/>
    </xf>
    <xf numFmtId="0" fontId="2" fillId="17" borderId="32" xfId="0" applyFont="1" applyFill="1" applyBorder="1" applyAlignment="1">
      <alignment horizontal="center" vertical="center" wrapText="1"/>
    </xf>
    <xf numFmtId="170" fontId="5" fillId="0" borderId="1" xfId="3" applyNumberFormat="1" applyFont="1" applyFill="1" applyBorder="1" applyAlignment="1">
      <alignment horizontal="center" vertical="center"/>
    </xf>
    <xf numFmtId="170" fontId="7" fillId="0" borderId="1" xfId="3" applyNumberFormat="1" applyFont="1" applyFill="1" applyBorder="1" applyAlignment="1">
      <alignment horizontal="center" vertical="center"/>
    </xf>
    <xf numFmtId="0" fontId="2" fillId="17" borderId="23" xfId="0" applyFont="1" applyFill="1" applyBorder="1" applyAlignment="1">
      <alignment horizontal="center" vertical="center" wrapText="1"/>
    </xf>
    <xf numFmtId="0" fontId="2" fillId="26" borderId="20" xfId="0" applyFont="1" applyFill="1" applyBorder="1" applyAlignment="1">
      <alignment horizontal="center" vertical="center" wrapText="1"/>
    </xf>
    <xf numFmtId="0" fontId="16" fillId="17" borderId="61" xfId="0" applyFont="1" applyFill="1" applyBorder="1" applyAlignment="1" applyProtection="1">
      <alignment horizontal="left" vertical="center" wrapText="1"/>
      <protection locked="0"/>
    </xf>
    <xf numFmtId="3" fontId="4" fillId="3" borderId="18" xfId="0" applyNumberFormat="1" applyFont="1" applyFill="1" applyBorder="1" applyAlignment="1">
      <alignment horizontal="center" vertical="center"/>
    </xf>
    <xf numFmtId="3" fontId="2" fillId="3" borderId="42" xfId="0" applyNumberFormat="1" applyFont="1" applyFill="1" applyBorder="1" applyAlignment="1">
      <alignment horizontal="center" vertical="center"/>
    </xf>
    <xf numFmtId="3" fontId="4" fillId="3" borderId="42" xfId="0" applyNumberFormat="1" applyFont="1" applyFill="1" applyBorder="1" applyAlignment="1">
      <alignment horizontal="center" vertical="center"/>
    </xf>
    <xf numFmtId="3" fontId="2" fillId="4" borderId="42" xfId="0" applyNumberFormat="1" applyFont="1" applyFill="1" applyBorder="1" applyAlignment="1">
      <alignment horizontal="center" vertical="center"/>
    </xf>
    <xf numFmtId="3" fontId="2" fillId="27" borderId="42" xfId="0" applyNumberFormat="1" applyFont="1" applyFill="1" applyBorder="1" applyAlignment="1">
      <alignment horizontal="center" vertical="center"/>
    </xf>
    <xf numFmtId="3" fontId="4" fillId="4" borderId="42" xfId="0" applyNumberFormat="1" applyFont="1" applyFill="1" applyBorder="1" applyAlignment="1">
      <alignment horizontal="center" vertical="center"/>
    </xf>
    <xf numFmtId="3" fontId="2" fillId="3" borderId="5" xfId="0" applyNumberFormat="1" applyFont="1" applyFill="1" applyBorder="1" applyAlignment="1">
      <alignment horizontal="center" vertical="center" wrapText="1"/>
    </xf>
    <xf numFmtId="3" fontId="2" fillId="4" borderId="5" xfId="0" applyNumberFormat="1" applyFont="1" applyFill="1" applyBorder="1" applyAlignment="1">
      <alignment horizontal="center" vertical="center" wrapText="1"/>
    </xf>
    <xf numFmtId="3" fontId="2" fillId="27" borderId="5" xfId="0" applyNumberFormat="1" applyFont="1" applyFill="1" applyBorder="1" applyAlignment="1">
      <alignment horizontal="center" vertical="center" wrapText="1"/>
    </xf>
    <xf numFmtId="3" fontId="2" fillId="26" borderId="5" xfId="0" applyNumberFormat="1" applyFont="1" applyFill="1" applyBorder="1" applyAlignment="1">
      <alignment horizontal="center" vertical="center" wrapText="1"/>
    </xf>
    <xf numFmtId="3" fontId="4" fillId="26" borderId="5" xfId="0" applyNumberFormat="1" applyFont="1" applyFill="1" applyBorder="1" applyAlignment="1">
      <alignment horizontal="center" vertical="center" wrapText="1"/>
    </xf>
    <xf numFmtId="3" fontId="4" fillId="26" borderId="42" xfId="0" applyNumberFormat="1" applyFont="1" applyFill="1" applyBorder="1" applyAlignment="1">
      <alignment horizontal="center" vertical="center"/>
    </xf>
    <xf numFmtId="4" fontId="18" fillId="26" borderId="1" xfId="0" applyNumberFormat="1" applyFont="1" applyFill="1" applyBorder="1" applyAlignment="1">
      <alignment horizontal="center" vertical="center"/>
    </xf>
    <xf numFmtId="3" fontId="2" fillId="26" borderId="42" xfId="0" applyNumberFormat="1" applyFont="1" applyFill="1" applyBorder="1" applyAlignment="1">
      <alignment horizontal="center" vertical="center"/>
    </xf>
    <xf numFmtId="3" fontId="2" fillId="26" borderId="1" xfId="0" applyNumberFormat="1" applyFont="1" applyFill="1" applyBorder="1" applyAlignment="1">
      <alignment horizontal="center" vertical="center" wrapText="1"/>
    </xf>
    <xf numFmtId="0" fontId="16" fillId="18" borderId="58" xfId="0" applyFont="1" applyFill="1" applyBorder="1" applyAlignment="1" applyProtection="1">
      <alignment horizontal="left" vertical="center" wrapText="1"/>
      <protection locked="0"/>
    </xf>
    <xf numFmtId="3" fontId="4" fillId="26" borderId="7" xfId="0" applyNumberFormat="1" applyFont="1" applyFill="1" applyBorder="1" applyAlignment="1">
      <alignment horizontal="center" vertical="center"/>
    </xf>
    <xf numFmtId="3" fontId="4" fillId="4" borderId="7" xfId="0" applyNumberFormat="1" applyFont="1" applyFill="1" applyBorder="1" applyAlignment="1">
      <alignment horizontal="center" vertical="center"/>
    </xf>
    <xf numFmtId="186" fontId="4" fillId="26" borderId="1" xfId="246" applyNumberFormat="1" applyFont="1" applyFill="1" applyBorder="1" applyAlignment="1">
      <alignment horizontal="center" vertical="center"/>
    </xf>
    <xf numFmtId="0" fontId="16" fillId="17" borderId="58" xfId="0" applyFont="1" applyFill="1" applyBorder="1" applyAlignment="1" applyProtection="1">
      <alignment horizontal="left" vertical="center" wrapText="1"/>
      <protection locked="0"/>
    </xf>
    <xf numFmtId="4" fontId="2" fillId="26" borderId="7" xfId="0" applyNumberFormat="1" applyFont="1" applyFill="1" applyBorder="1" applyAlignment="1">
      <alignment horizontal="center" vertical="center"/>
    </xf>
    <xf numFmtId="4" fontId="2" fillId="4" borderId="7" xfId="0" applyNumberFormat="1" applyFont="1" applyFill="1" applyBorder="1" applyAlignment="1">
      <alignment horizontal="center" vertical="center"/>
    </xf>
    <xf numFmtId="0" fontId="4" fillId="26" borderId="1" xfId="0" applyFont="1" applyFill="1" applyBorder="1" applyAlignment="1">
      <alignment horizontal="center" vertical="center"/>
    </xf>
    <xf numFmtId="0" fontId="16" fillId="18" borderId="60" xfId="0" applyFont="1" applyFill="1" applyBorder="1" applyAlignment="1" applyProtection="1">
      <alignment horizontal="left" vertical="center" wrapText="1"/>
      <protection locked="0"/>
    </xf>
    <xf numFmtId="0" fontId="16" fillId="17" borderId="57" xfId="0" applyFont="1" applyFill="1" applyBorder="1" applyAlignment="1" applyProtection="1">
      <alignment horizontal="left" vertical="center" wrapText="1"/>
      <protection locked="0"/>
    </xf>
    <xf numFmtId="4" fontId="2" fillId="0" borderId="18" xfId="0" applyNumberFormat="1" applyFont="1" applyBorder="1" applyAlignment="1">
      <alignment horizontal="center" vertical="center"/>
    </xf>
    <xf numFmtId="4" fontId="2" fillId="0" borderId="7" xfId="0" applyNumberFormat="1" applyFont="1" applyBorder="1" applyAlignment="1">
      <alignment horizontal="center" vertical="center"/>
    </xf>
    <xf numFmtId="4" fontId="2" fillId="3" borderId="7" xfId="0" applyNumberFormat="1" applyFont="1" applyFill="1" applyBorder="1" applyAlignment="1">
      <alignment horizontal="center" vertical="center"/>
    </xf>
    <xf numFmtId="4" fontId="2" fillId="20" borderId="7" xfId="0" applyNumberFormat="1" applyFont="1" applyFill="1" applyBorder="1" applyAlignment="1">
      <alignment horizontal="center" vertical="center"/>
    </xf>
    <xf numFmtId="0" fontId="4" fillId="4" borderId="1" xfId="0" applyFont="1" applyFill="1" applyBorder="1" applyAlignment="1">
      <alignment horizontal="center" vertical="center"/>
    </xf>
    <xf numFmtId="4" fontId="2" fillId="4" borderId="1" xfId="0" applyNumberFormat="1" applyFont="1" applyFill="1" applyBorder="1" applyAlignment="1">
      <alignment horizontal="center" vertical="center"/>
    </xf>
    <xf numFmtId="0" fontId="4" fillId="3" borderId="1" xfId="0" applyFont="1" applyFill="1" applyBorder="1" applyAlignment="1">
      <alignment horizontal="center" vertical="center"/>
    </xf>
    <xf numFmtId="0" fontId="2" fillId="4" borderId="1" xfId="0" applyFont="1" applyFill="1" applyBorder="1" applyAlignment="1">
      <alignment horizontal="center" vertical="center"/>
    </xf>
    <xf numFmtId="0" fontId="4" fillId="20" borderId="1" xfId="0" applyFont="1" applyFill="1" applyBorder="1" applyAlignment="1">
      <alignment horizontal="center" vertical="center"/>
    </xf>
    <xf numFmtId="0" fontId="3" fillId="26" borderId="1" xfId="0" applyFont="1" applyFill="1" applyBorder="1" applyAlignment="1">
      <alignment horizontal="center" vertical="center"/>
    </xf>
    <xf numFmtId="4" fontId="2" fillId="26" borderId="1" xfId="0" applyNumberFormat="1" applyFont="1" applyFill="1" applyBorder="1" applyAlignment="1">
      <alignment horizontal="center" vertical="center"/>
    </xf>
    <xf numFmtId="169" fontId="4" fillId="4" borderId="1" xfId="10" applyFont="1" applyFill="1" applyBorder="1" applyAlignment="1">
      <alignment horizontal="center" vertical="center"/>
    </xf>
    <xf numFmtId="169" fontId="2" fillId="4" borderId="1" xfId="10" applyFont="1" applyFill="1" applyBorder="1" applyAlignment="1">
      <alignment horizontal="center" vertical="center"/>
    </xf>
    <xf numFmtId="3" fontId="2" fillId="3" borderId="7" xfId="0" applyNumberFormat="1" applyFont="1" applyFill="1" applyBorder="1" applyAlignment="1">
      <alignment horizontal="center" vertical="center"/>
    </xf>
    <xf numFmtId="169" fontId="4" fillId="26" borderId="1" xfId="10" applyFont="1" applyFill="1" applyBorder="1" applyAlignment="1">
      <alignment horizontal="center" vertical="center"/>
    </xf>
    <xf numFmtId="169" fontId="2" fillId="26" borderId="1" xfId="10" applyFont="1" applyFill="1" applyBorder="1" applyAlignment="1">
      <alignment horizontal="center" vertical="center"/>
    </xf>
    <xf numFmtId="3" fontId="4" fillId="26" borderId="55" xfId="0" applyNumberFormat="1" applyFont="1" applyFill="1" applyBorder="1" applyAlignment="1">
      <alignment vertical="top" wrapText="1"/>
    </xf>
    <xf numFmtId="0" fontId="0" fillId="26" borderId="1" xfId="0" applyFill="1" applyBorder="1"/>
    <xf numFmtId="4" fontId="2" fillId="27" borderId="7" xfId="0" applyNumberFormat="1" applyFont="1" applyFill="1" applyBorder="1" applyAlignment="1">
      <alignment horizontal="center" vertical="center"/>
    </xf>
    <xf numFmtId="0" fontId="4" fillId="27" borderId="1" xfId="0" applyFont="1" applyFill="1" applyBorder="1" applyAlignment="1">
      <alignment horizontal="center" vertical="center"/>
    </xf>
    <xf numFmtId="3" fontId="17" fillId="26" borderId="1" xfId="0" applyNumberFormat="1" applyFont="1" applyFill="1" applyBorder="1" applyAlignment="1">
      <alignment horizontal="center" vertical="center"/>
    </xf>
    <xf numFmtId="4" fontId="4" fillId="3" borderId="1" xfId="0" applyNumberFormat="1" applyFont="1" applyFill="1" applyBorder="1" applyAlignment="1">
      <alignment horizontal="center" vertical="center"/>
    </xf>
    <xf numFmtId="4" fontId="4" fillId="4" borderId="1" xfId="0" applyNumberFormat="1" applyFont="1" applyFill="1" applyBorder="1" applyAlignment="1">
      <alignment horizontal="center" vertical="center"/>
    </xf>
    <xf numFmtId="0" fontId="2" fillId="26" borderId="1" xfId="0" applyFont="1" applyFill="1" applyBorder="1" applyAlignment="1">
      <alignment horizontal="center" vertical="center"/>
    </xf>
    <xf numFmtId="166" fontId="4" fillId="3" borderId="1" xfId="1721" applyFont="1" applyFill="1" applyBorder="1" applyAlignment="1">
      <alignment horizontal="center" vertical="center"/>
    </xf>
    <xf numFmtId="3" fontId="4" fillId="26" borderId="21" xfId="0" applyNumberFormat="1" applyFont="1" applyFill="1" applyBorder="1" applyAlignment="1">
      <alignment vertical="top" wrapText="1"/>
    </xf>
    <xf numFmtId="39" fontId="4" fillId="0" borderId="18" xfId="0" applyNumberFormat="1" applyFont="1" applyBorder="1" applyAlignment="1">
      <alignment horizontal="center" vertical="center" wrapText="1"/>
    </xf>
    <xf numFmtId="39" fontId="4" fillId="3" borderId="7" xfId="0" applyNumberFormat="1" applyFont="1" applyFill="1" applyBorder="1" applyAlignment="1">
      <alignment horizontal="center" vertical="center" wrapText="1"/>
    </xf>
    <xf numFmtId="39" fontId="4" fillId="4" borderId="7" xfId="0" applyNumberFormat="1" applyFont="1" applyFill="1" applyBorder="1" applyAlignment="1">
      <alignment horizontal="center" vertical="center" wrapText="1"/>
    </xf>
    <xf numFmtId="39" fontId="2" fillId="20" borderId="7" xfId="0" applyNumberFormat="1" applyFont="1" applyFill="1" applyBorder="1" applyAlignment="1">
      <alignment horizontal="center" vertical="center" wrapText="1"/>
    </xf>
    <xf numFmtId="39" fontId="2" fillId="4" borderId="7" xfId="0" applyNumberFormat="1" applyFont="1" applyFill="1" applyBorder="1" applyAlignment="1">
      <alignment horizontal="center" vertical="center" wrapText="1"/>
    </xf>
    <xf numFmtId="39" fontId="2" fillId="4" borderId="1" xfId="0" applyNumberFormat="1" applyFont="1" applyFill="1" applyBorder="1" applyAlignment="1">
      <alignment horizontal="center" vertical="center" wrapText="1"/>
    </xf>
    <xf numFmtId="4" fontId="4" fillId="3" borderId="1" xfId="0" applyNumberFormat="1" applyFont="1" applyFill="1" applyBorder="1" applyAlignment="1">
      <alignment horizontal="center" vertical="center" wrapText="1"/>
    </xf>
    <xf numFmtId="4" fontId="4" fillId="4" borderId="1" xfId="0" applyNumberFormat="1" applyFont="1" applyFill="1" applyBorder="1" applyAlignment="1">
      <alignment horizontal="center" vertical="center" wrapText="1"/>
    </xf>
    <xf numFmtId="4" fontId="2" fillId="20" borderId="1" xfId="0" applyNumberFormat="1" applyFont="1" applyFill="1" applyBorder="1" applyAlignment="1">
      <alignment horizontal="center" vertical="center" wrapText="1"/>
    </xf>
    <xf numFmtId="4" fontId="4" fillId="26" borderId="1" xfId="0" applyNumberFormat="1" applyFont="1" applyFill="1" applyBorder="1" applyAlignment="1">
      <alignment horizontal="center" vertical="center" wrapText="1"/>
    </xf>
    <xf numFmtId="4" fontId="2" fillId="26" borderId="1" xfId="0" applyNumberFormat="1" applyFont="1" applyFill="1" applyBorder="1" applyAlignment="1">
      <alignment horizontal="center" vertical="center" wrapText="1"/>
    </xf>
    <xf numFmtId="39" fontId="3" fillId="26" borderId="7" xfId="0" applyNumberFormat="1" applyFont="1" applyFill="1" applyBorder="1" applyAlignment="1">
      <alignment horizontal="center" vertical="center" wrapText="1"/>
    </xf>
    <xf numFmtId="4" fontId="17" fillId="26" borderId="1" xfId="0" applyNumberFormat="1" applyFont="1" applyFill="1" applyBorder="1" applyAlignment="1">
      <alignment horizontal="center" vertical="center" wrapText="1"/>
    </xf>
    <xf numFmtId="39" fontId="2" fillId="26" borderId="1" xfId="0" applyNumberFormat="1" applyFont="1" applyFill="1" applyBorder="1" applyAlignment="1">
      <alignment horizontal="center" vertical="center" wrapText="1"/>
    </xf>
    <xf numFmtId="3" fontId="4" fillId="26" borderId="7" xfId="0" applyNumberFormat="1" applyFont="1" applyFill="1" applyBorder="1" applyAlignment="1">
      <alignment horizontal="center" vertical="center" wrapText="1"/>
    </xf>
    <xf numFmtId="3" fontId="4" fillId="4" borderId="7" xfId="0" applyNumberFormat="1" applyFont="1" applyFill="1" applyBorder="1" applyAlignment="1">
      <alignment horizontal="center" vertical="center" wrapText="1"/>
    </xf>
    <xf numFmtId="3" fontId="4" fillId="26" borderId="1" xfId="0" applyNumberFormat="1" applyFont="1" applyFill="1" applyBorder="1" applyAlignment="1">
      <alignment horizontal="center" vertical="center"/>
    </xf>
    <xf numFmtId="39" fontId="4" fillId="26" borderId="7" xfId="0" applyNumberFormat="1" applyFont="1" applyFill="1" applyBorder="1" applyAlignment="1">
      <alignment horizontal="center" vertical="center"/>
    </xf>
    <xf numFmtId="39" fontId="4" fillId="4" borderId="7" xfId="0" applyNumberFormat="1" applyFont="1" applyFill="1" applyBorder="1" applyAlignment="1">
      <alignment horizontal="center" vertical="center"/>
    </xf>
    <xf numFmtId="187" fontId="4" fillId="3" borderId="1" xfId="218" applyNumberFormat="1" applyFont="1" applyFill="1" applyBorder="1" applyAlignment="1">
      <alignment horizontal="center" vertical="center"/>
    </xf>
    <xf numFmtId="4" fontId="49" fillId="26" borderId="7" xfId="0" applyNumberFormat="1" applyFont="1" applyFill="1" applyBorder="1" applyAlignment="1">
      <alignment horizontal="center" vertical="center"/>
    </xf>
    <xf numFmtId="4" fontId="4" fillId="26" borderId="55" xfId="0" applyNumberFormat="1" applyFont="1" applyFill="1" applyBorder="1" applyAlignment="1">
      <alignment vertical="top" wrapText="1"/>
    </xf>
    <xf numFmtId="0" fontId="2" fillId="20" borderId="1" xfId="0" applyFont="1" applyFill="1" applyBorder="1" applyAlignment="1">
      <alignment horizontal="center" vertical="center"/>
    </xf>
    <xf numFmtId="4" fontId="4" fillId="26" borderId="21" xfId="0" applyNumberFormat="1" applyFont="1" applyFill="1" applyBorder="1" applyAlignment="1">
      <alignment vertical="top" wrapText="1"/>
    </xf>
    <xf numFmtId="3" fontId="4" fillId="3" borderId="62" xfId="0" applyNumberFormat="1" applyFont="1" applyFill="1" applyBorder="1" applyAlignment="1">
      <alignment horizontal="center" vertical="center"/>
    </xf>
    <xf numFmtId="3" fontId="4" fillId="3" borderId="1" xfId="0" applyNumberFormat="1" applyFont="1" applyFill="1" applyBorder="1" applyAlignment="1">
      <alignment horizontal="center" vertical="center"/>
    </xf>
    <xf numFmtId="3" fontId="2" fillId="4" borderId="5" xfId="0" applyNumberFormat="1" applyFont="1" applyFill="1" applyBorder="1" applyAlignment="1">
      <alignment horizontal="center" vertical="center"/>
    </xf>
    <xf numFmtId="3" fontId="3" fillId="26" borderId="42" xfId="0" applyNumberFormat="1" applyFont="1" applyFill="1" applyBorder="1" applyAlignment="1">
      <alignment horizontal="center" vertical="center"/>
    </xf>
    <xf numFmtId="3" fontId="2" fillId="26" borderId="5" xfId="0" applyNumberFormat="1" applyFont="1" applyFill="1" applyBorder="1" applyAlignment="1">
      <alignment horizontal="center" vertical="center"/>
    </xf>
    <xf numFmtId="3" fontId="2" fillId="27" borderId="7" xfId="0" applyNumberFormat="1" applyFont="1" applyFill="1" applyBorder="1" applyAlignment="1">
      <alignment horizontal="center" vertical="center"/>
    </xf>
    <xf numFmtId="4" fontId="2" fillId="27" borderId="1" xfId="0" applyNumberFormat="1" applyFont="1" applyFill="1" applyBorder="1" applyAlignment="1">
      <alignment horizontal="center" vertical="center"/>
    </xf>
    <xf numFmtId="0" fontId="2" fillId="27" borderId="1" xfId="0" applyFont="1" applyFill="1" applyBorder="1" applyAlignment="1">
      <alignment horizontal="center" vertical="center"/>
    </xf>
    <xf numFmtId="3" fontId="49" fillId="26" borderId="7" xfId="0" applyNumberFormat="1" applyFont="1" applyFill="1" applyBorder="1" applyAlignment="1">
      <alignment horizontal="center" vertical="center"/>
    </xf>
    <xf numFmtId="3" fontId="2" fillId="4" borderId="7" xfId="0" applyNumberFormat="1" applyFont="1" applyFill="1" applyBorder="1" applyAlignment="1">
      <alignment horizontal="center" vertical="center"/>
    </xf>
    <xf numFmtId="0" fontId="4" fillId="26" borderId="8" xfId="0" applyFont="1" applyFill="1" applyBorder="1" applyAlignment="1">
      <alignment horizontal="center" vertical="center"/>
    </xf>
    <xf numFmtId="4" fontId="4" fillId="26" borderId="1" xfId="0" applyNumberFormat="1" applyFont="1" applyFill="1" applyBorder="1" applyAlignment="1">
      <alignment horizontal="center" vertical="center"/>
    </xf>
    <xf numFmtId="4" fontId="4" fillId="0" borderId="62" xfId="0" applyNumberFormat="1" applyFont="1" applyBorder="1" applyAlignment="1">
      <alignment horizontal="center" vertical="center"/>
    </xf>
    <xf numFmtId="4" fontId="2" fillId="0" borderId="1" xfId="0" applyNumberFormat="1" applyFont="1" applyBorder="1" applyAlignment="1">
      <alignment horizontal="center" vertical="center"/>
    </xf>
    <xf numFmtId="4" fontId="4" fillId="0" borderId="1" xfId="0" applyNumberFormat="1" applyFont="1" applyBorder="1" applyAlignment="1">
      <alignment horizontal="center" vertical="center"/>
    </xf>
    <xf numFmtId="4" fontId="4" fillId="3" borderId="7" xfId="0" applyNumberFormat="1" applyFont="1" applyFill="1" applyBorder="1" applyAlignment="1">
      <alignment horizontal="center" vertical="center"/>
    </xf>
    <xf numFmtId="4" fontId="4" fillId="4" borderId="7" xfId="0" applyNumberFormat="1" applyFont="1" applyFill="1" applyBorder="1" applyAlignment="1">
      <alignment horizontal="center" vertical="center"/>
    </xf>
    <xf numFmtId="4" fontId="3" fillId="26" borderId="1" xfId="0" applyNumberFormat="1" applyFont="1" applyFill="1" applyBorder="1" applyAlignment="1">
      <alignment horizontal="center" vertical="center" wrapText="1"/>
    </xf>
    <xf numFmtId="4" fontId="17" fillId="26" borderId="1" xfId="0" applyNumberFormat="1" applyFont="1" applyFill="1" applyBorder="1" applyAlignment="1">
      <alignment horizontal="center" vertical="center"/>
    </xf>
    <xf numFmtId="4" fontId="4" fillId="26" borderId="7" xfId="0" applyNumberFormat="1" applyFont="1" applyFill="1" applyBorder="1" applyAlignment="1">
      <alignment horizontal="center" vertical="center"/>
    </xf>
    <xf numFmtId="4" fontId="3" fillId="26" borderId="1" xfId="0" applyNumberFormat="1" applyFont="1" applyFill="1" applyBorder="1" applyAlignment="1">
      <alignment horizontal="center" vertical="center"/>
    </xf>
    <xf numFmtId="39" fontId="4" fillId="0" borderId="62" xfId="0" applyNumberFormat="1" applyFont="1" applyBorder="1" applyAlignment="1">
      <alignment horizontal="center" vertical="center" wrapText="1"/>
    </xf>
    <xf numFmtId="39" fontId="4" fillId="0" borderId="1" xfId="0" applyNumberFormat="1" applyFont="1" applyBorder="1" applyAlignment="1">
      <alignment horizontal="center" vertical="center" wrapText="1"/>
    </xf>
    <xf numFmtId="39" fontId="4" fillId="26" borderId="7" xfId="0" applyNumberFormat="1" applyFont="1" applyFill="1" applyBorder="1" applyAlignment="1">
      <alignment horizontal="center" vertical="center" wrapText="1"/>
    </xf>
    <xf numFmtId="39" fontId="4" fillId="4" borderId="1" xfId="0" applyNumberFormat="1" applyFont="1" applyFill="1" applyBorder="1" applyAlignment="1">
      <alignment horizontal="center" vertical="center" wrapText="1"/>
    </xf>
    <xf numFmtId="4" fontId="4" fillId="20" borderId="1" xfId="0" applyNumberFormat="1" applyFont="1" applyFill="1" applyBorder="1" applyAlignment="1">
      <alignment horizontal="center" vertical="center" wrapText="1"/>
    </xf>
    <xf numFmtId="4" fontId="3" fillId="20" borderId="1" xfId="0" applyNumberFormat="1" applyFont="1" applyFill="1" applyBorder="1" applyAlignment="1">
      <alignment horizontal="center" vertical="center" wrapText="1"/>
    </xf>
    <xf numFmtId="4" fontId="17" fillId="20" borderId="1" xfId="0" applyNumberFormat="1" applyFont="1" applyFill="1" applyBorder="1" applyAlignment="1">
      <alignment horizontal="center" vertical="center" wrapText="1"/>
    </xf>
    <xf numFmtId="4" fontId="18" fillId="20" borderId="1" xfId="0" applyNumberFormat="1" applyFont="1" applyFill="1" applyBorder="1" applyAlignment="1">
      <alignment horizontal="center" vertical="center" wrapText="1"/>
    </xf>
    <xf numFmtId="3" fontId="4" fillId="20" borderId="1" xfId="0" applyNumberFormat="1" applyFont="1" applyFill="1" applyBorder="1" applyAlignment="1">
      <alignment horizontal="center" vertical="center"/>
    </xf>
    <xf numFmtId="4" fontId="2" fillId="20" borderId="1" xfId="0" applyNumberFormat="1" applyFont="1" applyFill="1" applyBorder="1" applyAlignment="1">
      <alignment horizontal="center" vertical="center"/>
    </xf>
    <xf numFmtId="4" fontId="2" fillId="0" borderId="62" xfId="0" applyNumberFormat="1" applyFont="1" applyBorder="1" applyAlignment="1">
      <alignment horizontal="center" vertical="center"/>
    </xf>
    <xf numFmtId="0" fontId="33" fillId="0" borderId="1" xfId="0" applyFont="1" applyBorder="1"/>
    <xf numFmtId="4" fontId="17" fillId="26" borderId="11" xfId="0" applyNumberFormat="1" applyFont="1" applyFill="1" applyBorder="1" applyAlignment="1">
      <alignment horizontal="center" vertical="center" wrapText="1"/>
    </xf>
    <xf numFmtId="3" fontId="4" fillId="0" borderId="62" xfId="0" applyNumberFormat="1" applyFont="1" applyBorder="1" applyAlignment="1">
      <alignment horizontal="center" vertical="center" wrapText="1"/>
    </xf>
    <xf numFmtId="3" fontId="4" fillId="3" borderId="7" xfId="0" applyNumberFormat="1" applyFont="1" applyFill="1" applyBorder="1" applyAlignment="1">
      <alignment horizontal="center" vertical="center" wrapText="1"/>
    </xf>
    <xf numFmtId="3" fontId="2" fillId="4" borderId="7" xfId="0" applyNumberFormat="1" applyFont="1" applyFill="1" applyBorder="1" applyAlignment="1">
      <alignment horizontal="center" vertical="center" wrapText="1"/>
    </xf>
    <xf numFmtId="3" fontId="4" fillId="4" borderId="1" xfId="0" applyNumberFormat="1" applyFont="1" applyFill="1" applyBorder="1" applyAlignment="1">
      <alignment horizontal="center" vertical="center"/>
    </xf>
    <xf numFmtId="3" fontId="2" fillId="26" borderId="1" xfId="0" applyNumberFormat="1" applyFont="1" applyFill="1" applyBorder="1" applyAlignment="1">
      <alignment horizontal="center" vertical="center"/>
    </xf>
    <xf numFmtId="3" fontId="17" fillId="26" borderId="11" xfId="0" applyNumberFormat="1" applyFont="1" applyFill="1" applyBorder="1" applyAlignment="1">
      <alignment horizontal="center" vertical="center"/>
    </xf>
    <xf numFmtId="3" fontId="4" fillId="4" borderId="1" xfId="0" applyNumberFormat="1" applyFont="1" applyFill="1" applyBorder="1" applyAlignment="1">
      <alignment horizontal="center" vertical="center" wrapText="1"/>
    </xf>
    <xf numFmtId="3" fontId="4" fillId="26" borderId="1" xfId="0" applyNumberFormat="1" applyFont="1" applyFill="1" applyBorder="1" applyAlignment="1">
      <alignment horizontal="center" vertical="center" wrapText="1"/>
    </xf>
    <xf numFmtId="4" fontId="2" fillId="3" borderId="1" xfId="0" applyNumberFormat="1" applyFont="1" applyFill="1" applyBorder="1" applyAlignment="1">
      <alignment horizontal="center" vertical="center"/>
    </xf>
    <xf numFmtId="4" fontId="18" fillId="26" borderId="11" xfId="0" applyNumberFormat="1" applyFont="1" applyFill="1" applyBorder="1" applyAlignment="1">
      <alignment horizontal="center" vertical="center"/>
    </xf>
    <xf numFmtId="39" fontId="4" fillId="0" borderId="62" xfId="0" applyNumberFormat="1" applyFont="1" applyBorder="1" applyAlignment="1">
      <alignment horizontal="center" vertical="center"/>
    </xf>
    <xf numFmtId="39" fontId="4" fillId="3" borderId="7" xfId="0" applyNumberFormat="1" applyFont="1" applyFill="1" applyBorder="1" applyAlignment="1">
      <alignment horizontal="center" vertical="center"/>
    </xf>
    <xf numFmtId="39" fontId="2" fillId="4" borderId="7" xfId="0" applyNumberFormat="1" applyFont="1" applyFill="1" applyBorder="1" applyAlignment="1">
      <alignment horizontal="center" vertical="center"/>
    </xf>
    <xf numFmtId="3" fontId="4" fillId="0" borderId="18" xfId="0" applyNumberFormat="1" applyFont="1" applyBorder="1" applyAlignment="1">
      <alignment horizontal="center" vertical="center" wrapText="1"/>
    </xf>
    <xf numFmtId="3" fontId="4" fillId="0" borderId="7" xfId="0" applyNumberFormat="1" applyFont="1" applyBorder="1" applyAlignment="1">
      <alignment horizontal="center" vertical="center" wrapText="1"/>
    </xf>
    <xf numFmtId="3" fontId="3" fillId="26" borderId="1" xfId="0" applyNumberFormat="1" applyFont="1" applyFill="1" applyBorder="1" applyAlignment="1">
      <alignment horizontal="center" vertical="center"/>
    </xf>
    <xf numFmtId="3" fontId="17" fillId="26" borderId="1" xfId="0" applyNumberFormat="1" applyFont="1" applyFill="1" applyBorder="1" applyAlignment="1">
      <alignment horizontal="center" vertical="center" wrapText="1"/>
    </xf>
    <xf numFmtId="4" fontId="49" fillId="26" borderId="1" xfId="0" applyNumberFormat="1" applyFont="1" applyFill="1" applyBorder="1" applyAlignment="1">
      <alignment horizontal="center" vertical="center"/>
    </xf>
    <xf numFmtId="39" fontId="4" fillId="0" borderId="18" xfId="0" applyNumberFormat="1" applyFont="1" applyBorder="1" applyAlignment="1">
      <alignment horizontal="center" vertical="center"/>
    </xf>
    <xf numFmtId="39" fontId="4" fillId="0" borderId="7" xfId="0" applyNumberFormat="1" applyFont="1" applyBorder="1" applyAlignment="1">
      <alignment horizontal="center" vertical="center"/>
    </xf>
    <xf numFmtId="4" fontId="18" fillId="26" borderId="1" xfId="0" applyNumberFormat="1" applyFont="1" applyFill="1" applyBorder="1" applyAlignment="1">
      <alignment horizontal="center" vertical="center" wrapText="1"/>
    </xf>
    <xf numFmtId="4" fontId="2" fillId="4" borderId="1" xfId="0" applyNumberFormat="1" applyFont="1" applyFill="1" applyBorder="1" applyAlignment="1">
      <alignment horizontal="center" vertical="center" wrapText="1"/>
    </xf>
    <xf numFmtId="4" fontId="18" fillId="4" borderId="1" xfId="0" applyNumberFormat="1" applyFont="1" applyFill="1" applyBorder="1" applyAlignment="1">
      <alignment horizontal="center" vertical="center"/>
    </xf>
    <xf numFmtId="0" fontId="4" fillId="26" borderId="11" xfId="0" applyFont="1" applyFill="1" applyBorder="1" applyAlignment="1">
      <alignment horizontal="center" vertical="center"/>
    </xf>
    <xf numFmtId="4" fontId="3" fillId="4" borderId="1" xfId="0" applyNumberFormat="1" applyFont="1" applyFill="1" applyBorder="1" applyAlignment="1">
      <alignment horizontal="center" vertical="center"/>
    </xf>
    <xf numFmtId="4" fontId="4" fillId="0" borderId="18" xfId="0" applyNumberFormat="1" applyFont="1" applyBorder="1" applyAlignment="1">
      <alignment horizontal="center" vertical="center"/>
    </xf>
    <xf numFmtId="4" fontId="4" fillId="26" borderId="2" xfId="0" applyNumberFormat="1" applyFont="1" applyFill="1" applyBorder="1" applyAlignment="1">
      <alignment vertical="center" wrapText="1"/>
    </xf>
    <xf numFmtId="4" fontId="4" fillId="26" borderId="22" xfId="0" applyNumberFormat="1" applyFont="1" applyFill="1" applyBorder="1" applyAlignment="1">
      <alignment vertical="center" wrapText="1"/>
    </xf>
    <xf numFmtId="184" fontId="17" fillId="26" borderId="1" xfId="0" applyNumberFormat="1" applyFont="1" applyFill="1" applyBorder="1" applyAlignment="1">
      <alignment horizontal="center" vertical="center" wrapText="1"/>
    </xf>
    <xf numFmtId="43" fontId="4" fillId="26" borderId="1" xfId="218" applyFont="1" applyFill="1" applyBorder="1" applyAlignment="1" applyProtection="1">
      <alignment horizontal="center" vertical="center"/>
    </xf>
    <xf numFmtId="4" fontId="4" fillId="26" borderId="5" xfId="0" applyNumberFormat="1" applyFont="1" applyFill="1" applyBorder="1" applyAlignment="1">
      <alignment vertical="center" wrapText="1"/>
    </xf>
    <xf numFmtId="4" fontId="17" fillId="26" borderId="8" xfId="0" applyNumberFormat="1" applyFont="1" applyFill="1" applyBorder="1" applyAlignment="1">
      <alignment horizontal="center" vertical="center" wrapText="1"/>
    </xf>
    <xf numFmtId="4" fontId="4" fillId="3" borderId="18" xfId="0" applyNumberFormat="1" applyFont="1" applyFill="1" applyBorder="1" applyAlignment="1">
      <alignment horizontal="center" vertical="center"/>
    </xf>
    <xf numFmtId="4" fontId="4" fillId="4" borderId="18" xfId="0" applyNumberFormat="1" applyFont="1" applyFill="1" applyBorder="1" applyAlignment="1">
      <alignment horizontal="center" vertical="center"/>
    </xf>
    <xf numFmtId="4" fontId="18" fillId="20" borderId="1" xfId="0" applyNumberFormat="1" applyFont="1" applyFill="1" applyBorder="1" applyAlignment="1">
      <alignment horizontal="center" vertical="center"/>
    </xf>
    <xf numFmtId="4" fontId="4" fillId="20" borderId="1" xfId="0" applyNumberFormat="1" applyFont="1" applyFill="1" applyBorder="1" applyAlignment="1">
      <alignment horizontal="center" vertical="center"/>
    </xf>
    <xf numFmtId="4" fontId="3" fillId="20" borderId="1" xfId="0" applyNumberFormat="1" applyFont="1" applyFill="1" applyBorder="1" applyAlignment="1">
      <alignment horizontal="center" vertical="center"/>
    </xf>
    <xf numFmtId="4" fontId="49" fillId="20" borderId="1" xfId="0" applyNumberFormat="1" applyFont="1" applyFill="1" applyBorder="1" applyAlignment="1">
      <alignment horizontal="center" vertical="center"/>
    </xf>
    <xf numFmtId="180" fontId="4" fillId="3" borderId="1" xfId="0" applyNumberFormat="1" applyFont="1" applyFill="1" applyBorder="1" applyAlignment="1">
      <alignment horizontal="center" vertical="center" wrapText="1"/>
    </xf>
    <xf numFmtId="3" fontId="2" fillId="20" borderId="1" xfId="0" applyNumberFormat="1" applyFont="1" applyFill="1" applyBorder="1" applyAlignment="1">
      <alignment horizontal="center" vertical="center"/>
    </xf>
    <xf numFmtId="3" fontId="3" fillId="20" borderId="1" xfId="0" applyNumberFormat="1" applyFont="1" applyFill="1" applyBorder="1" applyAlignment="1">
      <alignment horizontal="center" vertical="center"/>
    </xf>
    <xf numFmtId="3" fontId="17" fillId="20" borderId="1" xfId="0" applyNumberFormat="1" applyFont="1" applyFill="1" applyBorder="1" applyAlignment="1">
      <alignment horizontal="center" vertical="center" wrapText="1"/>
    </xf>
    <xf numFmtId="3" fontId="4" fillId="20" borderId="7" xfId="0" applyNumberFormat="1" applyFont="1" applyFill="1" applyBorder="1" applyAlignment="1">
      <alignment horizontal="center" vertical="center" wrapText="1"/>
    </xf>
    <xf numFmtId="3" fontId="17" fillId="20" borderId="1" xfId="0" applyNumberFormat="1" applyFont="1" applyFill="1" applyBorder="1" applyAlignment="1">
      <alignment horizontal="center" vertical="center"/>
    </xf>
    <xf numFmtId="39" fontId="4" fillId="20" borderId="7" xfId="0" applyNumberFormat="1" applyFont="1" applyFill="1" applyBorder="1" applyAlignment="1">
      <alignment horizontal="center" vertical="center"/>
    </xf>
    <xf numFmtId="4" fontId="2" fillId="3" borderId="18" xfId="0" applyNumberFormat="1" applyFont="1" applyFill="1" applyBorder="1" applyAlignment="1">
      <alignment horizontal="center" vertical="center"/>
    </xf>
    <xf numFmtId="3" fontId="4" fillId="3" borderId="18" xfId="0" applyNumberFormat="1" applyFont="1" applyFill="1" applyBorder="1" applyAlignment="1">
      <alignment horizontal="center" vertical="center" wrapText="1"/>
    </xf>
    <xf numFmtId="39" fontId="4" fillId="3" borderId="18" xfId="0" applyNumberFormat="1" applyFont="1" applyFill="1" applyBorder="1" applyAlignment="1">
      <alignment horizontal="center" vertical="center"/>
    </xf>
    <xf numFmtId="0" fontId="3" fillId="20" borderId="1" xfId="0" applyFont="1" applyFill="1" applyBorder="1" applyAlignment="1">
      <alignment horizontal="center" vertical="center"/>
    </xf>
    <xf numFmtId="180" fontId="4" fillId="3" borderId="1" xfId="0" applyNumberFormat="1" applyFont="1" applyFill="1" applyBorder="1" applyAlignment="1">
      <alignment horizontal="center" vertical="center"/>
    </xf>
    <xf numFmtId="0" fontId="43" fillId="3" borderId="0" xfId="0" applyFont="1" applyFill="1"/>
    <xf numFmtId="4" fontId="43" fillId="3" borderId="0" xfId="0" applyNumberFormat="1" applyFont="1" applyFill="1"/>
    <xf numFmtId="4" fontId="43" fillId="4" borderId="0" xfId="0" applyNumberFormat="1" applyFont="1" applyFill="1"/>
    <xf numFmtId="4" fontId="43" fillId="26" borderId="0" xfId="0" applyNumberFormat="1" applyFont="1" applyFill="1"/>
    <xf numFmtId="0" fontId="43" fillId="26" borderId="0" xfId="0" applyFont="1" applyFill="1"/>
    <xf numFmtId="0" fontId="43" fillId="3" borderId="0" xfId="0" applyFont="1" applyFill="1" applyAlignment="1">
      <alignment horizontal="center"/>
    </xf>
    <xf numFmtId="0" fontId="0" fillId="26" borderId="0" xfId="0" applyFill="1"/>
    <xf numFmtId="0" fontId="43" fillId="4" borderId="0" xfId="0" applyFont="1" applyFill="1"/>
    <xf numFmtId="178" fontId="5" fillId="3" borderId="0" xfId="0" applyNumberFormat="1" applyFont="1" applyFill="1" applyAlignment="1">
      <alignment horizontal="center"/>
    </xf>
    <xf numFmtId="178" fontId="5" fillId="4" borderId="0" xfId="0" applyNumberFormat="1" applyFont="1" applyFill="1" applyAlignment="1">
      <alignment horizontal="center"/>
    </xf>
    <xf numFmtId="178" fontId="5" fillId="26" borderId="0" xfId="0" applyNumberFormat="1" applyFont="1" applyFill="1" applyAlignment="1">
      <alignment horizontal="center"/>
    </xf>
    <xf numFmtId="42" fontId="18" fillId="26" borderId="0" xfId="0" applyNumberFormat="1" applyFont="1" applyFill="1" applyAlignment="1">
      <alignment horizontal="center" vertical="center" wrapText="1"/>
    </xf>
    <xf numFmtId="0" fontId="0" fillId="4" borderId="0" xfId="0" applyFill="1"/>
    <xf numFmtId="172" fontId="80" fillId="17" borderId="3" xfId="0" applyNumberFormat="1" applyFont="1" applyFill="1" applyBorder="1" applyAlignment="1">
      <alignment vertical="center"/>
    </xf>
    <xf numFmtId="0" fontId="17" fillId="2" borderId="0" xfId="16" applyFont="1" applyFill="1" applyAlignment="1">
      <alignment vertical="center"/>
    </xf>
    <xf numFmtId="172" fontId="80" fillId="18" borderId="1" xfId="0" applyNumberFormat="1" applyFont="1" applyFill="1" applyBorder="1" applyAlignment="1">
      <alignment vertical="center"/>
    </xf>
    <xf numFmtId="172" fontId="80" fillId="18" borderId="2" xfId="0" applyNumberFormat="1" applyFont="1" applyFill="1" applyBorder="1" applyAlignment="1">
      <alignment vertical="center"/>
    </xf>
    <xf numFmtId="172" fontId="80" fillId="17" borderId="1" xfId="0" applyNumberFormat="1" applyFont="1" applyFill="1" applyBorder="1" applyAlignment="1">
      <alignment vertical="center"/>
    </xf>
    <xf numFmtId="0" fontId="17" fillId="3" borderId="0" xfId="16" applyFont="1" applyFill="1" applyAlignment="1">
      <alignment vertical="center"/>
    </xf>
    <xf numFmtId="172" fontId="80" fillId="17" borderId="5" xfId="0" applyNumberFormat="1" applyFont="1" applyFill="1" applyBorder="1" applyAlignment="1">
      <alignment vertical="center"/>
    </xf>
    <xf numFmtId="0" fontId="17" fillId="0" borderId="0" xfId="16" applyFont="1" applyAlignment="1">
      <alignment vertical="center"/>
    </xf>
    <xf numFmtId="10" fontId="2" fillId="17" borderId="35" xfId="16" applyNumberFormat="1" applyFont="1" applyFill="1" applyBorder="1" applyAlignment="1">
      <alignment horizontal="center" vertical="center" wrapText="1"/>
    </xf>
    <xf numFmtId="10" fontId="4" fillId="17" borderId="4" xfId="16" applyNumberFormat="1" applyFill="1" applyBorder="1" applyAlignment="1">
      <alignment horizontal="center" vertical="center" wrapText="1"/>
    </xf>
    <xf numFmtId="4" fontId="4" fillId="28" borderId="1" xfId="0" applyNumberFormat="1" applyFont="1" applyFill="1" applyBorder="1" applyAlignment="1">
      <alignment horizontal="center" vertical="center" wrapText="1"/>
    </xf>
    <xf numFmtId="4" fontId="4" fillId="20" borderId="7" xfId="0" applyNumberFormat="1" applyFont="1" applyFill="1" applyBorder="1" applyAlignment="1">
      <alignment horizontal="center" vertical="center"/>
    </xf>
    <xf numFmtId="4" fontId="2" fillId="28" borderId="1" xfId="0" applyNumberFormat="1" applyFont="1" applyFill="1" applyBorder="1" applyAlignment="1">
      <alignment horizontal="center" vertical="center"/>
    </xf>
    <xf numFmtId="4" fontId="2" fillId="28" borderId="1" xfId="0" applyNumberFormat="1" applyFont="1" applyFill="1" applyBorder="1" applyAlignment="1">
      <alignment horizontal="center" vertical="center" wrapText="1"/>
    </xf>
    <xf numFmtId="4" fontId="4" fillId="28" borderId="1" xfId="0" applyNumberFormat="1" applyFont="1" applyFill="1" applyBorder="1" applyAlignment="1">
      <alignment horizontal="center" vertical="center"/>
    </xf>
    <xf numFmtId="4" fontId="4" fillId="26" borderId="19" xfId="0" applyNumberFormat="1" applyFont="1" applyFill="1" applyBorder="1" applyAlignment="1">
      <alignment vertical="center" wrapText="1"/>
    </xf>
    <xf numFmtId="4" fontId="4" fillId="26" borderId="55" xfId="0" applyNumberFormat="1" applyFont="1" applyFill="1" applyBorder="1" applyAlignment="1">
      <alignment vertical="center" wrapText="1"/>
    </xf>
    <xf numFmtId="4" fontId="4" fillId="26" borderId="21" xfId="0" applyNumberFormat="1" applyFont="1" applyFill="1" applyBorder="1" applyAlignment="1">
      <alignment vertical="center" wrapText="1"/>
    </xf>
    <xf numFmtId="4" fontId="17" fillId="26" borderId="19" xfId="0" applyNumberFormat="1" applyFont="1" applyFill="1" applyBorder="1" applyAlignment="1">
      <alignment vertical="center" wrapText="1"/>
    </xf>
    <xf numFmtId="4" fontId="17" fillId="26" borderId="55" xfId="0" applyNumberFormat="1" applyFont="1" applyFill="1" applyBorder="1" applyAlignment="1">
      <alignment vertical="center" wrapText="1"/>
    </xf>
    <xf numFmtId="4" fontId="17" fillId="26" borderId="21" xfId="0" applyNumberFormat="1" applyFont="1" applyFill="1" applyBorder="1" applyAlignment="1">
      <alignment vertical="center" wrapText="1"/>
    </xf>
    <xf numFmtId="4" fontId="4" fillId="26" borderId="1" xfId="0" applyNumberFormat="1" applyFont="1" applyFill="1" applyBorder="1" applyAlignment="1">
      <alignment vertical="center" wrapText="1"/>
    </xf>
    <xf numFmtId="4" fontId="4" fillId="20" borderId="18" xfId="0" applyNumberFormat="1" applyFont="1" applyFill="1" applyBorder="1" applyAlignment="1">
      <alignment horizontal="center" vertical="center"/>
    </xf>
    <xf numFmtId="0" fontId="4" fillId="3" borderId="0" xfId="16" applyFill="1" applyAlignment="1">
      <alignment vertical="center"/>
    </xf>
    <xf numFmtId="0" fontId="2" fillId="17" borderId="20" xfId="0" applyFont="1" applyFill="1" applyBorder="1" applyAlignment="1">
      <alignment horizontal="center" vertical="center" wrapText="1"/>
    </xf>
    <xf numFmtId="0" fontId="18" fillId="17" borderId="8" xfId="0" applyFont="1" applyFill="1" applyBorder="1" applyAlignment="1">
      <alignment horizontal="left" vertical="center" wrapText="1"/>
    </xf>
    <xf numFmtId="42" fontId="2" fillId="17" borderId="18" xfId="0" applyNumberFormat="1" applyFont="1" applyFill="1" applyBorder="1" applyAlignment="1">
      <alignment horizontal="center" vertical="center" wrapText="1"/>
    </xf>
    <xf numFmtId="42" fontId="18" fillId="17" borderId="18" xfId="0" applyNumberFormat="1" applyFont="1" applyFill="1" applyBorder="1" applyAlignment="1">
      <alignment horizontal="center" vertical="center" wrapText="1"/>
    </xf>
    <xf numFmtId="0" fontId="18" fillId="17" borderId="59" xfId="0" applyFont="1" applyFill="1" applyBorder="1" applyAlignment="1">
      <alignment horizontal="left" vertical="center" wrapText="1"/>
    </xf>
    <xf numFmtId="0" fontId="10" fillId="0" borderId="0" xfId="0" applyFont="1" applyFill="1" applyBorder="1" applyAlignment="1">
      <alignment horizontal="center" vertical="center" wrapText="1"/>
    </xf>
    <xf numFmtId="2" fontId="7" fillId="0" borderId="1" xfId="5" applyNumberFormat="1" applyFont="1" applyFill="1" applyBorder="1" applyAlignment="1">
      <alignment horizontal="center" vertical="center"/>
    </xf>
    <xf numFmtId="9" fontId="7" fillId="0" borderId="1" xfId="21" applyFont="1" applyFill="1" applyBorder="1" applyAlignment="1">
      <alignment horizontal="center" vertical="center"/>
    </xf>
    <xf numFmtId="4" fontId="65" fillId="0" borderId="1" xfId="0" applyNumberFormat="1" applyFont="1" applyFill="1" applyBorder="1" applyAlignment="1">
      <alignment horizontal="center" vertical="center" wrapText="1"/>
    </xf>
    <xf numFmtId="0" fontId="50" fillId="0" borderId="1" xfId="0" applyFont="1" applyFill="1" applyBorder="1" applyAlignment="1">
      <alignment horizontal="center" vertical="top" wrapText="1"/>
    </xf>
    <xf numFmtId="3" fontId="65" fillId="0" borderId="1" xfId="0" applyNumberFormat="1" applyFont="1" applyFill="1" applyBorder="1" applyAlignment="1">
      <alignment horizontal="center" vertical="center" wrapText="1"/>
    </xf>
    <xf numFmtId="0" fontId="51" fillId="0" borderId="1" xfId="0" applyFont="1" applyFill="1" applyBorder="1" applyAlignment="1">
      <alignment horizontal="center" vertical="top" wrapText="1"/>
    </xf>
    <xf numFmtId="1" fontId="5" fillId="0" borderId="1" xfId="5" applyNumberFormat="1" applyFont="1" applyFill="1" applyBorder="1" applyAlignment="1">
      <alignment horizontal="center" vertical="center"/>
    </xf>
    <xf numFmtId="175" fontId="5" fillId="0" borderId="1" xfId="3" applyNumberFormat="1" applyFont="1" applyFill="1" applyBorder="1" applyAlignment="1">
      <alignment horizontal="center" vertical="center"/>
    </xf>
    <xf numFmtId="0" fontId="50" fillId="0" borderId="11" xfId="0" applyFont="1" applyFill="1" applyBorder="1" applyAlignment="1">
      <alignment horizontal="center" vertical="top" wrapText="1"/>
    </xf>
    <xf numFmtId="0" fontId="51" fillId="0" borderId="11" xfId="0" applyFont="1" applyFill="1" applyBorder="1" applyAlignment="1">
      <alignment horizontal="center" vertical="top" wrapText="1"/>
    </xf>
    <xf numFmtId="0" fontId="26" fillId="0" borderId="11" xfId="0" applyFont="1" applyFill="1" applyBorder="1" applyAlignment="1">
      <alignment horizontal="center" vertical="center" wrapText="1"/>
    </xf>
    <xf numFmtId="175" fontId="7" fillId="0" borderId="4" xfId="3" applyNumberFormat="1" applyFont="1" applyFill="1" applyBorder="1" applyAlignment="1">
      <alignment horizontal="center" vertical="center"/>
    </xf>
    <xf numFmtId="2" fontId="7" fillId="0" borderId="4" xfId="5" applyNumberFormat="1" applyFont="1" applyFill="1" applyBorder="1" applyAlignment="1">
      <alignment horizontal="center" vertical="center"/>
    </xf>
    <xf numFmtId="9" fontId="7" fillId="0" borderId="4" xfId="21" applyFont="1" applyFill="1" applyBorder="1" applyAlignment="1">
      <alignment horizontal="center" vertical="center"/>
    </xf>
    <xf numFmtId="37" fontId="66" fillId="0" borderId="4" xfId="9" applyNumberFormat="1" applyFont="1" applyFill="1" applyBorder="1" applyAlignment="1">
      <alignment horizontal="center" vertical="center"/>
    </xf>
    <xf numFmtId="0" fontId="51" fillId="0" borderId="4" xfId="0" applyFont="1" applyFill="1" applyBorder="1" applyAlignment="1">
      <alignment horizontal="center" vertical="top" wrapText="1"/>
    </xf>
    <xf numFmtId="0" fontId="26" fillId="0" borderId="12" xfId="0" applyFont="1" applyFill="1" applyBorder="1" applyAlignment="1">
      <alignment horizontal="center" vertical="center" wrapText="1"/>
    </xf>
    <xf numFmtId="0" fontId="2" fillId="17" borderId="4" xfId="16" applyFont="1" applyFill="1" applyBorder="1" applyAlignment="1">
      <alignment horizontal="center" vertical="center" wrapText="1"/>
    </xf>
    <xf numFmtId="0" fontId="0" fillId="0" borderId="0" xfId="0" applyAlignment="1">
      <alignment horizont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61" fillId="0" borderId="1" xfId="0" applyFont="1" applyBorder="1" applyAlignment="1">
      <alignment horizontal="center" wrapText="1"/>
    </xf>
    <xf numFmtId="0" fontId="61" fillId="0" borderId="4" xfId="0" applyFont="1" applyBorder="1" applyAlignment="1">
      <alignment horizontal="center" wrapText="1"/>
    </xf>
    <xf numFmtId="9" fontId="0" fillId="0" borderId="0" xfId="24" applyFont="1"/>
    <xf numFmtId="0" fontId="0" fillId="0" borderId="1" xfId="0" applyBorder="1" applyAlignment="1">
      <alignment horizontal="center" wrapText="1"/>
    </xf>
    <xf numFmtId="0" fontId="0" fillId="0" borderId="1" xfId="0" applyBorder="1" applyAlignment="1">
      <alignment wrapText="1"/>
    </xf>
    <xf numFmtId="169" fontId="0" fillId="0" borderId="1" xfId="10" applyFont="1" applyBorder="1" applyAlignment="1">
      <alignment wrapText="1"/>
    </xf>
    <xf numFmtId="169" fontId="0" fillId="0" borderId="1" xfId="10" applyFont="1" applyBorder="1"/>
    <xf numFmtId="9" fontId="0" fillId="0" borderId="11" xfId="24" applyFont="1" applyBorder="1" applyAlignment="1">
      <alignment horizontal="center"/>
    </xf>
    <xf numFmtId="0" fontId="61" fillId="0" borderId="56" xfId="0" applyFont="1" applyBorder="1"/>
    <xf numFmtId="166" fontId="0" fillId="0" borderId="1" xfId="1721" applyFont="1" applyBorder="1" applyAlignment="1">
      <alignment wrapText="1"/>
    </xf>
    <xf numFmtId="166" fontId="0" fillId="0" borderId="1" xfId="1721" applyFont="1" applyBorder="1"/>
    <xf numFmtId="10" fontId="0" fillId="0" borderId="11" xfId="2861" applyNumberFormat="1" applyFont="1" applyBorder="1"/>
    <xf numFmtId="0" fontId="0" fillId="0" borderId="4" xfId="0" applyBorder="1" applyAlignment="1">
      <alignment wrapText="1"/>
    </xf>
    <xf numFmtId="0" fontId="0" fillId="0" borderId="4" xfId="0" applyBorder="1" applyAlignment="1">
      <alignment horizontal="center" wrapText="1"/>
    </xf>
    <xf numFmtId="9" fontId="60" fillId="19" borderId="1" xfId="24" applyFont="1" applyFill="1" applyBorder="1" applyAlignment="1">
      <alignment horizontal="center" vertical="top" wrapText="1"/>
    </xf>
    <xf numFmtId="9" fontId="0" fillId="0" borderId="1" xfId="24" applyFont="1" applyBorder="1"/>
    <xf numFmtId="0" fontId="0" fillId="0" borderId="11" xfId="0" applyBorder="1" applyAlignment="1">
      <alignment wrapText="1"/>
    </xf>
    <xf numFmtId="0" fontId="61" fillId="0" borderId="20" xfId="0" applyFont="1" applyBorder="1"/>
    <xf numFmtId="0" fontId="0" fillId="0" borderId="2" xfId="0" applyBorder="1" applyAlignment="1">
      <alignment horizontal="center" wrapText="1"/>
    </xf>
    <xf numFmtId="0" fontId="0" fillId="0" borderId="2" xfId="0" applyBorder="1" applyAlignment="1">
      <alignment wrapText="1"/>
    </xf>
    <xf numFmtId="0" fontId="0" fillId="0" borderId="2" xfId="0" applyBorder="1"/>
    <xf numFmtId="9" fontId="0" fillId="0" borderId="2" xfId="24" applyFont="1" applyBorder="1"/>
    <xf numFmtId="0" fontId="0" fillId="0" borderId="19" xfId="0" applyBorder="1" applyAlignment="1">
      <alignment wrapText="1"/>
    </xf>
    <xf numFmtId="0" fontId="0" fillId="0" borderId="24" xfId="0" applyBorder="1" applyAlignment="1">
      <alignment horizontal="center" vertical="center" wrapText="1"/>
    </xf>
    <xf numFmtId="0" fontId="0" fillId="0" borderId="3" xfId="0" applyBorder="1" applyAlignment="1">
      <alignment vertical="center" wrapText="1"/>
    </xf>
    <xf numFmtId="0" fontId="0" fillId="0" borderId="3" xfId="0" applyBorder="1" applyAlignment="1">
      <alignment vertical="center"/>
    </xf>
    <xf numFmtId="9" fontId="0" fillId="0" borderId="3" xfId="24" applyFont="1" applyBorder="1" applyAlignment="1">
      <alignment vertical="center"/>
    </xf>
    <xf numFmtId="0" fontId="0" fillId="0" borderId="10" xfId="0" applyBorder="1" applyAlignment="1">
      <alignment vertical="center" wrapText="1"/>
    </xf>
    <xf numFmtId="0" fontId="0" fillId="0" borderId="1" xfId="0" applyBorder="1" applyAlignment="1">
      <alignment vertical="center" wrapText="1"/>
    </xf>
    <xf numFmtId="0" fontId="0" fillId="0" borderId="1" xfId="0" applyBorder="1" applyAlignment="1">
      <alignment vertical="center"/>
    </xf>
    <xf numFmtId="9" fontId="0" fillId="0" borderId="1" xfId="24" applyFont="1" applyBorder="1" applyAlignment="1">
      <alignment vertical="center"/>
    </xf>
    <xf numFmtId="0" fontId="0" fillId="0" borderId="11" xfId="0" applyBorder="1" applyAlignment="1">
      <alignment vertical="center" wrapText="1"/>
    </xf>
    <xf numFmtId="0" fontId="0" fillId="0" borderId="4" xfId="0" applyBorder="1" applyAlignment="1">
      <alignment vertical="center" wrapText="1"/>
    </xf>
    <xf numFmtId="0" fontId="0" fillId="0" borderId="4" xfId="0" applyBorder="1" applyAlignment="1">
      <alignment vertical="center"/>
    </xf>
    <xf numFmtId="9" fontId="0" fillId="0" borderId="4" xfId="24" applyFont="1" applyBorder="1" applyAlignment="1">
      <alignment vertical="center"/>
    </xf>
    <xf numFmtId="0" fontId="0" fillId="0" borderId="12" xfId="0" applyBorder="1" applyAlignment="1">
      <alignment vertical="center" wrapText="1"/>
    </xf>
    <xf numFmtId="0" fontId="0" fillId="3" borderId="3" xfId="0" applyFill="1" applyBorder="1" applyAlignment="1">
      <alignment vertical="center"/>
    </xf>
    <xf numFmtId="9" fontId="0" fillId="3" borderId="3" xfId="24" applyFont="1" applyFill="1" applyBorder="1" applyAlignment="1">
      <alignment vertical="center"/>
    </xf>
    <xf numFmtId="0" fontId="0" fillId="3" borderId="10" xfId="0" applyFill="1" applyBorder="1" applyAlignment="1">
      <alignment vertical="center" wrapText="1"/>
    </xf>
    <xf numFmtId="0" fontId="0" fillId="3" borderId="1" xfId="0" applyFill="1" applyBorder="1" applyAlignment="1">
      <alignment vertical="center"/>
    </xf>
    <xf numFmtId="9" fontId="0" fillId="3" borderId="1" xfId="24" applyFont="1" applyFill="1" applyBorder="1" applyAlignment="1">
      <alignment vertical="center"/>
    </xf>
    <xf numFmtId="0" fontId="0" fillId="3" borderId="11" xfId="0" applyFill="1" applyBorder="1" applyAlignment="1">
      <alignment vertical="center" wrapText="1"/>
    </xf>
    <xf numFmtId="0" fontId="0" fillId="3" borderId="4" xfId="0" applyFill="1" applyBorder="1" applyAlignment="1">
      <alignment vertical="center"/>
    </xf>
    <xf numFmtId="9" fontId="0" fillId="3" borderId="4" xfId="24" applyFont="1" applyFill="1" applyBorder="1" applyAlignment="1">
      <alignment vertical="center"/>
    </xf>
    <xf numFmtId="0" fontId="0" fillId="3" borderId="12" xfId="0" applyFill="1" applyBorder="1" applyAlignment="1">
      <alignment vertical="center" wrapText="1"/>
    </xf>
    <xf numFmtId="0" fontId="61" fillId="0" borderId="0" xfId="0" applyFont="1"/>
    <xf numFmtId="9" fontId="0" fillId="3" borderId="0" xfId="24" applyFont="1" applyFill="1" applyBorder="1"/>
    <xf numFmtId="0" fontId="0" fillId="3" borderId="0" xfId="0" applyFill="1" applyAlignment="1">
      <alignment wrapText="1"/>
    </xf>
    <xf numFmtId="0" fontId="21" fillId="3" borderId="11" xfId="0" applyFont="1" applyFill="1" applyBorder="1" applyAlignment="1" applyProtection="1">
      <alignment horizontal="center" vertical="center" wrapText="1"/>
      <protection locked="0"/>
    </xf>
    <xf numFmtId="0" fontId="83" fillId="3" borderId="11" xfId="0" applyFont="1" applyFill="1" applyBorder="1" applyAlignment="1" applyProtection="1">
      <alignment vertical="center" wrapText="1"/>
      <protection locked="0"/>
    </xf>
    <xf numFmtId="0" fontId="83" fillId="3" borderId="12" xfId="0" applyFont="1" applyFill="1" applyBorder="1" applyAlignment="1" applyProtection="1">
      <alignment vertical="center" wrapText="1"/>
      <protection locked="0"/>
    </xf>
    <xf numFmtId="0" fontId="0" fillId="3" borderId="1" xfId="0" applyFill="1" applyBorder="1"/>
    <xf numFmtId="0" fontId="0" fillId="3" borderId="11" xfId="0" applyFill="1" applyBorder="1" applyAlignment="1">
      <alignment wrapText="1"/>
    </xf>
    <xf numFmtId="0" fontId="26" fillId="0" borderId="1" xfId="0" applyFont="1" applyBorder="1"/>
    <xf numFmtId="0" fontId="26" fillId="3" borderId="1" xfId="0" applyFont="1" applyFill="1" applyBorder="1"/>
    <xf numFmtId="9" fontId="0" fillId="0" borderId="4" xfId="24" applyFont="1" applyBorder="1"/>
    <xf numFmtId="0" fontId="0" fillId="0" borderId="12" xfId="0" applyBorder="1" applyAlignment="1">
      <alignment wrapText="1"/>
    </xf>
    <xf numFmtId="0" fontId="61" fillId="0" borderId="5" xfId="0" applyFont="1" applyBorder="1" applyAlignment="1">
      <alignment wrapText="1"/>
    </xf>
    <xf numFmtId="169" fontId="61" fillId="0" borderId="5" xfId="10" applyFont="1" applyBorder="1" applyAlignment="1">
      <alignment horizontal="center" vertical="center"/>
    </xf>
    <xf numFmtId="0" fontId="61" fillId="0" borderId="21" xfId="0" applyFont="1" applyBorder="1"/>
    <xf numFmtId="0" fontId="61" fillId="0" borderId="1" xfId="0" applyFont="1" applyBorder="1" applyAlignment="1">
      <alignment wrapText="1"/>
    </xf>
    <xf numFmtId="169" fontId="61" fillId="0" borderId="1" xfId="10" applyFont="1" applyBorder="1" applyAlignment="1">
      <alignment horizontal="center" vertical="center"/>
    </xf>
    <xf numFmtId="0" fontId="61" fillId="0" borderId="4" xfId="0" applyFont="1" applyBorder="1" applyAlignment="1">
      <alignment wrapText="1"/>
    </xf>
    <xf numFmtId="0" fontId="61" fillId="0" borderId="12" xfId="0" applyFont="1" applyBorder="1"/>
    <xf numFmtId="0" fontId="61" fillId="0" borderId="5" xfId="0" applyFont="1" applyBorder="1" applyAlignment="1">
      <alignment horizontal="center" vertical="center" wrapText="1"/>
    </xf>
    <xf numFmtId="166" fontId="0" fillId="0" borderId="1" xfId="1721" applyFont="1" applyBorder="1" applyAlignment="1">
      <alignment horizontal="center" vertical="center"/>
    </xf>
    <xf numFmtId="0" fontId="0" fillId="0" borderId="11" xfId="0" applyBorder="1" applyAlignment="1">
      <alignment horizontal="center" vertical="center"/>
    </xf>
    <xf numFmtId="9" fontId="0" fillId="0" borderId="0" xfId="24" applyFont="1" applyAlignment="1">
      <alignment horizontal="center" vertical="center"/>
    </xf>
    <xf numFmtId="0" fontId="0" fillId="0" borderId="0" xfId="0" applyAlignment="1">
      <alignment horizontal="center" vertical="center" wrapText="1"/>
    </xf>
    <xf numFmtId="0" fontId="61" fillId="0" borderId="1" xfId="0" applyFont="1" applyBorder="1" applyAlignment="1">
      <alignment horizontal="center" vertical="center" wrapText="1"/>
    </xf>
    <xf numFmtId="166" fontId="0" fillId="0" borderId="5" xfId="1721" applyFont="1" applyBorder="1" applyAlignment="1">
      <alignment horizontal="center" vertical="center"/>
    </xf>
    <xf numFmtId="0" fontId="0" fillId="0" borderId="5" xfId="0" applyBorder="1" applyAlignment="1">
      <alignment horizontal="center" vertical="center"/>
    </xf>
    <xf numFmtId="0" fontId="0" fillId="0" borderId="21" xfId="0" applyBorder="1" applyAlignment="1">
      <alignment horizontal="center" vertical="center"/>
    </xf>
    <xf numFmtId="0" fontId="0" fillId="0" borderId="5" xfId="0" applyBorder="1" applyAlignment="1">
      <alignment horizontal="center" wrapText="1"/>
    </xf>
    <xf numFmtId="0" fontId="0" fillId="0" borderId="5" xfId="0" applyBorder="1" applyAlignment="1">
      <alignment wrapText="1"/>
    </xf>
    <xf numFmtId="0" fontId="61" fillId="3" borderId="1" xfId="0" applyFont="1" applyFill="1" applyBorder="1"/>
    <xf numFmtId="0" fontId="61" fillId="3" borderId="11" xfId="0" applyFont="1" applyFill="1" applyBorder="1"/>
    <xf numFmtId="9" fontId="61" fillId="3" borderId="1" xfId="24" applyFont="1" applyFill="1" applyBorder="1"/>
    <xf numFmtId="0" fontId="61" fillId="3" borderId="11" xfId="0" applyFont="1" applyFill="1" applyBorder="1" applyAlignment="1">
      <alignment wrapText="1"/>
    </xf>
    <xf numFmtId="0" fontId="61" fillId="0" borderId="1" xfId="0" applyFont="1" applyBorder="1" applyAlignment="1">
      <alignment vertical="center" wrapText="1"/>
    </xf>
    <xf numFmtId="10" fontId="0" fillId="0" borderId="1" xfId="2861" applyNumberFormat="1" applyFont="1" applyBorder="1" applyAlignment="1">
      <alignment vertical="center"/>
    </xf>
    <xf numFmtId="9" fontId="0" fillId="0" borderId="0" xfId="24" applyFont="1" applyAlignment="1">
      <alignment vertical="center"/>
    </xf>
    <xf numFmtId="0" fontId="0" fillId="0" borderId="0" xfId="0" applyAlignment="1">
      <alignment vertical="center" wrapText="1"/>
    </xf>
    <xf numFmtId="0" fontId="0" fillId="0" borderId="11" xfId="0" applyBorder="1" applyAlignment="1">
      <alignment horizontal="center" vertical="center" wrapText="1"/>
    </xf>
    <xf numFmtId="9" fontId="0" fillId="0" borderId="1" xfId="2861" applyFont="1" applyBorder="1" applyAlignment="1">
      <alignment vertical="center"/>
    </xf>
    <xf numFmtId="0" fontId="26" fillId="0" borderId="1" xfId="0" applyFont="1" applyBorder="1" applyAlignment="1">
      <alignment vertical="center"/>
    </xf>
    <xf numFmtId="0" fontId="26" fillId="3" borderId="1" xfId="0" applyFont="1" applyFill="1" applyBorder="1" applyAlignment="1">
      <alignment vertical="center"/>
    </xf>
    <xf numFmtId="175" fontId="7" fillId="0" borderId="1" xfId="5" applyNumberFormat="1" applyFont="1" applyFill="1" applyBorder="1" applyAlignment="1">
      <alignment horizontal="center" vertical="center"/>
    </xf>
    <xf numFmtId="170" fontId="7" fillId="0" borderId="1" xfId="5" applyNumberFormat="1" applyFont="1" applyFill="1" applyBorder="1" applyAlignment="1">
      <alignment horizontal="center" vertical="center"/>
    </xf>
    <xf numFmtId="170" fontId="7" fillId="0" borderId="1" xfId="5" applyFont="1" applyFill="1" applyBorder="1" applyAlignment="1">
      <alignment horizontal="left" vertical="center"/>
    </xf>
    <xf numFmtId="178" fontId="66" fillId="0" borderId="1" xfId="3" applyNumberFormat="1" applyFont="1" applyFill="1" applyBorder="1" applyAlignment="1">
      <alignment horizontal="center" vertical="center"/>
    </xf>
    <xf numFmtId="175" fontId="7" fillId="0" borderId="1" xfId="5" applyNumberFormat="1" applyFont="1" applyFill="1" applyBorder="1" applyAlignment="1">
      <alignment vertical="center"/>
    </xf>
    <xf numFmtId="175" fontId="7" fillId="0" borderId="1" xfId="5" applyNumberFormat="1" applyFont="1" applyFill="1" applyBorder="1" applyAlignment="1">
      <alignment horizontal="left" vertical="center"/>
    </xf>
    <xf numFmtId="181" fontId="65" fillId="0" borderId="1" xfId="3" applyNumberFormat="1" applyFont="1" applyFill="1" applyBorder="1" applyAlignment="1">
      <alignment horizontal="center" vertical="center"/>
    </xf>
    <xf numFmtId="175" fontId="65" fillId="0" borderId="1" xfId="3" applyNumberFormat="1" applyFont="1" applyFill="1" applyBorder="1" applyAlignment="1">
      <alignment horizontal="center" vertical="center"/>
    </xf>
    <xf numFmtId="0" fontId="7" fillId="0" borderId="4" xfId="0" applyFont="1" applyFill="1" applyBorder="1" applyAlignment="1">
      <alignment horizontal="center" vertical="center"/>
    </xf>
    <xf numFmtId="175" fontId="7" fillId="0" borderId="4" xfId="5" applyNumberFormat="1" applyFont="1" applyFill="1" applyBorder="1" applyAlignment="1">
      <alignment vertical="center"/>
    </xf>
    <xf numFmtId="175" fontId="7" fillId="0" borderId="4" xfId="5" applyNumberFormat="1" applyFont="1" applyFill="1" applyBorder="1" applyAlignment="1">
      <alignment horizontal="left" vertical="center"/>
    </xf>
    <xf numFmtId="181" fontId="66" fillId="0" borderId="4" xfId="3" applyNumberFormat="1" applyFont="1" applyFill="1" applyBorder="1" applyAlignment="1">
      <alignment horizontal="center" vertical="center"/>
    </xf>
    <xf numFmtId="3" fontId="2" fillId="0" borderId="42" xfId="0" applyNumberFormat="1" applyFont="1" applyFill="1" applyBorder="1" applyAlignment="1">
      <alignment horizontal="center" vertical="center"/>
    </xf>
    <xf numFmtId="3" fontId="4" fillId="0" borderId="42" xfId="0" applyNumberFormat="1" applyFont="1" applyFill="1" applyBorder="1" applyAlignment="1">
      <alignment horizontal="center" vertical="center"/>
    </xf>
    <xf numFmtId="3" fontId="2" fillId="0" borderId="5" xfId="0" applyNumberFormat="1" applyFont="1" applyFill="1" applyBorder="1" applyAlignment="1">
      <alignment horizontal="center" vertical="center" wrapText="1"/>
    </xf>
    <xf numFmtId="3" fontId="4" fillId="0" borderId="7" xfId="0" applyNumberFormat="1" applyFont="1" applyFill="1" applyBorder="1" applyAlignment="1">
      <alignment horizontal="center" vertical="center"/>
    </xf>
    <xf numFmtId="187" fontId="4" fillId="0" borderId="1" xfId="218" applyNumberFormat="1" applyFont="1" applyFill="1" applyBorder="1" applyAlignment="1">
      <alignment horizontal="center" vertical="center"/>
    </xf>
    <xf numFmtId="186" fontId="4" fillId="0" borderId="1" xfId="246" applyNumberFormat="1" applyFont="1" applyFill="1" applyBorder="1" applyAlignment="1">
      <alignment horizontal="center" vertical="center"/>
    </xf>
    <xf numFmtId="4" fontId="2" fillId="0" borderId="7" xfId="0" applyNumberFormat="1" applyFont="1" applyFill="1" applyBorder="1" applyAlignment="1">
      <alignment horizontal="center" vertical="center"/>
    </xf>
    <xf numFmtId="0" fontId="4" fillId="0" borderId="1" xfId="0" applyFont="1" applyFill="1" applyBorder="1" applyAlignment="1">
      <alignment horizontal="center" vertical="center"/>
    </xf>
    <xf numFmtId="4"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3" fontId="2" fillId="0" borderId="7" xfId="0" applyNumberFormat="1" applyFont="1" applyFill="1" applyBorder="1" applyAlignment="1">
      <alignment horizontal="center" vertical="center"/>
    </xf>
    <xf numFmtId="4" fontId="4" fillId="0" borderId="1" xfId="0" applyNumberFormat="1" applyFont="1" applyFill="1" applyBorder="1" applyAlignment="1">
      <alignment horizontal="center" vertical="center"/>
    </xf>
    <xf numFmtId="166" fontId="4" fillId="0" borderId="1" xfId="1721" applyFont="1" applyFill="1" applyBorder="1" applyAlignment="1">
      <alignment horizontal="center" vertical="center"/>
    </xf>
    <xf numFmtId="39" fontId="4" fillId="0" borderId="7" xfId="0" applyNumberFormat="1" applyFont="1" applyFill="1" applyBorder="1" applyAlignment="1">
      <alignment horizontal="center" vertical="center" wrapText="1"/>
    </xf>
    <xf numFmtId="39" fontId="2" fillId="0" borderId="7" xfId="0" applyNumberFormat="1"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3" fontId="4" fillId="0" borderId="7"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xf>
    <xf numFmtId="39" fontId="4" fillId="0" borderId="7" xfId="0" applyNumberFormat="1" applyFont="1" applyFill="1" applyBorder="1" applyAlignment="1">
      <alignment horizontal="center" vertical="center"/>
    </xf>
    <xf numFmtId="4" fontId="4" fillId="0" borderId="7" xfId="0" applyNumberFormat="1" applyFont="1" applyFill="1" applyBorder="1" applyAlignment="1">
      <alignment horizontal="center" vertical="center"/>
    </xf>
    <xf numFmtId="4" fontId="4" fillId="0" borderId="18" xfId="0" applyNumberFormat="1" applyFont="1" applyFill="1" applyBorder="1" applyAlignment="1">
      <alignment horizontal="center" vertical="center"/>
    </xf>
    <xf numFmtId="4" fontId="4" fillId="0" borderId="7" xfId="0" applyNumberFormat="1" applyFont="1" applyBorder="1" applyAlignment="1">
      <alignment horizontal="center" vertical="center"/>
    </xf>
    <xf numFmtId="0" fontId="7" fillId="0" borderId="1" xfId="0" applyFont="1" applyFill="1" applyBorder="1" applyAlignment="1">
      <alignment horizontal="center" vertical="center"/>
    </xf>
    <xf numFmtId="0" fontId="7" fillId="0" borderId="4" xfId="0" applyFont="1" applyFill="1" applyBorder="1" applyAlignment="1">
      <alignment horizontal="center" vertical="top" wrapText="1"/>
    </xf>
    <xf numFmtId="175" fontId="7" fillId="0" borderId="4" xfId="5" applyNumberFormat="1" applyFont="1" applyFill="1" applyBorder="1" applyAlignment="1">
      <alignment horizontal="center" vertical="center"/>
    </xf>
    <xf numFmtId="0" fontId="16" fillId="17" borderId="1" xfId="0" applyFont="1" applyFill="1" applyBorder="1" applyAlignment="1" applyProtection="1">
      <alignment horizontal="left" vertical="center" wrapText="1"/>
      <protection locked="0"/>
    </xf>
    <xf numFmtId="0" fontId="0" fillId="3" borderId="1" xfId="0" applyFill="1" applyBorder="1" applyAlignment="1">
      <alignment horizontal="center" vertical="center"/>
    </xf>
    <xf numFmtId="0" fontId="16" fillId="18" borderId="1" xfId="0" applyFont="1" applyFill="1" applyBorder="1" applyAlignment="1" applyProtection="1">
      <alignment horizontal="left" vertical="center" wrapText="1"/>
      <protection locked="0"/>
    </xf>
    <xf numFmtId="10" fontId="0" fillId="0" borderId="11" xfId="21" applyNumberFormat="1" applyFont="1" applyBorder="1"/>
    <xf numFmtId="10" fontId="0" fillId="3" borderId="1" xfId="2861" applyNumberFormat="1" applyFont="1" applyFill="1" applyBorder="1" applyAlignment="1">
      <alignment vertical="center"/>
    </xf>
    <xf numFmtId="9" fontId="0" fillId="3" borderId="1" xfId="2861" applyFont="1" applyFill="1" applyBorder="1" applyAlignment="1">
      <alignment vertical="center"/>
    </xf>
    <xf numFmtId="0" fontId="0" fillId="0" borderId="4" xfId="0" applyBorder="1" applyAlignment="1">
      <alignment horizontal="center" vertical="center"/>
    </xf>
    <xf numFmtId="0" fontId="0" fillId="0" borderId="3" xfId="0" applyBorder="1" applyAlignment="1">
      <alignment horizontal="center" vertical="center"/>
    </xf>
    <xf numFmtId="0" fontId="26" fillId="3" borderId="1" xfId="0" applyFont="1" applyFill="1" applyBorder="1" applyAlignment="1">
      <alignment horizontal="center" vertical="center"/>
    </xf>
    <xf numFmtId="9" fontId="0" fillId="3" borderId="1" xfId="24" applyFont="1" applyFill="1" applyBorder="1" applyAlignment="1">
      <alignment horizontal="center" vertical="center"/>
    </xf>
    <xf numFmtId="0" fontId="7" fillId="0" borderId="1" xfId="0" applyFont="1" applyFill="1" applyBorder="1" applyAlignment="1">
      <alignment horizontal="center" vertical="top" wrapText="1"/>
    </xf>
    <xf numFmtId="181" fontId="65" fillId="0" borderId="1" xfId="5" applyNumberFormat="1" applyFont="1" applyFill="1" applyBorder="1" applyAlignment="1">
      <alignment horizontal="center" vertical="center"/>
    </xf>
    <xf numFmtId="181" fontId="66" fillId="0" borderId="4" xfId="5" applyNumberFormat="1" applyFont="1" applyFill="1" applyBorder="1" applyAlignment="1">
      <alignment horizontal="center" vertical="center"/>
    </xf>
    <xf numFmtId="170" fontId="7" fillId="0" borderId="4" xfId="5" applyNumberFormat="1" applyFont="1" applyFill="1" applyBorder="1" applyAlignment="1">
      <alignment horizontal="center" vertical="center"/>
    </xf>
    <xf numFmtId="0" fontId="0" fillId="0" borderId="0" xfId="0" applyAlignment="1">
      <alignment horizontal="center"/>
    </xf>
    <xf numFmtId="0" fontId="22" fillId="4" borderId="1" xfId="0" applyFont="1" applyFill="1" applyBorder="1" applyAlignment="1">
      <alignment horizontal="center" vertical="center"/>
    </xf>
    <xf numFmtId="0" fontId="0" fillId="20" borderId="0" xfId="0" applyFill="1"/>
    <xf numFmtId="2" fontId="0" fillId="3" borderId="0" xfId="0" applyNumberFormat="1" applyFill="1" applyAlignment="1">
      <alignment horizontal="center"/>
    </xf>
    <xf numFmtId="0" fontId="10" fillId="3" borderId="0" xfId="0" applyFont="1" applyFill="1" applyBorder="1" applyAlignment="1">
      <alignment horizontal="center" vertical="center" wrapText="1"/>
    </xf>
    <xf numFmtId="0" fontId="7" fillId="3" borderId="0" xfId="0" applyFont="1" applyFill="1" applyBorder="1" applyAlignment="1">
      <alignment horizontal="center" vertical="center"/>
    </xf>
    <xf numFmtId="43" fontId="0" fillId="3" borderId="0" xfId="0" applyNumberFormat="1" applyFill="1" applyAlignment="1">
      <alignment horizontal="center"/>
    </xf>
    <xf numFmtId="10" fontId="4" fillId="3" borderId="0" xfId="16" applyNumberFormat="1" applyFill="1" applyAlignment="1">
      <alignment vertical="center"/>
    </xf>
    <xf numFmtId="169" fontId="0" fillId="0" borderId="1" xfId="9" applyFont="1" applyBorder="1"/>
    <xf numFmtId="0" fontId="0" fillId="0" borderId="0" xfId="0" applyFill="1" applyAlignment="1">
      <alignment horizontal="center"/>
    </xf>
    <xf numFmtId="0" fontId="17" fillId="0" borderId="0" xfId="16" applyFont="1" applyFill="1" applyAlignment="1">
      <alignment vertical="center"/>
    </xf>
    <xf numFmtId="0" fontId="26" fillId="0" borderId="1" xfId="0" applyFont="1" applyFill="1" applyBorder="1" applyAlignment="1">
      <alignment horizontal="center" vertical="center"/>
    </xf>
    <xf numFmtId="9" fontId="0" fillId="0" borderId="1" xfId="24" applyFont="1" applyFill="1" applyBorder="1" applyAlignment="1">
      <alignment horizontal="center" vertical="center"/>
    </xf>
    <xf numFmtId="0" fontId="83" fillId="0" borderId="19" xfId="0" applyFont="1" applyFill="1" applyBorder="1" applyAlignment="1" applyProtection="1">
      <alignment vertical="center" wrapText="1"/>
      <protection locked="0"/>
    </xf>
    <xf numFmtId="0" fontId="0" fillId="0" borderId="1" xfId="0" applyFill="1" applyBorder="1" applyAlignment="1">
      <alignment vertical="center" wrapText="1"/>
    </xf>
    <xf numFmtId="0" fontId="0" fillId="0" borderId="11" xfId="0" applyFill="1" applyBorder="1" applyAlignment="1">
      <alignment vertical="center" wrapText="1"/>
    </xf>
    <xf numFmtId="166" fontId="0" fillId="0" borderId="1" xfId="1721" applyFont="1" applyFill="1" applyBorder="1" applyAlignment="1">
      <alignment horizontal="center" vertical="center"/>
    </xf>
    <xf numFmtId="166" fontId="0" fillId="0" borderId="5" xfId="1721" applyFont="1" applyFill="1" applyBorder="1" applyAlignment="1">
      <alignment horizontal="center" vertical="center"/>
    </xf>
    <xf numFmtId="0" fontId="0" fillId="0" borderId="1" xfId="0" applyFill="1" applyBorder="1" applyAlignment="1">
      <alignment vertical="center"/>
    </xf>
    <xf numFmtId="0" fontId="26" fillId="0" borderId="1" xfId="0" applyFont="1" applyFill="1" applyBorder="1" applyAlignment="1">
      <alignment vertical="center"/>
    </xf>
    <xf numFmtId="10" fontId="0" fillId="0" borderId="1" xfId="2861" applyNumberFormat="1" applyFont="1" applyFill="1" applyBorder="1" applyAlignment="1">
      <alignment vertical="center"/>
    </xf>
    <xf numFmtId="0" fontId="0" fillId="0" borderId="19" xfId="0" applyFill="1" applyBorder="1" applyAlignment="1">
      <alignment vertical="center" wrapText="1"/>
    </xf>
    <xf numFmtId="0" fontId="0" fillId="0" borderId="21" xfId="0" applyFill="1" applyBorder="1" applyAlignment="1">
      <alignment vertical="center" wrapText="1"/>
    </xf>
    <xf numFmtId="9" fontId="0" fillId="0" borderId="1" xfId="2861" applyFont="1" applyFill="1" applyBorder="1" applyAlignment="1">
      <alignment vertical="center"/>
    </xf>
    <xf numFmtId="0" fontId="0" fillId="0" borderId="11" xfId="0" applyFill="1" applyBorder="1"/>
    <xf numFmtId="10" fontId="4" fillId="26" borderId="0" xfId="16" applyNumberFormat="1" applyFill="1" applyAlignment="1">
      <alignment vertical="center"/>
    </xf>
    <xf numFmtId="0" fontId="26" fillId="0" borderId="0" xfId="0" applyFont="1"/>
    <xf numFmtId="0" fontId="0" fillId="29" borderId="0" xfId="0" applyFill="1"/>
    <xf numFmtId="0" fontId="0" fillId="29" borderId="0" xfId="0" applyFill="1" applyAlignment="1">
      <alignment horizontal="center"/>
    </xf>
    <xf numFmtId="0" fontId="43" fillId="29" borderId="0" xfId="0" applyFont="1" applyFill="1"/>
    <xf numFmtId="0" fontId="4" fillId="29" borderId="0" xfId="16" applyFill="1" applyAlignment="1">
      <alignment vertical="top"/>
    </xf>
    <xf numFmtId="0" fontId="7" fillId="0" borderId="1" xfId="0" applyFont="1" applyFill="1" applyBorder="1" applyAlignment="1">
      <alignment horizontal="left" vertical="top" wrapText="1"/>
    </xf>
    <xf numFmtId="0" fontId="7" fillId="0" borderId="4" xfId="0" applyFont="1" applyFill="1" applyBorder="1" applyAlignment="1">
      <alignment horizontal="left" vertical="center"/>
    </xf>
    <xf numFmtId="170" fontId="7" fillId="0" borderId="1" xfId="5" applyFont="1" applyFill="1" applyBorder="1" applyAlignment="1">
      <alignment horizontal="center" vertical="center"/>
    </xf>
    <xf numFmtId="178" fontId="7" fillId="0" borderId="1" xfId="3" applyNumberFormat="1" applyFont="1" applyFill="1" applyBorder="1" applyAlignment="1">
      <alignment horizontal="center" vertical="center"/>
    </xf>
    <xf numFmtId="181" fontId="66" fillId="0" borderId="1" xfId="3" applyNumberFormat="1" applyFont="1" applyFill="1" applyBorder="1" applyAlignment="1">
      <alignment horizontal="center" vertical="center"/>
    </xf>
    <xf numFmtId="181" fontId="66" fillId="0" borderId="1" xfId="5" applyNumberFormat="1" applyFont="1" applyFill="1" applyBorder="1" applyAlignment="1">
      <alignment horizontal="center" vertical="center"/>
    </xf>
    <xf numFmtId="0" fontId="0" fillId="3" borderId="0" xfId="0" applyFill="1" applyAlignment="1"/>
    <xf numFmtId="0" fontId="10" fillId="0" borderId="0" xfId="0" applyFont="1" applyFill="1" applyBorder="1" applyAlignment="1">
      <alignment vertical="center" wrapText="1"/>
    </xf>
    <xf numFmtId="0" fontId="0" fillId="0" borderId="0" xfId="0" applyAlignment="1"/>
    <xf numFmtId="0" fontId="0" fillId="0" borderId="0" xfId="0" applyFill="1" applyAlignment="1"/>
    <xf numFmtId="0" fontId="88" fillId="0" borderId="0" xfId="0" applyFont="1" applyFill="1"/>
    <xf numFmtId="0" fontId="91" fillId="0" borderId="0" xfId="0" applyFont="1" applyFill="1"/>
    <xf numFmtId="0" fontId="86" fillId="0" borderId="0" xfId="0" applyFont="1" applyFill="1"/>
    <xf numFmtId="0" fontId="86" fillId="3" borderId="0" xfId="0" applyFont="1" applyFill="1"/>
    <xf numFmtId="0" fontId="93" fillId="3" borderId="0" xfId="0" applyFont="1" applyFill="1"/>
    <xf numFmtId="0" fontId="94" fillId="3" borderId="0" xfId="0" applyFont="1" applyFill="1" applyAlignment="1">
      <alignment horizontal="left"/>
    </xf>
    <xf numFmtId="0" fontId="95" fillId="3" borderId="0" xfId="0" applyFont="1" applyFill="1" applyAlignment="1">
      <alignment horizontal="center"/>
    </xf>
    <xf numFmtId="0" fontId="96" fillId="3" borderId="0" xfId="0" applyFont="1" applyFill="1" applyAlignment="1">
      <alignment horizontal="center"/>
    </xf>
    <xf numFmtId="0" fontId="95" fillId="0" borderId="0" xfId="0" applyFont="1" applyFill="1" applyAlignment="1">
      <alignment horizontal="center"/>
    </xf>
    <xf numFmtId="0" fontId="95" fillId="29" borderId="0" xfId="0" applyFont="1" applyFill="1" applyAlignment="1">
      <alignment horizontal="center"/>
    </xf>
    <xf numFmtId="175" fontId="86" fillId="3" borderId="0" xfId="0" applyNumberFormat="1" applyFont="1" applyFill="1" applyAlignment="1">
      <alignment horizontal="center"/>
    </xf>
    <xf numFmtId="0" fontId="86" fillId="29" borderId="0" xfId="0" applyFont="1" applyFill="1"/>
    <xf numFmtId="0" fontId="86" fillId="0" borderId="0" xfId="0" applyFont="1" applyFill="1" applyAlignment="1">
      <alignment horizontal="center" vertical="center"/>
    </xf>
    <xf numFmtId="0" fontId="95" fillId="17" borderId="1" xfId="0" applyFont="1" applyFill="1" applyBorder="1" applyAlignment="1">
      <alignment horizontal="center" vertical="center" wrapText="1"/>
    </xf>
    <xf numFmtId="0" fontId="92" fillId="17" borderId="1" xfId="0" applyFont="1" applyFill="1" applyBorder="1" applyAlignment="1">
      <alignment horizontal="center" vertical="center" wrapText="1"/>
    </xf>
    <xf numFmtId="0" fontId="96" fillId="17" borderId="1" xfId="0" applyFont="1" applyFill="1" applyBorder="1" applyAlignment="1">
      <alignment horizontal="center" vertical="center" wrapText="1"/>
    </xf>
    <xf numFmtId="0" fontId="96" fillId="17" borderId="1" xfId="0" applyFont="1" applyFill="1" applyBorder="1" applyAlignment="1">
      <alignment horizontal="left" vertical="center" wrapText="1"/>
    </xf>
    <xf numFmtId="0" fontId="95" fillId="22" borderId="1" xfId="0" applyFont="1" applyFill="1" applyBorder="1" applyAlignment="1">
      <alignment horizontal="center" vertical="center" wrapText="1"/>
    </xf>
    <xf numFmtId="0" fontId="95" fillId="18" borderId="1" xfId="0" applyFont="1" applyFill="1" applyBorder="1" applyAlignment="1">
      <alignment horizontal="center" vertical="center" wrapText="1"/>
    </xf>
    <xf numFmtId="0" fontId="95" fillId="23" borderId="1" xfId="0" applyFont="1" applyFill="1" applyBorder="1" applyAlignment="1">
      <alignment horizontal="center" vertical="center" wrapText="1"/>
    </xf>
    <xf numFmtId="0" fontId="96" fillId="22" borderId="1" xfId="0" applyFont="1" applyFill="1" applyBorder="1" applyAlignment="1">
      <alignment horizontal="center" vertical="center" wrapText="1"/>
    </xf>
    <xf numFmtId="0" fontId="96" fillId="21" borderId="1" xfId="0" applyFont="1" applyFill="1" applyBorder="1" applyAlignment="1">
      <alignment horizontal="center" vertical="center" wrapText="1"/>
    </xf>
    <xf numFmtId="0" fontId="96" fillId="23" borderId="1" xfId="0" applyFont="1" applyFill="1" applyBorder="1" applyAlignment="1">
      <alignment horizontal="center" vertical="center" wrapText="1"/>
    </xf>
    <xf numFmtId="0" fontId="95" fillId="3" borderId="1" xfId="0" applyFont="1" applyFill="1" applyBorder="1" applyAlignment="1">
      <alignment horizontal="center" vertical="center" wrapText="1"/>
    </xf>
    <xf numFmtId="0" fontId="98" fillId="23" borderId="1" xfId="0" applyFont="1" applyFill="1" applyBorder="1" applyAlignment="1">
      <alignment horizontal="center" vertical="center" wrapText="1"/>
    </xf>
    <xf numFmtId="0" fontId="98" fillId="17" borderId="1" xfId="0" applyFont="1" applyFill="1" applyBorder="1" applyAlignment="1">
      <alignment horizontal="center" vertical="center" wrapText="1"/>
    </xf>
    <xf numFmtId="183" fontId="93" fillId="22" borderId="1" xfId="0" applyNumberFormat="1" applyFont="1" applyFill="1" applyBorder="1" applyAlignment="1" applyProtection="1">
      <alignment horizontal="left" vertical="center" wrapText="1"/>
      <protection locked="0"/>
    </xf>
    <xf numFmtId="0" fontId="93" fillId="0" borderId="0" xfId="0" applyFont="1" applyFill="1"/>
    <xf numFmtId="0" fontId="94" fillId="0" borderId="0" xfId="0" applyFont="1" applyFill="1" applyAlignment="1">
      <alignment horizontal="left"/>
    </xf>
    <xf numFmtId="42" fontId="95" fillId="0" borderId="0" xfId="2866" applyFont="1" applyFill="1" applyAlignment="1">
      <alignment horizontal="center"/>
    </xf>
    <xf numFmtId="42" fontId="96" fillId="0" borderId="0" xfId="2866" applyFont="1" applyFill="1" applyAlignment="1">
      <alignment horizontal="center"/>
    </xf>
    <xf numFmtId="183" fontId="86" fillId="0" borderId="0" xfId="0" applyNumberFormat="1" applyFont="1" applyFill="1"/>
    <xf numFmtId="42" fontId="95" fillId="3" borderId="0" xfId="2866" applyFont="1" applyFill="1" applyAlignment="1">
      <alignment horizontal="center"/>
    </xf>
    <xf numFmtId="183" fontId="95" fillId="0" borderId="0" xfId="2866" applyNumberFormat="1" applyFont="1" applyFill="1" applyAlignment="1">
      <alignment horizontal="center"/>
    </xf>
    <xf numFmtId="0" fontId="86" fillId="0" borderId="0" xfId="0" applyFont="1" applyFill="1" applyAlignment="1">
      <alignment horizontal="center"/>
    </xf>
    <xf numFmtId="10" fontId="95" fillId="0" borderId="0" xfId="21" applyNumberFormat="1" applyFont="1" applyFill="1" applyAlignment="1">
      <alignment horizontal="center"/>
    </xf>
    <xf numFmtId="0" fontId="100" fillId="3" borderId="0" xfId="0" applyFont="1" applyFill="1" applyAlignment="1">
      <alignment horizontal="left"/>
    </xf>
    <xf numFmtId="0" fontId="86" fillId="0" borderId="0" xfId="0" applyFont="1"/>
    <xf numFmtId="0" fontId="86" fillId="0" borderId="0" xfId="0" applyFont="1" applyAlignment="1">
      <alignment horizontal="center"/>
    </xf>
    <xf numFmtId="41" fontId="86" fillId="0" borderId="0" xfId="0" applyNumberFormat="1" applyFont="1" applyFill="1" applyAlignment="1">
      <alignment horizontal="center"/>
    </xf>
    <xf numFmtId="2" fontId="86" fillId="0" borderId="0" xfId="0" applyNumberFormat="1" applyFont="1" applyFill="1" applyAlignment="1">
      <alignment horizontal="center"/>
    </xf>
    <xf numFmtId="43" fontId="101" fillId="0" borderId="0" xfId="0" applyNumberFormat="1" applyFont="1" applyFill="1" applyAlignment="1"/>
    <xf numFmtId="0" fontId="86" fillId="3" borderId="0" xfId="0" applyFont="1" applyFill="1" applyAlignment="1">
      <alignment horizontal="center"/>
    </xf>
    <xf numFmtId="43" fontId="86" fillId="3" borderId="0" xfId="0" applyNumberFormat="1" applyFont="1" applyFill="1" applyAlignment="1">
      <alignment horizontal="center"/>
    </xf>
    <xf numFmtId="43" fontId="86" fillId="0" borderId="0" xfId="0" applyNumberFormat="1" applyFont="1" applyFill="1" applyAlignment="1">
      <alignment horizontal="center"/>
    </xf>
    <xf numFmtId="0" fontId="100" fillId="4" borderId="1" xfId="0" applyFont="1" applyFill="1" applyBorder="1" applyAlignment="1">
      <alignment horizontal="left" vertical="center"/>
    </xf>
    <xf numFmtId="2" fontId="86" fillId="0" borderId="0" xfId="0" applyNumberFormat="1" applyFont="1" applyAlignment="1">
      <alignment horizontal="center"/>
    </xf>
    <xf numFmtId="0" fontId="86" fillId="0" borderId="1" xfId="0" applyFont="1" applyBorder="1" applyAlignment="1">
      <alignment horizontal="left" vertical="center"/>
    </xf>
    <xf numFmtId="183" fontId="95" fillId="0" borderId="0" xfId="0" applyNumberFormat="1" applyFont="1" applyFill="1" applyAlignment="1">
      <alignment horizontal="center"/>
    </xf>
    <xf numFmtId="183" fontId="96" fillId="0" borderId="0" xfId="0" applyNumberFormat="1" applyFont="1" applyFill="1" applyAlignment="1">
      <alignment horizontal="center"/>
    </xf>
    <xf numFmtId="183" fontId="95" fillId="3" borderId="0" xfId="0" applyNumberFormat="1" applyFont="1" applyFill="1" applyAlignment="1">
      <alignment horizontal="center"/>
    </xf>
    <xf numFmtId="183" fontId="99" fillId="0" borderId="0" xfId="9" applyNumberFormat="1" applyFont="1" applyFill="1" applyBorder="1" applyAlignment="1">
      <alignment horizontal="center" vertical="center"/>
    </xf>
    <xf numFmtId="0" fontId="95" fillId="0" borderId="0" xfId="0" applyFont="1" applyFill="1" applyBorder="1" applyAlignment="1">
      <alignment horizontal="center"/>
    </xf>
    <xf numFmtId="170" fontId="95" fillId="0" borderId="0" xfId="3" applyFont="1" applyFill="1" applyBorder="1" applyAlignment="1">
      <alignment horizontal="center"/>
    </xf>
    <xf numFmtId="0" fontId="96" fillId="0" borderId="0" xfId="0" applyFont="1" applyFill="1" applyAlignment="1">
      <alignment horizontal="center"/>
    </xf>
    <xf numFmtId="183" fontId="99" fillId="0" borderId="0" xfId="0" applyNumberFormat="1" applyFont="1" applyFill="1" applyBorder="1" applyAlignment="1">
      <alignment horizontal="center" vertical="center"/>
    </xf>
    <xf numFmtId="182" fontId="95" fillId="0" borderId="0" xfId="0" applyNumberFormat="1" applyFont="1" applyFill="1" applyAlignment="1">
      <alignment horizontal="center"/>
    </xf>
    <xf numFmtId="3" fontId="95" fillId="0" borderId="0" xfId="0" applyNumberFormat="1" applyFont="1" applyFill="1" applyAlignment="1">
      <alignment horizontal="center"/>
    </xf>
    <xf numFmtId="8" fontId="95" fillId="0" borderId="0" xfId="0" applyNumberFormat="1" applyFont="1" applyFill="1" applyBorder="1" applyAlignment="1">
      <alignment horizontal="center"/>
    </xf>
    <xf numFmtId="43" fontId="95" fillId="0" borderId="0" xfId="0" applyNumberFormat="1" applyFont="1" applyFill="1" applyAlignment="1">
      <alignment horizontal="center"/>
    </xf>
    <xf numFmtId="0" fontId="96" fillId="0" borderId="0" xfId="0" applyFont="1" applyFill="1" applyBorder="1" applyAlignment="1">
      <alignment horizontal="center"/>
    </xf>
    <xf numFmtId="0" fontId="95" fillId="3" borderId="0" xfId="0" applyFont="1" applyFill="1" applyBorder="1" applyAlignment="1">
      <alignment horizontal="center"/>
    </xf>
    <xf numFmtId="0" fontId="92" fillId="0" borderId="0" xfId="0" applyFont="1" applyFill="1" applyBorder="1" applyAlignment="1">
      <alignment horizontal="center" vertical="center" wrapText="1"/>
    </xf>
    <xf numFmtId="170" fontId="92" fillId="0" borderId="0" xfId="3" applyFont="1" applyFill="1" applyBorder="1" applyAlignment="1">
      <alignment horizontal="center" vertical="center" wrapText="1"/>
    </xf>
    <xf numFmtId="0" fontId="86" fillId="0" borderId="0" xfId="0" applyFont="1" applyFill="1" applyBorder="1"/>
    <xf numFmtId="170" fontId="86" fillId="0" borderId="0" xfId="3" applyFont="1" applyFill="1" applyBorder="1"/>
    <xf numFmtId="9" fontId="86" fillId="0" borderId="0" xfId="2861" applyFont="1" applyFill="1" applyBorder="1"/>
    <xf numFmtId="170" fontId="86" fillId="3" borderId="0" xfId="3" applyFont="1" applyFill="1" applyBorder="1"/>
    <xf numFmtId="0" fontId="100" fillId="0" borderId="0" xfId="0" applyFont="1" applyFill="1" applyBorder="1"/>
    <xf numFmtId="170" fontId="100" fillId="0" borderId="0" xfId="3" applyFont="1" applyFill="1" applyBorder="1"/>
    <xf numFmtId="9" fontId="100" fillId="0" borderId="0" xfId="2861" applyFont="1" applyFill="1" applyBorder="1"/>
    <xf numFmtId="170" fontId="100" fillId="3" borderId="0" xfId="3" applyFont="1" applyFill="1" applyBorder="1"/>
    <xf numFmtId="0" fontId="95" fillId="26" borderId="0" xfId="0" applyFont="1" applyFill="1" applyAlignment="1">
      <alignment horizontal="center"/>
    </xf>
    <xf numFmtId="0" fontId="93" fillId="17" borderId="1" xfId="0" applyFont="1" applyFill="1" applyBorder="1" applyAlignment="1" applyProtection="1">
      <alignment horizontal="left" vertical="center" wrapText="1"/>
      <protection locked="0"/>
    </xf>
    <xf numFmtId="3" fontId="93" fillId="0" borderId="1" xfId="0" applyNumberFormat="1" applyFont="1" applyFill="1" applyBorder="1" applyAlignment="1">
      <alignment horizontal="center" vertical="center" wrapText="1"/>
    </xf>
    <xf numFmtId="175" fontId="103" fillId="0" borderId="1" xfId="3" applyNumberFormat="1" applyFont="1" applyFill="1" applyBorder="1" applyAlignment="1">
      <alignment horizontal="center" vertical="center"/>
    </xf>
    <xf numFmtId="37" fontId="103" fillId="0" borderId="1" xfId="9" applyNumberFormat="1" applyFont="1" applyFill="1" applyBorder="1" applyAlignment="1">
      <alignment horizontal="center" vertical="center"/>
    </xf>
    <xf numFmtId="4" fontId="93" fillId="0" borderId="1" xfId="0" applyNumberFormat="1" applyFont="1" applyFill="1" applyBorder="1" applyAlignment="1">
      <alignment horizontal="center" vertical="center" wrapText="1"/>
    </xf>
    <xf numFmtId="184" fontId="104" fillId="0" borderId="1" xfId="0" applyNumberFormat="1" applyFont="1" applyFill="1" applyBorder="1" applyAlignment="1">
      <alignment horizontal="center" vertical="center" wrapText="1"/>
    </xf>
    <xf numFmtId="184" fontId="93" fillId="0" borderId="1" xfId="0" applyNumberFormat="1" applyFont="1" applyFill="1" applyBorder="1" applyAlignment="1">
      <alignment horizontal="center" vertical="center" wrapText="1"/>
    </xf>
    <xf numFmtId="183" fontId="103" fillId="0" borderId="1" xfId="9" applyNumberFormat="1" applyFont="1" applyFill="1" applyBorder="1" applyAlignment="1">
      <alignment horizontal="center" vertical="center"/>
    </xf>
    <xf numFmtId="9" fontId="105" fillId="0" borderId="1" xfId="21" applyFont="1" applyFill="1" applyBorder="1" applyAlignment="1">
      <alignment horizontal="center" vertical="center"/>
    </xf>
    <xf numFmtId="10" fontId="105" fillId="0" borderId="1" xfId="21" applyNumberFormat="1" applyFont="1" applyFill="1" applyBorder="1" applyAlignment="1">
      <alignment horizontal="center" vertical="center" wrapText="1"/>
    </xf>
    <xf numFmtId="0" fontId="106" fillId="0" borderId="0" xfId="0" applyFont="1" applyFill="1" applyAlignment="1">
      <alignment horizontal="center" vertical="center"/>
    </xf>
    <xf numFmtId="183" fontId="93" fillId="18" borderId="1" xfId="0" applyNumberFormat="1" applyFont="1" applyFill="1" applyBorder="1" applyAlignment="1" applyProtection="1">
      <alignment horizontal="left" vertical="center" wrapText="1"/>
      <protection locked="0"/>
    </xf>
    <xf numFmtId="183" fontId="103" fillId="0" borderId="1" xfId="2866" applyNumberFormat="1" applyFont="1" applyFill="1" applyBorder="1" applyAlignment="1">
      <alignment horizontal="center" vertical="center"/>
    </xf>
    <xf numFmtId="183" fontId="103" fillId="0" borderId="1" xfId="2866" applyNumberFormat="1" applyFont="1" applyFill="1" applyBorder="1" applyAlignment="1">
      <alignment horizontal="center"/>
    </xf>
    <xf numFmtId="183" fontId="103" fillId="0" borderId="1" xfId="10" applyNumberFormat="1" applyFont="1" applyFill="1" applyBorder="1" applyAlignment="1">
      <alignment horizontal="center" vertical="center"/>
    </xf>
    <xf numFmtId="3" fontId="104" fillId="0" borderId="1" xfId="0" applyNumberFormat="1" applyFont="1" applyFill="1" applyBorder="1" applyAlignment="1">
      <alignment horizontal="center" vertical="center" wrapText="1"/>
    </xf>
    <xf numFmtId="42" fontId="93" fillId="0" borderId="1" xfId="2866" applyFont="1" applyFill="1" applyBorder="1" applyAlignment="1">
      <alignment horizontal="center" vertical="center" wrapText="1"/>
    </xf>
    <xf numFmtId="182" fontId="93" fillId="0" borderId="1" xfId="9" applyNumberFormat="1" applyFont="1" applyFill="1" applyBorder="1" applyAlignment="1">
      <alignment horizontal="center" vertical="center"/>
    </xf>
    <xf numFmtId="183" fontId="106" fillId="0" borderId="0" xfId="0" applyNumberFormat="1" applyFont="1" applyFill="1" applyAlignment="1">
      <alignment horizontal="center" vertical="center"/>
    </xf>
    <xf numFmtId="183" fontId="106" fillId="0" borderId="1" xfId="0" applyNumberFormat="1" applyFont="1" applyFill="1" applyBorder="1" applyAlignment="1">
      <alignment horizontal="center" vertical="center"/>
    </xf>
    <xf numFmtId="0" fontId="106" fillId="0" borderId="1" xfId="0" applyFont="1" applyFill="1" applyBorder="1" applyAlignment="1">
      <alignment horizontal="center" vertical="center"/>
    </xf>
    <xf numFmtId="0" fontId="103" fillId="0" borderId="1" xfId="0" applyFont="1" applyFill="1" applyBorder="1" applyAlignment="1">
      <alignment horizontal="center"/>
    </xf>
    <xf numFmtId="0" fontId="103" fillId="0" borderId="1" xfId="0" applyFont="1" applyFill="1" applyBorder="1" applyAlignment="1">
      <alignment horizontal="center" vertical="center"/>
    </xf>
    <xf numFmtId="1" fontId="103" fillId="0" borderId="1" xfId="0" applyNumberFormat="1" applyFont="1" applyFill="1" applyBorder="1" applyAlignment="1">
      <alignment horizontal="center" vertical="center"/>
    </xf>
    <xf numFmtId="184" fontId="93" fillId="0" borderId="1" xfId="10" applyNumberFormat="1" applyFont="1" applyFill="1" applyBorder="1" applyAlignment="1">
      <alignment horizontal="center" vertical="center" wrapText="1"/>
    </xf>
    <xf numFmtId="1" fontId="93" fillId="0" borderId="1" xfId="0" applyNumberFormat="1" applyFont="1" applyFill="1" applyBorder="1" applyAlignment="1">
      <alignment horizontal="center" vertical="center"/>
    </xf>
    <xf numFmtId="183" fontId="103" fillId="0" borderId="1" xfId="0" applyNumberFormat="1" applyFont="1" applyFill="1" applyBorder="1" applyAlignment="1">
      <alignment horizontal="center" vertical="center"/>
    </xf>
    <xf numFmtId="183" fontId="103" fillId="0" borderId="1" xfId="0" applyNumberFormat="1" applyFont="1" applyFill="1" applyBorder="1" applyAlignment="1">
      <alignment horizontal="center"/>
    </xf>
    <xf numFmtId="183" fontId="93" fillId="0" borderId="1" xfId="0" applyNumberFormat="1" applyFont="1" applyFill="1" applyBorder="1" applyAlignment="1">
      <alignment horizontal="center" vertical="center" wrapText="1"/>
    </xf>
    <xf numFmtId="182" fontId="93" fillId="0" borderId="1" xfId="0" applyNumberFormat="1" applyFont="1" applyFill="1" applyBorder="1" applyAlignment="1">
      <alignment horizontal="center" vertical="center"/>
    </xf>
    <xf numFmtId="183" fontId="107" fillId="25" borderId="1" xfId="9" applyNumberFormat="1" applyFont="1" applyFill="1" applyBorder="1" applyAlignment="1">
      <alignment horizontal="center" vertical="center"/>
    </xf>
    <xf numFmtId="1" fontId="93" fillId="0" borderId="1" xfId="2866" applyNumberFormat="1" applyFont="1" applyFill="1" applyBorder="1" applyAlignment="1">
      <alignment horizontal="center" vertical="center" wrapText="1"/>
    </xf>
    <xf numFmtId="182" fontId="103" fillId="0" borderId="1" xfId="9" applyNumberFormat="1" applyFont="1" applyFill="1" applyBorder="1" applyAlignment="1">
      <alignment horizontal="center"/>
    </xf>
    <xf numFmtId="182" fontId="103" fillId="0" borderId="1" xfId="9" applyNumberFormat="1" applyFont="1" applyFill="1" applyBorder="1" applyAlignment="1">
      <alignment horizontal="center" vertical="center"/>
    </xf>
    <xf numFmtId="182" fontId="103" fillId="0" borderId="1" xfId="10" applyNumberFormat="1" applyFont="1" applyFill="1" applyBorder="1" applyAlignment="1">
      <alignment horizontal="center" vertical="center"/>
    </xf>
    <xf numFmtId="182" fontId="104" fillId="0" borderId="1" xfId="2866" applyNumberFormat="1" applyFont="1" applyFill="1" applyBorder="1" applyAlignment="1">
      <alignment horizontal="center" vertical="center" wrapText="1"/>
    </xf>
    <xf numFmtId="182" fontId="106" fillId="0" borderId="1" xfId="10" applyNumberFormat="1" applyFont="1" applyFill="1" applyBorder="1" applyAlignment="1">
      <alignment horizontal="center" vertical="center" wrapText="1"/>
    </xf>
    <xf numFmtId="182" fontId="107" fillId="0" borderId="1" xfId="9" applyNumberFormat="1" applyFont="1" applyFill="1" applyBorder="1" applyAlignment="1">
      <alignment horizontal="center" vertical="center"/>
    </xf>
    <xf numFmtId="182" fontId="93" fillId="0" borderId="1" xfId="2866" applyNumberFormat="1" applyFont="1" applyFill="1" applyBorder="1" applyAlignment="1">
      <alignment horizontal="center" vertical="center" wrapText="1"/>
    </xf>
    <xf numFmtId="182" fontId="106" fillId="0" borderId="0" xfId="0" applyNumberFormat="1" applyFont="1" applyFill="1" applyAlignment="1">
      <alignment horizontal="center" vertical="center"/>
    </xf>
    <xf numFmtId="3" fontId="103" fillId="0" borderId="1" xfId="0" applyNumberFormat="1" applyFont="1" applyFill="1" applyBorder="1" applyAlignment="1">
      <alignment horizontal="center" vertical="center"/>
    </xf>
    <xf numFmtId="170" fontId="93" fillId="0" borderId="1" xfId="3" applyFont="1" applyFill="1" applyBorder="1" applyAlignment="1">
      <alignment horizontal="center" vertical="center"/>
    </xf>
    <xf numFmtId="170" fontId="93" fillId="0" borderId="1" xfId="3" applyNumberFormat="1" applyFont="1" applyFill="1" applyBorder="1" applyAlignment="1">
      <alignment horizontal="center" vertical="center"/>
    </xf>
    <xf numFmtId="182" fontId="103" fillId="0" borderId="1" xfId="0" applyNumberFormat="1" applyFont="1" applyFill="1" applyBorder="1" applyAlignment="1">
      <alignment horizontal="center"/>
    </xf>
    <xf numFmtId="182" fontId="103" fillId="0" borderId="1" xfId="0" applyNumberFormat="1" applyFont="1" applyFill="1" applyBorder="1" applyAlignment="1">
      <alignment horizontal="center" vertical="center"/>
    </xf>
    <xf numFmtId="0" fontId="107" fillId="0" borderId="1" xfId="0" applyFont="1" applyFill="1" applyBorder="1" applyAlignment="1">
      <alignment horizontal="center" vertical="center"/>
    </xf>
    <xf numFmtId="183" fontId="103" fillId="25" borderId="1" xfId="9" applyNumberFormat="1" applyFont="1" applyFill="1" applyBorder="1" applyAlignment="1">
      <alignment horizontal="center" vertical="center"/>
    </xf>
    <xf numFmtId="182" fontId="105" fillId="0" borderId="0" xfId="0" applyNumberFormat="1" applyFont="1" applyFill="1" applyAlignment="1">
      <alignment horizontal="center" vertical="center"/>
    </xf>
    <xf numFmtId="37" fontId="103" fillId="0" borderId="1" xfId="9" applyNumberFormat="1" applyFont="1" applyFill="1" applyBorder="1" applyAlignment="1">
      <alignment horizontal="center"/>
    </xf>
    <xf numFmtId="39" fontId="103" fillId="0" borderId="1" xfId="9" applyNumberFormat="1" applyFont="1" applyFill="1" applyBorder="1" applyAlignment="1">
      <alignment horizontal="center" vertical="center"/>
    </xf>
    <xf numFmtId="37" fontId="103" fillId="0" borderId="1" xfId="10" applyNumberFormat="1" applyFont="1" applyFill="1" applyBorder="1" applyAlignment="1">
      <alignment horizontal="center" vertical="center"/>
    </xf>
    <xf numFmtId="183" fontId="103" fillId="0" borderId="1" xfId="10" applyNumberFormat="1" applyFont="1" applyFill="1" applyBorder="1" applyAlignment="1">
      <alignment horizontal="center"/>
    </xf>
    <xf numFmtId="183" fontId="93" fillId="0" borderId="1" xfId="2866" applyNumberFormat="1" applyFont="1" applyFill="1" applyBorder="1" applyAlignment="1">
      <alignment horizontal="center" vertical="center" wrapText="1"/>
    </xf>
    <xf numFmtId="183" fontId="106" fillId="0" borderId="1" xfId="10" applyNumberFormat="1" applyFont="1" applyFill="1" applyBorder="1" applyAlignment="1">
      <alignment vertical="center" wrapText="1"/>
    </xf>
    <xf numFmtId="0" fontId="93" fillId="0" borderId="1" xfId="0" applyFont="1" applyFill="1" applyBorder="1" applyAlignment="1">
      <alignment horizontal="center" vertical="center"/>
    </xf>
    <xf numFmtId="183" fontId="103" fillId="0" borderId="1" xfId="9" applyNumberFormat="1" applyFont="1" applyFill="1" applyBorder="1" applyAlignment="1">
      <alignment horizontal="center"/>
    </xf>
    <xf numFmtId="183" fontId="105" fillId="0" borderId="0" xfId="0" applyNumberFormat="1" applyFont="1" applyFill="1" applyAlignment="1">
      <alignment horizontal="center" vertical="center"/>
    </xf>
    <xf numFmtId="183" fontId="93" fillId="0" borderId="1" xfId="2866" applyNumberFormat="1" applyFont="1" applyFill="1" applyBorder="1" applyAlignment="1">
      <alignment horizontal="center" vertical="center"/>
    </xf>
    <xf numFmtId="183" fontId="106" fillId="0" borderId="1" xfId="10" applyNumberFormat="1" applyFont="1" applyFill="1" applyBorder="1" applyAlignment="1">
      <alignment horizontal="center" vertical="center" wrapText="1"/>
    </xf>
    <xf numFmtId="170" fontId="103" fillId="0" borderId="1" xfId="3" applyNumberFormat="1" applyFont="1" applyFill="1" applyBorder="1" applyAlignment="1">
      <alignment horizontal="center" vertical="center"/>
    </xf>
    <xf numFmtId="183" fontId="93" fillId="0" borderId="1" xfId="10" applyNumberFormat="1" applyFont="1" applyFill="1" applyBorder="1" applyAlignment="1">
      <alignment vertical="center" wrapText="1"/>
    </xf>
    <xf numFmtId="0" fontId="106" fillId="0" borderId="1" xfId="0" applyFont="1" applyFill="1" applyBorder="1" applyAlignment="1">
      <alignment horizontal="center"/>
    </xf>
    <xf numFmtId="183" fontId="93" fillId="17" borderId="1" xfId="0" applyNumberFormat="1" applyFont="1" applyFill="1" applyBorder="1" applyAlignment="1" applyProtection="1">
      <alignment horizontal="left" vertical="top" wrapText="1"/>
      <protection locked="0"/>
    </xf>
    <xf numFmtId="183" fontId="93" fillId="25" borderId="1" xfId="10" applyNumberFormat="1" applyFont="1" applyFill="1" applyBorder="1" applyAlignment="1">
      <alignment horizontal="center" vertical="center" wrapText="1"/>
    </xf>
    <xf numFmtId="183" fontId="106" fillId="0" borderId="0" xfId="0" applyNumberFormat="1" applyFont="1" applyFill="1" applyAlignment="1">
      <alignment horizontal="center"/>
    </xf>
    <xf numFmtId="183" fontId="93" fillId="18" borderId="1" xfId="0" applyNumberFormat="1" applyFont="1" applyFill="1" applyBorder="1" applyAlignment="1" applyProtection="1">
      <alignment horizontal="left" vertical="top" wrapText="1"/>
      <protection locked="0"/>
    </xf>
    <xf numFmtId="183" fontId="103" fillId="25" borderId="1" xfId="0" applyNumberFormat="1" applyFont="1" applyFill="1" applyBorder="1" applyAlignment="1">
      <alignment horizontal="center" vertical="center"/>
    </xf>
    <xf numFmtId="183" fontId="93" fillId="25" borderId="1" xfId="9" applyNumberFormat="1" applyFont="1" applyFill="1" applyBorder="1" applyAlignment="1">
      <alignment horizontal="center" vertical="center"/>
    </xf>
    <xf numFmtId="183" fontId="104" fillId="25" borderId="1" xfId="0" applyNumberFormat="1" applyFont="1" applyFill="1" applyBorder="1" applyAlignment="1">
      <alignment horizontal="center" vertical="center" wrapText="1"/>
    </xf>
    <xf numFmtId="183" fontId="93" fillId="25" borderId="1" xfId="0" applyNumberFormat="1" applyFont="1" applyFill="1" applyBorder="1" applyAlignment="1">
      <alignment horizontal="center" vertical="center" wrapText="1"/>
    </xf>
    <xf numFmtId="0" fontId="7" fillId="0" borderId="1" xfId="0" applyFont="1" applyFill="1" applyBorder="1" applyAlignment="1">
      <alignment horizontal="left" vertical="center"/>
    </xf>
    <xf numFmtId="0" fontId="86" fillId="0" borderId="0" xfId="0" applyFont="1" applyFill="1" applyAlignment="1">
      <alignment horizontal="center"/>
    </xf>
    <xf numFmtId="3" fontId="17" fillId="0" borderId="1" xfId="0" applyNumberFormat="1" applyFont="1" applyFill="1" applyBorder="1" applyAlignment="1">
      <alignment horizontal="center" vertical="center" wrapText="1"/>
    </xf>
    <xf numFmtId="0" fontId="11" fillId="17" borderId="2" xfId="0" applyFont="1" applyFill="1" applyBorder="1" applyAlignment="1">
      <alignment horizontal="center" vertical="center" wrapText="1"/>
    </xf>
    <xf numFmtId="0" fontId="2" fillId="17" borderId="0" xfId="0" applyFont="1" applyFill="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0" fillId="0" borderId="1" xfId="0" applyBorder="1" applyAlignment="1">
      <alignment horizontal="left" vertical="center" wrapText="1"/>
    </xf>
    <xf numFmtId="0" fontId="0" fillId="0" borderId="1" xfId="0" applyBorder="1" applyAlignment="1">
      <alignment horizontal="left" vertical="center"/>
    </xf>
    <xf numFmtId="0" fontId="10" fillId="17" borderId="40"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7" fillId="0" borderId="1" xfId="0" applyFont="1" applyFill="1" applyBorder="1" applyAlignment="1">
      <alignment horizontal="left" vertical="center"/>
    </xf>
    <xf numFmtId="0" fontId="10" fillId="0" borderId="46" xfId="0" applyFont="1" applyFill="1" applyBorder="1" applyAlignment="1">
      <alignment horizontal="left" vertical="center" wrapText="1"/>
    </xf>
    <xf numFmtId="0" fontId="10" fillId="0" borderId="47" xfId="0" applyFont="1" applyFill="1" applyBorder="1" applyAlignment="1">
      <alignment horizontal="left" vertical="center" wrapText="1"/>
    </xf>
    <xf numFmtId="0" fontId="10" fillId="0" borderId="48" xfId="0" applyFont="1" applyFill="1" applyBorder="1" applyAlignment="1">
      <alignment horizontal="left" vertical="center" wrapText="1"/>
    </xf>
    <xf numFmtId="0" fontId="10" fillId="0" borderId="28"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11" fillId="22" borderId="3" xfId="0" applyFont="1" applyFill="1" applyBorder="1" applyAlignment="1">
      <alignment horizontal="center" vertical="center" wrapText="1"/>
    </xf>
    <xf numFmtId="0" fontId="11" fillId="22" borderId="1"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22" fillId="4" borderId="1" xfId="0" applyFont="1" applyFill="1" applyBorder="1" applyAlignment="1">
      <alignment horizontal="center" vertical="center"/>
    </xf>
    <xf numFmtId="0" fontId="22" fillId="4" borderId="1" xfId="0" applyFont="1" applyFill="1" applyBorder="1" applyAlignment="1">
      <alignment horizontal="center" vertical="center" wrapText="1"/>
    </xf>
    <xf numFmtId="0" fontId="68" fillId="22" borderId="1" xfId="0" applyFont="1" applyFill="1" applyBorder="1" applyAlignment="1">
      <alignment horizontal="center" vertical="center"/>
    </xf>
    <xf numFmtId="0" fontId="10" fillId="18" borderId="3" xfId="0" applyFont="1" applyFill="1" applyBorder="1" applyAlignment="1">
      <alignment horizontal="center" vertical="center" wrapText="1"/>
    </xf>
    <xf numFmtId="0" fontId="10" fillId="18" borderId="1" xfId="0" applyFont="1" applyFill="1" applyBorder="1" applyAlignment="1">
      <alignment horizontal="center" vertical="center" wrapText="1"/>
    </xf>
    <xf numFmtId="0" fontId="68" fillId="17" borderId="3" xfId="0" applyFont="1" applyFill="1" applyBorder="1" applyAlignment="1">
      <alignment horizontal="center" vertical="center" wrapText="1"/>
    </xf>
    <xf numFmtId="0" fontId="29" fillId="0" borderId="23" xfId="0" applyFont="1" applyFill="1" applyBorder="1" applyAlignment="1">
      <alignment horizontal="center"/>
    </xf>
    <xf numFmtId="0" fontId="29" fillId="0" borderId="24" xfId="0" applyFont="1" applyFill="1" applyBorder="1" applyAlignment="1">
      <alignment horizontal="center"/>
    </xf>
    <xf numFmtId="0" fontId="29" fillId="0" borderId="37" xfId="0" applyFont="1" applyFill="1" applyBorder="1" applyAlignment="1">
      <alignment horizontal="center"/>
    </xf>
    <xf numFmtId="0" fontId="29" fillId="0" borderId="26" xfId="0" applyFont="1" applyFill="1" applyBorder="1" applyAlignment="1">
      <alignment horizontal="center"/>
    </xf>
    <xf numFmtId="0" fontId="29" fillId="0" borderId="0" xfId="0" applyFont="1" applyFill="1" applyBorder="1" applyAlignment="1">
      <alignment horizontal="center"/>
    </xf>
    <xf numFmtId="0" fontId="29" fillId="0" borderId="27" xfId="0" applyFont="1" applyFill="1" applyBorder="1" applyAlignment="1">
      <alignment horizontal="center"/>
    </xf>
    <xf numFmtId="0" fontId="29" fillId="0" borderId="28" xfId="0" applyFont="1" applyFill="1" applyBorder="1" applyAlignment="1">
      <alignment horizontal="center"/>
    </xf>
    <xf numFmtId="0" fontId="29" fillId="0" borderId="29" xfId="0" applyFont="1" applyFill="1" applyBorder="1" applyAlignment="1">
      <alignment horizontal="center"/>
    </xf>
    <xf numFmtId="0" fontId="29" fillId="0" borderId="38" xfId="0" applyFont="1" applyFill="1" applyBorder="1" applyAlignment="1">
      <alignment horizontal="center"/>
    </xf>
    <xf numFmtId="0" fontId="73" fillId="17" borderId="32" xfId="0" applyFont="1" applyFill="1" applyBorder="1" applyAlignment="1">
      <alignment horizontal="center" vertical="center" wrapText="1"/>
    </xf>
    <xf numFmtId="0" fontId="73" fillId="17" borderId="33" xfId="0" applyFont="1" applyFill="1" applyBorder="1" applyAlignment="1">
      <alignment horizontal="center" vertical="center" wrapText="1"/>
    </xf>
    <xf numFmtId="0" fontId="74" fillId="17" borderId="30" xfId="0" applyFont="1" applyFill="1" applyBorder="1" applyAlignment="1">
      <alignment horizontal="center"/>
    </xf>
    <xf numFmtId="0" fontId="28" fillId="3" borderId="47" xfId="0" applyFont="1" applyFill="1" applyBorder="1" applyAlignment="1">
      <alignment vertical="center" wrapText="1"/>
    </xf>
    <xf numFmtId="0" fontId="28" fillId="3" borderId="46" xfId="0" applyFont="1" applyFill="1" applyBorder="1" applyAlignment="1">
      <alignment horizontal="left" vertical="center" wrapText="1"/>
    </xf>
    <xf numFmtId="0" fontId="28" fillId="3" borderId="47" xfId="0" applyFont="1" applyFill="1" applyBorder="1" applyAlignment="1">
      <alignment horizontal="left" vertical="center" wrapText="1"/>
    </xf>
    <xf numFmtId="0" fontId="28" fillId="3" borderId="48" xfId="0" applyFont="1" applyFill="1" applyBorder="1" applyAlignment="1">
      <alignment horizontal="left" vertical="center" wrapText="1"/>
    </xf>
    <xf numFmtId="0" fontId="7" fillId="0" borderId="18" xfId="0" applyFont="1" applyFill="1" applyBorder="1" applyAlignment="1">
      <alignment horizontal="center" vertical="center" wrapText="1"/>
    </xf>
    <xf numFmtId="0" fontId="7" fillId="0" borderId="56"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10" fillId="24" borderId="3" xfId="0" applyFont="1" applyFill="1" applyBorder="1" applyAlignment="1">
      <alignment horizontal="center" vertical="center" wrapText="1"/>
    </xf>
    <xf numFmtId="0" fontId="10" fillId="24" borderId="1" xfId="0" applyFont="1" applyFill="1" applyBorder="1" applyAlignment="1">
      <alignment horizontal="center" vertical="center" wrapText="1"/>
    </xf>
    <xf numFmtId="0" fontId="68" fillId="17" borderId="17" xfId="0" applyFont="1" applyFill="1" applyBorder="1" applyAlignment="1">
      <alignment horizontal="center" vertical="center" wrapText="1"/>
    </xf>
    <xf numFmtId="0" fontId="68" fillId="17" borderId="18" xfId="0" applyFont="1" applyFill="1" applyBorder="1" applyAlignment="1">
      <alignment horizontal="center" vertical="center" wrapText="1"/>
    </xf>
    <xf numFmtId="0" fontId="68" fillId="17" borderId="1" xfId="0" applyFont="1" applyFill="1" applyBorder="1" applyAlignment="1">
      <alignment horizontal="center" vertical="center" wrapText="1"/>
    </xf>
    <xf numFmtId="0" fontId="86" fillId="0" borderId="1" xfId="0" applyFont="1" applyBorder="1" applyAlignment="1">
      <alignment horizontal="left" vertical="center" wrapText="1"/>
    </xf>
    <xf numFmtId="0" fontId="86" fillId="0" borderId="1" xfId="0" applyFont="1" applyBorder="1" applyAlignment="1">
      <alignment horizontal="left" vertical="center"/>
    </xf>
    <xf numFmtId="0" fontId="86" fillId="0" borderId="0" xfId="0" applyFont="1" applyAlignment="1">
      <alignment horizontal="center" wrapText="1"/>
    </xf>
    <xf numFmtId="0" fontId="86" fillId="0" borderId="0" xfId="0" applyFont="1" applyAlignment="1">
      <alignment horizontal="center"/>
    </xf>
    <xf numFmtId="0" fontId="86" fillId="0" borderId="0" xfId="0" applyFont="1" applyFill="1" applyAlignment="1">
      <alignment horizontal="center"/>
    </xf>
    <xf numFmtId="41" fontId="92" fillId="0" borderId="0" xfId="2868" applyFont="1" applyFill="1" applyBorder="1" applyAlignment="1">
      <alignment horizontal="center" vertical="center" wrapText="1"/>
    </xf>
    <xf numFmtId="41" fontId="102" fillId="0" borderId="0" xfId="2868" applyFont="1" applyFill="1" applyBorder="1" applyAlignment="1">
      <alignment horizontal="center" vertical="center" wrapText="1"/>
    </xf>
    <xf numFmtId="0" fontId="97" fillId="22" borderId="1" xfId="0" applyFont="1" applyFill="1" applyBorder="1" applyAlignment="1">
      <alignment horizontal="center" vertical="center" wrapText="1"/>
    </xf>
    <xf numFmtId="0" fontId="97" fillId="22" borderId="1" xfId="0" applyFont="1" applyFill="1" applyBorder="1" applyAlignment="1">
      <alignment horizontal="center" vertical="center"/>
    </xf>
    <xf numFmtId="0" fontId="92" fillId="22" borderId="1" xfId="0" applyFont="1" applyFill="1" applyBorder="1" applyAlignment="1">
      <alignment horizontal="center" vertical="center" wrapText="1"/>
    </xf>
    <xf numFmtId="0" fontId="92" fillId="18" borderId="1" xfId="0" applyFont="1" applyFill="1" applyBorder="1" applyAlignment="1">
      <alignment horizontal="center" vertical="center" wrapText="1"/>
    </xf>
    <xf numFmtId="0" fontId="92" fillId="24" borderId="1" xfId="0" applyFont="1" applyFill="1" applyBorder="1" applyAlignment="1">
      <alignment horizontal="center" vertical="center" wrapText="1"/>
    </xf>
    <xf numFmtId="0" fontId="100" fillId="4" borderId="1" xfId="0" applyFont="1" applyFill="1" applyBorder="1" applyAlignment="1">
      <alignment horizontal="center" vertical="center"/>
    </xf>
    <xf numFmtId="0" fontId="100" fillId="4" borderId="1" xfId="0" applyFont="1" applyFill="1" applyBorder="1" applyAlignment="1">
      <alignment horizontal="center" vertical="center" wrapText="1"/>
    </xf>
    <xf numFmtId="183" fontId="93" fillId="17" borderId="1" xfId="0" applyNumberFormat="1" applyFont="1" applyFill="1" applyBorder="1" applyAlignment="1" applyProtection="1">
      <alignment horizontal="center" vertical="center" wrapText="1"/>
      <protection locked="0"/>
    </xf>
    <xf numFmtId="0" fontId="93" fillId="0" borderId="1" xfId="0" applyFont="1" applyFill="1" applyBorder="1" applyAlignment="1">
      <alignment horizontal="center" vertical="center" wrapText="1"/>
    </xf>
    <xf numFmtId="0" fontId="93" fillId="3" borderId="1" xfId="0" applyFont="1" applyFill="1" applyBorder="1" applyAlignment="1">
      <alignment horizontal="center" vertical="center" wrapText="1"/>
    </xf>
    <xf numFmtId="0" fontId="86" fillId="0" borderId="23" xfId="0" applyFont="1" applyFill="1" applyBorder="1" applyAlignment="1">
      <alignment horizontal="center"/>
    </xf>
    <xf numFmtId="0" fontId="86" fillId="0" borderId="24" xfId="0" applyFont="1" applyFill="1" applyBorder="1" applyAlignment="1">
      <alignment horizontal="center"/>
    </xf>
    <xf numFmtId="0" fontId="86" fillId="0" borderId="37" xfId="0" applyFont="1" applyFill="1" applyBorder="1" applyAlignment="1">
      <alignment horizontal="center"/>
    </xf>
    <xf numFmtId="0" fontId="86" fillId="0" borderId="26" xfId="0" applyFont="1" applyFill="1" applyBorder="1" applyAlignment="1">
      <alignment horizontal="center"/>
    </xf>
    <xf numFmtId="0" fontId="86" fillId="0" borderId="0" xfId="0" applyFont="1" applyFill="1" applyBorder="1" applyAlignment="1">
      <alignment horizontal="center"/>
    </xf>
    <xf numFmtId="0" fontId="86" fillId="0" borderId="27" xfId="0" applyFont="1" applyFill="1" applyBorder="1" applyAlignment="1">
      <alignment horizontal="center"/>
    </xf>
    <xf numFmtId="0" fontId="86" fillId="0" borderId="28" xfId="0" applyFont="1" applyFill="1" applyBorder="1" applyAlignment="1">
      <alignment horizontal="center"/>
    </xf>
    <xf numFmtId="0" fontId="86" fillId="0" borderId="29" xfId="0" applyFont="1" applyFill="1" applyBorder="1" applyAlignment="1">
      <alignment horizontal="center"/>
    </xf>
    <xf numFmtId="0" fontId="86" fillId="0" borderId="38" xfId="0" applyFont="1" applyFill="1" applyBorder="1" applyAlignment="1">
      <alignment horizontal="center"/>
    </xf>
    <xf numFmtId="0" fontId="92" fillId="17" borderId="46" xfId="0" applyFont="1" applyFill="1" applyBorder="1" applyAlignment="1">
      <alignment horizontal="center" vertical="center" wrapText="1"/>
    </xf>
    <xf numFmtId="0" fontId="92" fillId="17" borderId="47" xfId="0" applyFont="1" applyFill="1" applyBorder="1" applyAlignment="1">
      <alignment horizontal="center" vertical="center" wrapText="1"/>
    </xf>
    <xf numFmtId="0" fontId="92" fillId="17" borderId="48" xfId="0" applyFont="1" applyFill="1" applyBorder="1" applyAlignment="1">
      <alignment horizontal="center" vertical="center" wrapText="1"/>
    </xf>
    <xf numFmtId="0" fontId="97" fillId="17" borderId="1" xfId="0" applyFont="1" applyFill="1" applyBorder="1" applyAlignment="1">
      <alignment horizontal="center" vertical="center" wrapText="1"/>
    </xf>
    <xf numFmtId="0" fontId="87" fillId="17" borderId="32" xfId="0" applyFont="1" applyFill="1" applyBorder="1" applyAlignment="1">
      <alignment horizontal="center" vertical="center" wrapText="1"/>
    </xf>
    <xf numFmtId="0" fontId="87" fillId="0" borderId="32" xfId="0" applyFont="1" applyFill="1" applyBorder="1" applyAlignment="1">
      <alignment horizontal="center" vertical="center" wrapText="1"/>
    </xf>
    <xf numFmtId="0" fontId="87" fillId="17" borderId="33" xfId="0" applyFont="1" applyFill="1" applyBorder="1" applyAlignment="1">
      <alignment horizontal="center" vertical="center" wrapText="1"/>
    </xf>
    <xf numFmtId="0" fontId="89" fillId="17" borderId="6" xfId="0" applyFont="1" applyFill="1" applyBorder="1" applyAlignment="1">
      <alignment horizontal="center" vertical="center" wrapText="1"/>
    </xf>
    <xf numFmtId="0" fontId="89" fillId="0" borderId="6" xfId="0" applyFont="1" applyFill="1" applyBorder="1" applyAlignment="1">
      <alignment horizontal="center" vertical="center" wrapText="1"/>
    </xf>
    <xf numFmtId="0" fontId="89" fillId="17" borderId="51" xfId="0" applyFont="1" applyFill="1" applyBorder="1" applyAlignment="1">
      <alignment horizontal="center" vertical="center" wrapText="1"/>
    </xf>
    <xf numFmtId="0" fontId="89" fillId="17" borderId="53" xfId="0" applyFont="1" applyFill="1" applyBorder="1" applyAlignment="1">
      <alignment horizontal="center" vertical="center" wrapText="1"/>
    </xf>
    <xf numFmtId="0" fontId="90" fillId="0" borderId="46" xfId="0" applyFont="1" applyFill="1" applyBorder="1" applyAlignment="1">
      <alignment horizontal="left" vertical="center"/>
    </xf>
    <xf numFmtId="0" fontId="90" fillId="0" borderId="47" xfId="0" applyFont="1" applyFill="1" applyBorder="1" applyAlignment="1">
      <alignment horizontal="left" vertical="center"/>
    </xf>
    <xf numFmtId="0" fontId="97" fillId="17" borderId="1" xfId="0" applyFont="1" applyFill="1" applyBorder="1" applyAlignment="1">
      <alignment horizontal="center" vertical="center"/>
    </xf>
    <xf numFmtId="0" fontId="97" fillId="0" borderId="1" xfId="0" applyFont="1" applyFill="1" applyBorder="1" applyAlignment="1">
      <alignment horizontal="center" vertical="center"/>
    </xf>
    <xf numFmtId="0" fontId="90" fillId="0" borderId="48" xfId="0" applyFont="1" applyFill="1" applyBorder="1" applyAlignment="1">
      <alignment horizontal="left" vertical="center"/>
    </xf>
    <xf numFmtId="0" fontId="92" fillId="0" borderId="46" xfId="0" applyFont="1" applyFill="1" applyBorder="1" applyAlignment="1">
      <alignment horizontal="left" vertical="center" wrapText="1"/>
    </xf>
    <xf numFmtId="0" fontId="92" fillId="0" borderId="47" xfId="0" applyFont="1" applyFill="1" applyBorder="1" applyAlignment="1">
      <alignment horizontal="left" vertical="center" wrapText="1"/>
    </xf>
    <xf numFmtId="0" fontId="92" fillId="0" borderId="48" xfId="0" applyFont="1" applyFill="1" applyBorder="1" applyAlignment="1">
      <alignment horizontal="left" vertical="center" wrapText="1"/>
    </xf>
    <xf numFmtId="0" fontId="92" fillId="3" borderId="23" xfId="0" applyFont="1" applyFill="1" applyBorder="1" applyAlignment="1">
      <alignment horizontal="left" vertical="center" wrapText="1"/>
    </xf>
    <xf numFmtId="0" fontId="92" fillId="3" borderId="24" xfId="0" applyFont="1" applyFill="1" applyBorder="1" applyAlignment="1">
      <alignment horizontal="left" vertical="center" wrapText="1"/>
    </xf>
    <xf numFmtId="0" fontId="92" fillId="3" borderId="37" xfId="0" applyFont="1" applyFill="1" applyBorder="1" applyAlignment="1">
      <alignment horizontal="left" vertical="center" wrapText="1"/>
    </xf>
    <xf numFmtId="0" fontId="92" fillId="3" borderId="46" xfId="0" applyFont="1" applyFill="1" applyBorder="1" applyAlignment="1">
      <alignment horizontal="left" vertical="center" wrapText="1"/>
    </xf>
    <xf numFmtId="0" fontId="92" fillId="3" borderId="47" xfId="0" applyFont="1" applyFill="1" applyBorder="1" applyAlignment="1">
      <alignment horizontal="left" vertical="center" wrapText="1"/>
    </xf>
    <xf numFmtId="0" fontId="92" fillId="3" borderId="48" xfId="0" applyFont="1" applyFill="1" applyBorder="1" applyAlignment="1">
      <alignment horizontal="left" vertical="center" wrapText="1"/>
    </xf>
    <xf numFmtId="0" fontId="96" fillId="17" borderId="1" xfId="0" applyFont="1" applyFill="1" applyBorder="1" applyAlignment="1">
      <alignment horizontal="center" vertical="center" wrapText="1"/>
    </xf>
    <xf numFmtId="0" fontId="106" fillId="0" borderId="0" xfId="0" applyFont="1" applyFill="1" applyBorder="1" applyAlignment="1">
      <alignment horizontal="center" vertical="center"/>
    </xf>
    <xf numFmtId="0" fontId="17" fillId="3" borderId="20" xfId="0" applyFont="1" applyFill="1" applyBorder="1" applyAlignment="1">
      <alignment horizontal="center" vertical="center" wrapText="1"/>
    </xf>
    <xf numFmtId="0" fontId="17" fillId="3" borderId="14" xfId="0" applyFont="1" applyFill="1" applyBorder="1" applyAlignment="1">
      <alignment horizontal="center" vertical="center" wrapText="1"/>
    </xf>
    <xf numFmtId="0" fontId="17" fillId="3" borderId="39"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3" borderId="22"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17" fillId="3" borderId="2" xfId="0" applyFont="1" applyFill="1" applyBorder="1" applyAlignment="1">
      <alignment vertical="center" wrapText="1"/>
    </xf>
    <xf numFmtId="0" fontId="17" fillId="3" borderId="22" xfId="0" applyFont="1" applyFill="1" applyBorder="1" applyAlignment="1">
      <alignment vertical="center" wrapText="1"/>
    </xf>
    <xf numFmtId="0" fontId="17" fillId="3" borderId="5" xfId="0" applyFont="1" applyFill="1" applyBorder="1" applyAlignment="1">
      <alignment vertical="center" wrapText="1"/>
    </xf>
    <xf numFmtId="0" fontId="0" fillId="26" borderId="2" xfId="0" applyFill="1" applyBorder="1" applyAlignment="1">
      <alignment horizontal="center" vertical="center" wrapText="1"/>
    </xf>
    <xf numFmtId="0" fontId="0" fillId="26" borderId="22" xfId="0" applyFill="1" applyBorder="1" applyAlignment="1">
      <alignment horizontal="center" vertical="center" wrapText="1"/>
    </xf>
    <xf numFmtId="0" fontId="0" fillId="26" borderId="5" xfId="0" applyFill="1" applyBorder="1" applyAlignment="1">
      <alignment horizontal="center" vertical="center" wrapText="1"/>
    </xf>
    <xf numFmtId="3" fontId="17" fillId="0" borderId="2" xfId="0" applyNumberFormat="1" applyFont="1" applyFill="1" applyBorder="1" applyAlignment="1">
      <alignment horizontal="center" vertical="center" wrapText="1"/>
    </xf>
    <xf numFmtId="3" fontId="17" fillId="0" borderId="22" xfId="0" applyNumberFormat="1" applyFont="1" applyFill="1" applyBorder="1" applyAlignment="1">
      <alignment horizontal="center" vertical="center" wrapText="1"/>
    </xf>
    <xf numFmtId="3" fontId="17" fillId="0" borderId="5"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17" fillId="0" borderId="2" xfId="0" applyFont="1" applyFill="1" applyBorder="1" applyAlignment="1">
      <alignment horizontal="center" vertical="center" wrapText="1"/>
    </xf>
    <xf numFmtId="0" fontId="17" fillId="0" borderId="22" xfId="0" applyFont="1" applyFill="1" applyBorder="1" applyAlignment="1">
      <alignment horizontal="center" vertical="center" wrapText="1"/>
    </xf>
    <xf numFmtId="0" fontId="17" fillId="0" borderId="5" xfId="0" applyFont="1" applyFill="1" applyBorder="1" applyAlignment="1">
      <alignment horizontal="center" vertical="center" wrapText="1"/>
    </xf>
    <xf numFmtId="3" fontId="18" fillId="0" borderId="1" xfId="0" applyNumberFormat="1" applyFont="1" applyFill="1" applyBorder="1" applyAlignment="1">
      <alignment horizontal="center" vertical="center" wrapText="1"/>
    </xf>
    <xf numFmtId="0" fontId="17" fillId="0" borderId="2" xfId="0" applyFont="1" applyFill="1" applyBorder="1" applyAlignment="1">
      <alignment vertical="center" wrapText="1"/>
    </xf>
    <xf numFmtId="0" fontId="17" fillId="0" borderId="22" xfId="0" applyFont="1" applyFill="1" applyBorder="1" applyAlignment="1">
      <alignment vertical="center" wrapText="1"/>
    </xf>
    <xf numFmtId="0" fontId="17" fillId="0" borderId="5" xfId="0" applyFont="1" applyFill="1" applyBorder="1" applyAlignment="1">
      <alignment vertical="center" wrapText="1"/>
    </xf>
    <xf numFmtId="0" fontId="8" fillId="3" borderId="1" xfId="0" applyFont="1" applyFill="1" applyBorder="1" applyAlignment="1">
      <alignment vertical="center" wrapText="1"/>
    </xf>
    <xf numFmtId="3" fontId="17" fillId="3" borderId="2" xfId="0" applyNumberFormat="1" applyFont="1" applyFill="1" applyBorder="1" applyAlignment="1">
      <alignment horizontal="center" vertical="center" wrapText="1"/>
    </xf>
    <xf numFmtId="3" fontId="17" fillId="3" borderId="22" xfId="0" applyNumberFormat="1" applyFont="1" applyFill="1" applyBorder="1" applyAlignment="1">
      <alignment horizontal="center" vertical="center" wrapText="1"/>
    </xf>
    <xf numFmtId="3" fontId="17" fillId="3" borderId="5" xfId="0" applyNumberFormat="1"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5" xfId="0" applyFont="1" applyFill="1" applyBorder="1" applyAlignment="1">
      <alignment horizontal="center" vertical="center" wrapText="1"/>
    </xf>
    <xf numFmtId="3" fontId="17" fillId="0" borderId="1" xfId="0" applyNumberFormat="1" applyFont="1" applyFill="1" applyBorder="1" applyAlignment="1">
      <alignment horizontal="center" vertical="center" wrapText="1"/>
    </xf>
    <xf numFmtId="0" fontId="8" fillId="3" borderId="1" xfId="0" applyFont="1" applyFill="1" applyBorder="1" applyAlignment="1">
      <alignment horizontal="center" vertical="center" wrapText="1"/>
    </xf>
    <xf numFmtId="3" fontId="18" fillId="3" borderId="1" xfId="0" applyNumberFormat="1" applyFont="1" applyFill="1" applyBorder="1" applyAlignment="1">
      <alignment horizontal="center" vertical="center" wrapText="1"/>
    </xf>
    <xf numFmtId="3" fontId="17" fillId="3" borderId="1" xfId="0" applyNumberFormat="1" applyFont="1" applyFill="1" applyBorder="1" applyAlignment="1">
      <alignment horizontal="center" vertical="center" wrapText="1"/>
    </xf>
    <xf numFmtId="0" fontId="17" fillId="0" borderId="1" xfId="0" applyFont="1" applyFill="1" applyBorder="1" applyAlignment="1">
      <alignment vertical="center" wrapText="1"/>
    </xf>
    <xf numFmtId="0" fontId="17" fillId="0" borderId="1" xfId="0" applyFont="1" applyFill="1" applyBorder="1" applyAlignment="1">
      <alignment horizontal="center" vertical="center" wrapText="1"/>
    </xf>
    <xf numFmtId="0" fontId="17" fillId="3" borderId="19" xfId="0" applyFont="1" applyFill="1" applyBorder="1" applyAlignment="1">
      <alignment horizontal="center" vertical="center" wrapText="1"/>
    </xf>
    <xf numFmtId="0" fontId="17" fillId="3" borderId="55" xfId="0" applyFont="1" applyFill="1" applyBorder="1" applyAlignment="1">
      <alignment horizontal="center" vertical="center" wrapText="1"/>
    </xf>
    <xf numFmtId="0" fontId="17" fillId="3" borderId="21" xfId="0" applyFont="1" applyFill="1" applyBorder="1" applyAlignment="1">
      <alignment horizontal="center" vertical="center" wrapText="1"/>
    </xf>
    <xf numFmtId="0" fontId="17" fillId="0" borderId="20"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39" xfId="0" applyFont="1" applyBorder="1" applyAlignment="1">
      <alignment horizontal="center" vertical="center" wrapText="1"/>
    </xf>
    <xf numFmtId="0" fontId="17" fillId="3" borderId="18" xfId="0" applyFont="1" applyFill="1" applyBorder="1" applyAlignment="1">
      <alignment vertical="center" wrapText="1"/>
    </xf>
    <xf numFmtId="0" fontId="17" fillId="3" borderId="1" xfId="0" applyFont="1" applyFill="1" applyBorder="1" applyAlignment="1">
      <alignment vertical="center" wrapText="1"/>
    </xf>
    <xf numFmtId="0" fontId="15" fillId="17" borderId="18"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15" fillId="17" borderId="56" xfId="0" applyFont="1" applyFill="1" applyBorder="1" applyAlignment="1">
      <alignment horizontal="center" vertical="center" wrapText="1"/>
    </xf>
    <xf numFmtId="0" fontId="15" fillId="17" borderId="4" xfId="0" applyFont="1" applyFill="1" applyBorder="1" applyAlignment="1">
      <alignment horizontal="center" vertical="center" wrapText="1"/>
    </xf>
    <xf numFmtId="3" fontId="18" fillId="0" borderId="1" xfId="0" applyNumberFormat="1" applyFont="1" applyFill="1" applyBorder="1" applyAlignment="1">
      <alignment vertical="center" wrapText="1"/>
    </xf>
    <xf numFmtId="0" fontId="17" fillId="3" borderId="20" xfId="0" applyFont="1" applyFill="1" applyBorder="1" applyAlignment="1">
      <alignment vertical="center" wrapText="1"/>
    </xf>
    <xf numFmtId="0" fontId="17" fillId="3" borderId="14" xfId="0" applyFont="1" applyFill="1" applyBorder="1" applyAlignment="1">
      <alignment vertical="center" wrapText="1"/>
    </xf>
    <xf numFmtId="0" fontId="17" fillId="3" borderId="39" xfId="0" applyFont="1" applyFill="1" applyBorder="1" applyAlignment="1">
      <alignment vertical="center" wrapText="1"/>
    </xf>
    <xf numFmtId="0" fontId="17" fillId="3" borderId="1" xfId="0" applyFont="1" applyFill="1" applyBorder="1" applyAlignment="1">
      <alignment horizontal="center" vertical="center" wrapText="1"/>
    </xf>
    <xf numFmtId="0" fontId="17" fillId="3" borderId="18" xfId="0" applyFont="1" applyFill="1" applyBorder="1" applyAlignment="1">
      <alignment horizontal="center" vertical="center" wrapText="1"/>
    </xf>
    <xf numFmtId="1" fontId="0" fillId="0" borderId="2" xfId="0" applyNumberFormat="1" applyFill="1" applyBorder="1" applyAlignment="1">
      <alignment horizontal="center" vertical="center"/>
    </xf>
    <xf numFmtId="1" fontId="0" fillId="0" borderId="22" xfId="0" applyNumberFormat="1" applyFill="1" applyBorder="1" applyAlignment="1">
      <alignment horizontal="center" vertical="center"/>
    </xf>
    <xf numFmtId="1" fontId="0" fillId="0" borderId="5" xfId="0" applyNumberFormat="1" applyFill="1" applyBorder="1" applyAlignment="1">
      <alignment horizontal="center" vertical="center"/>
    </xf>
    <xf numFmtId="0" fontId="4" fillId="0" borderId="2"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26" borderId="2" xfId="0" applyFill="1" applyBorder="1" applyAlignment="1">
      <alignment horizontal="center"/>
    </xf>
    <xf numFmtId="0" fontId="0" fillId="26" borderId="22" xfId="0" applyFill="1" applyBorder="1" applyAlignment="1">
      <alignment horizontal="center"/>
    </xf>
    <xf numFmtId="0" fontId="0" fillId="26" borderId="5" xfId="0" applyFill="1" applyBorder="1" applyAlignment="1">
      <alignment horizontal="center"/>
    </xf>
    <xf numFmtId="0" fontId="17" fillId="0" borderId="1" xfId="0" applyFont="1" applyBorder="1" applyAlignment="1">
      <alignment vertical="center" wrapText="1"/>
    </xf>
    <xf numFmtId="0" fontId="0" fillId="26" borderId="1" xfId="0" applyFill="1" applyBorder="1" applyAlignment="1">
      <alignment horizontal="center" vertical="center" wrapText="1"/>
    </xf>
    <xf numFmtId="0" fontId="17" fillId="3" borderId="19" xfId="0" applyFont="1" applyFill="1" applyBorder="1" applyAlignment="1">
      <alignment vertical="center" wrapText="1"/>
    </xf>
    <xf numFmtId="0" fontId="17" fillId="3" borderId="55" xfId="0" applyFont="1" applyFill="1" applyBorder="1" applyAlignment="1">
      <alignment vertical="center" wrapText="1"/>
    </xf>
    <xf numFmtId="0" fontId="17" fillId="3" borderId="21" xfId="0" applyFont="1" applyFill="1" applyBorder="1" applyAlignment="1">
      <alignment vertical="center" wrapText="1"/>
    </xf>
    <xf numFmtId="0" fontId="8" fillId="3" borderId="2" xfId="0" applyFont="1" applyFill="1" applyBorder="1" applyAlignment="1">
      <alignment vertical="center" wrapText="1"/>
    </xf>
    <xf numFmtId="0" fontId="8" fillId="3" borderId="22" xfId="0" applyFont="1" applyFill="1" applyBorder="1" applyAlignment="1">
      <alignment vertical="center" wrapText="1"/>
    </xf>
    <xf numFmtId="0" fontId="8" fillId="3" borderId="5" xfId="0" applyFont="1" applyFill="1" applyBorder="1" applyAlignment="1">
      <alignment vertical="center" wrapText="1"/>
    </xf>
    <xf numFmtId="0" fontId="0" fillId="26" borderId="1" xfId="0" applyFill="1" applyBorder="1" applyAlignment="1">
      <alignment horizontal="justify" vertical="center" wrapText="1"/>
    </xf>
    <xf numFmtId="0" fontId="0" fillId="26" borderId="1" xfId="0" applyFill="1" applyBorder="1" applyAlignment="1">
      <alignment horizontal="justify" vertical="center"/>
    </xf>
    <xf numFmtId="3" fontId="18" fillId="3" borderId="2" xfId="0" applyNumberFormat="1" applyFont="1" applyFill="1" applyBorder="1" applyAlignment="1">
      <alignment horizontal="center" vertical="center" wrapText="1"/>
    </xf>
    <xf numFmtId="3" fontId="18" fillId="3" borderId="22" xfId="0" applyNumberFormat="1" applyFont="1" applyFill="1" applyBorder="1" applyAlignment="1">
      <alignment horizontal="center" vertical="center" wrapText="1"/>
    </xf>
    <xf numFmtId="3" fontId="18" fillId="3" borderId="5" xfId="0" applyNumberFormat="1" applyFont="1" applyFill="1" applyBorder="1" applyAlignment="1">
      <alignment horizontal="center" vertical="center" wrapText="1"/>
    </xf>
    <xf numFmtId="0" fontId="17" fillId="0" borderId="2" xfId="0" applyFont="1" applyBorder="1" applyAlignment="1">
      <alignment horizontal="justify" vertical="center" wrapText="1"/>
    </xf>
    <xf numFmtId="0" fontId="17" fillId="0" borderId="22" xfId="0" applyFont="1" applyBorder="1" applyAlignment="1">
      <alignment horizontal="justify" vertical="center" wrapText="1"/>
    </xf>
    <xf numFmtId="0" fontId="17" fillId="0" borderId="5" xfId="0" applyFont="1" applyBorder="1" applyAlignment="1">
      <alignment horizontal="justify" vertical="center" wrapText="1"/>
    </xf>
    <xf numFmtId="0" fontId="17" fillId="28" borderId="2" xfId="0" applyFont="1" applyFill="1" applyBorder="1" applyAlignment="1">
      <alignment horizontal="center" vertical="center" wrapText="1"/>
    </xf>
    <xf numFmtId="0" fontId="17" fillId="28" borderId="22" xfId="0" applyFont="1" applyFill="1" applyBorder="1" applyAlignment="1">
      <alignment horizontal="center" vertical="center" wrapText="1"/>
    </xf>
    <xf numFmtId="0" fontId="17" fillId="28" borderId="5" xfId="0" applyFont="1" applyFill="1" applyBorder="1" applyAlignment="1">
      <alignment horizontal="center" vertical="center" wrapText="1"/>
    </xf>
    <xf numFmtId="3" fontId="18" fillId="3" borderId="1" xfId="0" applyNumberFormat="1" applyFont="1" applyFill="1" applyBorder="1" applyAlignment="1">
      <alignment vertical="center" wrapText="1"/>
    </xf>
    <xf numFmtId="0" fontId="17" fillId="0" borderId="18" xfId="0" applyFont="1" applyBorder="1" applyAlignment="1">
      <alignment vertical="center" wrapText="1"/>
    </xf>
    <xf numFmtId="0" fontId="0" fillId="28" borderId="1" xfId="0" applyFill="1" applyBorder="1" applyAlignment="1">
      <alignment horizontal="justify" vertical="center" wrapText="1"/>
    </xf>
    <xf numFmtId="0" fontId="0" fillId="28" borderId="1" xfId="0" applyFill="1" applyBorder="1" applyAlignment="1">
      <alignment horizontal="justify" vertical="center"/>
    </xf>
    <xf numFmtId="0" fontId="17" fillId="28" borderId="2" xfId="0" applyFont="1" applyFill="1" applyBorder="1" applyAlignment="1">
      <alignment horizontal="justify" vertical="center" wrapText="1"/>
    </xf>
    <xf numFmtId="0" fontId="17" fillId="28" borderId="22" xfId="0" applyFont="1" applyFill="1" applyBorder="1" applyAlignment="1">
      <alignment horizontal="justify" vertical="center" wrapText="1"/>
    </xf>
    <xf numFmtId="0" fontId="17" fillId="28" borderId="5" xfId="0" applyFont="1" applyFill="1" applyBorder="1" applyAlignment="1">
      <alignment horizontal="justify" vertical="center" wrapText="1"/>
    </xf>
    <xf numFmtId="3" fontId="17" fillId="28" borderId="2" xfId="0" applyNumberFormat="1" applyFont="1" applyFill="1" applyBorder="1" applyAlignment="1">
      <alignment horizontal="center" vertical="center" wrapText="1"/>
    </xf>
    <xf numFmtId="3" fontId="17" fillId="28" borderId="22" xfId="0" applyNumberFormat="1" applyFont="1" applyFill="1" applyBorder="1" applyAlignment="1">
      <alignment horizontal="center" vertical="center" wrapText="1"/>
    </xf>
    <xf numFmtId="3" fontId="17" fillId="28" borderId="5" xfId="0" applyNumberFormat="1" applyFont="1" applyFill="1" applyBorder="1" applyAlignment="1">
      <alignment horizontal="center" vertical="center" wrapText="1"/>
    </xf>
    <xf numFmtId="3" fontId="17" fillId="28" borderId="1" xfId="0" applyNumberFormat="1" applyFont="1" applyFill="1" applyBorder="1" applyAlignment="1">
      <alignment horizontal="center" vertical="center" wrapText="1"/>
    </xf>
    <xf numFmtId="0" fontId="0" fillId="26" borderId="2" xfId="0" applyFill="1" applyBorder="1" applyAlignment="1">
      <alignment horizontal="justify" vertical="center" wrapText="1"/>
    </xf>
    <xf numFmtId="0" fontId="0" fillId="26" borderId="22" xfId="0" applyFill="1" applyBorder="1" applyAlignment="1">
      <alignment horizontal="justify" vertical="center" wrapText="1"/>
    </xf>
    <xf numFmtId="0" fontId="0" fillId="26" borderId="5" xfId="0" applyFill="1" applyBorder="1" applyAlignment="1">
      <alignment horizontal="justify" vertical="center" wrapText="1"/>
    </xf>
    <xf numFmtId="0" fontId="4" fillId="0" borderId="1" xfId="0" applyFont="1" applyFill="1" applyBorder="1" applyAlignment="1">
      <alignment vertical="center" wrapText="1"/>
    </xf>
    <xf numFmtId="0" fontId="17" fillId="0" borderId="20" xfId="0" applyFont="1" applyFill="1" applyBorder="1" applyAlignment="1">
      <alignment vertical="center" wrapText="1"/>
    </xf>
    <xf numFmtId="0" fontId="17" fillId="0" borderId="14" xfId="0" applyFont="1" applyFill="1" applyBorder="1" applyAlignment="1">
      <alignment vertical="center" wrapText="1"/>
    </xf>
    <xf numFmtId="0" fontId="17" fillId="0" borderId="39" xfId="0" applyFont="1" applyFill="1" applyBorder="1" applyAlignment="1">
      <alignment vertical="center" wrapText="1"/>
    </xf>
    <xf numFmtId="0" fontId="0" fillId="26" borderId="2" xfId="0" applyFill="1" applyBorder="1" applyAlignment="1">
      <alignment horizontal="justify" vertical="top"/>
    </xf>
    <xf numFmtId="0" fontId="0" fillId="26" borderId="22" xfId="0" applyFill="1" applyBorder="1" applyAlignment="1">
      <alignment horizontal="justify" vertical="top"/>
    </xf>
    <xf numFmtId="0" fontId="0" fillId="26" borderId="5" xfId="0" applyFill="1" applyBorder="1" applyAlignment="1">
      <alignment horizontal="justify" vertical="top"/>
    </xf>
    <xf numFmtId="3" fontId="18" fillId="0" borderId="2" xfId="0" applyNumberFormat="1" applyFont="1" applyFill="1" applyBorder="1" applyAlignment="1">
      <alignment horizontal="center" vertical="center" wrapText="1"/>
    </xf>
    <xf numFmtId="3" fontId="18" fillId="0" borderId="22" xfId="0" applyNumberFormat="1" applyFont="1" applyFill="1" applyBorder="1" applyAlignment="1">
      <alignment horizontal="center" vertical="center" wrapText="1"/>
    </xf>
    <xf numFmtId="3" fontId="18" fillId="0" borderId="5" xfId="0" applyNumberFormat="1" applyFont="1" applyFill="1" applyBorder="1" applyAlignment="1">
      <alignment horizontal="center" vertical="center" wrapText="1"/>
    </xf>
    <xf numFmtId="0" fontId="17" fillId="3" borderId="52" xfId="0" applyFont="1" applyFill="1" applyBorder="1" applyAlignment="1">
      <alignment vertical="center" wrapText="1"/>
    </xf>
    <xf numFmtId="0" fontId="17" fillId="3" borderId="9" xfId="0" applyFont="1" applyFill="1" applyBorder="1" applyAlignment="1">
      <alignment vertical="center" wrapText="1"/>
    </xf>
    <xf numFmtId="0" fontId="17" fillId="3" borderId="42" xfId="0" applyFont="1" applyFill="1" applyBorder="1" applyAlignment="1">
      <alignment vertical="center" wrapText="1"/>
    </xf>
    <xf numFmtId="0" fontId="17" fillId="26" borderId="2" xfId="0" applyFont="1" applyFill="1" applyBorder="1" applyAlignment="1">
      <alignment horizontal="center" vertical="center" wrapText="1"/>
    </xf>
    <xf numFmtId="0" fontId="17" fillId="26" borderId="22" xfId="0" applyFont="1" applyFill="1" applyBorder="1" applyAlignment="1">
      <alignment horizontal="center" vertical="center" wrapText="1"/>
    </xf>
    <xf numFmtId="0" fontId="17" fillId="26" borderId="5" xfId="0" applyFont="1" applyFill="1" applyBorder="1" applyAlignment="1">
      <alignment horizontal="center" vertical="center" wrapText="1"/>
    </xf>
    <xf numFmtId="0" fontId="17" fillId="0" borderId="34" xfId="0" applyFont="1" applyFill="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22" fillId="17" borderId="1" xfId="0" applyFont="1" applyFill="1" applyBorder="1" applyAlignment="1">
      <alignment horizontal="center" vertical="center"/>
    </xf>
    <xf numFmtId="0" fontId="11" fillId="17" borderId="2" xfId="0" applyFont="1" applyFill="1" applyBorder="1" applyAlignment="1">
      <alignment horizontal="center" vertical="center" wrapText="1"/>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7" xfId="0" applyFont="1" applyFill="1" applyBorder="1" applyAlignment="1">
      <alignment horizontal="left" vertical="center" wrapText="1"/>
    </xf>
    <xf numFmtId="0" fontId="11" fillId="3" borderId="23" xfId="0" applyFont="1" applyFill="1" applyBorder="1" applyAlignment="1">
      <alignment horizontal="left" vertical="center"/>
    </xf>
    <xf numFmtId="0" fontId="11" fillId="3" borderId="24" xfId="0" applyFont="1" applyFill="1" applyBorder="1" applyAlignment="1">
      <alignment horizontal="left" vertical="center"/>
    </xf>
    <xf numFmtId="0" fontId="11" fillId="3" borderId="37" xfId="0" applyFont="1" applyFill="1" applyBorder="1" applyAlignment="1">
      <alignment horizontal="left" vertical="center"/>
    </xf>
    <xf numFmtId="0" fontId="10" fillId="17" borderId="46" xfId="0" applyFont="1" applyFill="1" applyBorder="1" applyAlignment="1">
      <alignment horizontal="left" vertical="center"/>
    </xf>
    <xf numFmtId="0" fontId="10" fillId="17" borderId="47" xfId="0" applyFont="1" applyFill="1" applyBorder="1" applyAlignment="1">
      <alignment horizontal="left" vertical="center"/>
    </xf>
    <xf numFmtId="0" fontId="10" fillId="17" borderId="48" xfId="0" applyFont="1" applyFill="1" applyBorder="1" applyAlignment="1">
      <alignment horizontal="left" vertical="center"/>
    </xf>
    <xf numFmtId="0" fontId="10" fillId="3" borderId="54" xfId="0" applyFont="1" applyFill="1" applyBorder="1" applyAlignment="1">
      <alignment horizontal="left" vertical="center"/>
    </xf>
    <xf numFmtId="0" fontId="10" fillId="3" borderId="49" xfId="0" applyFont="1" applyFill="1" applyBorder="1" applyAlignment="1">
      <alignment horizontal="left" vertical="center"/>
    </xf>
    <xf numFmtId="0" fontId="10" fillId="3" borderId="50" xfId="0" applyFont="1" applyFill="1" applyBorder="1" applyAlignment="1">
      <alignment horizontal="left" vertical="center"/>
    </xf>
    <xf numFmtId="0" fontId="2" fillId="17" borderId="40"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24" xfId="0" applyFont="1" applyFill="1" applyBorder="1" applyAlignment="1">
      <alignment horizontal="center" vertical="center" wrapText="1"/>
    </xf>
    <xf numFmtId="0" fontId="2" fillId="17" borderId="37" xfId="0" applyFont="1" applyFill="1" applyBorder="1" applyAlignment="1">
      <alignment horizontal="center" vertical="center" wrapText="1"/>
    </xf>
    <xf numFmtId="0" fontId="2" fillId="17" borderId="23" xfId="0" applyFont="1" applyFill="1" applyBorder="1" applyAlignment="1">
      <alignment horizontal="center" vertical="center" wrapText="1"/>
    </xf>
    <xf numFmtId="0" fontId="2" fillId="17" borderId="33" xfId="0" applyFont="1" applyFill="1" applyBorder="1" applyAlignment="1">
      <alignment horizontal="center" vertical="center" wrapText="1"/>
    </xf>
    <xf numFmtId="3" fontId="17" fillId="0" borderId="13" xfId="0" applyNumberFormat="1" applyFont="1" applyBorder="1" applyAlignment="1">
      <alignment horizontal="center" vertical="center"/>
    </xf>
    <xf numFmtId="3" fontId="17" fillId="0" borderId="14" xfId="0" applyNumberFormat="1" applyFont="1" applyBorder="1" applyAlignment="1">
      <alignment horizontal="center" vertical="center"/>
    </xf>
    <xf numFmtId="3" fontId="17" fillId="0" borderId="39" xfId="0" applyNumberFormat="1" applyFont="1" applyBorder="1" applyAlignment="1">
      <alignment horizontal="center" vertical="center"/>
    </xf>
    <xf numFmtId="0" fontId="10" fillId="17" borderId="46" xfId="0" applyFont="1" applyFill="1" applyBorder="1" applyAlignment="1">
      <alignment horizontal="left" vertical="center" wrapText="1"/>
    </xf>
    <xf numFmtId="0" fontId="10" fillId="17" borderId="47" xfId="0" applyFont="1" applyFill="1" applyBorder="1" applyAlignment="1">
      <alignment horizontal="left" vertical="center" wrapText="1"/>
    </xf>
    <xf numFmtId="0" fontId="10" fillId="17" borderId="48" xfId="0" applyFont="1" applyFill="1" applyBorder="1" applyAlignment="1">
      <alignment horizontal="left" vertical="center" wrapText="1"/>
    </xf>
    <xf numFmtId="0" fontId="10" fillId="3" borderId="54" xfId="0" applyFont="1" applyFill="1" applyBorder="1" applyAlignment="1">
      <alignment horizontal="left" vertical="center" wrapText="1"/>
    </xf>
    <xf numFmtId="0" fontId="10" fillId="3" borderId="49" xfId="0" applyFont="1" applyFill="1" applyBorder="1" applyAlignment="1">
      <alignment horizontal="left" vertical="center" wrapText="1"/>
    </xf>
    <xf numFmtId="0" fontId="10" fillId="3" borderId="50" xfId="0" applyFont="1" applyFill="1" applyBorder="1" applyAlignment="1">
      <alignment horizontal="left" vertical="center" wrapText="1"/>
    </xf>
    <xf numFmtId="0" fontId="30" fillId="17" borderId="28" xfId="19" applyFont="1" applyFill="1" applyBorder="1" applyAlignment="1">
      <alignment horizontal="left" vertical="center" wrapText="1"/>
    </xf>
    <xf numFmtId="0" fontId="30" fillId="17" borderId="29" xfId="19" applyFont="1" applyFill="1" applyBorder="1" applyAlignment="1">
      <alignment horizontal="left" vertical="center" wrapText="1"/>
    </xf>
    <xf numFmtId="0" fontId="30" fillId="17" borderId="38" xfId="19" applyFont="1" applyFill="1" applyBorder="1" applyAlignment="1">
      <alignment horizontal="left" vertical="center" wrapText="1"/>
    </xf>
    <xf numFmtId="0" fontId="11" fillId="15" borderId="54" xfId="0" applyFont="1" applyFill="1" applyBorder="1" applyAlignment="1">
      <alignment horizontal="left" vertical="center" wrapText="1"/>
    </xf>
    <xf numFmtId="0" fontId="11" fillId="15" borderId="49" xfId="0" applyFont="1" applyFill="1" applyBorder="1" applyAlignment="1">
      <alignment horizontal="left" vertical="center" wrapText="1"/>
    </xf>
    <xf numFmtId="0" fontId="11" fillId="15" borderId="50" xfId="0" applyFont="1" applyFill="1" applyBorder="1" applyAlignment="1">
      <alignment horizontal="left" vertical="center" wrapText="1"/>
    </xf>
    <xf numFmtId="0" fontId="30" fillId="0" borderId="46" xfId="19" applyFont="1" applyBorder="1" applyAlignment="1">
      <alignment horizontal="center" vertical="center" wrapText="1"/>
    </xf>
    <xf numFmtId="0" fontId="30" fillId="0" borderId="47" xfId="19" applyFont="1" applyBorder="1" applyAlignment="1">
      <alignment horizontal="center" vertical="center" wrapText="1"/>
    </xf>
    <xf numFmtId="0" fontId="30" fillId="0" borderId="24" xfId="19" applyFont="1" applyBorder="1" applyAlignment="1">
      <alignment horizontal="center" vertical="center" wrapText="1"/>
    </xf>
    <xf numFmtId="0" fontId="30" fillId="0" borderId="48" xfId="19" applyFont="1" applyBorder="1" applyAlignment="1">
      <alignment horizontal="center" vertical="center" wrapText="1"/>
    </xf>
    <xf numFmtId="0" fontId="2" fillId="17" borderId="39" xfId="0" applyFont="1" applyFill="1" applyBorder="1" applyAlignment="1">
      <alignment horizontal="center" vertical="center" wrapText="1"/>
    </xf>
    <xf numFmtId="0" fontId="2" fillId="17" borderId="56"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17" borderId="1" xfId="0" applyFont="1" applyFill="1" applyBorder="1" applyAlignment="1">
      <alignment horizontal="center" vertical="center" wrapText="1"/>
    </xf>
    <xf numFmtId="0" fontId="2" fillId="17" borderId="0" xfId="0" applyFont="1" applyFill="1" applyAlignment="1">
      <alignment horizontal="center" vertical="center" wrapText="1"/>
    </xf>
    <xf numFmtId="0" fontId="18" fillId="0" borderId="1" xfId="0" applyFont="1" applyBorder="1" applyAlignment="1" applyProtection="1">
      <alignment horizontal="center" vertical="center" wrapText="1"/>
      <protection locked="0"/>
    </xf>
    <xf numFmtId="0" fontId="17" fillId="3" borderId="1" xfId="0" applyFont="1" applyFill="1" applyBorder="1" applyAlignment="1" applyProtection="1">
      <alignment horizontal="center" vertical="center" wrapText="1"/>
      <protection locked="0"/>
    </xf>
    <xf numFmtId="10" fontId="17" fillId="3" borderId="1" xfId="0" applyNumberFormat="1" applyFont="1" applyFill="1" applyBorder="1" applyAlignment="1" applyProtection="1">
      <alignment horizontal="center" vertical="center" wrapText="1"/>
      <protection locked="0"/>
    </xf>
    <xf numFmtId="0" fontId="2" fillId="17" borderId="15" xfId="16" applyFont="1" applyFill="1" applyBorder="1" applyAlignment="1">
      <alignment horizontal="center" vertical="center" wrapText="1"/>
    </xf>
    <xf numFmtId="0" fontId="2" fillId="17" borderId="35" xfId="16" applyFont="1" applyFill="1" applyBorder="1" applyAlignment="1">
      <alignment horizontal="center" vertical="center" wrapText="1"/>
    </xf>
    <xf numFmtId="0" fontId="17" fillId="0" borderId="1" xfId="16" applyFont="1" applyFill="1" applyBorder="1" applyAlignment="1">
      <alignment horizontal="center"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6" xfId="16" applyFont="1" applyFill="1" applyBorder="1" applyAlignment="1">
      <alignment horizontal="center" vertical="center" wrapText="1"/>
    </xf>
    <xf numFmtId="0" fontId="2" fillId="22" borderId="3"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17" fillId="0" borderId="1" xfId="16" applyFont="1" applyFill="1" applyBorder="1" applyAlignment="1">
      <alignment horizontal="left" vertical="top" wrapText="1"/>
    </xf>
    <xf numFmtId="0" fontId="0" fillId="0" borderId="23" xfId="0" applyFill="1" applyBorder="1" applyAlignment="1">
      <alignment horizontal="center"/>
    </xf>
    <xf numFmtId="0" fontId="0" fillId="0" borderId="24" xfId="0" applyFill="1" applyBorder="1" applyAlignment="1">
      <alignment horizontal="center"/>
    </xf>
    <xf numFmtId="0" fontId="0" fillId="0" borderId="26" xfId="0" applyFill="1" applyBorder="1" applyAlignment="1">
      <alignment horizontal="center"/>
    </xf>
    <xf numFmtId="0" fontId="0" fillId="0" borderId="0" xfId="0" applyFill="1" applyBorder="1" applyAlignment="1">
      <alignment horizontal="center"/>
    </xf>
    <xf numFmtId="0" fontId="0" fillId="0" borderId="28" xfId="0" applyFill="1" applyBorder="1" applyAlignment="1">
      <alignment horizontal="center"/>
    </xf>
    <xf numFmtId="0" fontId="0" fillId="0" borderId="29" xfId="0" applyFill="1" applyBorder="1" applyAlignment="1">
      <alignment horizontal="center"/>
    </xf>
    <xf numFmtId="0" fontId="72" fillId="17" borderId="17" xfId="0" applyFont="1" applyFill="1" applyBorder="1" applyAlignment="1">
      <alignment horizontal="center" vertical="center" wrapText="1"/>
    </xf>
    <xf numFmtId="0" fontId="72" fillId="17" borderId="3" xfId="0" applyFont="1" applyFill="1" applyBorder="1" applyAlignment="1">
      <alignment horizontal="center" vertical="center" wrapText="1"/>
    </xf>
    <xf numFmtId="0" fontId="72" fillId="17" borderId="10" xfId="0" applyFont="1" applyFill="1" applyBorder="1" applyAlignment="1">
      <alignment horizontal="center" vertical="center" wrapText="1"/>
    </xf>
    <xf numFmtId="0" fontId="76" fillId="17" borderId="18" xfId="0" applyFont="1" applyFill="1" applyBorder="1" applyAlignment="1">
      <alignment horizontal="left" vertical="center" wrapText="1"/>
    </xf>
    <xf numFmtId="0" fontId="76" fillId="17" borderId="1" xfId="0" applyFont="1" applyFill="1" applyBorder="1" applyAlignment="1">
      <alignment horizontal="left" vertical="center" wrapText="1"/>
    </xf>
    <xf numFmtId="0" fontId="76" fillId="17" borderId="11" xfId="0" applyFont="1" applyFill="1" applyBorder="1" applyAlignment="1">
      <alignment horizontal="left" vertical="center" wrapText="1"/>
    </xf>
    <xf numFmtId="0" fontId="10" fillId="17" borderId="43"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3" borderId="23"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10" fillId="3" borderId="37" xfId="0" applyFont="1" applyFill="1" applyBorder="1" applyAlignment="1">
      <alignment horizontal="left" vertical="center" wrapText="1"/>
    </xf>
    <xf numFmtId="0" fontId="10" fillId="3" borderId="46" xfId="0" applyFont="1" applyFill="1" applyBorder="1" applyAlignment="1">
      <alignment horizontal="left" vertical="center" wrapText="1"/>
    </xf>
    <xf numFmtId="0" fontId="10" fillId="3" borderId="47"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28" fillId="3" borderId="43" xfId="0" applyFont="1" applyFill="1" applyBorder="1" applyAlignment="1">
      <alignment horizontal="left" vertical="center" wrapText="1"/>
    </xf>
    <xf numFmtId="0" fontId="28" fillId="3" borderId="30" xfId="0" applyFont="1" applyFill="1" applyBorder="1" applyAlignment="1">
      <alignment horizontal="left" vertical="center" wrapText="1"/>
    </xf>
    <xf numFmtId="0" fontId="28" fillId="3" borderId="44" xfId="0" applyFont="1" applyFill="1" applyBorder="1" applyAlignment="1">
      <alignment horizontal="left" vertical="center" wrapText="1"/>
    </xf>
    <xf numFmtId="0" fontId="10" fillId="0" borderId="46"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2" fillId="17" borderId="34" xfId="16" applyFont="1" applyFill="1" applyBorder="1" applyAlignment="1">
      <alignment horizontal="center" vertical="center" wrapText="1"/>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5" xfId="0" applyBorder="1" applyAlignment="1">
      <alignment horizontal="center" vertical="center" wrapText="1"/>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39" xfId="0" applyBorder="1" applyAlignment="1">
      <alignment horizontal="center" vertical="center"/>
    </xf>
    <xf numFmtId="0" fontId="59" fillId="18" borderId="40" xfId="0" applyFont="1" applyFill="1" applyBorder="1" applyAlignment="1">
      <alignment horizontal="center"/>
    </xf>
    <xf numFmtId="0" fontId="59" fillId="18" borderId="32" xfId="0" applyFont="1" applyFill="1" applyBorder="1" applyAlignment="1">
      <alignment horizontal="center"/>
    </xf>
    <xf numFmtId="0" fontId="59" fillId="18" borderId="33" xfId="0" applyFont="1" applyFill="1" applyBorder="1" applyAlignment="1">
      <alignment horizontal="center"/>
    </xf>
    <xf numFmtId="0" fontId="61" fillId="0" borderId="20" xfId="0" applyFont="1" applyBorder="1" applyAlignment="1">
      <alignment horizontal="center" vertical="center"/>
    </xf>
    <xf numFmtId="0" fontId="61" fillId="0" borderId="14" xfId="0" applyFont="1" applyBorder="1" applyAlignment="1">
      <alignment horizontal="center" vertical="center"/>
    </xf>
    <xf numFmtId="0" fontId="61" fillId="0" borderId="39" xfId="0" applyFont="1" applyBorder="1" applyAlignment="1">
      <alignment horizontal="center" vertical="center"/>
    </xf>
    <xf numFmtId="0" fontId="0" fillId="0" borderId="34" xfId="0" applyBorder="1" applyAlignment="1">
      <alignment horizontal="center" vertical="center" wrapText="1"/>
    </xf>
    <xf numFmtId="0" fontId="22" fillId="0" borderId="20" xfId="0" applyFont="1" applyBorder="1" applyAlignment="1">
      <alignment horizontal="center" vertical="center"/>
    </xf>
    <xf numFmtId="0" fontId="22" fillId="0" borderId="14" xfId="0" applyFont="1" applyBorder="1" applyAlignment="1">
      <alignment horizontal="center" vertical="center"/>
    </xf>
    <xf numFmtId="0" fontId="22" fillId="0" borderId="39" xfId="0" applyFont="1" applyBorder="1" applyAlignment="1">
      <alignment horizontal="center" vertical="center"/>
    </xf>
    <xf numFmtId="0" fontId="59" fillId="18" borderId="40" xfId="0" applyFont="1" applyFill="1" applyBorder="1" applyAlignment="1">
      <alignment horizontal="center" vertical="center"/>
    </xf>
    <xf numFmtId="0" fontId="59" fillId="18" borderId="32" xfId="0" applyFont="1" applyFill="1" applyBorder="1" applyAlignment="1">
      <alignment horizontal="center" vertical="center"/>
    </xf>
    <xf numFmtId="0" fontId="59" fillId="18" borderId="33" xfId="0" applyFont="1" applyFill="1" applyBorder="1" applyAlignment="1">
      <alignment horizontal="center" vertical="center"/>
    </xf>
    <xf numFmtId="0" fontId="59" fillId="18" borderId="17" xfId="0" applyFont="1" applyFill="1" applyBorder="1" applyAlignment="1">
      <alignment horizontal="center" vertical="center"/>
    </xf>
    <xf numFmtId="0" fontId="59" fillId="18" borderId="3" xfId="0" applyFont="1" applyFill="1" applyBorder="1" applyAlignment="1">
      <alignment horizontal="center" vertical="center"/>
    </xf>
    <xf numFmtId="0" fontId="59" fillId="18" borderId="10" xfId="0" applyFont="1" applyFill="1" applyBorder="1" applyAlignment="1">
      <alignment horizontal="center" vertical="center"/>
    </xf>
    <xf numFmtId="0" fontId="0" fillId="0" borderId="37"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38" xfId="0" applyBorder="1" applyAlignment="1">
      <alignment horizontal="center"/>
    </xf>
    <xf numFmtId="0" fontId="55" fillId="17" borderId="17" xfId="0" applyFont="1" applyFill="1" applyBorder="1" applyAlignment="1">
      <alignment horizontal="center" vertical="center"/>
    </xf>
    <xf numFmtId="0" fontId="55" fillId="17" borderId="3" xfId="0" applyFont="1" applyFill="1" applyBorder="1" applyAlignment="1">
      <alignment horizontal="center" vertical="center"/>
    </xf>
    <xf numFmtId="0" fontId="55" fillId="17" borderId="10" xfId="0" applyFont="1" applyFill="1" applyBorder="1" applyAlignment="1">
      <alignment horizontal="center" vertical="center"/>
    </xf>
    <xf numFmtId="0" fontId="56" fillId="17" borderId="18" xfId="0" applyFont="1" applyFill="1" applyBorder="1" applyAlignment="1">
      <alignment horizontal="center" vertical="center" wrapText="1"/>
    </xf>
    <xf numFmtId="0" fontId="56" fillId="17" borderId="1" xfId="0" applyFont="1" applyFill="1" applyBorder="1" applyAlignment="1">
      <alignment horizontal="center" vertical="center"/>
    </xf>
    <xf numFmtId="0" fontId="56" fillId="17" borderId="2" xfId="0" applyFont="1" applyFill="1" applyBorder="1" applyAlignment="1">
      <alignment horizontal="center" vertical="center"/>
    </xf>
    <xf numFmtId="0" fontId="56" fillId="17" borderId="19" xfId="0" applyFont="1" applyFill="1" applyBorder="1" applyAlignment="1">
      <alignment horizontal="center" vertical="center"/>
    </xf>
    <xf numFmtId="0" fontId="57" fillId="0" borderId="43" xfId="0" applyFont="1" applyBorder="1" applyAlignment="1">
      <alignment horizontal="center"/>
    </xf>
    <xf numFmtId="0" fontId="57" fillId="0" borderId="30" xfId="0" applyFont="1" applyBorder="1" applyAlignment="1">
      <alignment horizontal="center"/>
    </xf>
    <xf numFmtId="0" fontId="56" fillId="0" borderId="46" xfId="0" applyFont="1" applyBorder="1" applyAlignment="1">
      <alignment horizontal="center"/>
    </xf>
    <xf numFmtId="0" fontId="56" fillId="0" borderId="47" xfId="0" applyFont="1" applyBorder="1" applyAlignment="1">
      <alignment horizontal="center"/>
    </xf>
    <xf numFmtId="0" fontId="56" fillId="0" borderId="48" xfId="0" applyFont="1" applyBorder="1" applyAlignment="1">
      <alignment horizontal="center"/>
    </xf>
    <xf numFmtId="0" fontId="58" fillId="17" borderId="23" xfId="0" applyFont="1" applyFill="1" applyBorder="1" applyAlignment="1">
      <alignment horizontal="left" vertical="center"/>
    </xf>
    <xf numFmtId="0" fontId="58" fillId="17" borderId="37" xfId="0" applyFont="1" applyFill="1" applyBorder="1" applyAlignment="1">
      <alignment horizontal="left" vertical="center"/>
    </xf>
    <xf numFmtId="0" fontId="58" fillId="17" borderId="46" xfId="0" applyFont="1" applyFill="1" applyBorder="1" applyAlignment="1">
      <alignment horizontal="left" vertical="center"/>
    </xf>
    <xf numFmtId="0" fontId="58" fillId="17" borderId="48" xfId="0" applyFont="1" applyFill="1" applyBorder="1" applyAlignment="1">
      <alignment horizontal="left" vertical="center"/>
    </xf>
    <xf numFmtId="0" fontId="61" fillId="0" borderId="13" xfId="0" applyFont="1" applyBorder="1" applyAlignment="1">
      <alignment horizontal="center" vertical="center"/>
    </xf>
    <xf numFmtId="0" fontId="61" fillId="0" borderId="15" xfId="0" applyFont="1" applyBorder="1" applyAlignment="1">
      <alignment horizontal="center" vertical="center"/>
    </xf>
    <xf numFmtId="0" fontId="61" fillId="0" borderId="25" xfId="0" applyFont="1" applyBorder="1" applyAlignment="1">
      <alignment horizontal="center" vertical="center"/>
    </xf>
    <xf numFmtId="0" fontId="61" fillId="0" borderId="9" xfId="0" applyFont="1" applyBorder="1" applyAlignment="1">
      <alignment horizontal="center" vertical="center"/>
    </xf>
    <xf numFmtId="0" fontId="43" fillId="0" borderId="8" xfId="0" applyFont="1" applyFill="1" applyBorder="1" applyAlignment="1">
      <alignment horizontal="center" vertical="center" wrapText="1"/>
    </xf>
    <xf numFmtId="0" fontId="43" fillId="0" borderId="6" xfId="0" applyFont="1" applyFill="1" applyBorder="1" applyAlignment="1">
      <alignment horizontal="center" vertical="center" wrapText="1"/>
    </xf>
    <xf numFmtId="0" fontId="43" fillId="0" borderId="7" xfId="0" applyFont="1" applyFill="1" applyBorder="1" applyAlignment="1">
      <alignment horizontal="center" vertical="center" wrapText="1"/>
    </xf>
    <xf numFmtId="0" fontId="43" fillId="0" borderId="1" xfId="0" applyFont="1" applyFill="1" applyBorder="1" applyAlignment="1">
      <alignment horizontal="center" vertical="center"/>
    </xf>
    <xf numFmtId="0" fontId="77" fillId="17" borderId="1" xfId="0" applyFont="1" applyFill="1" applyBorder="1" applyAlignment="1">
      <alignment horizontal="center" vertical="center"/>
    </xf>
    <xf numFmtId="0" fontId="72" fillId="17" borderId="2" xfId="0" applyFont="1" applyFill="1" applyBorder="1" applyAlignment="1">
      <alignment horizontal="center"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7" xfId="0" applyFont="1" applyFill="1" applyBorder="1" applyAlignment="1">
      <alignment horizontal="left" vertical="center"/>
    </xf>
    <xf numFmtId="0" fontId="15" fillId="25" borderId="1" xfId="0" applyFont="1" applyFill="1" applyBorder="1" applyAlignment="1">
      <alignment horizontal="center" vertical="center" wrapText="1"/>
    </xf>
    <xf numFmtId="0" fontId="45" fillId="16" borderId="8" xfId="0" applyFont="1" applyFill="1" applyBorder="1" applyAlignment="1">
      <alignment horizontal="center" vertical="center"/>
    </xf>
    <xf numFmtId="0" fontId="45" fillId="16" borderId="6" xfId="0" applyFont="1" applyFill="1" applyBorder="1" applyAlignment="1">
      <alignment horizontal="center" vertical="center"/>
    </xf>
    <xf numFmtId="0" fontId="45" fillId="16" borderId="7" xfId="0" applyFont="1" applyFill="1" applyBorder="1" applyAlignment="1">
      <alignment horizontal="center" vertical="center"/>
    </xf>
    <xf numFmtId="0" fontId="45" fillId="16" borderId="1" xfId="0" applyFont="1" applyFill="1" applyBorder="1" applyAlignment="1">
      <alignment horizontal="center" vertical="center" wrapText="1"/>
    </xf>
    <xf numFmtId="0" fontId="2" fillId="17" borderId="17"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2" fillId="17" borderId="36"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4" fillId="0" borderId="34"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5" xfId="0" applyFont="1" applyBorder="1" applyAlignment="1">
      <alignment horizontal="center" vertical="center" wrapText="1"/>
    </xf>
    <xf numFmtId="4" fontId="17" fillId="26" borderId="19" xfId="0" applyNumberFormat="1" applyFont="1" applyFill="1" applyBorder="1" applyAlignment="1">
      <alignment horizontal="left" vertical="center" wrapText="1"/>
    </xf>
    <xf numFmtId="4" fontId="17" fillId="26" borderId="55" xfId="0" applyNumberFormat="1" applyFont="1" applyFill="1" applyBorder="1" applyAlignment="1">
      <alignment horizontal="left" vertical="center" wrapText="1"/>
    </xf>
    <xf numFmtId="4" fontId="17" fillId="26" borderId="21" xfId="0" applyNumberFormat="1" applyFont="1" applyFill="1" applyBorder="1" applyAlignment="1">
      <alignment horizontal="left" vertical="center" wrapText="1"/>
    </xf>
    <xf numFmtId="0" fontId="4" fillId="0" borderId="35" xfId="0" applyFont="1" applyBorder="1" applyAlignment="1">
      <alignment horizontal="center" vertical="center" wrapText="1"/>
    </xf>
    <xf numFmtId="3" fontId="33" fillId="20" borderId="2" xfId="0" applyNumberFormat="1" applyFont="1" applyFill="1" applyBorder="1" applyAlignment="1">
      <alignment horizontal="center" vertical="center" wrapText="1"/>
    </xf>
    <xf numFmtId="3" fontId="33" fillId="20" borderId="22" xfId="0" applyNumberFormat="1" applyFont="1" applyFill="1" applyBorder="1" applyAlignment="1">
      <alignment horizontal="center" vertical="center" wrapText="1"/>
    </xf>
    <xf numFmtId="3" fontId="33" fillId="20" borderId="5" xfId="0" applyNumberFormat="1" applyFont="1" applyFill="1" applyBorder="1" applyAlignment="1">
      <alignment horizontal="center" vertical="center" wrapText="1"/>
    </xf>
    <xf numFmtId="3" fontId="4" fillId="20" borderId="19" xfId="0" applyNumberFormat="1" applyFont="1" applyFill="1" applyBorder="1" applyAlignment="1">
      <alignment horizontal="center" vertical="center" wrapText="1"/>
    </xf>
    <xf numFmtId="3" fontId="4" fillId="20" borderId="55" xfId="0" applyNumberFormat="1" applyFont="1" applyFill="1" applyBorder="1" applyAlignment="1">
      <alignment horizontal="center" vertical="center" wrapText="1"/>
    </xf>
    <xf numFmtId="3" fontId="4" fillId="20" borderId="21" xfId="0" applyNumberFormat="1" applyFont="1" applyFill="1" applyBorder="1" applyAlignment="1">
      <alignment horizontal="center" vertical="center" wrapText="1"/>
    </xf>
    <xf numFmtId="4" fontId="4" fillId="26" borderId="2" xfId="0" applyNumberFormat="1" applyFont="1" applyFill="1" applyBorder="1" applyAlignment="1">
      <alignment horizontal="center" vertical="center" wrapText="1"/>
    </xf>
    <xf numFmtId="4" fontId="4" fillId="26" borderId="22" xfId="0" applyNumberFormat="1" applyFont="1" applyFill="1" applyBorder="1" applyAlignment="1">
      <alignment horizontal="center" vertical="center" wrapText="1"/>
    </xf>
    <xf numFmtId="4" fontId="4" fillId="26" borderId="5" xfId="0" applyNumberFormat="1" applyFont="1" applyFill="1" applyBorder="1" applyAlignment="1">
      <alignment horizontal="center" vertical="center" wrapText="1"/>
    </xf>
    <xf numFmtId="3" fontId="4" fillId="26" borderId="19" xfId="0" applyNumberFormat="1" applyFont="1" applyFill="1" applyBorder="1" applyAlignment="1">
      <alignment horizontal="center" vertical="center" wrapText="1"/>
    </xf>
    <xf numFmtId="3" fontId="4" fillId="26" borderId="55" xfId="0" applyNumberFormat="1" applyFont="1" applyFill="1" applyBorder="1" applyAlignment="1">
      <alignment horizontal="center" vertical="center" wrapText="1"/>
    </xf>
    <xf numFmtId="3" fontId="4" fillId="26" borderId="21" xfId="0" applyNumberFormat="1" applyFont="1" applyFill="1" applyBorder="1" applyAlignment="1">
      <alignment horizontal="center" vertical="center" wrapText="1"/>
    </xf>
    <xf numFmtId="0" fontId="8" fillId="26" borderId="1" xfId="0" applyFont="1" applyFill="1" applyBorder="1" applyAlignment="1">
      <alignment horizontal="center" vertical="center" wrapText="1"/>
    </xf>
    <xf numFmtId="3" fontId="17" fillId="4" borderId="1" xfId="0" applyNumberFormat="1" applyFont="1" applyFill="1" applyBorder="1" applyAlignment="1">
      <alignment horizontal="center" vertical="center" wrapText="1"/>
    </xf>
    <xf numFmtId="3" fontId="17" fillId="26" borderId="1" xfId="0" applyNumberFormat="1" applyFont="1" applyFill="1" applyBorder="1" applyAlignment="1">
      <alignment horizontal="center" vertical="center" wrapText="1"/>
    </xf>
    <xf numFmtId="0" fontId="17" fillId="4" borderId="20" xfId="0" applyFont="1" applyFill="1" applyBorder="1" applyAlignment="1">
      <alignment horizontal="center" vertical="center" wrapText="1"/>
    </xf>
    <xf numFmtId="0" fontId="17" fillId="4" borderId="14" xfId="0" applyFont="1" applyFill="1" applyBorder="1" applyAlignment="1">
      <alignment horizontal="center" vertical="center" wrapText="1"/>
    </xf>
    <xf numFmtId="0" fontId="17" fillId="4" borderId="39"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17" fillId="4" borderId="22" xfId="0" applyFont="1" applyFill="1" applyBorder="1" applyAlignment="1">
      <alignment horizontal="center" vertical="center" wrapText="1"/>
    </xf>
    <xf numFmtId="0" fontId="17" fillId="4" borderId="5" xfId="0" applyFont="1" applyFill="1" applyBorder="1" applyAlignment="1">
      <alignment horizontal="center" vertical="center" wrapText="1"/>
    </xf>
    <xf numFmtId="0" fontId="17" fillId="4" borderId="1" xfId="0" applyFont="1" applyFill="1" applyBorder="1" applyAlignment="1">
      <alignment horizontal="center" vertical="center" wrapText="1"/>
    </xf>
    <xf numFmtId="3" fontId="17" fillId="4" borderId="2" xfId="0" applyNumberFormat="1" applyFont="1" applyFill="1" applyBorder="1" applyAlignment="1">
      <alignment horizontal="center" vertical="center" wrapText="1"/>
    </xf>
    <xf numFmtId="3" fontId="17" fillId="4" borderId="22" xfId="0" applyNumberFormat="1" applyFont="1" applyFill="1" applyBorder="1" applyAlignment="1">
      <alignment horizontal="center" vertical="center" wrapText="1"/>
    </xf>
    <xf numFmtId="3" fontId="17" fillId="4" borderId="5" xfId="0" applyNumberFormat="1" applyFont="1" applyFill="1" applyBorder="1" applyAlignment="1">
      <alignment horizontal="center" vertical="center" wrapText="1"/>
    </xf>
    <xf numFmtId="3" fontId="17" fillId="26" borderId="2" xfId="0" applyNumberFormat="1" applyFont="1" applyFill="1" applyBorder="1" applyAlignment="1">
      <alignment horizontal="center" vertical="center" wrapText="1"/>
    </xf>
    <xf numFmtId="3" fontId="17" fillId="26" borderId="22" xfId="0" applyNumberFormat="1" applyFont="1" applyFill="1" applyBorder="1" applyAlignment="1">
      <alignment horizontal="center" vertical="center" wrapText="1"/>
    </xf>
    <xf numFmtId="3" fontId="17" fillId="26" borderId="5" xfId="0" applyNumberFormat="1" applyFont="1" applyFill="1" applyBorder="1" applyAlignment="1">
      <alignment horizontal="center" vertical="center" wrapText="1"/>
    </xf>
    <xf numFmtId="0" fontId="17" fillId="4" borderId="18" xfId="0" applyFont="1" applyFill="1" applyBorder="1" applyAlignment="1">
      <alignment horizontal="center" vertical="center" wrapText="1"/>
    </xf>
    <xf numFmtId="0" fontId="17" fillId="26" borderId="1" xfId="0" applyFont="1" applyFill="1" applyBorder="1" applyAlignment="1">
      <alignment horizontal="center" vertical="center" wrapText="1"/>
    </xf>
    <xf numFmtId="3" fontId="18" fillId="3" borderId="2" xfId="0" applyNumberFormat="1" applyFont="1" applyFill="1" applyBorder="1" applyAlignment="1">
      <alignment vertical="center" wrapText="1"/>
    </xf>
    <xf numFmtId="3" fontId="18" fillId="3" borderId="22" xfId="0" applyNumberFormat="1" applyFont="1" applyFill="1" applyBorder="1" applyAlignment="1">
      <alignment vertical="center" wrapText="1"/>
    </xf>
    <xf numFmtId="3" fontId="18" fillId="3" borderId="5" xfId="0" applyNumberFormat="1" applyFont="1" applyFill="1" applyBorder="1" applyAlignment="1">
      <alignment vertical="center" wrapText="1"/>
    </xf>
    <xf numFmtId="4" fontId="17" fillId="26" borderId="19" xfId="0" applyNumberFormat="1" applyFont="1" applyFill="1" applyBorder="1" applyAlignment="1">
      <alignment horizontal="center" vertical="center" wrapText="1"/>
    </xf>
    <xf numFmtId="4" fontId="17" fillId="26" borderId="55" xfId="0" applyNumberFormat="1" applyFont="1" applyFill="1" applyBorder="1" applyAlignment="1">
      <alignment horizontal="center" vertical="center" wrapText="1"/>
    </xf>
    <xf numFmtId="4" fontId="17" fillId="26" borderId="21" xfId="0" applyNumberFormat="1" applyFont="1" applyFill="1" applyBorder="1" applyAlignment="1">
      <alignment horizontal="center" vertical="center" wrapText="1"/>
    </xf>
    <xf numFmtId="0" fontId="17" fillId="3" borderId="7" xfId="0" applyFont="1" applyFill="1" applyBorder="1" applyAlignment="1">
      <alignment vertical="center" wrapText="1"/>
    </xf>
    <xf numFmtId="0" fontId="17" fillId="3" borderId="2" xfId="0" applyFont="1" applyFill="1" applyBorder="1" applyAlignment="1">
      <alignment horizontal="justify" vertical="center" wrapText="1"/>
    </xf>
    <xf numFmtId="0" fontId="17" fillId="3" borderId="22" xfId="0" applyFont="1" applyFill="1" applyBorder="1" applyAlignment="1">
      <alignment horizontal="justify" vertical="center" wrapText="1"/>
    </xf>
    <xf numFmtId="0" fontId="17" fillId="3" borderId="5" xfId="0" applyFont="1" applyFill="1" applyBorder="1" applyAlignment="1">
      <alignment horizontal="justify" vertical="center" wrapText="1"/>
    </xf>
    <xf numFmtId="3" fontId="18" fillId="28" borderId="1" xfId="0" applyNumberFormat="1" applyFont="1" applyFill="1" applyBorder="1" applyAlignment="1">
      <alignment vertical="center" wrapText="1"/>
    </xf>
    <xf numFmtId="0" fontId="17" fillId="28" borderId="18" xfId="0" applyFont="1" applyFill="1" applyBorder="1" applyAlignment="1">
      <alignment vertical="center" wrapText="1"/>
    </xf>
    <xf numFmtId="4" fontId="17" fillId="28" borderId="19" xfId="0" applyNumberFormat="1" applyFont="1" applyFill="1" applyBorder="1" applyAlignment="1">
      <alignment horizontal="center" vertical="center" wrapText="1"/>
    </xf>
    <xf numFmtId="4" fontId="17" fillId="28" borderId="55" xfId="0" applyNumberFormat="1" applyFont="1" applyFill="1" applyBorder="1" applyAlignment="1">
      <alignment horizontal="center" vertical="center" wrapText="1"/>
    </xf>
    <xf numFmtId="4" fontId="17" fillId="28" borderId="21" xfId="0" applyNumberFormat="1" applyFont="1" applyFill="1" applyBorder="1" applyAlignment="1">
      <alignment horizontal="center" vertical="center" wrapText="1"/>
    </xf>
    <xf numFmtId="4" fontId="4" fillId="26" borderId="19" xfId="0" applyNumberFormat="1" applyFont="1" applyFill="1" applyBorder="1" applyAlignment="1">
      <alignment horizontal="center" vertical="center" wrapText="1"/>
    </xf>
    <xf numFmtId="4" fontId="4" fillId="26" borderId="55" xfId="0" applyNumberFormat="1" applyFont="1" applyFill="1" applyBorder="1" applyAlignment="1">
      <alignment horizontal="center" vertical="center" wrapText="1"/>
    </xf>
    <xf numFmtId="4" fontId="4" fillId="26" borderId="21" xfId="0" applyNumberFormat="1" applyFont="1" applyFill="1" applyBorder="1" applyAlignment="1">
      <alignment horizontal="center" vertical="center" wrapText="1"/>
    </xf>
    <xf numFmtId="0" fontId="17" fillId="3" borderId="19" xfId="0" applyFont="1" applyFill="1" applyBorder="1" applyAlignment="1">
      <alignment horizontal="justify" vertical="center" wrapText="1"/>
    </xf>
    <xf numFmtId="0" fontId="17" fillId="3" borderId="55" xfId="0" applyFont="1" applyFill="1" applyBorder="1" applyAlignment="1">
      <alignment horizontal="justify" vertical="center" wrapText="1"/>
    </xf>
    <xf numFmtId="0" fontId="17" fillId="3" borderId="21" xfId="0" applyFont="1" applyFill="1" applyBorder="1" applyAlignment="1">
      <alignment horizontal="justify" vertical="center" wrapText="1"/>
    </xf>
    <xf numFmtId="0" fontId="17" fillId="3" borderId="51" xfId="0" applyFont="1" applyFill="1" applyBorder="1" applyAlignment="1">
      <alignment horizontal="justify" vertical="center" wrapText="1"/>
    </xf>
    <xf numFmtId="0" fontId="17" fillId="3" borderId="0" xfId="0" applyFont="1" applyFill="1" applyAlignment="1">
      <alignment horizontal="justify" vertical="center" wrapText="1"/>
    </xf>
    <xf numFmtId="0" fontId="17" fillId="3" borderId="41" xfId="0" applyFont="1" applyFill="1" applyBorder="1" applyAlignment="1">
      <alignment horizontal="justify" vertical="center" wrapText="1"/>
    </xf>
    <xf numFmtId="0" fontId="8" fillId="28" borderId="1" xfId="0" applyFont="1" applyFill="1" applyBorder="1" applyAlignment="1">
      <alignment horizontal="center" vertical="center" wrapText="1"/>
    </xf>
    <xf numFmtId="0" fontId="0" fillId="28" borderId="2" xfId="0" applyFill="1" applyBorder="1" applyAlignment="1">
      <alignment horizontal="justify" vertical="center" wrapText="1"/>
    </xf>
    <xf numFmtId="0" fontId="0" fillId="28" borderId="22" xfId="0" applyFill="1" applyBorder="1" applyAlignment="1">
      <alignment horizontal="justify" vertical="center"/>
    </xf>
    <xf numFmtId="0" fontId="0" fillId="28" borderId="5" xfId="0" applyFill="1" applyBorder="1" applyAlignment="1">
      <alignment horizontal="justify" vertical="center"/>
    </xf>
    <xf numFmtId="0" fontId="78" fillId="28" borderId="2" xfId="0" applyFont="1" applyFill="1" applyBorder="1" applyAlignment="1">
      <alignment horizontal="center" vertical="center"/>
    </xf>
    <xf numFmtId="0" fontId="78" fillId="28" borderId="22" xfId="0" applyFont="1" applyFill="1" applyBorder="1" applyAlignment="1">
      <alignment horizontal="center" vertical="center"/>
    </xf>
    <xf numFmtId="0" fontId="78" fillId="28" borderId="5" xfId="0" applyFont="1" applyFill="1" applyBorder="1" applyAlignment="1">
      <alignment horizontal="center" vertical="center"/>
    </xf>
    <xf numFmtId="0" fontId="4" fillId="0" borderId="1" xfId="0" applyFont="1" applyBorder="1" applyAlignment="1">
      <alignment vertical="center" wrapText="1"/>
    </xf>
    <xf numFmtId="4" fontId="4" fillId="28" borderId="19" xfId="0" applyNumberFormat="1" applyFont="1" applyFill="1" applyBorder="1" applyAlignment="1">
      <alignment horizontal="center" vertical="center" wrapText="1"/>
    </xf>
    <xf numFmtId="4" fontId="4" fillId="28" borderId="55" xfId="0" applyNumberFormat="1" applyFont="1" applyFill="1" applyBorder="1" applyAlignment="1">
      <alignment horizontal="center" vertical="center" wrapText="1"/>
    </xf>
    <xf numFmtId="4" fontId="4" fillId="28" borderId="21" xfId="0" applyNumberFormat="1" applyFont="1" applyFill="1" applyBorder="1" applyAlignment="1">
      <alignment horizontal="center" vertical="center" wrapText="1"/>
    </xf>
    <xf numFmtId="3" fontId="4" fillId="26" borderId="1" xfId="0" applyNumberFormat="1" applyFont="1" applyFill="1" applyBorder="1" applyAlignment="1">
      <alignment horizontal="center" vertical="top" wrapText="1"/>
    </xf>
    <xf numFmtId="3" fontId="4" fillId="26" borderId="55" xfId="0" applyNumberFormat="1" applyFont="1" applyFill="1" applyBorder="1" applyAlignment="1">
      <alignment horizontal="center" vertical="top" wrapText="1"/>
    </xf>
    <xf numFmtId="0" fontId="17" fillId="27" borderId="1" xfId="0" applyFont="1" applyFill="1" applyBorder="1" applyAlignment="1">
      <alignment vertical="center" wrapText="1"/>
    </xf>
    <xf numFmtId="3" fontId="4" fillId="27" borderId="1" xfId="0" applyNumberFormat="1" applyFont="1" applyFill="1" applyBorder="1" applyAlignment="1">
      <alignment horizontal="center" vertical="top" wrapText="1"/>
    </xf>
    <xf numFmtId="186" fontId="4" fillId="26" borderId="2" xfId="246" applyNumberFormat="1" applyFont="1" applyFill="1" applyBorder="1" applyAlignment="1">
      <alignment horizontal="center" vertical="center" wrapText="1"/>
    </xf>
    <xf numFmtId="186" fontId="4" fillId="26" borderId="22" xfId="246" applyNumberFormat="1" applyFont="1" applyFill="1" applyBorder="1" applyAlignment="1">
      <alignment horizontal="center" vertical="center" wrapText="1"/>
    </xf>
    <xf numFmtId="186" fontId="4" fillId="26" borderId="5" xfId="246" applyNumberFormat="1" applyFont="1" applyFill="1" applyBorder="1" applyAlignment="1">
      <alignment horizontal="center" vertical="center" wrapText="1"/>
    </xf>
    <xf numFmtId="3" fontId="4" fillId="27" borderId="19" xfId="0" applyNumberFormat="1" applyFont="1" applyFill="1" applyBorder="1" applyAlignment="1">
      <alignment horizontal="center" vertical="top" wrapText="1"/>
    </xf>
    <xf numFmtId="3" fontId="4" fillId="27" borderId="55" xfId="0" applyNumberFormat="1" applyFont="1" applyFill="1" applyBorder="1" applyAlignment="1">
      <alignment horizontal="center" vertical="top" wrapText="1"/>
    </xf>
    <xf numFmtId="4" fontId="4" fillId="20" borderId="19" xfId="0" applyNumberFormat="1" applyFont="1" applyFill="1" applyBorder="1" applyAlignment="1">
      <alignment horizontal="center" vertical="top" wrapText="1"/>
    </xf>
    <xf numFmtId="4" fontId="4" fillId="20" borderId="55" xfId="0" applyNumberFormat="1" applyFont="1" applyFill="1" applyBorder="1" applyAlignment="1">
      <alignment horizontal="center" vertical="top" wrapText="1"/>
    </xf>
    <xf numFmtId="4" fontId="4" fillId="26" borderId="55" xfId="0" applyNumberFormat="1" applyFont="1" applyFill="1" applyBorder="1" applyAlignment="1">
      <alignment horizontal="center" vertical="top" wrapText="1"/>
    </xf>
    <xf numFmtId="4" fontId="4" fillId="26" borderId="21" xfId="0" applyNumberFormat="1" applyFont="1" applyFill="1" applyBorder="1" applyAlignment="1">
      <alignment horizontal="center" vertical="top" wrapText="1"/>
    </xf>
    <xf numFmtId="0" fontId="17" fillId="20" borderId="1" xfId="0" applyFont="1" applyFill="1" applyBorder="1" applyAlignment="1">
      <alignment vertical="center" wrapText="1"/>
    </xf>
    <xf numFmtId="4" fontId="4" fillId="26" borderId="2" xfId="0" applyNumberFormat="1" applyFont="1" applyFill="1" applyBorder="1" applyAlignment="1">
      <alignment horizontal="center" vertical="top" wrapText="1"/>
    </xf>
    <xf numFmtId="4" fontId="4" fillId="26" borderId="22" xfId="0" applyNumberFormat="1" applyFont="1" applyFill="1" applyBorder="1" applyAlignment="1">
      <alignment horizontal="center" vertical="top" wrapText="1"/>
    </xf>
    <xf numFmtId="4" fontId="4" fillId="26" borderId="5" xfId="0" applyNumberFormat="1" applyFont="1" applyFill="1" applyBorder="1" applyAlignment="1">
      <alignment horizontal="center" vertical="top" wrapText="1"/>
    </xf>
    <xf numFmtId="4" fontId="4" fillId="20" borderId="2" xfId="0" applyNumberFormat="1" applyFont="1" applyFill="1" applyBorder="1" applyAlignment="1">
      <alignment horizontal="center" vertical="top" wrapText="1"/>
    </xf>
    <xf numFmtId="4" fontId="4" fillId="20" borderId="22" xfId="0" applyNumberFormat="1" applyFont="1" applyFill="1" applyBorder="1" applyAlignment="1">
      <alignment horizontal="center" vertical="top" wrapText="1"/>
    </xf>
    <xf numFmtId="4" fontId="4" fillId="20" borderId="5" xfId="0" applyNumberFormat="1" applyFont="1" applyFill="1" applyBorder="1" applyAlignment="1">
      <alignment horizontal="center" vertical="top" wrapText="1"/>
    </xf>
    <xf numFmtId="4" fontId="4" fillId="26" borderId="19" xfId="0" applyNumberFormat="1" applyFont="1" applyFill="1" applyBorder="1" applyAlignment="1">
      <alignment horizontal="center" vertical="top" wrapText="1"/>
    </xf>
    <xf numFmtId="0" fontId="4" fillId="20" borderId="34" xfId="0" applyFont="1" applyFill="1" applyBorder="1" applyAlignment="1">
      <alignment horizontal="center" vertical="center" wrapText="1"/>
    </xf>
    <xf numFmtId="0" fontId="4" fillId="20" borderId="22" xfId="0" applyFont="1" applyFill="1" applyBorder="1" applyAlignment="1">
      <alignment horizontal="center" vertical="center" wrapText="1"/>
    </xf>
    <xf numFmtId="0" fontId="4" fillId="20" borderId="35" xfId="0" applyFont="1" applyFill="1" applyBorder="1" applyAlignment="1">
      <alignment horizontal="center" vertical="center" wrapText="1"/>
    </xf>
    <xf numFmtId="0" fontId="17" fillId="27" borderId="20" xfId="0" applyFont="1" applyFill="1" applyBorder="1" applyAlignment="1">
      <alignment vertical="center" wrapText="1"/>
    </xf>
    <xf numFmtId="0" fontId="17" fillId="27" borderId="14" xfId="0" applyFont="1" applyFill="1" applyBorder="1" applyAlignment="1">
      <alignment vertical="center" wrapText="1"/>
    </xf>
    <xf numFmtId="0" fontId="17" fillId="27" borderId="39" xfId="0" applyFont="1" applyFill="1" applyBorder="1" applyAlignment="1">
      <alignment vertical="center" wrapText="1"/>
    </xf>
    <xf numFmtId="3" fontId="4" fillId="20" borderId="55" xfId="0" applyNumberFormat="1" applyFont="1" applyFill="1" applyBorder="1" applyAlignment="1">
      <alignment horizontal="center" vertical="top" wrapText="1"/>
    </xf>
    <xf numFmtId="3" fontId="4" fillId="20" borderId="2" xfId="0" applyNumberFormat="1" applyFont="1" applyFill="1" applyBorder="1" applyAlignment="1">
      <alignment horizontal="center" vertical="top" wrapText="1"/>
    </xf>
    <xf numFmtId="3" fontId="4" fillId="20" borderId="22" xfId="0" applyNumberFormat="1" applyFont="1" applyFill="1" applyBorder="1" applyAlignment="1">
      <alignment horizontal="center" vertical="top" wrapText="1"/>
    </xf>
    <xf numFmtId="3" fontId="4" fillId="20" borderId="5" xfId="0" applyNumberFormat="1" applyFont="1" applyFill="1" applyBorder="1" applyAlignment="1">
      <alignment horizontal="center" vertical="top" wrapText="1"/>
    </xf>
    <xf numFmtId="3" fontId="4" fillId="26" borderId="2" xfId="0" applyNumberFormat="1" applyFont="1" applyFill="1" applyBorder="1" applyAlignment="1">
      <alignment horizontal="center" vertical="top" wrapText="1"/>
    </xf>
    <xf numFmtId="3" fontId="4" fillId="26" borderId="22" xfId="0" applyNumberFormat="1" applyFont="1" applyFill="1" applyBorder="1" applyAlignment="1">
      <alignment horizontal="center" vertical="top" wrapText="1"/>
    </xf>
    <xf numFmtId="3" fontId="4" fillId="26" borderId="5" xfId="0" applyNumberFormat="1" applyFont="1" applyFill="1" applyBorder="1" applyAlignment="1">
      <alignment horizontal="center" vertical="top" wrapText="1"/>
    </xf>
    <xf numFmtId="3" fontId="4" fillId="26" borderId="19" xfId="0" applyNumberFormat="1" applyFont="1" applyFill="1" applyBorder="1" applyAlignment="1">
      <alignment horizontal="center" vertical="top" wrapText="1"/>
    </xf>
    <xf numFmtId="3" fontId="4" fillId="26" borderId="21" xfId="0" applyNumberFormat="1" applyFont="1" applyFill="1" applyBorder="1" applyAlignment="1">
      <alignment horizontal="center" vertical="top" wrapText="1"/>
    </xf>
    <xf numFmtId="0" fontId="17" fillId="3" borderId="34" xfId="0" applyFont="1" applyFill="1" applyBorder="1" applyAlignment="1">
      <alignment horizontal="center" vertical="center" wrapText="1"/>
    </xf>
    <xf numFmtId="0" fontId="2" fillId="22" borderId="46" xfId="0" applyFont="1" applyFill="1" applyBorder="1" applyAlignment="1">
      <alignment horizontal="center" vertical="center" wrapText="1"/>
    </xf>
    <xf numFmtId="0" fontId="2" fillId="22" borderId="47" xfId="0" applyFont="1" applyFill="1" applyBorder="1" applyAlignment="1">
      <alignment horizontal="center" vertical="center" wrapText="1"/>
    </xf>
    <xf numFmtId="0" fontId="2" fillId="22" borderId="48" xfId="0" applyFont="1" applyFill="1" applyBorder="1" applyAlignment="1">
      <alignment horizontal="center" vertical="center" wrapText="1"/>
    </xf>
    <xf numFmtId="0" fontId="4" fillId="27" borderId="34" xfId="0" applyFont="1" applyFill="1" applyBorder="1" applyAlignment="1">
      <alignment horizontal="center" vertical="center" wrapText="1"/>
    </xf>
    <xf numFmtId="0" fontId="4" fillId="27" borderId="22" xfId="0" applyFont="1" applyFill="1" applyBorder="1" applyAlignment="1">
      <alignment horizontal="center" vertical="center" wrapText="1"/>
    </xf>
    <xf numFmtId="0" fontId="4" fillId="27" borderId="35" xfId="0" applyFont="1" applyFill="1" applyBorder="1" applyAlignment="1">
      <alignment horizontal="center" vertical="center" wrapText="1"/>
    </xf>
    <xf numFmtId="3" fontId="4" fillId="27" borderId="2" xfId="0" applyNumberFormat="1" applyFont="1" applyFill="1" applyBorder="1" applyAlignment="1">
      <alignment horizontal="center" vertical="top" wrapText="1"/>
    </xf>
    <xf numFmtId="3" fontId="4" fillId="27" borderId="22" xfId="0" applyNumberFormat="1" applyFont="1" applyFill="1" applyBorder="1" applyAlignment="1">
      <alignment horizontal="center" vertical="top" wrapText="1"/>
    </xf>
    <xf numFmtId="3" fontId="4" fillId="27" borderId="5" xfId="0" applyNumberFormat="1" applyFont="1" applyFill="1" applyBorder="1" applyAlignment="1">
      <alignment horizontal="center" vertical="top" wrapText="1"/>
    </xf>
    <xf numFmtId="10" fontId="4" fillId="0" borderId="0" xfId="16" applyNumberFormat="1" applyFill="1" applyAlignment="1">
      <alignment vertical="center"/>
    </xf>
    <xf numFmtId="10" fontId="3" fillId="0" borderId="0" xfId="16" applyNumberFormat="1" applyFont="1" applyFill="1" applyAlignment="1">
      <alignment vertical="center"/>
    </xf>
    <xf numFmtId="0" fontId="4" fillId="0" borderId="0" xfId="16" applyFill="1" applyAlignment="1">
      <alignment vertical="top"/>
    </xf>
    <xf numFmtId="0" fontId="2" fillId="17" borderId="45" xfId="16" applyFont="1" applyFill="1" applyBorder="1" applyAlignment="1">
      <alignment horizontal="justify" vertical="center" wrapText="1"/>
    </xf>
    <xf numFmtId="0" fontId="17" fillId="0" borderId="1" xfId="16" applyFont="1" applyFill="1" applyBorder="1" applyAlignment="1">
      <alignment horizontal="justify" vertical="top" wrapText="1"/>
    </xf>
    <xf numFmtId="0" fontId="44" fillId="0" borderId="1" xfId="16" applyFont="1" applyFill="1" applyBorder="1" applyAlignment="1">
      <alignment horizontal="justify" vertical="top" wrapText="1"/>
    </xf>
    <xf numFmtId="0" fontId="28" fillId="0" borderId="12" xfId="0" applyFont="1" applyFill="1" applyBorder="1" applyAlignment="1">
      <alignment horizontal="center" vertical="top" wrapText="1"/>
    </xf>
    <xf numFmtId="0" fontId="2" fillId="17" borderId="10" xfId="16" applyFont="1" applyFill="1" applyBorder="1" applyAlignment="1">
      <alignment horizontal="center" vertical="center" wrapText="1"/>
    </xf>
    <xf numFmtId="10" fontId="17" fillId="0" borderId="5" xfId="16" applyNumberFormat="1" applyFont="1" applyFill="1" applyBorder="1" applyAlignment="1">
      <alignment horizontal="center" vertical="center" wrapText="1"/>
    </xf>
    <xf numFmtId="10" fontId="44" fillId="0" borderId="5" xfId="16" applyNumberFormat="1" applyFont="1" applyFill="1" applyBorder="1" applyAlignment="1">
      <alignment horizontal="center" vertical="center" wrapText="1"/>
    </xf>
    <xf numFmtId="10" fontId="17" fillId="0" borderId="1" xfId="16" applyNumberFormat="1" applyFont="1" applyFill="1" applyBorder="1" applyAlignment="1">
      <alignment horizontal="center" vertical="center" wrapText="1"/>
    </xf>
    <xf numFmtId="10" fontId="44" fillId="0" borderId="1" xfId="16" applyNumberFormat="1" applyFont="1" applyFill="1" applyBorder="1" applyAlignment="1">
      <alignment horizontal="center" vertical="center" wrapText="1"/>
    </xf>
    <xf numFmtId="9" fontId="17" fillId="0" borderId="1" xfId="16" applyNumberFormat="1" applyFont="1" applyFill="1" applyBorder="1" applyAlignment="1">
      <alignment horizontal="center" vertical="center"/>
    </xf>
    <xf numFmtId="172" fontId="17" fillId="0" borderId="2" xfId="0" applyNumberFormat="1" applyFont="1" applyFill="1" applyBorder="1" applyAlignment="1">
      <alignment horizontal="center" vertical="center"/>
    </xf>
    <xf numFmtId="172" fontId="17" fillId="0" borderId="1" xfId="0" applyNumberFormat="1" applyFont="1" applyFill="1" applyBorder="1" applyAlignment="1">
      <alignment horizontal="center" vertical="center"/>
    </xf>
    <xf numFmtId="172" fontId="17" fillId="0" borderId="4" xfId="0" applyNumberFormat="1" applyFont="1" applyFill="1" applyBorder="1" applyAlignment="1">
      <alignment horizontal="center" vertical="center"/>
    </xf>
    <xf numFmtId="10" fontId="17" fillId="0" borderId="3" xfId="16" applyNumberFormat="1" applyFont="1" applyFill="1" applyBorder="1" applyAlignment="1">
      <alignment horizontal="center" vertical="center" wrapText="1"/>
    </xf>
    <xf numFmtId="10" fontId="17" fillId="0" borderId="2" xfId="16" applyNumberFormat="1" applyFont="1" applyFill="1" applyBorder="1" applyAlignment="1">
      <alignment horizontal="center" vertical="center" wrapText="1"/>
    </xf>
    <xf numFmtId="0" fontId="2" fillId="17" borderId="2" xfId="16" applyFont="1" applyFill="1" applyBorder="1" applyAlignment="1">
      <alignment horizontal="center" vertical="center" wrapText="1"/>
    </xf>
    <xf numFmtId="0" fontId="2" fillId="17" borderId="22" xfId="16" applyFont="1" applyFill="1" applyBorder="1" applyAlignment="1">
      <alignment horizontal="center" vertical="center" wrapText="1"/>
    </xf>
    <xf numFmtId="0" fontId="15" fillId="17" borderId="2" xfId="16" applyFont="1" applyFill="1" applyBorder="1" applyAlignment="1">
      <alignment horizontal="center" vertical="center" textRotation="90" wrapText="1"/>
    </xf>
    <xf numFmtId="0" fontId="2" fillId="17" borderId="2" xfId="16" applyFont="1" applyFill="1" applyBorder="1" applyAlignment="1">
      <alignment horizontal="center" vertical="center" wrapText="1"/>
    </xf>
    <xf numFmtId="0" fontId="2" fillId="17" borderId="19" xfId="16" applyFont="1" applyFill="1" applyBorder="1" applyAlignment="1">
      <alignment horizontal="center" vertical="center" wrapText="1"/>
    </xf>
    <xf numFmtId="0" fontId="17" fillId="0" borderId="1" xfId="16" applyFont="1" applyFill="1" applyBorder="1" applyAlignment="1">
      <alignment horizontal="justify" vertical="top"/>
    </xf>
    <xf numFmtId="0" fontId="17" fillId="0" borderId="1" xfId="16" applyFont="1" applyFill="1" applyBorder="1" applyAlignment="1">
      <alignment horizontal="justify" vertical="center" wrapText="1"/>
    </xf>
    <xf numFmtId="0" fontId="17" fillId="0" borderId="1" xfId="16" applyFont="1" applyFill="1" applyBorder="1" applyAlignment="1">
      <alignment horizontal="justify" vertical="center"/>
    </xf>
    <xf numFmtId="0" fontId="17" fillId="0" borderId="1" xfId="0" applyFont="1" applyFill="1" applyBorder="1" applyAlignment="1">
      <alignment horizontal="left" vertical="top" wrapText="1"/>
    </xf>
    <xf numFmtId="0" fontId="17" fillId="0" borderId="1" xfId="0" applyFont="1" applyFill="1" applyBorder="1" applyAlignment="1">
      <alignment horizontal="justify" vertical="top" wrapText="1"/>
    </xf>
    <xf numFmtId="10" fontId="17" fillId="0" borderId="1" xfId="0" applyNumberFormat="1" applyFont="1" applyBorder="1" applyAlignment="1" applyProtection="1">
      <alignment horizontal="center" vertical="center" wrapText="1"/>
      <protection locked="0"/>
    </xf>
    <xf numFmtId="3" fontId="17" fillId="0" borderId="13" xfId="0" applyNumberFormat="1" applyFont="1" applyFill="1" applyBorder="1" applyAlignment="1">
      <alignment horizontal="center" vertical="center"/>
    </xf>
    <xf numFmtId="0" fontId="4" fillId="0" borderId="34" xfId="0" applyFont="1" applyFill="1" applyBorder="1" applyAlignment="1">
      <alignment horizontal="center" vertical="center" wrapText="1"/>
    </xf>
    <xf numFmtId="3" fontId="17" fillId="0" borderId="14" xfId="0" applyNumberFormat="1" applyFont="1" applyFill="1" applyBorder="1" applyAlignment="1">
      <alignment horizontal="center" vertical="center"/>
    </xf>
    <xf numFmtId="3" fontId="17" fillId="0" borderId="39" xfId="0" applyNumberFormat="1" applyFont="1" applyFill="1" applyBorder="1" applyAlignment="1">
      <alignment horizontal="center" vertical="center"/>
    </xf>
    <xf numFmtId="0" fontId="4" fillId="0" borderId="35" xfId="0" applyFont="1" applyFill="1" applyBorder="1" applyAlignment="1">
      <alignment horizontal="center" vertical="center" wrapText="1"/>
    </xf>
    <xf numFmtId="0" fontId="17" fillId="0" borderId="20" xfId="0"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39" xfId="0" applyFont="1" applyFill="1" applyBorder="1" applyAlignment="1">
      <alignment horizontal="center" vertical="center" wrapText="1"/>
    </xf>
    <xf numFmtId="0" fontId="17" fillId="0" borderId="19" xfId="0" applyFont="1" applyFill="1" applyBorder="1" applyAlignment="1">
      <alignment horizontal="center" vertical="center" wrapText="1"/>
    </xf>
    <xf numFmtId="0" fontId="17" fillId="0" borderId="55" xfId="0" applyFont="1" applyFill="1" applyBorder="1" applyAlignment="1">
      <alignment horizontal="center" vertical="center" wrapText="1"/>
    </xf>
    <xf numFmtId="0" fontId="17" fillId="0" borderId="21" xfId="0" applyFont="1" applyFill="1" applyBorder="1" applyAlignment="1">
      <alignment horizontal="center" vertical="center" wrapText="1"/>
    </xf>
    <xf numFmtId="0" fontId="17" fillId="0" borderId="19" xfId="0" applyFont="1" applyFill="1" applyBorder="1" applyAlignment="1">
      <alignment vertical="center" wrapText="1"/>
    </xf>
    <xf numFmtId="0" fontId="17" fillId="0" borderId="55" xfId="0" applyFont="1" applyFill="1" applyBorder="1" applyAlignment="1">
      <alignment vertical="center" wrapText="1"/>
    </xf>
    <xf numFmtId="0" fontId="17" fillId="0" borderId="21" xfId="0" applyFont="1" applyFill="1" applyBorder="1" applyAlignment="1">
      <alignment vertical="center" wrapText="1"/>
    </xf>
    <xf numFmtId="186" fontId="4" fillId="0" borderId="22" xfId="246"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4" fontId="18" fillId="0" borderId="5" xfId="0" applyNumberFormat="1" applyFont="1" applyFill="1" applyBorder="1" applyAlignment="1">
      <alignment horizontal="center" vertical="center"/>
    </xf>
    <xf numFmtId="3" fontId="4" fillId="0" borderId="2" xfId="0" applyNumberFormat="1" applyFont="1" applyFill="1" applyBorder="1" applyAlignment="1">
      <alignment horizontal="center" vertical="top" wrapText="1"/>
    </xf>
    <xf numFmtId="170" fontId="2" fillId="0" borderId="1" xfId="3" applyFont="1" applyFill="1" applyBorder="1" applyAlignment="1">
      <alignment vertical="center" wrapText="1"/>
    </xf>
    <xf numFmtId="3" fontId="2" fillId="0" borderId="1" xfId="0" applyNumberFormat="1" applyFont="1" applyFill="1" applyBorder="1" applyAlignment="1">
      <alignment horizontal="center" vertical="center" wrapText="1"/>
    </xf>
    <xf numFmtId="3" fontId="4" fillId="0" borderId="22" xfId="0" applyNumberFormat="1" applyFont="1" applyFill="1" applyBorder="1" applyAlignment="1">
      <alignment horizontal="center" vertical="top" wrapText="1"/>
    </xf>
    <xf numFmtId="170" fontId="4" fillId="0" borderId="1" xfId="3" applyFont="1" applyFill="1" applyBorder="1" applyAlignment="1">
      <alignment vertical="center"/>
    </xf>
    <xf numFmtId="186" fontId="4" fillId="0" borderId="5" xfId="246" applyNumberFormat="1" applyFont="1" applyFill="1" applyBorder="1" applyAlignment="1">
      <alignment horizontal="center" vertical="center" wrapText="1"/>
    </xf>
    <xf numFmtId="3" fontId="4" fillId="0" borderId="5" xfId="0" applyNumberFormat="1" applyFont="1" applyFill="1" applyBorder="1" applyAlignment="1">
      <alignment horizontal="center" vertical="top" wrapText="1"/>
    </xf>
    <xf numFmtId="3" fontId="4" fillId="0" borderId="19" xfId="0" applyNumberFormat="1" applyFont="1" applyFill="1" applyBorder="1" applyAlignment="1">
      <alignment horizontal="center" vertical="top" wrapText="1"/>
    </xf>
    <xf numFmtId="0" fontId="0" fillId="0" borderId="1" xfId="0" applyFill="1" applyBorder="1"/>
    <xf numFmtId="169" fontId="4" fillId="0" borderId="1" xfId="10" applyFont="1" applyFill="1" applyBorder="1" applyAlignment="1">
      <alignment horizontal="center" vertical="center"/>
    </xf>
    <xf numFmtId="169" fontId="2" fillId="0" borderId="1" xfId="10" applyFont="1" applyFill="1" applyBorder="1" applyAlignment="1">
      <alignment horizontal="center" vertical="center"/>
    </xf>
    <xf numFmtId="3" fontId="4" fillId="0" borderId="55" xfId="0" applyNumberFormat="1" applyFont="1" applyFill="1" applyBorder="1" applyAlignment="1">
      <alignment horizontal="center" vertical="top" wrapText="1"/>
    </xf>
    <xf numFmtId="3" fontId="4" fillId="0" borderId="1" xfId="0" applyNumberFormat="1" applyFont="1" applyFill="1" applyBorder="1" applyAlignment="1">
      <alignment horizontal="center" vertical="top" wrapText="1"/>
    </xf>
    <xf numFmtId="0" fontId="17" fillId="0" borderId="52"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42" xfId="0" applyFont="1" applyFill="1" applyBorder="1" applyAlignment="1">
      <alignment horizontal="center" vertical="center" wrapText="1"/>
    </xf>
    <xf numFmtId="3" fontId="4" fillId="0" borderId="21" xfId="0" applyNumberFormat="1" applyFont="1" applyFill="1" applyBorder="1" applyAlignment="1">
      <alignment horizontal="center" vertical="top" wrapText="1"/>
    </xf>
    <xf numFmtId="3" fontId="4" fillId="0" borderId="55" xfId="0" applyNumberFormat="1" applyFont="1" applyFill="1" applyBorder="1" applyAlignment="1">
      <alignment vertical="top" wrapText="1"/>
    </xf>
    <xf numFmtId="0" fontId="3" fillId="0" borderId="1" xfId="0" applyFont="1" applyFill="1" applyBorder="1" applyAlignment="1">
      <alignment horizontal="center" vertical="center"/>
    </xf>
    <xf numFmtId="4" fontId="18" fillId="0" borderId="1" xfId="0" applyNumberFormat="1" applyFont="1" applyFill="1" applyBorder="1" applyAlignment="1">
      <alignment horizontal="center" vertical="center"/>
    </xf>
    <xf numFmtId="3" fontId="17" fillId="0" borderId="1" xfId="0" applyNumberFormat="1" applyFont="1" applyFill="1" applyBorder="1" applyAlignment="1">
      <alignment horizontal="center" vertical="center"/>
    </xf>
    <xf numFmtId="0" fontId="17" fillId="0" borderId="52" xfId="0" applyFont="1" applyFill="1" applyBorder="1" applyAlignment="1">
      <alignment vertical="center" wrapText="1"/>
    </xf>
    <xf numFmtId="0" fontId="17" fillId="0" borderId="9" xfId="0" applyFont="1" applyFill="1" applyBorder="1" applyAlignment="1">
      <alignment vertical="center" wrapText="1"/>
    </xf>
    <xf numFmtId="0" fontId="17" fillId="0" borderId="42" xfId="0" applyFont="1" applyFill="1" applyBorder="1" applyAlignment="1">
      <alignment vertical="center" wrapText="1"/>
    </xf>
    <xf numFmtId="0" fontId="17" fillId="0" borderId="18" xfId="0" applyFont="1" applyFill="1" applyBorder="1" applyAlignment="1">
      <alignment vertical="center" wrapText="1"/>
    </xf>
    <xf numFmtId="3" fontId="4" fillId="0" borderId="21" xfId="0" applyNumberFormat="1" applyFont="1" applyFill="1" applyBorder="1" applyAlignment="1">
      <alignment vertical="top" wrapText="1"/>
    </xf>
    <xf numFmtId="39" fontId="2" fillId="0" borderId="1" xfId="0" applyNumberFormat="1" applyFont="1" applyFill="1" applyBorder="1" applyAlignment="1">
      <alignment horizontal="center" vertical="center" wrapText="1"/>
    </xf>
    <xf numFmtId="4" fontId="4" fillId="0" borderId="2" xfId="0" applyNumberFormat="1" applyFont="1" applyFill="1" applyBorder="1" applyAlignment="1">
      <alignment horizontal="center" vertical="top" wrapText="1"/>
    </xf>
    <xf numFmtId="39" fontId="3" fillId="0" borderId="7" xfId="0" applyNumberFormat="1" applyFont="1" applyFill="1" applyBorder="1" applyAlignment="1">
      <alignment horizontal="center" vertical="center" wrapText="1"/>
    </xf>
    <xf numFmtId="4" fontId="18" fillId="0" borderId="1" xfId="0" applyNumberFormat="1" applyFont="1" applyFill="1" applyBorder="1" applyAlignment="1">
      <alignment horizontal="center" vertical="center" wrapText="1"/>
    </xf>
    <xf numFmtId="4" fontId="4" fillId="0" borderId="19" xfId="0" applyNumberFormat="1" applyFont="1" applyFill="1" applyBorder="1" applyAlignment="1">
      <alignment horizontal="center" vertical="top" wrapText="1"/>
    </xf>
    <xf numFmtId="4" fontId="4" fillId="0" borderId="22" xfId="0" applyNumberFormat="1" applyFont="1" applyFill="1" applyBorder="1" applyAlignment="1">
      <alignment horizontal="center" vertical="top" wrapText="1"/>
    </xf>
    <xf numFmtId="4" fontId="17" fillId="0" borderId="1" xfId="0" applyNumberFormat="1" applyFont="1" applyFill="1" applyBorder="1" applyAlignment="1">
      <alignment horizontal="center" vertical="center" wrapText="1"/>
    </xf>
    <xf numFmtId="4" fontId="4" fillId="0" borderId="55" xfId="0" applyNumberFormat="1" applyFont="1" applyFill="1" applyBorder="1" applyAlignment="1">
      <alignment horizontal="center" vertical="top" wrapText="1"/>
    </xf>
    <xf numFmtId="4" fontId="4" fillId="0" borderId="21" xfId="0" applyNumberFormat="1" applyFont="1" applyFill="1" applyBorder="1" applyAlignment="1">
      <alignment horizontal="center" vertical="top" wrapText="1"/>
    </xf>
    <xf numFmtId="4" fontId="4" fillId="0" borderId="5" xfId="0" applyNumberFormat="1" applyFont="1" applyFill="1" applyBorder="1" applyAlignment="1">
      <alignment horizontal="center" vertical="top" wrapText="1"/>
    </xf>
    <xf numFmtId="4" fontId="4" fillId="0" borderId="55" xfId="0" applyNumberFormat="1" applyFont="1" applyFill="1" applyBorder="1" applyAlignment="1">
      <alignment vertical="top" wrapText="1"/>
    </xf>
    <xf numFmtId="4" fontId="49" fillId="0" borderId="7" xfId="0" applyNumberFormat="1" applyFont="1" applyFill="1" applyBorder="1" applyAlignment="1">
      <alignment horizontal="center" vertical="center"/>
    </xf>
    <xf numFmtId="4" fontId="4" fillId="0" borderId="21" xfId="0" applyNumberFormat="1" applyFont="1" applyFill="1" applyBorder="1" applyAlignment="1">
      <alignment vertical="top" wrapText="1"/>
    </xf>
    <xf numFmtId="3" fontId="2" fillId="0" borderId="5" xfId="0" applyNumberFormat="1" applyFont="1" applyFill="1" applyBorder="1" applyAlignment="1">
      <alignment horizontal="center" vertical="center"/>
    </xf>
    <xf numFmtId="186" fontId="4" fillId="0" borderId="2" xfId="246" applyNumberFormat="1" applyFont="1" applyFill="1" applyBorder="1" applyAlignment="1">
      <alignment horizontal="center" vertical="center" wrapText="1"/>
    </xf>
    <xf numFmtId="3" fontId="3" fillId="0" borderId="42" xfId="0" applyNumberFormat="1" applyFont="1" applyFill="1" applyBorder="1" applyAlignment="1">
      <alignment horizontal="center" vertical="center"/>
    </xf>
    <xf numFmtId="0" fontId="0" fillId="0" borderId="2" xfId="0" applyFill="1" applyBorder="1" applyAlignment="1">
      <alignment horizontal="justify" vertical="top"/>
    </xf>
    <xf numFmtId="0" fontId="0" fillId="0" borderId="22" xfId="0" applyFill="1" applyBorder="1" applyAlignment="1">
      <alignment horizontal="justify" vertical="top"/>
    </xf>
    <xf numFmtId="0" fontId="0" fillId="0" borderId="5" xfId="0" applyFill="1" applyBorder="1" applyAlignment="1">
      <alignment horizontal="justify" vertical="top"/>
    </xf>
    <xf numFmtId="0" fontId="0" fillId="0" borderId="5" xfId="0" applyFill="1" applyBorder="1" applyAlignment="1">
      <alignment horizontal="justify" vertical="top"/>
    </xf>
    <xf numFmtId="0" fontId="4" fillId="0" borderId="8" xfId="0" applyFont="1" applyFill="1" applyBorder="1" applyAlignment="1">
      <alignment horizontal="center" vertical="center"/>
    </xf>
    <xf numFmtId="4" fontId="4" fillId="0" borderId="2" xfId="0" applyNumberFormat="1"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4" fontId="49" fillId="0" borderId="1" xfId="0" applyNumberFormat="1" applyFont="1" applyFill="1" applyBorder="1" applyAlignment="1">
      <alignment horizontal="center" vertical="center"/>
    </xf>
    <xf numFmtId="4" fontId="4" fillId="0" borderId="19" xfId="0" applyNumberFormat="1" applyFont="1" applyFill="1" applyBorder="1" applyAlignment="1">
      <alignment horizontal="center" vertical="center" wrapText="1"/>
    </xf>
    <xf numFmtId="0" fontId="17" fillId="0" borderId="18" xfId="0" applyFont="1" applyFill="1" applyBorder="1" applyAlignment="1">
      <alignment horizontal="center" vertical="center" wrapText="1"/>
    </xf>
    <xf numFmtId="0" fontId="78" fillId="0" borderId="2" xfId="0" applyFont="1" applyFill="1" applyBorder="1" applyAlignment="1">
      <alignment horizontal="center" vertical="center"/>
    </xf>
    <xf numFmtId="0" fontId="78" fillId="0" borderId="2" xfId="0" applyFont="1" applyFill="1" applyBorder="1" applyAlignment="1">
      <alignment horizontal="justify" vertical="center" wrapText="1"/>
    </xf>
    <xf numFmtId="4" fontId="4" fillId="0" borderId="22" xfId="0" applyNumberFormat="1" applyFont="1" applyFill="1" applyBorder="1" applyAlignment="1">
      <alignment horizontal="center" vertical="center" wrapText="1"/>
    </xf>
    <xf numFmtId="4" fontId="4" fillId="0" borderId="55" xfId="0" applyNumberFormat="1" applyFont="1" applyFill="1" applyBorder="1" applyAlignment="1">
      <alignment horizontal="center" vertical="center" wrapText="1"/>
    </xf>
    <xf numFmtId="0" fontId="78" fillId="0" borderId="22" xfId="0" applyFont="1" applyFill="1" applyBorder="1" applyAlignment="1">
      <alignment horizontal="center" vertical="center"/>
    </xf>
    <xf numFmtId="0" fontId="78" fillId="0" borderId="22" xfId="0" applyFont="1" applyFill="1" applyBorder="1" applyAlignment="1">
      <alignment horizontal="justify" vertical="center"/>
    </xf>
    <xf numFmtId="4" fontId="4" fillId="0" borderId="7" xfId="0" applyNumberFormat="1" applyFont="1" applyFill="1" applyBorder="1" applyAlignment="1">
      <alignment horizontal="center" vertical="center" wrapText="1"/>
    </xf>
    <xf numFmtId="4" fontId="3" fillId="0" borderId="1" xfId="0" applyNumberFormat="1" applyFont="1" applyFill="1" applyBorder="1" applyAlignment="1">
      <alignment horizontal="center" vertical="center"/>
    </xf>
    <xf numFmtId="4" fontId="18" fillId="0" borderId="1" xfId="0" quotePrefix="1" applyNumberFormat="1" applyFont="1" applyFill="1" applyBorder="1" applyAlignment="1">
      <alignment horizontal="center" vertical="center" wrapText="1"/>
    </xf>
    <xf numFmtId="4" fontId="4" fillId="0" borderId="5" xfId="0" applyNumberFormat="1" applyFont="1" applyFill="1" applyBorder="1" applyAlignment="1">
      <alignment horizontal="center" vertical="center" wrapText="1"/>
    </xf>
    <xf numFmtId="0" fontId="78" fillId="0" borderId="5" xfId="0" applyFont="1" applyFill="1" applyBorder="1" applyAlignment="1">
      <alignment horizontal="center" vertical="center"/>
    </xf>
    <xf numFmtId="0" fontId="78" fillId="0" borderId="5" xfId="0" applyFont="1" applyFill="1" applyBorder="1" applyAlignment="1">
      <alignment horizontal="justify" vertical="center"/>
    </xf>
    <xf numFmtId="4" fontId="4" fillId="0" borderId="21" xfId="0" applyNumberFormat="1" applyFont="1" applyFill="1" applyBorder="1" applyAlignment="1">
      <alignment horizontal="center" vertical="center" wrapText="1"/>
    </xf>
    <xf numFmtId="39" fontId="4" fillId="0" borderId="1" xfId="0" applyNumberFormat="1" applyFont="1" applyFill="1" applyBorder="1" applyAlignment="1">
      <alignment horizontal="center" vertical="center" wrapText="1"/>
    </xf>
    <xf numFmtId="0" fontId="8" fillId="0" borderId="2" xfId="0" applyFont="1" applyFill="1" applyBorder="1" applyAlignment="1">
      <alignment vertical="center" wrapText="1"/>
    </xf>
    <xf numFmtId="0" fontId="0" fillId="0" borderId="2" xfId="0" applyFill="1" applyBorder="1" applyAlignment="1">
      <alignment horizontal="justify" vertical="center" wrapText="1"/>
    </xf>
    <xf numFmtId="0" fontId="8" fillId="0" borderId="22" xfId="0" applyFont="1" applyFill="1" applyBorder="1" applyAlignment="1">
      <alignment vertical="center" wrapText="1"/>
    </xf>
    <xf numFmtId="0" fontId="0" fillId="0" borderId="22" xfId="0" applyFill="1" applyBorder="1" applyAlignment="1">
      <alignment horizontal="justify" vertical="center" wrapText="1"/>
    </xf>
    <xf numFmtId="0" fontId="8" fillId="0" borderId="5" xfId="0" applyFont="1" applyFill="1" applyBorder="1" applyAlignment="1">
      <alignment vertical="center" wrapText="1"/>
    </xf>
    <xf numFmtId="0" fontId="0" fillId="0" borderId="5" xfId="0" applyFill="1" applyBorder="1" applyAlignment="1">
      <alignment horizontal="justify" vertical="center" wrapText="1"/>
    </xf>
    <xf numFmtId="4" fontId="17" fillId="0" borderId="19" xfId="0" applyNumberFormat="1" applyFont="1" applyFill="1" applyBorder="1" applyAlignment="1">
      <alignment horizontal="center" vertical="center" wrapText="1"/>
    </xf>
    <xf numFmtId="0" fontId="17" fillId="0" borderId="20" xfId="0" applyFont="1" applyFill="1" applyBorder="1" applyAlignment="1">
      <alignment horizontal="justify" vertical="center" wrapText="1"/>
    </xf>
    <xf numFmtId="0" fontId="17" fillId="0" borderId="2" xfId="0" applyFont="1" applyFill="1" applyBorder="1" applyAlignment="1">
      <alignment horizontal="left" vertical="center" wrapText="1"/>
    </xf>
    <xf numFmtId="0" fontId="0" fillId="0" borderId="1" xfId="0" applyFill="1" applyBorder="1" applyAlignment="1">
      <alignment horizontal="justify" vertical="center" wrapText="1"/>
    </xf>
    <xf numFmtId="3" fontId="2" fillId="0" borderId="1" xfId="0" applyNumberFormat="1" applyFont="1" applyFill="1" applyBorder="1" applyAlignment="1">
      <alignment horizontal="center" vertical="center"/>
    </xf>
    <xf numFmtId="4" fontId="17" fillId="0" borderId="55" xfId="0" applyNumberFormat="1" applyFont="1" applyFill="1" applyBorder="1" applyAlignment="1">
      <alignment horizontal="center" vertical="center" wrapText="1"/>
    </xf>
    <xf numFmtId="0" fontId="17" fillId="0" borderId="14" xfId="0" applyFont="1" applyFill="1" applyBorder="1" applyAlignment="1">
      <alignment horizontal="justify" vertical="center" wrapText="1"/>
    </xf>
    <xf numFmtId="0" fontId="17" fillId="0" borderId="22" xfId="0" applyFont="1" applyFill="1" applyBorder="1" applyAlignment="1">
      <alignment horizontal="left" vertical="center" wrapText="1"/>
    </xf>
    <xf numFmtId="0" fontId="0" fillId="0" borderId="1" xfId="0" applyFill="1" applyBorder="1" applyAlignment="1">
      <alignment horizontal="justify" vertical="center"/>
    </xf>
    <xf numFmtId="3" fontId="4" fillId="0" borderId="1" xfId="0" applyNumberFormat="1" applyFont="1" applyFill="1" applyBorder="1" applyAlignment="1">
      <alignment horizontal="center" vertical="center" wrapText="1"/>
    </xf>
    <xf numFmtId="4" fontId="17" fillId="0" borderId="21" xfId="0" applyNumberFormat="1" applyFont="1" applyFill="1" applyBorder="1" applyAlignment="1">
      <alignment horizontal="center" vertical="center" wrapText="1"/>
    </xf>
    <xf numFmtId="0" fontId="17" fillId="0" borderId="39" xfId="0" applyFont="1" applyFill="1" applyBorder="1" applyAlignment="1">
      <alignment horizontal="justify" vertical="center" wrapText="1"/>
    </xf>
    <xf numFmtId="0" fontId="17" fillId="0" borderId="5" xfId="0" applyFont="1" applyFill="1" applyBorder="1" applyAlignment="1">
      <alignment horizontal="left" vertical="center" wrapText="1"/>
    </xf>
    <xf numFmtId="0" fontId="17" fillId="0" borderId="2" xfId="0" applyFont="1" applyFill="1" applyBorder="1" applyAlignment="1">
      <alignment horizontal="justify" vertical="center" wrapText="1"/>
    </xf>
    <xf numFmtId="0" fontId="17" fillId="0" borderId="22" xfId="0" applyFont="1" applyFill="1" applyBorder="1" applyAlignment="1">
      <alignment horizontal="justify" vertical="center" wrapText="1"/>
    </xf>
    <xf numFmtId="3" fontId="3" fillId="0" borderId="1" xfId="0" applyNumberFormat="1" applyFont="1" applyFill="1" applyBorder="1" applyAlignment="1">
      <alignment horizontal="center" vertical="center"/>
    </xf>
    <xf numFmtId="0" fontId="17" fillId="0" borderId="5" xfId="0" applyFont="1" applyFill="1" applyBorder="1" applyAlignment="1">
      <alignment horizontal="justify" vertical="center" wrapText="1"/>
    </xf>
    <xf numFmtId="4" fontId="17" fillId="0" borderId="11" xfId="0" applyNumberFormat="1" applyFont="1" applyFill="1" applyBorder="1" applyAlignment="1">
      <alignment horizontal="center" vertical="center" wrapText="1"/>
    </xf>
    <xf numFmtId="3" fontId="17" fillId="0" borderId="11" xfId="0" applyNumberFormat="1" applyFont="1" applyFill="1" applyBorder="1" applyAlignment="1">
      <alignment horizontal="center" vertical="center"/>
    </xf>
    <xf numFmtId="4" fontId="18" fillId="0" borderId="11" xfId="0" applyNumberFormat="1" applyFont="1" applyFill="1" applyBorder="1" applyAlignment="1">
      <alignment horizontal="center" vertical="center"/>
    </xf>
    <xf numFmtId="0" fontId="17" fillId="0" borderId="7" xfId="0" applyFont="1" applyFill="1" applyBorder="1" applyAlignment="1">
      <alignment vertical="center" wrapText="1"/>
    </xf>
    <xf numFmtId="0" fontId="4" fillId="0" borderId="11" xfId="0" applyFont="1" applyFill="1" applyBorder="1" applyAlignment="1">
      <alignment horizontal="center" vertical="center"/>
    </xf>
    <xf numFmtId="0" fontId="0" fillId="0" borderId="2" xfId="0" applyFill="1" applyBorder="1" applyAlignment="1">
      <alignment horizontal="center" vertical="center" wrapText="1"/>
    </xf>
    <xf numFmtId="4" fontId="4" fillId="0" borderId="2" xfId="0" applyNumberFormat="1" applyFont="1" applyFill="1" applyBorder="1" applyAlignment="1">
      <alignment vertical="center" wrapText="1"/>
    </xf>
    <xf numFmtId="0" fontId="0" fillId="0" borderId="22" xfId="0" applyFill="1" applyBorder="1" applyAlignment="1">
      <alignment horizontal="center" vertical="center" wrapText="1"/>
    </xf>
    <xf numFmtId="4" fontId="4" fillId="0" borderId="22" xfId="0" applyNumberFormat="1" applyFont="1" applyFill="1" applyBorder="1" applyAlignment="1">
      <alignment vertical="center" wrapText="1"/>
    </xf>
    <xf numFmtId="0" fontId="0" fillId="0" borderId="5" xfId="0" applyFill="1" applyBorder="1" applyAlignment="1">
      <alignment horizontal="center" vertical="center" wrapText="1"/>
    </xf>
    <xf numFmtId="184" fontId="17" fillId="0" borderId="1" xfId="0" applyNumberFormat="1" applyFont="1" applyFill="1" applyBorder="1" applyAlignment="1">
      <alignment horizontal="center" vertical="center" wrapText="1"/>
    </xf>
    <xf numFmtId="43" fontId="4" fillId="0" borderId="1" xfId="218" applyFont="1" applyFill="1" applyBorder="1" applyAlignment="1" applyProtection="1">
      <alignment horizontal="center" vertical="center"/>
    </xf>
    <xf numFmtId="4" fontId="4" fillId="0" borderId="1" xfId="0" applyNumberFormat="1" applyFont="1" applyFill="1" applyBorder="1" applyAlignment="1">
      <alignment vertical="center" wrapText="1"/>
    </xf>
    <xf numFmtId="4" fontId="17" fillId="0" borderId="21" xfId="0" applyNumberFormat="1" applyFont="1" applyFill="1" applyBorder="1" applyAlignment="1">
      <alignment vertical="center" wrapText="1"/>
    </xf>
    <xf numFmtId="0" fontId="0" fillId="0" borderId="1" xfId="0" applyFill="1" applyBorder="1" applyAlignment="1">
      <alignment horizontal="center" vertical="center" wrapText="1"/>
    </xf>
    <xf numFmtId="4" fontId="17" fillId="0" borderId="8" xfId="0" applyNumberFormat="1" applyFont="1" applyFill="1" applyBorder="1" applyAlignment="1">
      <alignment horizontal="center" vertical="center" wrapText="1"/>
    </xf>
    <xf numFmtId="4" fontId="17" fillId="0" borderId="2" xfId="0" applyNumberFormat="1" applyFont="1" applyFill="1" applyBorder="1" applyAlignment="1">
      <alignment horizontal="center" vertical="center" wrapText="1"/>
    </xf>
    <xf numFmtId="4" fontId="17" fillId="0" borderId="22" xfId="0" applyNumberFormat="1" applyFont="1" applyFill="1" applyBorder="1" applyAlignment="1">
      <alignment horizontal="center" vertical="center" wrapText="1"/>
    </xf>
    <xf numFmtId="4" fontId="17" fillId="0" borderId="5" xfId="0" applyNumberFormat="1" applyFont="1" applyFill="1" applyBorder="1" applyAlignment="1">
      <alignment horizontal="center" vertical="center" wrapText="1"/>
    </xf>
    <xf numFmtId="1" fontId="17" fillId="0" borderId="2" xfId="0" applyNumberFormat="1" applyFont="1" applyFill="1" applyBorder="1" applyAlignment="1">
      <alignment horizontal="center" vertical="center" wrapText="1"/>
    </xf>
    <xf numFmtId="1" fontId="17" fillId="0" borderId="22" xfId="0" applyNumberFormat="1" applyFont="1" applyFill="1" applyBorder="1" applyAlignment="1">
      <alignment horizontal="center" vertical="center" wrapText="1"/>
    </xf>
    <xf numFmtId="1" fontId="17" fillId="0" borderId="5" xfId="0" applyNumberFormat="1" applyFont="1" applyFill="1" applyBorder="1" applyAlignment="1">
      <alignment horizontal="center" vertical="center" wrapText="1"/>
    </xf>
    <xf numFmtId="3" fontId="4" fillId="0" borderId="19" xfId="0" applyNumberFormat="1" applyFont="1" applyFill="1" applyBorder="1" applyAlignment="1">
      <alignment horizontal="center" vertical="center" wrapText="1"/>
    </xf>
    <xf numFmtId="3" fontId="4" fillId="0" borderId="55" xfId="0" applyNumberFormat="1" applyFont="1" applyFill="1" applyBorder="1" applyAlignment="1">
      <alignment horizontal="center" vertical="center" wrapText="1"/>
    </xf>
    <xf numFmtId="0" fontId="0" fillId="0" borderId="2" xfId="0" applyFill="1" applyBorder="1" applyAlignment="1">
      <alignment horizontal="center"/>
    </xf>
    <xf numFmtId="0" fontId="0" fillId="0" borderId="22" xfId="0" applyFill="1" applyBorder="1" applyAlignment="1">
      <alignment horizontal="center"/>
    </xf>
    <xf numFmtId="3" fontId="4" fillId="0" borderId="21" xfId="0" applyNumberFormat="1" applyFont="1" applyFill="1" applyBorder="1" applyAlignment="1">
      <alignment horizontal="center" vertical="center" wrapText="1"/>
    </xf>
    <xf numFmtId="0" fontId="0" fillId="0" borderId="5" xfId="0" applyFill="1" applyBorder="1" applyAlignment="1">
      <alignment horizontal="center"/>
    </xf>
    <xf numFmtId="180" fontId="4" fillId="0" borderId="1" xfId="0" applyNumberFormat="1" applyFont="1" applyFill="1" applyBorder="1" applyAlignment="1">
      <alignment horizontal="center" vertical="center" wrapText="1"/>
    </xf>
    <xf numFmtId="184" fontId="4" fillId="0" borderId="1" xfId="0" applyNumberFormat="1" applyFont="1" applyFill="1" applyBorder="1" applyAlignment="1">
      <alignment horizontal="center" vertical="center"/>
    </xf>
    <xf numFmtId="180" fontId="2" fillId="0" borderId="1" xfId="0" applyNumberFormat="1" applyFont="1" applyFill="1" applyBorder="1" applyAlignment="1">
      <alignment horizontal="center" vertical="center"/>
    </xf>
    <xf numFmtId="184" fontId="4" fillId="0" borderId="7" xfId="0" applyNumberFormat="1" applyFont="1" applyFill="1" applyBorder="1" applyAlignment="1">
      <alignment horizontal="center" vertical="center" wrapText="1"/>
    </xf>
    <xf numFmtId="3" fontId="33" fillId="0" borderId="1" xfId="0" applyNumberFormat="1" applyFont="1" applyFill="1" applyBorder="1" applyAlignment="1">
      <alignment horizontal="center" vertical="center" wrapText="1"/>
    </xf>
    <xf numFmtId="3" fontId="33" fillId="0" borderId="22" xfId="0" applyNumberFormat="1" applyFont="1" applyFill="1" applyBorder="1" applyAlignment="1">
      <alignment vertical="center" wrapText="1"/>
    </xf>
    <xf numFmtId="3" fontId="33" fillId="0" borderId="22" xfId="0" applyNumberFormat="1" applyFont="1" applyFill="1" applyBorder="1" applyAlignment="1">
      <alignment horizontal="center" vertical="center" wrapText="1"/>
    </xf>
    <xf numFmtId="180" fontId="4" fillId="0" borderId="1" xfId="0" applyNumberFormat="1" applyFont="1" applyFill="1" applyBorder="1" applyAlignment="1">
      <alignment horizontal="center" vertical="center"/>
    </xf>
    <xf numFmtId="4" fontId="43" fillId="0" borderId="0" xfId="0" applyNumberFormat="1" applyFont="1" applyFill="1"/>
    <xf numFmtId="0" fontId="43" fillId="0" borderId="0" xfId="0" applyFont="1" applyFill="1"/>
    <xf numFmtId="0" fontId="43" fillId="0" borderId="0" xfId="0" applyFont="1" applyFill="1" applyAlignment="1">
      <alignment horizontal="center"/>
    </xf>
    <xf numFmtId="0" fontId="22" fillId="0" borderId="1" xfId="0" applyFont="1" applyFill="1" applyBorder="1" applyAlignment="1">
      <alignment horizontal="center" vertical="center" wrapText="1"/>
    </xf>
    <xf numFmtId="0" fontId="0" fillId="0" borderId="1" xfId="0" applyFill="1" applyBorder="1" applyAlignment="1">
      <alignment horizontal="left" vertical="center"/>
    </xf>
    <xf numFmtId="0" fontId="0" fillId="0" borderId="0" xfId="0" applyFill="1" applyAlignment="1">
      <alignment horizontal="center" wrapText="1"/>
    </xf>
    <xf numFmtId="0" fontId="0" fillId="0" borderId="0" xfId="0" applyFill="1" applyAlignment="1">
      <alignment horizontal="center"/>
    </xf>
    <xf numFmtId="178" fontId="5" fillId="0" borderId="0" xfId="0" applyNumberFormat="1" applyFont="1" applyFill="1" applyAlignment="1">
      <alignment horizontal="center"/>
    </xf>
    <xf numFmtId="42" fontId="18" fillId="0" borderId="0" xfId="0" applyNumberFormat="1" applyFont="1" applyFill="1" applyAlignment="1">
      <alignment horizontal="center" vertical="center" wrapText="1"/>
    </xf>
    <xf numFmtId="42" fontId="18" fillId="17" borderId="1" xfId="0" applyNumberFormat="1" applyFont="1" applyFill="1" applyBorder="1" applyAlignment="1">
      <alignment horizontal="center" vertical="center" wrapText="1"/>
    </xf>
    <xf numFmtId="0" fontId="2" fillId="17" borderId="26" xfId="0" applyFont="1" applyFill="1" applyBorder="1" applyAlignment="1">
      <alignment vertical="center" wrapText="1"/>
    </xf>
    <xf numFmtId="0" fontId="2" fillId="17" borderId="0" xfId="0" applyFont="1" applyFill="1" applyAlignment="1">
      <alignment vertical="center" wrapText="1"/>
    </xf>
    <xf numFmtId="0" fontId="4" fillId="17" borderId="0" xfId="0" applyFont="1" applyFill="1" applyAlignment="1">
      <alignment horizontal="center" vertical="center" wrapText="1"/>
    </xf>
    <xf numFmtId="0" fontId="2" fillId="17" borderId="27" xfId="0" applyFont="1" applyFill="1" applyBorder="1" applyAlignment="1">
      <alignment vertical="center" wrapText="1"/>
    </xf>
    <xf numFmtId="0" fontId="2" fillId="17" borderId="28" xfId="0" applyFont="1" applyFill="1" applyBorder="1" applyAlignment="1">
      <alignment vertical="center" wrapText="1"/>
    </xf>
    <xf numFmtId="0" fontId="2" fillId="17" borderId="29" xfId="0" applyFont="1" applyFill="1" applyBorder="1" applyAlignment="1">
      <alignment vertical="center" wrapText="1"/>
    </xf>
    <xf numFmtId="0" fontId="4" fillId="17" borderId="29" xfId="0" applyFont="1" applyFill="1" applyBorder="1" applyAlignment="1">
      <alignment horizontal="center" vertical="center" wrapText="1"/>
    </xf>
    <xf numFmtId="0" fontId="2" fillId="17" borderId="29" xfId="0" applyFont="1" applyFill="1" applyBorder="1" applyAlignment="1">
      <alignment horizontal="center" vertical="center" wrapText="1"/>
    </xf>
    <xf numFmtId="0" fontId="2" fillId="17" borderId="38" xfId="0" applyFont="1" applyFill="1" applyBorder="1" applyAlignment="1">
      <alignment vertical="center" wrapText="1"/>
    </xf>
    <xf numFmtId="0" fontId="22" fillId="0" borderId="1" xfId="0" applyFont="1" applyFill="1" applyBorder="1" applyAlignment="1">
      <alignment horizontal="center" vertical="center"/>
    </xf>
    <xf numFmtId="0" fontId="22" fillId="0" borderId="1" xfId="0" applyFont="1" applyFill="1" applyBorder="1" applyAlignment="1">
      <alignment horizontal="center" vertical="center"/>
    </xf>
    <xf numFmtId="0" fontId="0" fillId="0" borderId="1" xfId="0" applyFill="1" applyBorder="1" applyAlignment="1">
      <alignment horizontal="left" vertical="center" wrapText="1"/>
    </xf>
    <xf numFmtId="0" fontId="17" fillId="0" borderId="1" xfId="0" applyFont="1" applyFill="1" applyBorder="1" applyAlignment="1">
      <alignment vertical="top" wrapText="1"/>
    </xf>
    <xf numFmtId="0" fontId="93" fillId="0" borderId="1" xfId="0" applyFont="1" applyFill="1" applyBorder="1" applyAlignment="1">
      <alignment horizontal="left" vertical="top" wrapText="1"/>
    </xf>
    <xf numFmtId="170" fontId="107" fillId="0" borderId="1" xfId="3" applyNumberFormat="1" applyFont="1" applyFill="1" applyBorder="1" applyAlignment="1">
      <alignment horizontal="center" vertical="center"/>
    </xf>
    <xf numFmtId="182" fontId="107" fillId="0" borderId="1" xfId="0" applyNumberFormat="1" applyFont="1" applyFill="1" applyBorder="1" applyAlignment="1">
      <alignment horizontal="center" vertical="center"/>
    </xf>
    <xf numFmtId="183" fontId="106" fillId="17" borderId="51" xfId="0" applyNumberFormat="1" applyFont="1" applyFill="1" applyBorder="1" applyAlignment="1">
      <alignment horizontal="center" wrapText="1"/>
    </xf>
    <xf numFmtId="183" fontId="106" fillId="17" borderId="52" xfId="0" applyNumberFormat="1" applyFont="1" applyFill="1" applyBorder="1" applyAlignment="1">
      <alignment horizontal="center" wrapText="1"/>
    </xf>
    <xf numFmtId="183" fontId="106" fillId="17" borderId="63" xfId="0" applyNumberFormat="1" applyFont="1" applyFill="1" applyBorder="1" applyAlignment="1">
      <alignment horizontal="center" wrapText="1"/>
    </xf>
    <xf numFmtId="183" fontId="106" fillId="17" borderId="0" xfId="0" applyNumberFormat="1" applyFont="1" applyFill="1" applyBorder="1" applyAlignment="1">
      <alignment horizontal="center" wrapText="1"/>
    </xf>
    <xf numFmtId="183" fontId="106" fillId="17" borderId="9" xfId="0" applyNumberFormat="1" applyFont="1" applyFill="1" applyBorder="1" applyAlignment="1">
      <alignment horizontal="center" wrapText="1"/>
    </xf>
    <xf numFmtId="183" fontId="106" fillId="17" borderId="64" xfId="0" applyNumberFormat="1" applyFont="1" applyFill="1" applyBorder="1" applyAlignment="1">
      <alignment horizontal="center" wrapText="1"/>
    </xf>
    <xf numFmtId="183" fontId="106" fillId="17" borderId="41" xfId="0" applyNumberFormat="1" applyFont="1" applyFill="1" applyBorder="1" applyAlignment="1">
      <alignment horizontal="center" wrapText="1"/>
    </xf>
    <xf numFmtId="183" fontId="106" fillId="17" borderId="42" xfId="0" applyNumberFormat="1" applyFont="1" applyFill="1" applyBorder="1" applyAlignment="1">
      <alignment horizontal="center" wrapText="1"/>
    </xf>
    <xf numFmtId="183" fontId="103" fillId="25" borderId="1" xfId="9" applyNumberFormat="1" applyFont="1" applyFill="1" applyBorder="1" applyAlignment="1">
      <alignment horizontal="center"/>
    </xf>
    <xf numFmtId="183" fontId="104" fillId="25" borderId="1" xfId="0" applyNumberFormat="1" applyFont="1" applyFill="1" applyBorder="1" applyAlignment="1">
      <alignment horizontal="center" wrapText="1"/>
    </xf>
    <xf numFmtId="183" fontId="93" fillId="18" borderId="8" xfId="0" applyNumberFormat="1" applyFont="1" applyFill="1" applyBorder="1" applyAlignment="1" applyProtection="1">
      <alignment horizontal="left" vertical="center" wrapText="1"/>
      <protection locked="0"/>
    </xf>
    <xf numFmtId="0" fontId="93" fillId="0" borderId="7" xfId="0" applyFont="1" applyFill="1" applyBorder="1" applyAlignment="1">
      <alignment horizontal="left" vertical="top" wrapText="1"/>
    </xf>
    <xf numFmtId="3" fontId="104" fillId="0" borderId="2" xfId="10" applyNumberFormat="1" applyFont="1" applyFill="1" applyBorder="1" applyAlignment="1">
      <alignment horizontal="center" vertical="center" wrapText="1"/>
    </xf>
    <xf numFmtId="0" fontId="107" fillId="0" borderId="2" xfId="0" applyFont="1" applyFill="1" applyBorder="1" applyAlignment="1">
      <alignment horizontal="center"/>
    </xf>
    <xf numFmtId="0" fontId="107" fillId="0" borderId="2" xfId="0" applyFont="1" applyFill="1" applyBorder="1" applyAlignment="1">
      <alignment horizontal="center" vertical="center"/>
    </xf>
    <xf numFmtId="2" fontId="107" fillId="0" borderId="2" xfId="0" applyNumberFormat="1" applyFont="1" applyFill="1" applyBorder="1" applyAlignment="1">
      <alignment horizontal="center" vertical="center"/>
    </xf>
    <xf numFmtId="2" fontId="104" fillId="0" borderId="2" xfId="0" applyNumberFormat="1" applyFont="1" applyFill="1" applyBorder="1" applyAlignment="1">
      <alignment horizontal="center" vertical="center" wrapText="1"/>
    </xf>
    <xf numFmtId="2" fontId="104" fillId="0" borderId="2" xfId="10" applyNumberFormat="1" applyFont="1" applyFill="1" applyBorder="1" applyAlignment="1">
      <alignment horizontal="center" vertical="center" wrapText="1"/>
    </xf>
    <xf numFmtId="184" fontId="104" fillId="0" borderId="2" xfId="0" applyNumberFormat="1" applyFont="1" applyFill="1" applyBorder="1" applyAlignment="1">
      <alignment horizontal="center" vertical="center" wrapText="1"/>
    </xf>
    <xf numFmtId="4" fontId="104" fillId="0" borderId="2" xfId="10" applyNumberFormat="1" applyFont="1" applyFill="1" applyBorder="1" applyAlignment="1">
      <alignment horizontal="center" vertical="center" wrapText="1"/>
    </xf>
    <xf numFmtId="180" fontId="104" fillId="0" borderId="2" xfId="10" applyNumberFormat="1" applyFont="1" applyFill="1" applyBorder="1" applyAlignment="1">
      <alignment horizontal="center" vertical="center" wrapText="1"/>
    </xf>
    <xf numFmtId="39" fontId="107" fillId="0" borderId="2" xfId="9" applyNumberFormat="1" applyFont="1" applyFill="1" applyBorder="1" applyAlignment="1">
      <alignment horizontal="center" vertical="center"/>
    </xf>
    <xf numFmtId="39" fontId="107" fillId="0" borderId="2" xfId="10" applyNumberFormat="1" applyFont="1" applyFill="1" applyBorder="1" applyAlignment="1">
      <alignment horizontal="center" vertical="center"/>
    </xf>
    <xf numFmtId="4" fontId="93" fillId="0" borderId="2" xfId="10" applyNumberFormat="1" applyFont="1" applyFill="1" applyBorder="1" applyAlignment="1">
      <alignment horizontal="center" vertical="center" wrapText="1"/>
    </xf>
    <xf numFmtId="184" fontId="93" fillId="0" borderId="2" xfId="0" applyNumberFormat="1" applyFont="1" applyFill="1" applyBorder="1" applyAlignment="1">
      <alignment horizontal="center" vertical="center" wrapText="1"/>
    </xf>
    <xf numFmtId="4" fontId="93" fillId="0" borderId="2" xfId="0" applyNumberFormat="1" applyFont="1" applyFill="1" applyBorder="1" applyAlignment="1">
      <alignment horizontal="center" vertical="center" wrapText="1"/>
    </xf>
    <xf numFmtId="39" fontId="103" fillId="0" borderId="2" xfId="9" applyNumberFormat="1" applyFont="1" applyFill="1" applyBorder="1" applyAlignment="1">
      <alignment horizontal="center" vertical="center"/>
    </xf>
    <xf numFmtId="39" fontId="93" fillId="0" borderId="2" xfId="9" applyNumberFormat="1" applyFont="1" applyFill="1" applyBorder="1" applyAlignment="1">
      <alignment horizontal="center" vertical="center"/>
    </xf>
    <xf numFmtId="170" fontId="93" fillId="0" borderId="2" xfId="3" applyNumberFormat="1" applyFont="1" applyFill="1" applyBorder="1" applyAlignment="1">
      <alignment horizontal="center" vertical="center"/>
    </xf>
    <xf numFmtId="1" fontId="93" fillId="0" borderId="2" xfId="2866" applyNumberFormat="1" applyFont="1" applyFill="1" applyBorder="1" applyAlignment="1">
      <alignment horizontal="center" vertical="center" wrapText="1"/>
    </xf>
    <xf numFmtId="9" fontId="105" fillId="0" borderId="2" xfId="21" applyFont="1" applyFill="1" applyBorder="1" applyAlignment="1">
      <alignment horizontal="center" vertical="center"/>
    </xf>
    <xf numFmtId="10" fontId="105" fillId="0" borderId="2" xfId="21" applyNumberFormat="1" applyFont="1" applyFill="1" applyBorder="1" applyAlignment="1">
      <alignment horizontal="center" vertical="center" wrapText="1"/>
    </xf>
    <xf numFmtId="183" fontId="93" fillId="25" borderId="5" xfId="10" applyNumberFormat="1" applyFont="1" applyFill="1" applyBorder="1" applyAlignment="1">
      <alignment horizontal="center" vertical="center" wrapText="1"/>
    </xf>
    <xf numFmtId="183" fontId="93" fillId="25" borderId="5" xfId="10" applyNumberFormat="1" applyFont="1" applyFill="1" applyBorder="1" applyAlignment="1">
      <alignment horizontal="center" wrapText="1"/>
    </xf>
    <xf numFmtId="183" fontId="104" fillId="25" borderId="5" xfId="10" applyNumberFormat="1" applyFont="1" applyFill="1" applyBorder="1" applyAlignment="1">
      <alignment horizontal="center" vertical="center" wrapText="1"/>
    </xf>
    <xf numFmtId="183" fontId="104" fillId="30" borderId="65" xfId="10" applyNumberFormat="1" applyFont="1" applyFill="1" applyBorder="1" applyAlignment="1">
      <alignment horizontal="center" vertical="center" wrapText="1"/>
    </xf>
    <xf numFmtId="182" fontId="107" fillId="30" borderId="49" xfId="9" applyNumberFormat="1" applyFont="1" applyFill="1" applyBorder="1" applyAlignment="1">
      <alignment horizontal="center"/>
    </xf>
    <xf numFmtId="182" fontId="107" fillId="30" borderId="49" xfId="9" applyNumberFormat="1" applyFont="1" applyFill="1" applyBorder="1" applyAlignment="1">
      <alignment horizontal="center" vertical="center"/>
    </xf>
    <xf numFmtId="182" fontId="107" fillId="30" borderId="49" xfId="0" applyNumberFormat="1" applyFont="1" applyFill="1" applyBorder="1" applyAlignment="1">
      <alignment horizontal="center" vertical="center"/>
    </xf>
    <xf numFmtId="182" fontId="107" fillId="30" borderId="49" xfId="10" applyNumberFormat="1" applyFont="1" applyFill="1" applyBorder="1" applyAlignment="1">
      <alignment horizontal="center" vertical="center"/>
    </xf>
    <xf numFmtId="42" fontId="104" fillId="30" borderId="49" xfId="2866" applyFont="1" applyFill="1" applyBorder="1" applyAlignment="1">
      <alignment horizontal="center" vertical="center" wrapText="1"/>
    </xf>
    <xf numFmtId="183" fontId="107" fillId="30" borderId="49" xfId="9" applyNumberFormat="1" applyFont="1" applyFill="1" applyBorder="1" applyAlignment="1">
      <alignment horizontal="center" vertical="center"/>
    </xf>
    <xf numFmtId="182" fontId="103" fillId="30" borderId="49" xfId="10" applyNumberFormat="1" applyFont="1" applyFill="1" applyBorder="1" applyAlignment="1">
      <alignment horizontal="center" vertical="center"/>
    </xf>
    <xf numFmtId="183" fontId="104" fillId="30" borderId="49" xfId="10" applyNumberFormat="1" applyFont="1" applyFill="1" applyBorder="1" applyAlignment="1">
      <alignment horizontal="center" vertical="center" wrapText="1"/>
    </xf>
    <xf numFmtId="3" fontId="93" fillId="30" borderId="49" xfId="0" applyNumberFormat="1" applyFont="1" applyFill="1" applyBorder="1" applyAlignment="1">
      <alignment horizontal="center" vertical="center" wrapText="1"/>
    </xf>
    <xf numFmtId="183" fontId="103" fillId="30" borderId="49" xfId="9" applyNumberFormat="1" applyFont="1" applyFill="1" applyBorder="1" applyAlignment="1">
      <alignment horizontal="center" vertical="center"/>
    </xf>
    <xf numFmtId="182" fontId="103" fillId="30" borderId="49" xfId="9" applyNumberFormat="1" applyFont="1" applyFill="1" applyBorder="1" applyAlignment="1">
      <alignment horizontal="center" vertical="center"/>
    </xf>
    <xf numFmtId="182" fontId="93" fillId="30" borderId="49" xfId="9" applyNumberFormat="1" applyFont="1" applyFill="1" applyBorder="1" applyAlignment="1">
      <alignment horizontal="center" vertical="center"/>
    </xf>
    <xf numFmtId="9" fontId="105" fillId="30" borderId="49" xfId="21" applyFont="1" applyFill="1" applyBorder="1" applyAlignment="1">
      <alignment horizontal="center" vertical="center"/>
    </xf>
    <xf numFmtId="10" fontId="105" fillId="30" borderId="49" xfId="21" applyNumberFormat="1" applyFont="1" applyFill="1" applyBorder="1" applyAlignment="1">
      <alignment horizontal="center" vertical="center" wrapText="1"/>
    </xf>
    <xf numFmtId="9" fontId="105" fillId="30" borderId="50" xfId="21" applyFont="1" applyFill="1" applyBorder="1" applyAlignment="1">
      <alignment horizontal="center" vertical="center"/>
    </xf>
    <xf numFmtId="4" fontId="107" fillId="0" borderId="2" xfId="0" applyNumberFormat="1" applyFont="1" applyFill="1" applyBorder="1" applyAlignment="1">
      <alignment horizontal="center" vertical="center"/>
    </xf>
    <xf numFmtId="180" fontId="107" fillId="0" borderId="2" xfId="0" applyNumberFormat="1" applyFont="1" applyFill="1" applyBorder="1" applyAlignment="1">
      <alignment horizontal="center" vertical="center"/>
    </xf>
    <xf numFmtId="4" fontId="104" fillId="0" borderId="2" xfId="0" applyNumberFormat="1" applyFont="1" applyFill="1" applyBorder="1" applyAlignment="1">
      <alignment horizontal="center" vertical="center" wrapText="1"/>
    </xf>
    <xf numFmtId="3" fontId="104" fillId="0" borderId="5" xfId="0" applyNumberFormat="1" applyFont="1" applyFill="1" applyBorder="1" applyAlignment="1">
      <alignment horizontal="center" vertical="center" wrapText="1"/>
    </xf>
    <xf numFmtId="185" fontId="103" fillId="0" borderId="5" xfId="9" applyNumberFormat="1" applyFont="1" applyFill="1" applyBorder="1" applyAlignment="1">
      <alignment horizontal="center"/>
    </xf>
    <xf numFmtId="37" fontId="103" fillId="0" borderId="5" xfId="9" applyNumberFormat="1" applyFont="1" applyFill="1" applyBorder="1" applyAlignment="1">
      <alignment horizontal="center" vertical="center"/>
    </xf>
    <xf numFmtId="39" fontId="103" fillId="0" borderId="5" xfId="9" applyNumberFormat="1" applyFont="1" applyFill="1" applyBorder="1" applyAlignment="1">
      <alignment horizontal="center" vertical="center"/>
    </xf>
    <xf numFmtId="39" fontId="93" fillId="0" borderId="5" xfId="0" applyNumberFormat="1" applyFont="1" applyFill="1" applyBorder="1" applyAlignment="1">
      <alignment horizontal="center" vertical="center" wrapText="1"/>
    </xf>
    <xf numFmtId="39" fontId="103" fillId="0" borderId="5" xfId="10" applyNumberFormat="1" applyFont="1" applyFill="1" applyBorder="1" applyAlignment="1">
      <alignment horizontal="center" vertical="center"/>
    </xf>
    <xf numFmtId="39" fontId="104" fillId="0" borderId="5" xfId="0" applyNumberFormat="1" applyFont="1" applyFill="1" applyBorder="1" applyAlignment="1">
      <alignment horizontal="center" vertical="center" wrapText="1"/>
    </xf>
    <xf numFmtId="39" fontId="107" fillId="0" borderId="5" xfId="9" applyNumberFormat="1" applyFont="1" applyFill="1" applyBorder="1" applyAlignment="1">
      <alignment horizontal="center" vertical="center"/>
    </xf>
    <xf numFmtId="184" fontId="104" fillId="0" borderId="5" xfId="0" applyNumberFormat="1" applyFont="1" applyFill="1" applyBorder="1" applyAlignment="1">
      <alignment horizontal="center" vertical="center" wrapText="1"/>
    </xf>
    <xf numFmtId="179" fontId="103" fillId="0" borderId="5" xfId="9" applyNumberFormat="1" applyFont="1" applyFill="1" applyBorder="1" applyAlignment="1">
      <alignment horizontal="center" vertical="center"/>
    </xf>
    <xf numFmtId="179" fontId="103" fillId="0" borderId="5" xfId="10" applyNumberFormat="1" applyFont="1" applyFill="1" applyBorder="1" applyAlignment="1">
      <alignment horizontal="center" vertical="center"/>
    </xf>
    <xf numFmtId="184" fontId="93" fillId="0" borderId="5" xfId="0" applyNumberFormat="1" applyFont="1" applyFill="1" applyBorder="1" applyAlignment="1">
      <alignment horizontal="center" vertical="center" wrapText="1"/>
    </xf>
    <xf numFmtId="4" fontId="93" fillId="0" borderId="5" xfId="0" applyNumberFormat="1" applyFont="1" applyFill="1" applyBorder="1" applyAlignment="1">
      <alignment horizontal="center" vertical="center" wrapText="1"/>
    </xf>
    <xf numFmtId="3" fontId="93" fillId="0" borderId="5" xfId="0" applyNumberFormat="1" applyFont="1" applyFill="1" applyBorder="1" applyAlignment="1">
      <alignment horizontal="center" vertical="center" wrapText="1"/>
    </xf>
    <xf numFmtId="1" fontId="93" fillId="0" borderId="5" xfId="2866" applyNumberFormat="1" applyFont="1" applyFill="1" applyBorder="1" applyAlignment="1">
      <alignment horizontal="center" vertical="center" wrapText="1"/>
    </xf>
    <xf numFmtId="37" fontId="107" fillId="0" borderId="5" xfId="9" applyNumberFormat="1" applyFont="1" applyFill="1" applyBorder="1" applyAlignment="1">
      <alignment horizontal="center" vertical="center"/>
    </xf>
    <xf numFmtId="4" fontId="104" fillId="0" borderId="5" xfId="0" applyNumberFormat="1" applyFont="1" applyFill="1" applyBorder="1" applyAlignment="1">
      <alignment horizontal="center" vertical="center" wrapText="1"/>
    </xf>
    <xf numFmtId="1" fontId="104" fillId="0" borderId="5" xfId="2866" applyNumberFormat="1" applyFont="1" applyFill="1" applyBorder="1" applyAlignment="1">
      <alignment horizontal="center" vertical="center" wrapText="1"/>
    </xf>
    <xf numFmtId="9" fontId="105" fillId="0" borderId="5" xfId="21" applyFont="1" applyFill="1" applyBorder="1" applyAlignment="1">
      <alignment horizontal="center" vertical="center"/>
    </xf>
    <xf numFmtId="10" fontId="105" fillId="0" borderId="5" xfId="21" applyNumberFormat="1" applyFont="1" applyFill="1" applyBorder="1" applyAlignment="1">
      <alignment horizontal="center" vertical="center" wrapText="1"/>
    </xf>
    <xf numFmtId="184" fontId="93" fillId="30" borderId="49" xfId="0" applyNumberFormat="1" applyFont="1" applyFill="1" applyBorder="1" applyAlignment="1">
      <alignment horizontal="center" vertical="center" wrapText="1"/>
    </xf>
    <xf numFmtId="179" fontId="107" fillId="0" borderId="2" xfId="9" applyNumberFormat="1" applyFont="1" applyFill="1" applyBorder="1" applyAlignment="1">
      <alignment horizontal="center" vertical="center"/>
    </xf>
    <xf numFmtId="179" fontId="107" fillId="0" borderId="2" xfId="10" applyNumberFormat="1" applyFont="1" applyFill="1" applyBorder="1" applyAlignment="1">
      <alignment horizontal="center" vertical="center"/>
    </xf>
    <xf numFmtId="37" fontId="103" fillId="0" borderId="5" xfId="9" applyNumberFormat="1" applyFont="1" applyFill="1" applyBorder="1" applyAlignment="1">
      <alignment horizontal="center"/>
    </xf>
    <xf numFmtId="37" fontId="103" fillId="0" borderId="5" xfId="10" applyNumberFormat="1" applyFont="1" applyFill="1" applyBorder="1" applyAlignment="1">
      <alignment horizontal="center" vertical="center"/>
    </xf>
    <xf numFmtId="2" fontId="107" fillId="0" borderId="2" xfId="0" applyNumberFormat="1" applyFont="1" applyFill="1" applyBorder="1" applyAlignment="1">
      <alignment horizontal="center"/>
    </xf>
    <xf numFmtId="180" fontId="93" fillId="0" borderId="5" xfId="0" applyNumberFormat="1" applyFont="1" applyFill="1" applyBorder="1" applyAlignment="1">
      <alignment horizontal="center" vertical="center" wrapText="1"/>
    </xf>
    <xf numFmtId="185" fontId="103" fillId="0" borderId="5" xfId="9" applyNumberFormat="1" applyFont="1" applyFill="1" applyBorder="1" applyAlignment="1">
      <alignment horizontal="center" vertical="center"/>
    </xf>
    <xf numFmtId="185" fontId="93" fillId="0" borderId="5" xfId="0" applyNumberFormat="1" applyFont="1" applyFill="1" applyBorder="1" applyAlignment="1">
      <alignment horizontal="center" vertical="center" wrapText="1"/>
    </xf>
    <xf numFmtId="185" fontId="93" fillId="0" borderId="5" xfId="2866" applyNumberFormat="1" applyFont="1" applyFill="1" applyBorder="1" applyAlignment="1">
      <alignment horizontal="center" vertical="center" wrapText="1"/>
    </xf>
    <xf numFmtId="39" fontId="107" fillId="30" borderId="49" xfId="9" applyNumberFormat="1" applyFont="1" applyFill="1" applyBorder="1" applyAlignment="1">
      <alignment horizontal="center" vertical="center"/>
    </xf>
    <xf numFmtId="39" fontId="107" fillId="30" borderId="49" xfId="10" applyNumberFormat="1" applyFont="1" applyFill="1" applyBorder="1" applyAlignment="1">
      <alignment horizontal="center" vertical="center"/>
    </xf>
    <xf numFmtId="39" fontId="104" fillId="30" borderId="49" xfId="2866" applyNumberFormat="1" applyFont="1" applyFill="1" applyBorder="1" applyAlignment="1">
      <alignment horizontal="center" vertical="center" wrapText="1"/>
    </xf>
    <xf numFmtId="2" fontId="93" fillId="0" borderId="5" xfId="0" applyNumberFormat="1" applyFont="1" applyFill="1" applyBorder="1" applyAlignment="1">
      <alignment horizontal="center" wrapText="1"/>
    </xf>
    <xf numFmtId="3" fontId="93" fillId="0" borderId="5" xfId="0" applyNumberFormat="1" applyFont="1" applyFill="1" applyBorder="1" applyAlignment="1">
      <alignment horizontal="center" wrapText="1"/>
    </xf>
    <xf numFmtId="39" fontId="107" fillId="0" borderId="2" xfId="9" applyNumberFormat="1" applyFont="1" applyFill="1" applyBorder="1" applyAlignment="1">
      <alignment horizontal="center"/>
    </xf>
    <xf numFmtId="37" fontId="107" fillId="0" borderId="2" xfId="9" applyNumberFormat="1" applyFont="1" applyFill="1" applyBorder="1" applyAlignment="1">
      <alignment horizontal="center" vertical="center"/>
    </xf>
    <xf numFmtId="179" fontId="104" fillId="0" borderId="2" xfId="0" applyNumberFormat="1" applyFont="1" applyFill="1" applyBorder="1" applyAlignment="1">
      <alignment horizontal="center" vertical="center" wrapText="1"/>
    </xf>
    <xf numFmtId="183" fontId="107" fillId="30" borderId="49" xfId="9" applyNumberFormat="1" applyFont="1" applyFill="1" applyBorder="1" applyAlignment="1">
      <alignment horizontal="center"/>
    </xf>
    <xf numFmtId="183" fontId="107" fillId="30" borderId="49" xfId="10" applyNumberFormat="1" applyFont="1" applyFill="1" applyBorder="1" applyAlignment="1">
      <alignment horizontal="center" vertical="center"/>
    </xf>
    <xf numFmtId="183" fontId="104" fillId="30" borderId="49" xfId="2866" applyNumberFormat="1" applyFont="1" applyFill="1" applyBorder="1" applyAlignment="1">
      <alignment horizontal="center" vertical="center" wrapText="1"/>
    </xf>
    <xf numFmtId="37" fontId="107" fillId="0" borderId="2" xfId="9" applyNumberFormat="1" applyFont="1" applyFill="1" applyBorder="1" applyAlignment="1">
      <alignment horizontal="center"/>
    </xf>
    <xf numFmtId="37" fontId="107" fillId="0" borderId="2" xfId="10" applyNumberFormat="1" applyFont="1" applyFill="1" applyBorder="1" applyAlignment="1">
      <alignment horizontal="center" vertical="center"/>
    </xf>
    <xf numFmtId="39" fontId="103" fillId="0" borderId="5" xfId="9" applyNumberFormat="1" applyFont="1" applyFill="1" applyBorder="1" applyAlignment="1">
      <alignment horizontal="center"/>
    </xf>
    <xf numFmtId="180" fontId="104" fillId="0" borderId="5" xfId="0" applyNumberFormat="1" applyFont="1" applyFill="1" applyBorder="1" applyAlignment="1">
      <alignment horizontal="center" vertical="center" wrapText="1"/>
    </xf>
    <xf numFmtId="4" fontId="103" fillId="0" borderId="5" xfId="9" applyNumberFormat="1" applyFont="1" applyFill="1" applyBorder="1" applyAlignment="1">
      <alignment horizontal="center" vertical="center"/>
    </xf>
    <xf numFmtId="39" fontId="107" fillId="0" borderId="5" xfId="10" applyNumberFormat="1" applyFont="1" applyFill="1" applyBorder="1" applyAlignment="1">
      <alignment horizontal="center" vertical="center"/>
    </xf>
    <xf numFmtId="4" fontId="103" fillId="0" borderId="5" xfId="10" applyNumberFormat="1" applyFont="1" applyFill="1" applyBorder="1" applyAlignment="1">
      <alignment horizontal="center" vertical="center"/>
    </xf>
    <xf numFmtId="39" fontId="104" fillId="0" borderId="5" xfId="2866" applyNumberFormat="1" applyFont="1" applyFill="1" applyBorder="1" applyAlignment="1">
      <alignment horizontal="center" vertical="center" wrapText="1"/>
    </xf>
    <xf numFmtId="182" fontId="104" fillId="30" borderId="49" xfId="2866" applyNumberFormat="1" applyFont="1" applyFill="1" applyBorder="1" applyAlignment="1">
      <alignment horizontal="center" vertical="center" wrapText="1"/>
    </xf>
    <xf numFmtId="3" fontId="104" fillId="0" borderId="2" xfId="10" applyNumberFormat="1" applyFont="1" applyFill="1" applyBorder="1" applyAlignment="1">
      <alignment horizontal="center" wrapText="1"/>
    </xf>
    <xf numFmtId="3" fontId="93" fillId="0" borderId="2" xfId="10" applyNumberFormat="1" applyFont="1" applyFill="1" applyBorder="1" applyAlignment="1">
      <alignment horizontal="center" vertical="center" wrapText="1"/>
    </xf>
    <xf numFmtId="184" fontId="93" fillId="0" borderId="2" xfId="10" applyNumberFormat="1" applyFont="1" applyFill="1" applyBorder="1" applyAlignment="1">
      <alignment horizontal="center" vertical="center" wrapText="1"/>
    </xf>
    <xf numFmtId="182" fontId="104" fillId="30" borderId="49" xfId="10" applyNumberFormat="1" applyFont="1" applyFill="1" applyBorder="1" applyAlignment="1">
      <alignment horizontal="center" wrapText="1"/>
    </xf>
    <xf numFmtId="182" fontId="104" fillId="30" borderId="49" xfId="10" applyNumberFormat="1" applyFont="1" applyFill="1" applyBorder="1" applyAlignment="1">
      <alignment horizontal="center" vertical="center" wrapText="1"/>
    </xf>
    <xf numFmtId="3" fontId="104" fillId="30" borderId="49" xfId="0" applyNumberFormat="1" applyFont="1" applyFill="1" applyBorder="1" applyAlignment="1">
      <alignment horizontal="center" vertical="center" wrapText="1"/>
    </xf>
    <xf numFmtId="170" fontId="7" fillId="0" borderId="1" xfId="3" applyNumberFormat="1" applyFont="1" applyFill="1" applyBorder="1" applyAlignment="1">
      <alignment vertical="center"/>
    </xf>
    <xf numFmtId="184" fontId="65" fillId="0" borderId="1" xfId="0" applyNumberFormat="1" applyFont="1" applyFill="1" applyBorder="1" applyAlignment="1">
      <alignment horizontal="center" vertical="center" wrapText="1"/>
    </xf>
    <xf numFmtId="170" fontId="66" fillId="0" borderId="1" xfId="3" applyFont="1" applyFill="1" applyBorder="1" applyAlignment="1">
      <alignment horizontal="center" vertical="center"/>
    </xf>
    <xf numFmtId="0" fontId="26" fillId="0" borderId="1" xfId="0" applyFont="1" applyFill="1" applyBorder="1" applyAlignment="1">
      <alignment horizontal="justify" vertical="top" wrapText="1"/>
    </xf>
    <xf numFmtId="0" fontId="26" fillId="0" borderId="1" xfId="0" applyFont="1" applyFill="1" applyBorder="1" applyAlignment="1">
      <alignment horizontal="center" vertical="center" wrapText="1"/>
    </xf>
    <xf numFmtId="178" fontId="7" fillId="0" borderId="1" xfId="5" applyNumberFormat="1" applyFont="1" applyFill="1" applyBorder="1" applyAlignment="1">
      <alignment vertical="center"/>
    </xf>
    <xf numFmtId="0" fontId="7" fillId="0" borderId="1" xfId="0" applyFont="1" applyFill="1" applyBorder="1" applyAlignment="1">
      <alignment horizontal="left" vertical="center" wrapText="1"/>
    </xf>
    <xf numFmtId="1" fontId="65" fillId="0" borderId="1" xfId="2866" applyNumberFormat="1" applyFont="1" applyFill="1" applyBorder="1" applyAlignment="1">
      <alignment horizontal="center" vertical="center" wrapText="1"/>
    </xf>
    <xf numFmtId="175" fontId="5" fillId="0" borderId="1" xfId="3" applyNumberFormat="1" applyFont="1" applyFill="1" applyBorder="1" applyAlignment="1">
      <alignment vertical="center"/>
    </xf>
    <xf numFmtId="0" fontId="26" fillId="0" borderId="4" xfId="0" applyFont="1" applyFill="1" applyBorder="1" applyAlignment="1">
      <alignment horizontal="justify" vertical="top" wrapText="1"/>
    </xf>
    <xf numFmtId="0" fontId="7" fillId="0" borderId="4" xfId="0" applyFont="1" applyFill="1" applyBorder="1" applyAlignment="1">
      <alignment horizontal="left" vertical="top" wrapText="1"/>
    </xf>
    <xf numFmtId="170" fontId="7" fillId="0" borderId="4" xfId="3" applyNumberFormat="1" applyFont="1" applyFill="1" applyBorder="1" applyAlignment="1">
      <alignment horizontal="center" vertical="center"/>
    </xf>
    <xf numFmtId="170" fontId="7" fillId="0" borderId="4" xfId="3" applyNumberFormat="1" applyFont="1" applyFill="1" applyBorder="1" applyAlignment="1">
      <alignment vertical="center"/>
    </xf>
    <xf numFmtId="39" fontId="66" fillId="0" borderId="4" xfId="9" applyNumberFormat="1" applyFont="1" applyFill="1" applyBorder="1" applyAlignment="1">
      <alignment horizontal="center" vertical="center"/>
    </xf>
    <xf numFmtId="175" fontId="66" fillId="0" borderId="4" xfId="3" applyNumberFormat="1" applyFont="1" applyFill="1" applyBorder="1" applyAlignment="1">
      <alignment horizontal="center" vertical="center"/>
    </xf>
    <xf numFmtId="3" fontId="65" fillId="0" borderId="4" xfId="0" applyNumberFormat="1" applyFont="1" applyFill="1" applyBorder="1" applyAlignment="1">
      <alignment horizontal="center" vertical="center" wrapText="1"/>
    </xf>
    <xf numFmtId="4" fontId="65" fillId="0" borderId="4" xfId="0" applyNumberFormat="1" applyFont="1" applyFill="1" applyBorder="1" applyAlignment="1">
      <alignment horizontal="center" vertical="center" wrapText="1"/>
    </xf>
    <xf numFmtId="1" fontId="65" fillId="0" borderId="4" xfId="2866" applyNumberFormat="1" applyFont="1" applyFill="1" applyBorder="1" applyAlignment="1">
      <alignment horizontal="center" vertical="center" wrapText="1"/>
    </xf>
    <xf numFmtId="0" fontId="26" fillId="0" borderId="4" xfId="0" applyFont="1" applyFill="1" applyBorder="1" applyAlignment="1">
      <alignment horizontal="center" vertical="center" wrapText="1"/>
    </xf>
    <xf numFmtId="0" fontId="62" fillId="0" borderId="0" xfId="0" applyFont="1" applyFill="1" applyBorder="1" applyAlignment="1">
      <alignment vertical="top" wrapText="1"/>
    </xf>
    <xf numFmtId="0" fontId="26" fillId="0" borderId="0" xfId="0" applyFont="1" applyFill="1" applyBorder="1" applyAlignment="1">
      <alignment horizontal="center" vertical="center" wrapText="1"/>
    </xf>
    <xf numFmtId="4" fontId="108" fillId="0" borderId="1" xfId="0" applyNumberFormat="1" applyFont="1" applyFill="1" applyBorder="1" applyAlignment="1">
      <alignment horizontal="center" vertical="center" wrapText="1"/>
    </xf>
    <xf numFmtId="170" fontId="66" fillId="0" borderId="1" xfId="3" applyNumberFormat="1" applyFont="1" applyFill="1" applyBorder="1" applyAlignment="1">
      <alignment horizontal="center" vertical="center"/>
    </xf>
    <xf numFmtId="9" fontId="109" fillId="0" borderId="1" xfId="24" applyFont="1" applyFill="1" applyBorder="1" applyAlignment="1">
      <alignment horizontal="center" vertical="center"/>
    </xf>
    <xf numFmtId="10" fontId="109" fillId="0" borderId="1" xfId="24" applyNumberFormat="1" applyFont="1" applyFill="1" applyBorder="1" applyAlignment="1">
      <alignment horizontal="center" vertical="center" wrapText="1"/>
    </xf>
    <xf numFmtId="10" fontId="110" fillId="0" borderId="1" xfId="24" applyNumberFormat="1" applyFont="1" applyFill="1" applyBorder="1" applyAlignment="1">
      <alignment horizontal="center" vertical="center" wrapText="1"/>
    </xf>
    <xf numFmtId="175" fontId="66" fillId="0" borderId="1" xfId="3" applyNumberFormat="1" applyFont="1" applyFill="1" applyBorder="1" applyAlignment="1">
      <alignment horizontal="center" vertical="center"/>
    </xf>
    <xf numFmtId="184" fontId="65" fillId="0" borderId="4" xfId="0" applyNumberFormat="1" applyFont="1" applyFill="1" applyBorder="1" applyAlignment="1">
      <alignment horizontal="center" vertical="center" wrapText="1"/>
    </xf>
    <xf numFmtId="4" fontId="108" fillId="0" borderId="4" xfId="0" applyNumberFormat="1" applyFont="1" applyFill="1" applyBorder="1" applyAlignment="1">
      <alignment horizontal="center" vertical="center" wrapText="1"/>
    </xf>
    <xf numFmtId="9" fontId="109" fillId="0" borderId="4" xfId="24" applyFont="1" applyFill="1" applyBorder="1" applyAlignment="1">
      <alignment horizontal="center" vertical="center"/>
    </xf>
    <xf numFmtId="10" fontId="109" fillId="0" borderId="4" xfId="24" applyNumberFormat="1" applyFont="1" applyFill="1" applyBorder="1" applyAlignment="1">
      <alignment horizontal="center" vertical="center" wrapText="1"/>
    </xf>
    <xf numFmtId="10" fontId="110" fillId="0" borderId="4" xfId="24" applyNumberFormat="1" applyFont="1" applyFill="1" applyBorder="1" applyAlignment="1">
      <alignment horizontal="center" vertical="center" wrapText="1"/>
    </xf>
    <xf numFmtId="0" fontId="5" fillId="17" borderId="20" xfId="0" applyFont="1" applyFill="1" applyBorder="1" applyAlignment="1">
      <alignment vertical="center" wrapText="1"/>
    </xf>
    <xf numFmtId="0" fontId="5" fillId="17" borderId="2" xfId="0" applyFont="1" applyFill="1" applyBorder="1" applyAlignment="1">
      <alignment vertical="center" wrapText="1"/>
    </xf>
    <xf numFmtId="0" fontId="5" fillId="18" borderId="2" xfId="0" applyFont="1" applyFill="1" applyBorder="1" applyAlignment="1">
      <alignment vertical="center" wrapText="1"/>
    </xf>
    <xf numFmtId="0" fontId="5" fillId="18" borderId="2" xfId="0" applyFont="1" applyFill="1" applyBorder="1" applyAlignment="1">
      <alignment horizontal="center" vertical="center" wrapText="1"/>
    </xf>
    <xf numFmtId="0" fontId="5" fillId="23" borderId="2" xfId="0" applyFont="1" applyFill="1" applyBorder="1" applyAlignment="1">
      <alignment horizontal="center" vertical="center" wrapText="1"/>
    </xf>
    <xf numFmtId="0" fontId="5" fillId="17" borderId="2" xfId="0" applyFont="1" applyFill="1" applyBorder="1" applyAlignment="1">
      <alignment horizontal="center" vertical="center" wrapText="1"/>
    </xf>
    <xf numFmtId="0" fontId="11" fillId="22" borderId="2" xfId="0" applyFont="1" applyFill="1" applyBorder="1" applyAlignment="1">
      <alignment horizontal="center" vertical="center" wrapText="1"/>
    </xf>
    <xf numFmtId="0" fontId="11" fillId="21" borderId="2" xfId="0" applyFont="1" applyFill="1" applyBorder="1" applyAlignment="1">
      <alignment horizontal="center" vertical="center" wrapText="1"/>
    </xf>
    <xf numFmtId="0" fontId="11" fillId="23" borderId="2" xfId="0" applyFont="1" applyFill="1" applyBorder="1" applyAlignment="1">
      <alignment horizontal="center" vertical="center" wrapText="1"/>
    </xf>
    <xf numFmtId="0" fontId="10" fillId="18" borderId="2" xfId="0" applyFont="1" applyFill="1" applyBorder="1" applyAlignment="1">
      <alignment horizontal="center" vertical="center" wrapText="1"/>
    </xf>
    <xf numFmtId="0" fontId="11" fillId="22" borderId="2" xfId="0" applyFont="1" applyFill="1" applyBorder="1" applyAlignment="1">
      <alignment horizontal="center" vertical="center" wrapText="1"/>
    </xf>
    <xf numFmtId="0" fontId="10" fillId="24" borderId="2" xfId="0" applyFont="1" applyFill="1" applyBorder="1" applyAlignment="1">
      <alignment horizontal="center" vertical="center" wrapText="1"/>
    </xf>
    <xf numFmtId="0" fontId="11" fillId="17" borderId="19"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3" xfId="0" applyFont="1" applyFill="1" applyBorder="1" applyAlignment="1">
      <alignment horizontal="left" vertical="center"/>
    </xf>
    <xf numFmtId="0" fontId="7" fillId="0" borderId="3" xfId="0" applyFont="1" applyFill="1" applyBorder="1" applyAlignment="1">
      <alignment horizontal="left" vertical="top" wrapText="1"/>
    </xf>
    <xf numFmtId="0" fontId="7" fillId="0" borderId="3" xfId="0" applyFont="1" applyFill="1" applyBorder="1" applyAlignment="1">
      <alignment horizontal="center" vertical="top" wrapText="1"/>
    </xf>
    <xf numFmtId="0" fontId="7" fillId="0" borderId="3" xfId="0" applyFont="1" applyFill="1" applyBorder="1" applyAlignment="1">
      <alignment horizontal="center" vertical="center"/>
    </xf>
    <xf numFmtId="175" fontId="7" fillId="0" borderId="3" xfId="5" applyNumberFormat="1" applyFont="1" applyFill="1" applyBorder="1" applyAlignment="1">
      <alignment vertical="center"/>
    </xf>
    <xf numFmtId="170" fontId="7" fillId="0" borderId="3" xfId="5" applyNumberFormat="1" applyFont="1" applyFill="1" applyBorder="1" applyAlignment="1">
      <alignment horizontal="center" vertical="center"/>
    </xf>
    <xf numFmtId="170" fontId="7" fillId="0" borderId="3" xfId="5" applyFont="1" applyFill="1" applyBorder="1" applyAlignment="1">
      <alignment horizontal="left" vertical="center"/>
    </xf>
    <xf numFmtId="170" fontId="7" fillId="0" borderId="3" xfId="3" applyNumberFormat="1" applyFont="1" applyFill="1" applyBorder="1" applyAlignment="1">
      <alignment horizontal="center" vertical="center"/>
    </xf>
    <xf numFmtId="2" fontId="7" fillId="0" borderId="3" xfId="5" applyNumberFormat="1" applyFont="1" applyFill="1" applyBorder="1" applyAlignment="1">
      <alignment horizontal="center" vertical="center"/>
    </xf>
    <xf numFmtId="9" fontId="7" fillId="0" borderId="3" xfId="21" applyFont="1" applyFill="1" applyBorder="1" applyAlignment="1">
      <alignment horizontal="center" vertical="center"/>
    </xf>
    <xf numFmtId="170" fontId="7" fillId="0" borderId="3" xfId="5" applyFont="1" applyFill="1" applyBorder="1" applyAlignment="1">
      <alignment horizontal="center" vertical="center"/>
    </xf>
    <xf numFmtId="178" fontId="65" fillId="0" borderId="3" xfId="3" applyNumberFormat="1" applyFont="1" applyFill="1" applyBorder="1" applyAlignment="1">
      <alignment horizontal="center" vertical="center"/>
    </xf>
    <xf numFmtId="178" fontId="66" fillId="0" borderId="3" xfId="3" applyNumberFormat="1" applyFont="1" applyFill="1" applyBorder="1" applyAlignment="1">
      <alignment horizontal="center" vertical="center"/>
    </xf>
    <xf numFmtId="170" fontId="7" fillId="0" borderId="3" xfId="3" applyNumberFormat="1" applyFont="1" applyFill="1" applyBorder="1" applyAlignment="1">
      <alignment vertical="center"/>
    </xf>
    <xf numFmtId="4" fontId="65" fillId="0" borderId="3" xfId="0" applyNumberFormat="1" applyFont="1" applyFill="1" applyBorder="1" applyAlignment="1">
      <alignment horizontal="center" vertical="center" wrapText="1"/>
    </xf>
    <xf numFmtId="4" fontId="108" fillId="0" borderId="3" xfId="0" applyNumberFormat="1" applyFont="1" applyFill="1" applyBorder="1" applyAlignment="1">
      <alignment horizontal="center" vertical="center" wrapText="1"/>
    </xf>
    <xf numFmtId="170" fontId="66" fillId="0" borderId="3" xfId="3" applyNumberFormat="1" applyFont="1" applyFill="1" applyBorder="1" applyAlignment="1">
      <alignment horizontal="center" vertical="center"/>
    </xf>
    <xf numFmtId="184" fontId="65" fillId="0" borderId="3" xfId="0" applyNumberFormat="1" applyFont="1" applyFill="1" applyBorder="1" applyAlignment="1">
      <alignment horizontal="center" vertical="center" wrapText="1"/>
    </xf>
    <xf numFmtId="170" fontId="66" fillId="0" borderId="3" xfId="3" applyFont="1" applyFill="1" applyBorder="1" applyAlignment="1">
      <alignment horizontal="center" vertical="center"/>
    </xf>
    <xf numFmtId="3" fontId="65" fillId="0" borderId="3" xfId="0" applyNumberFormat="1" applyFont="1" applyFill="1" applyBorder="1" applyAlignment="1">
      <alignment horizontal="center" vertical="center" wrapText="1"/>
    </xf>
    <xf numFmtId="9" fontId="109" fillId="0" borderId="3" xfId="24" applyFont="1" applyFill="1" applyBorder="1" applyAlignment="1">
      <alignment horizontal="center" vertical="center"/>
    </xf>
    <xf numFmtId="10" fontId="109" fillId="0" borderId="3" xfId="24" applyNumberFormat="1" applyFont="1" applyFill="1" applyBorder="1" applyAlignment="1">
      <alignment horizontal="center" vertical="center" wrapText="1"/>
    </xf>
    <xf numFmtId="10" fontId="110" fillId="0" borderId="3" xfId="24" applyNumberFormat="1" applyFont="1" applyFill="1" applyBorder="1" applyAlignment="1">
      <alignment horizontal="center" vertical="center" wrapText="1"/>
    </xf>
    <xf numFmtId="0" fontId="26" fillId="0" borderId="3" xfId="0" applyFont="1" applyFill="1" applyBorder="1" applyAlignment="1">
      <alignment horizontal="justify" vertical="top" wrapText="1"/>
    </xf>
    <xf numFmtId="0" fontId="26" fillId="0" borderId="3" xfId="0" applyFont="1" applyFill="1" applyBorder="1" applyAlignment="1">
      <alignment horizontal="center" vertical="center" wrapText="1"/>
    </xf>
    <xf numFmtId="0" fontId="3" fillId="0" borderId="3" xfId="0" applyFont="1" applyFill="1" applyBorder="1" applyAlignment="1">
      <alignment horizontal="justify" vertical="center" wrapText="1"/>
    </xf>
    <xf numFmtId="0" fontId="3" fillId="0" borderId="10" xfId="0" applyFont="1" applyFill="1" applyBorder="1" applyAlignment="1">
      <alignment horizontal="justify" vertical="center" wrapText="1"/>
    </xf>
  </cellXfs>
  <cellStyles count="2869">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3" xfId="74" xr:uid="{00000000-0005-0000-0000-000030000000}"/>
    <cellStyle name="Comma [0] 3" xfId="75" xr:uid="{00000000-0005-0000-0000-000031000000}"/>
    <cellStyle name="Comma 2" xfId="76" xr:uid="{00000000-0005-0000-0000-000032000000}"/>
    <cellStyle name="Comma 2 2" xfId="77" xr:uid="{00000000-0005-0000-0000-000033000000}"/>
    <cellStyle name="Comma 2 2 2" xfId="78" xr:uid="{00000000-0005-0000-0000-000034000000}"/>
    <cellStyle name="Comma 2 3" xfId="79" xr:uid="{00000000-0005-0000-0000-000035000000}"/>
    <cellStyle name="Comma 3" xfId="80" xr:uid="{00000000-0005-0000-0000-000036000000}"/>
    <cellStyle name="Comma 4" xfId="81" xr:uid="{00000000-0005-0000-0000-000037000000}"/>
    <cellStyle name="Comma 5" xfId="82" xr:uid="{00000000-0005-0000-0000-000038000000}"/>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MainTitle" xfId="202" xr:uid="{00000000-0005-0000-0000-0000B0000000}"/>
    <cellStyle name="MainTitle 2" xfId="203" xr:uid="{00000000-0005-0000-0000-0000B1000000}"/>
    <cellStyle name="MainTitle 2 2" xfId="204" xr:uid="{00000000-0005-0000-0000-0000B2000000}"/>
    <cellStyle name="MainTitle 2 3" xfId="205" xr:uid="{00000000-0005-0000-0000-0000B3000000}"/>
    <cellStyle name="MainTitle 2 4" xfId="206" xr:uid="{00000000-0005-0000-0000-0000B4000000}"/>
    <cellStyle name="MainTitle 3" xfId="207" xr:uid="{00000000-0005-0000-0000-0000B5000000}"/>
    <cellStyle name="MainTitle 4" xfId="208" xr:uid="{00000000-0005-0000-0000-0000B6000000}"/>
    <cellStyle name="MainTitle 5" xfId="209" xr:uid="{00000000-0005-0000-0000-0000B7000000}"/>
    <cellStyle name="Millares" xfId="3" builtinId="3"/>
    <cellStyle name="Millares [0]" xfId="2868" builtinId="6"/>
    <cellStyle name="Millares 10" xfId="210" xr:uid="{00000000-0005-0000-0000-0000BA000000}"/>
    <cellStyle name="Millares 10 2" xfId="211" xr:uid="{00000000-0005-0000-0000-0000BB000000}"/>
    <cellStyle name="Millares 2" xfId="4" xr:uid="{00000000-0005-0000-0000-0000BC000000}"/>
    <cellStyle name="Millares 2 2" xfId="5" xr:uid="{00000000-0005-0000-0000-0000BD000000}"/>
    <cellStyle name="Millares 2 2 2" xfId="212" xr:uid="{00000000-0005-0000-0000-0000BE000000}"/>
    <cellStyle name="Millares 2 3" xfId="213" xr:uid="{00000000-0005-0000-0000-0000BF000000}"/>
    <cellStyle name="Millares 2 3 2" xfId="214" xr:uid="{00000000-0005-0000-0000-0000C0000000}"/>
    <cellStyle name="Millares 2 3 2 2" xfId="215" xr:uid="{00000000-0005-0000-0000-0000C1000000}"/>
    <cellStyle name="Millares 2 3 3" xfId="216" xr:uid="{00000000-0005-0000-0000-0000C2000000}"/>
    <cellStyle name="Millares 2 3 4" xfId="217" xr:uid="{00000000-0005-0000-0000-0000C3000000}"/>
    <cellStyle name="Millares 2 4" xfId="218" xr:uid="{00000000-0005-0000-0000-0000C4000000}"/>
    <cellStyle name="Millares 2 4 2" xfId="219" xr:uid="{00000000-0005-0000-0000-0000C5000000}"/>
    <cellStyle name="Millares 2 4 3" xfId="220" xr:uid="{00000000-0005-0000-0000-0000C6000000}"/>
    <cellStyle name="Millares 2 5" xfId="221" xr:uid="{00000000-0005-0000-0000-0000C7000000}"/>
    <cellStyle name="Millares 2 5 2" xfId="222" xr:uid="{00000000-0005-0000-0000-0000C8000000}"/>
    <cellStyle name="Millares 2 6" xfId="223" xr:uid="{00000000-0005-0000-0000-0000C9000000}"/>
    <cellStyle name="Millares 2 6 2" xfId="224" xr:uid="{00000000-0005-0000-0000-0000CA000000}"/>
    <cellStyle name="Millares 3" xfId="6" xr:uid="{00000000-0005-0000-0000-0000CB000000}"/>
    <cellStyle name="Millares 3 2" xfId="7" xr:uid="{00000000-0005-0000-0000-0000CC000000}"/>
    <cellStyle name="Millares 3 3" xfId="225" xr:uid="{00000000-0005-0000-0000-0000CD000000}"/>
    <cellStyle name="Millares 3 3 2" xfId="226" xr:uid="{00000000-0005-0000-0000-0000CE000000}"/>
    <cellStyle name="Millares 3 4" xfId="227" xr:uid="{00000000-0005-0000-0000-0000CF000000}"/>
    <cellStyle name="Millares 4" xfId="8" xr:uid="{00000000-0005-0000-0000-0000D0000000}"/>
    <cellStyle name="Millares 4 2" xfId="228" xr:uid="{00000000-0005-0000-0000-0000D1000000}"/>
    <cellStyle name="Millares 5" xfId="229" xr:uid="{00000000-0005-0000-0000-0000D2000000}"/>
    <cellStyle name="Millares 5 2" xfId="230" xr:uid="{00000000-0005-0000-0000-0000D3000000}"/>
    <cellStyle name="Millares 5 3" xfId="231" xr:uid="{00000000-0005-0000-0000-0000D4000000}"/>
    <cellStyle name="Millares 5 4" xfId="232" xr:uid="{00000000-0005-0000-0000-0000D5000000}"/>
    <cellStyle name="Millares 5 5" xfId="233" xr:uid="{00000000-0005-0000-0000-0000D6000000}"/>
    <cellStyle name="Millares 6" xfId="234" xr:uid="{00000000-0005-0000-0000-0000D7000000}"/>
    <cellStyle name="Millares 6 2" xfId="235" xr:uid="{00000000-0005-0000-0000-0000D8000000}"/>
    <cellStyle name="Millares 6 2 2" xfId="236" xr:uid="{00000000-0005-0000-0000-0000D9000000}"/>
    <cellStyle name="Millares 6 3" xfId="237" xr:uid="{00000000-0005-0000-0000-0000DA000000}"/>
    <cellStyle name="Millares 6 3 2" xfId="238" xr:uid="{00000000-0005-0000-0000-0000DB000000}"/>
    <cellStyle name="Millares 6 4" xfId="239" xr:uid="{00000000-0005-0000-0000-0000DC000000}"/>
    <cellStyle name="Millares 7" xfId="240" xr:uid="{00000000-0005-0000-0000-0000DD000000}"/>
    <cellStyle name="Millares 7 2" xfId="241" xr:uid="{00000000-0005-0000-0000-0000DE000000}"/>
    <cellStyle name="Millares 8" xfId="242" xr:uid="{00000000-0005-0000-0000-0000DF000000}"/>
    <cellStyle name="Millares 8 2" xfId="243" xr:uid="{00000000-0005-0000-0000-0000E0000000}"/>
    <cellStyle name="Millares 9" xfId="244" xr:uid="{00000000-0005-0000-0000-0000E1000000}"/>
    <cellStyle name="Millares 9 2" xfId="245" xr:uid="{00000000-0005-0000-0000-0000E2000000}"/>
    <cellStyle name="Moneda" xfId="9" builtinId="4"/>
    <cellStyle name="Moneda [0]" xfId="2866" builtinId="7"/>
    <cellStyle name="Moneda [0] 2" xfId="247" xr:uid="{00000000-0005-0000-0000-0000E5000000}"/>
    <cellStyle name="Moneda [0] 2 2" xfId="248" xr:uid="{00000000-0005-0000-0000-0000E6000000}"/>
    <cellStyle name="Moneda [0] 2 2 2" xfId="249" xr:uid="{00000000-0005-0000-0000-0000E7000000}"/>
    <cellStyle name="Moneda [0] 2 2 2 2" xfId="250" xr:uid="{00000000-0005-0000-0000-0000E8000000}"/>
    <cellStyle name="Moneda [0] 2 2 3" xfId="251" xr:uid="{00000000-0005-0000-0000-0000E9000000}"/>
    <cellStyle name="Moneda [0] 2 2 4" xfId="252" xr:uid="{00000000-0005-0000-0000-0000EA000000}"/>
    <cellStyle name="Moneda [0] 2 3" xfId="253" xr:uid="{00000000-0005-0000-0000-0000EB000000}"/>
    <cellStyle name="Moneda [0] 2 3 2" xfId="254" xr:uid="{00000000-0005-0000-0000-0000EC000000}"/>
    <cellStyle name="Moneda [0] 2 4" xfId="255" xr:uid="{00000000-0005-0000-0000-0000ED000000}"/>
    <cellStyle name="Moneda [0] 2 5" xfId="256" xr:uid="{00000000-0005-0000-0000-0000EE000000}"/>
    <cellStyle name="Moneda [0] 3" xfId="257" xr:uid="{00000000-0005-0000-0000-0000EF000000}"/>
    <cellStyle name="Moneda [0] 3 2" xfId="258" xr:uid="{00000000-0005-0000-0000-0000F0000000}"/>
    <cellStyle name="Moneda [0] 3 2 2" xfId="259" xr:uid="{00000000-0005-0000-0000-0000F1000000}"/>
    <cellStyle name="Moneda [0] 3 2 2 2" xfId="260" xr:uid="{00000000-0005-0000-0000-0000F2000000}"/>
    <cellStyle name="Moneda [0] 3 2 3" xfId="261" xr:uid="{00000000-0005-0000-0000-0000F3000000}"/>
    <cellStyle name="Moneda [0] 3 2 3 2" xfId="262" xr:uid="{00000000-0005-0000-0000-0000F4000000}"/>
    <cellStyle name="Moneda [0] 3 2 4" xfId="263" xr:uid="{00000000-0005-0000-0000-0000F5000000}"/>
    <cellStyle name="Moneda [0] 3 2 4 2" xfId="264" xr:uid="{00000000-0005-0000-0000-0000F6000000}"/>
    <cellStyle name="Moneda [0] 3 2 5" xfId="265" xr:uid="{00000000-0005-0000-0000-0000F7000000}"/>
    <cellStyle name="Moneda [0] 3 3" xfId="266" xr:uid="{00000000-0005-0000-0000-0000F8000000}"/>
    <cellStyle name="Moneda [0] 3 3 2" xfId="267" xr:uid="{00000000-0005-0000-0000-0000F9000000}"/>
    <cellStyle name="Moneda [0] 3 4" xfId="268" xr:uid="{00000000-0005-0000-0000-0000FA000000}"/>
    <cellStyle name="Moneda [0] 3 4 2" xfId="269" xr:uid="{00000000-0005-0000-0000-0000FB000000}"/>
    <cellStyle name="Moneda [0] 3 5" xfId="270" xr:uid="{00000000-0005-0000-0000-0000FC000000}"/>
    <cellStyle name="Moneda [0] 3 5 2" xfId="271" xr:uid="{00000000-0005-0000-0000-0000FD000000}"/>
    <cellStyle name="Moneda [0] 3 6" xfId="272" xr:uid="{00000000-0005-0000-0000-0000FE000000}"/>
    <cellStyle name="Moneda [0] 3 7" xfId="273" xr:uid="{00000000-0005-0000-0000-0000FF000000}"/>
    <cellStyle name="Moneda [0] 4" xfId="274" xr:uid="{00000000-0005-0000-0000-000000010000}"/>
    <cellStyle name="Moneda [0] 4 2" xfId="275" xr:uid="{00000000-0005-0000-0000-000001010000}"/>
    <cellStyle name="Moneda [0] 4 2 2" xfId="276" xr:uid="{00000000-0005-0000-0000-000002010000}"/>
    <cellStyle name="Moneda [0] 4 3" xfId="277" xr:uid="{00000000-0005-0000-0000-000003010000}"/>
    <cellStyle name="Moneda [0] 4 3 2" xfId="278" xr:uid="{00000000-0005-0000-0000-000004010000}"/>
    <cellStyle name="Moneda [0] 4 4" xfId="279" xr:uid="{00000000-0005-0000-0000-000005010000}"/>
    <cellStyle name="Moneda [0] 4 4 2" xfId="280" xr:uid="{00000000-0005-0000-0000-000006010000}"/>
    <cellStyle name="Moneda [0] 4 5" xfId="281" xr:uid="{00000000-0005-0000-0000-000007010000}"/>
    <cellStyle name="Moneda [0] 5" xfId="282" xr:uid="{00000000-0005-0000-0000-000008010000}"/>
    <cellStyle name="Moneda [0] 5 2" xfId="283" xr:uid="{00000000-0005-0000-0000-000009010000}"/>
    <cellStyle name="Moneda [0] 5 2 2" xfId="284" xr:uid="{00000000-0005-0000-0000-00000A010000}"/>
    <cellStyle name="Moneda [0] 5 3" xfId="285" xr:uid="{00000000-0005-0000-0000-00000B010000}"/>
    <cellStyle name="Moneda [0] 5 3 2" xfId="286" xr:uid="{00000000-0005-0000-0000-00000C010000}"/>
    <cellStyle name="Moneda [0] 5 4" xfId="287" xr:uid="{00000000-0005-0000-0000-00000D010000}"/>
    <cellStyle name="Moneda [0] 5 4 2" xfId="288" xr:uid="{00000000-0005-0000-0000-00000E010000}"/>
    <cellStyle name="Moneda [0] 5 5" xfId="289" xr:uid="{00000000-0005-0000-0000-00000F010000}"/>
    <cellStyle name="Moneda [0] 6" xfId="290" xr:uid="{00000000-0005-0000-0000-000010010000}"/>
    <cellStyle name="Moneda [0] 6 2" xfId="291" xr:uid="{00000000-0005-0000-0000-000011010000}"/>
    <cellStyle name="Moneda [0] 7" xfId="292" xr:uid="{00000000-0005-0000-0000-000012010000}"/>
    <cellStyle name="Moneda [0] 7 2" xfId="293" xr:uid="{00000000-0005-0000-0000-000013010000}"/>
    <cellStyle name="Moneda [0] 8" xfId="294" xr:uid="{00000000-0005-0000-0000-000014010000}"/>
    <cellStyle name="Moneda [0] 8 2" xfId="295" xr:uid="{00000000-0005-0000-0000-000015010000}"/>
    <cellStyle name="Moneda [0] 9" xfId="296" xr:uid="{00000000-0005-0000-0000-000016010000}"/>
    <cellStyle name="Moneda [0] 9 2" xfId="297" xr:uid="{00000000-0005-0000-0000-000017010000}"/>
    <cellStyle name="Moneda 10" xfId="298" xr:uid="{00000000-0005-0000-0000-000018010000}"/>
    <cellStyle name="Moneda 10 10" xfId="299" xr:uid="{00000000-0005-0000-0000-000019010000}"/>
    <cellStyle name="Moneda 10 11" xfId="300" xr:uid="{00000000-0005-0000-0000-00001A010000}"/>
    <cellStyle name="Moneda 10 2" xfId="301" xr:uid="{00000000-0005-0000-0000-00001B010000}"/>
    <cellStyle name="Moneda 10 2 2" xfId="302" xr:uid="{00000000-0005-0000-0000-00001C010000}"/>
    <cellStyle name="Moneda 10 2 2 2" xfId="303" xr:uid="{00000000-0005-0000-0000-00001D010000}"/>
    <cellStyle name="Moneda 10 2 2 2 2" xfId="304" xr:uid="{00000000-0005-0000-0000-00001E010000}"/>
    <cellStyle name="Moneda 10 2 2 2 2 2" xfId="305" xr:uid="{00000000-0005-0000-0000-00001F010000}"/>
    <cellStyle name="Moneda 10 2 2 2 3" xfId="306" xr:uid="{00000000-0005-0000-0000-000020010000}"/>
    <cellStyle name="Moneda 10 2 2 2 3 2" xfId="307" xr:uid="{00000000-0005-0000-0000-000021010000}"/>
    <cellStyle name="Moneda 10 2 2 2 4" xfId="308" xr:uid="{00000000-0005-0000-0000-000022010000}"/>
    <cellStyle name="Moneda 10 2 2 2 4 2" xfId="309" xr:uid="{00000000-0005-0000-0000-000023010000}"/>
    <cellStyle name="Moneda 10 2 2 2 5" xfId="310" xr:uid="{00000000-0005-0000-0000-000024010000}"/>
    <cellStyle name="Moneda 10 2 2 3" xfId="311" xr:uid="{00000000-0005-0000-0000-000025010000}"/>
    <cellStyle name="Moneda 10 2 2 3 2" xfId="312" xr:uid="{00000000-0005-0000-0000-000026010000}"/>
    <cellStyle name="Moneda 10 2 2 4" xfId="313" xr:uid="{00000000-0005-0000-0000-000027010000}"/>
    <cellStyle name="Moneda 10 2 2 4 2" xfId="314" xr:uid="{00000000-0005-0000-0000-000028010000}"/>
    <cellStyle name="Moneda 10 2 2 5" xfId="315" xr:uid="{00000000-0005-0000-0000-000029010000}"/>
    <cellStyle name="Moneda 10 2 2 5 2" xfId="316" xr:uid="{00000000-0005-0000-0000-00002A010000}"/>
    <cellStyle name="Moneda 10 2 2 6" xfId="317" xr:uid="{00000000-0005-0000-0000-00002B010000}"/>
    <cellStyle name="Moneda 10 2 3" xfId="318" xr:uid="{00000000-0005-0000-0000-00002C010000}"/>
    <cellStyle name="Moneda 10 2 3 2" xfId="319" xr:uid="{00000000-0005-0000-0000-00002D010000}"/>
    <cellStyle name="Moneda 10 2 3 2 2" xfId="320" xr:uid="{00000000-0005-0000-0000-00002E010000}"/>
    <cellStyle name="Moneda 10 2 3 3" xfId="321" xr:uid="{00000000-0005-0000-0000-00002F010000}"/>
    <cellStyle name="Moneda 10 2 3 3 2" xfId="322" xr:uid="{00000000-0005-0000-0000-000030010000}"/>
    <cellStyle name="Moneda 10 2 3 4" xfId="323" xr:uid="{00000000-0005-0000-0000-000031010000}"/>
    <cellStyle name="Moneda 10 2 3 4 2" xfId="324" xr:uid="{00000000-0005-0000-0000-000032010000}"/>
    <cellStyle name="Moneda 10 2 3 5" xfId="325" xr:uid="{00000000-0005-0000-0000-000033010000}"/>
    <cellStyle name="Moneda 10 2 4" xfId="326" xr:uid="{00000000-0005-0000-0000-000034010000}"/>
    <cellStyle name="Moneda 10 2 4 2" xfId="327" xr:uid="{00000000-0005-0000-0000-000035010000}"/>
    <cellStyle name="Moneda 10 2 5" xfId="328" xr:uid="{00000000-0005-0000-0000-000036010000}"/>
    <cellStyle name="Moneda 10 2 5 2" xfId="329" xr:uid="{00000000-0005-0000-0000-000037010000}"/>
    <cellStyle name="Moneda 10 2 6" xfId="330" xr:uid="{00000000-0005-0000-0000-000038010000}"/>
    <cellStyle name="Moneda 10 2 6 2" xfId="331" xr:uid="{00000000-0005-0000-0000-000039010000}"/>
    <cellStyle name="Moneda 10 2 7" xfId="332" xr:uid="{00000000-0005-0000-0000-00003A010000}"/>
    <cellStyle name="Moneda 10 2 8" xfId="333" xr:uid="{00000000-0005-0000-0000-00003B010000}"/>
    <cellStyle name="Moneda 10 3" xfId="334" xr:uid="{00000000-0005-0000-0000-00003C010000}"/>
    <cellStyle name="Moneda 10 3 2" xfId="335" xr:uid="{00000000-0005-0000-0000-00003D010000}"/>
    <cellStyle name="Moneda 10 3 2 2" xfId="336" xr:uid="{00000000-0005-0000-0000-00003E010000}"/>
    <cellStyle name="Moneda 10 3 2 2 2" xfId="337" xr:uid="{00000000-0005-0000-0000-00003F010000}"/>
    <cellStyle name="Moneda 10 3 2 2 2 2" xfId="338" xr:uid="{00000000-0005-0000-0000-000040010000}"/>
    <cellStyle name="Moneda 10 3 2 2 3" xfId="339" xr:uid="{00000000-0005-0000-0000-000041010000}"/>
    <cellStyle name="Moneda 10 3 2 2 3 2" xfId="340" xr:uid="{00000000-0005-0000-0000-000042010000}"/>
    <cellStyle name="Moneda 10 3 2 2 4" xfId="341" xr:uid="{00000000-0005-0000-0000-000043010000}"/>
    <cellStyle name="Moneda 10 3 2 2 4 2" xfId="342" xr:uid="{00000000-0005-0000-0000-000044010000}"/>
    <cellStyle name="Moneda 10 3 2 2 5" xfId="343" xr:uid="{00000000-0005-0000-0000-000045010000}"/>
    <cellStyle name="Moneda 10 3 2 3" xfId="344" xr:uid="{00000000-0005-0000-0000-000046010000}"/>
    <cellStyle name="Moneda 10 3 2 3 2" xfId="345" xr:uid="{00000000-0005-0000-0000-000047010000}"/>
    <cellStyle name="Moneda 10 3 2 4" xfId="346" xr:uid="{00000000-0005-0000-0000-000048010000}"/>
    <cellStyle name="Moneda 10 3 2 4 2" xfId="347" xr:uid="{00000000-0005-0000-0000-000049010000}"/>
    <cellStyle name="Moneda 10 3 2 5" xfId="348" xr:uid="{00000000-0005-0000-0000-00004A010000}"/>
    <cellStyle name="Moneda 10 3 2 5 2" xfId="349" xr:uid="{00000000-0005-0000-0000-00004B010000}"/>
    <cellStyle name="Moneda 10 3 2 6" xfId="350" xr:uid="{00000000-0005-0000-0000-00004C010000}"/>
    <cellStyle name="Moneda 10 3 3" xfId="351" xr:uid="{00000000-0005-0000-0000-00004D010000}"/>
    <cellStyle name="Moneda 10 3 3 2" xfId="352" xr:uid="{00000000-0005-0000-0000-00004E010000}"/>
    <cellStyle name="Moneda 10 3 3 2 2" xfId="353" xr:uid="{00000000-0005-0000-0000-00004F010000}"/>
    <cellStyle name="Moneda 10 3 3 3" xfId="354" xr:uid="{00000000-0005-0000-0000-000050010000}"/>
    <cellStyle name="Moneda 10 3 3 3 2" xfId="355" xr:uid="{00000000-0005-0000-0000-000051010000}"/>
    <cellStyle name="Moneda 10 3 3 4" xfId="356" xr:uid="{00000000-0005-0000-0000-000052010000}"/>
    <cellStyle name="Moneda 10 3 3 4 2" xfId="357" xr:uid="{00000000-0005-0000-0000-000053010000}"/>
    <cellStyle name="Moneda 10 3 3 5" xfId="358" xr:uid="{00000000-0005-0000-0000-000054010000}"/>
    <cellStyle name="Moneda 10 3 4" xfId="359" xr:uid="{00000000-0005-0000-0000-000055010000}"/>
    <cellStyle name="Moneda 10 3 4 2" xfId="360" xr:uid="{00000000-0005-0000-0000-000056010000}"/>
    <cellStyle name="Moneda 10 3 5" xfId="361" xr:uid="{00000000-0005-0000-0000-000057010000}"/>
    <cellStyle name="Moneda 10 3 5 2" xfId="362" xr:uid="{00000000-0005-0000-0000-000058010000}"/>
    <cellStyle name="Moneda 10 3 6" xfId="363" xr:uid="{00000000-0005-0000-0000-000059010000}"/>
    <cellStyle name="Moneda 10 3 6 2" xfId="364" xr:uid="{00000000-0005-0000-0000-00005A010000}"/>
    <cellStyle name="Moneda 10 3 7" xfId="365" xr:uid="{00000000-0005-0000-0000-00005B010000}"/>
    <cellStyle name="Moneda 10 4" xfId="366" xr:uid="{00000000-0005-0000-0000-00005C010000}"/>
    <cellStyle name="Moneda 10 4 2" xfId="367" xr:uid="{00000000-0005-0000-0000-00005D010000}"/>
    <cellStyle name="Moneda 10 4 2 2" xfId="368" xr:uid="{00000000-0005-0000-0000-00005E010000}"/>
    <cellStyle name="Moneda 10 4 2 2 2" xfId="369" xr:uid="{00000000-0005-0000-0000-00005F010000}"/>
    <cellStyle name="Moneda 10 4 2 2 2 2" xfId="370" xr:uid="{00000000-0005-0000-0000-000060010000}"/>
    <cellStyle name="Moneda 10 4 2 2 3" xfId="371" xr:uid="{00000000-0005-0000-0000-000061010000}"/>
    <cellStyle name="Moneda 10 4 2 2 3 2" xfId="372" xr:uid="{00000000-0005-0000-0000-000062010000}"/>
    <cellStyle name="Moneda 10 4 2 2 4" xfId="373" xr:uid="{00000000-0005-0000-0000-000063010000}"/>
    <cellStyle name="Moneda 10 4 2 2 4 2" xfId="374" xr:uid="{00000000-0005-0000-0000-000064010000}"/>
    <cellStyle name="Moneda 10 4 2 2 5" xfId="375" xr:uid="{00000000-0005-0000-0000-000065010000}"/>
    <cellStyle name="Moneda 10 4 2 3" xfId="376" xr:uid="{00000000-0005-0000-0000-000066010000}"/>
    <cellStyle name="Moneda 10 4 2 3 2" xfId="377" xr:uid="{00000000-0005-0000-0000-000067010000}"/>
    <cellStyle name="Moneda 10 4 2 4" xfId="378" xr:uid="{00000000-0005-0000-0000-000068010000}"/>
    <cellStyle name="Moneda 10 4 2 4 2" xfId="379" xr:uid="{00000000-0005-0000-0000-000069010000}"/>
    <cellStyle name="Moneda 10 4 2 5" xfId="380" xr:uid="{00000000-0005-0000-0000-00006A010000}"/>
    <cellStyle name="Moneda 10 4 2 5 2" xfId="381" xr:uid="{00000000-0005-0000-0000-00006B010000}"/>
    <cellStyle name="Moneda 10 4 2 6" xfId="382" xr:uid="{00000000-0005-0000-0000-00006C010000}"/>
    <cellStyle name="Moneda 10 4 3" xfId="383" xr:uid="{00000000-0005-0000-0000-00006D010000}"/>
    <cellStyle name="Moneda 10 4 3 2" xfId="384" xr:uid="{00000000-0005-0000-0000-00006E010000}"/>
    <cellStyle name="Moneda 10 4 3 2 2" xfId="385" xr:uid="{00000000-0005-0000-0000-00006F010000}"/>
    <cellStyle name="Moneda 10 4 3 3" xfId="386" xr:uid="{00000000-0005-0000-0000-000070010000}"/>
    <cellStyle name="Moneda 10 4 3 3 2" xfId="387" xr:uid="{00000000-0005-0000-0000-000071010000}"/>
    <cellStyle name="Moneda 10 4 3 4" xfId="388" xr:uid="{00000000-0005-0000-0000-000072010000}"/>
    <cellStyle name="Moneda 10 4 3 4 2" xfId="389" xr:uid="{00000000-0005-0000-0000-000073010000}"/>
    <cellStyle name="Moneda 10 4 3 5" xfId="390" xr:uid="{00000000-0005-0000-0000-000074010000}"/>
    <cellStyle name="Moneda 10 4 4" xfId="391" xr:uid="{00000000-0005-0000-0000-000075010000}"/>
    <cellStyle name="Moneda 10 4 4 2" xfId="392" xr:uid="{00000000-0005-0000-0000-000076010000}"/>
    <cellStyle name="Moneda 10 4 5" xfId="393" xr:uid="{00000000-0005-0000-0000-000077010000}"/>
    <cellStyle name="Moneda 10 4 5 2" xfId="394" xr:uid="{00000000-0005-0000-0000-000078010000}"/>
    <cellStyle name="Moneda 10 4 6" xfId="395" xr:uid="{00000000-0005-0000-0000-000079010000}"/>
    <cellStyle name="Moneda 10 4 6 2" xfId="396" xr:uid="{00000000-0005-0000-0000-00007A010000}"/>
    <cellStyle name="Moneda 10 4 7" xfId="397" xr:uid="{00000000-0005-0000-0000-00007B010000}"/>
    <cellStyle name="Moneda 10 5" xfId="398" xr:uid="{00000000-0005-0000-0000-00007C010000}"/>
    <cellStyle name="Moneda 10 5 2" xfId="399" xr:uid="{00000000-0005-0000-0000-00007D010000}"/>
    <cellStyle name="Moneda 10 5 2 2" xfId="400" xr:uid="{00000000-0005-0000-0000-00007E010000}"/>
    <cellStyle name="Moneda 10 5 2 2 2" xfId="401" xr:uid="{00000000-0005-0000-0000-00007F010000}"/>
    <cellStyle name="Moneda 10 5 2 3" xfId="402" xr:uid="{00000000-0005-0000-0000-000080010000}"/>
    <cellStyle name="Moneda 10 5 2 3 2" xfId="403" xr:uid="{00000000-0005-0000-0000-000081010000}"/>
    <cellStyle name="Moneda 10 5 2 4" xfId="404" xr:uid="{00000000-0005-0000-0000-000082010000}"/>
    <cellStyle name="Moneda 10 5 2 4 2" xfId="405" xr:uid="{00000000-0005-0000-0000-000083010000}"/>
    <cellStyle name="Moneda 10 5 2 5" xfId="406" xr:uid="{00000000-0005-0000-0000-000084010000}"/>
    <cellStyle name="Moneda 10 5 3" xfId="407" xr:uid="{00000000-0005-0000-0000-000085010000}"/>
    <cellStyle name="Moneda 10 5 3 2" xfId="408" xr:uid="{00000000-0005-0000-0000-000086010000}"/>
    <cellStyle name="Moneda 10 5 4" xfId="409" xr:uid="{00000000-0005-0000-0000-000087010000}"/>
    <cellStyle name="Moneda 10 5 4 2" xfId="410" xr:uid="{00000000-0005-0000-0000-000088010000}"/>
    <cellStyle name="Moneda 10 5 5" xfId="411" xr:uid="{00000000-0005-0000-0000-000089010000}"/>
    <cellStyle name="Moneda 10 5 5 2" xfId="412" xr:uid="{00000000-0005-0000-0000-00008A010000}"/>
    <cellStyle name="Moneda 10 5 6" xfId="413" xr:uid="{00000000-0005-0000-0000-00008B010000}"/>
    <cellStyle name="Moneda 10 6" xfId="414" xr:uid="{00000000-0005-0000-0000-00008C010000}"/>
    <cellStyle name="Moneda 10 6 2" xfId="415" xr:uid="{00000000-0005-0000-0000-00008D010000}"/>
    <cellStyle name="Moneda 10 6 2 2" xfId="416" xr:uid="{00000000-0005-0000-0000-00008E010000}"/>
    <cellStyle name="Moneda 10 6 3" xfId="417" xr:uid="{00000000-0005-0000-0000-00008F010000}"/>
    <cellStyle name="Moneda 10 6 3 2" xfId="418" xr:uid="{00000000-0005-0000-0000-000090010000}"/>
    <cellStyle name="Moneda 10 6 4" xfId="419" xr:uid="{00000000-0005-0000-0000-000091010000}"/>
    <cellStyle name="Moneda 10 6 4 2" xfId="420" xr:uid="{00000000-0005-0000-0000-000092010000}"/>
    <cellStyle name="Moneda 10 6 5" xfId="421" xr:uid="{00000000-0005-0000-0000-000093010000}"/>
    <cellStyle name="Moneda 10 7" xfId="422" xr:uid="{00000000-0005-0000-0000-000094010000}"/>
    <cellStyle name="Moneda 10 7 2" xfId="423" xr:uid="{00000000-0005-0000-0000-000095010000}"/>
    <cellStyle name="Moneda 10 8" xfId="424" xr:uid="{00000000-0005-0000-0000-000096010000}"/>
    <cellStyle name="Moneda 10 8 2" xfId="425" xr:uid="{00000000-0005-0000-0000-000097010000}"/>
    <cellStyle name="Moneda 10 9" xfId="426" xr:uid="{00000000-0005-0000-0000-000098010000}"/>
    <cellStyle name="Moneda 10 9 2" xfId="427" xr:uid="{00000000-0005-0000-0000-000099010000}"/>
    <cellStyle name="Moneda 11" xfId="428" xr:uid="{00000000-0005-0000-0000-00009A010000}"/>
    <cellStyle name="Moneda 11 10" xfId="429" xr:uid="{00000000-0005-0000-0000-00009B010000}"/>
    <cellStyle name="Moneda 11 11" xfId="430" xr:uid="{00000000-0005-0000-0000-00009C010000}"/>
    <cellStyle name="Moneda 11 2" xfId="431" xr:uid="{00000000-0005-0000-0000-00009D010000}"/>
    <cellStyle name="Moneda 11 2 2" xfId="432" xr:uid="{00000000-0005-0000-0000-00009E010000}"/>
    <cellStyle name="Moneda 11 2 2 2" xfId="433" xr:uid="{00000000-0005-0000-0000-00009F010000}"/>
    <cellStyle name="Moneda 11 2 2 2 2" xfId="434" xr:uid="{00000000-0005-0000-0000-0000A0010000}"/>
    <cellStyle name="Moneda 11 2 2 2 2 2" xfId="435" xr:uid="{00000000-0005-0000-0000-0000A1010000}"/>
    <cellStyle name="Moneda 11 2 2 2 3" xfId="436" xr:uid="{00000000-0005-0000-0000-0000A2010000}"/>
    <cellStyle name="Moneda 11 2 2 2 3 2" xfId="437" xr:uid="{00000000-0005-0000-0000-0000A3010000}"/>
    <cellStyle name="Moneda 11 2 2 2 4" xfId="438" xr:uid="{00000000-0005-0000-0000-0000A4010000}"/>
    <cellStyle name="Moneda 11 2 2 2 4 2" xfId="439" xr:uid="{00000000-0005-0000-0000-0000A5010000}"/>
    <cellStyle name="Moneda 11 2 2 2 5" xfId="440" xr:uid="{00000000-0005-0000-0000-0000A6010000}"/>
    <cellStyle name="Moneda 11 2 2 3" xfId="441" xr:uid="{00000000-0005-0000-0000-0000A7010000}"/>
    <cellStyle name="Moneda 11 2 2 3 2" xfId="442" xr:uid="{00000000-0005-0000-0000-0000A8010000}"/>
    <cellStyle name="Moneda 11 2 2 4" xfId="443" xr:uid="{00000000-0005-0000-0000-0000A9010000}"/>
    <cellStyle name="Moneda 11 2 2 4 2" xfId="444" xr:uid="{00000000-0005-0000-0000-0000AA010000}"/>
    <cellStyle name="Moneda 11 2 2 5" xfId="445" xr:uid="{00000000-0005-0000-0000-0000AB010000}"/>
    <cellStyle name="Moneda 11 2 2 5 2" xfId="446" xr:uid="{00000000-0005-0000-0000-0000AC010000}"/>
    <cellStyle name="Moneda 11 2 2 6" xfId="447" xr:uid="{00000000-0005-0000-0000-0000AD010000}"/>
    <cellStyle name="Moneda 11 2 3" xfId="448" xr:uid="{00000000-0005-0000-0000-0000AE010000}"/>
    <cellStyle name="Moneda 11 2 3 2" xfId="449" xr:uid="{00000000-0005-0000-0000-0000AF010000}"/>
    <cellStyle name="Moneda 11 2 3 2 2" xfId="450" xr:uid="{00000000-0005-0000-0000-0000B0010000}"/>
    <cellStyle name="Moneda 11 2 3 3" xfId="451" xr:uid="{00000000-0005-0000-0000-0000B1010000}"/>
    <cellStyle name="Moneda 11 2 3 3 2" xfId="452" xr:uid="{00000000-0005-0000-0000-0000B2010000}"/>
    <cellStyle name="Moneda 11 2 3 4" xfId="453" xr:uid="{00000000-0005-0000-0000-0000B3010000}"/>
    <cellStyle name="Moneda 11 2 3 4 2" xfId="454" xr:uid="{00000000-0005-0000-0000-0000B4010000}"/>
    <cellStyle name="Moneda 11 2 3 5" xfId="455" xr:uid="{00000000-0005-0000-0000-0000B5010000}"/>
    <cellStyle name="Moneda 11 2 4" xfId="456" xr:uid="{00000000-0005-0000-0000-0000B6010000}"/>
    <cellStyle name="Moneda 11 2 4 2" xfId="457" xr:uid="{00000000-0005-0000-0000-0000B7010000}"/>
    <cellStyle name="Moneda 11 2 5" xfId="458" xr:uid="{00000000-0005-0000-0000-0000B8010000}"/>
    <cellStyle name="Moneda 11 2 5 2" xfId="459" xr:uid="{00000000-0005-0000-0000-0000B9010000}"/>
    <cellStyle name="Moneda 11 2 6" xfId="460" xr:uid="{00000000-0005-0000-0000-0000BA010000}"/>
    <cellStyle name="Moneda 11 2 6 2" xfId="461" xr:uid="{00000000-0005-0000-0000-0000BB010000}"/>
    <cellStyle name="Moneda 11 2 7" xfId="462" xr:uid="{00000000-0005-0000-0000-0000BC010000}"/>
    <cellStyle name="Moneda 11 2 8" xfId="463" xr:uid="{00000000-0005-0000-0000-0000BD010000}"/>
    <cellStyle name="Moneda 11 3" xfId="464" xr:uid="{00000000-0005-0000-0000-0000BE010000}"/>
    <cellStyle name="Moneda 11 3 2" xfId="465" xr:uid="{00000000-0005-0000-0000-0000BF010000}"/>
    <cellStyle name="Moneda 11 3 2 2" xfId="466" xr:uid="{00000000-0005-0000-0000-0000C0010000}"/>
    <cellStyle name="Moneda 11 3 2 2 2" xfId="467" xr:uid="{00000000-0005-0000-0000-0000C1010000}"/>
    <cellStyle name="Moneda 11 3 2 2 2 2" xfId="468" xr:uid="{00000000-0005-0000-0000-0000C2010000}"/>
    <cellStyle name="Moneda 11 3 2 2 3" xfId="469" xr:uid="{00000000-0005-0000-0000-0000C3010000}"/>
    <cellStyle name="Moneda 11 3 2 2 3 2" xfId="470" xr:uid="{00000000-0005-0000-0000-0000C4010000}"/>
    <cellStyle name="Moneda 11 3 2 2 4" xfId="471" xr:uid="{00000000-0005-0000-0000-0000C5010000}"/>
    <cellStyle name="Moneda 11 3 2 2 4 2" xfId="472" xr:uid="{00000000-0005-0000-0000-0000C6010000}"/>
    <cellStyle name="Moneda 11 3 2 2 5" xfId="473" xr:uid="{00000000-0005-0000-0000-0000C7010000}"/>
    <cellStyle name="Moneda 11 3 2 3" xfId="474" xr:uid="{00000000-0005-0000-0000-0000C8010000}"/>
    <cellStyle name="Moneda 11 3 2 3 2" xfId="475" xr:uid="{00000000-0005-0000-0000-0000C9010000}"/>
    <cellStyle name="Moneda 11 3 2 4" xfId="476" xr:uid="{00000000-0005-0000-0000-0000CA010000}"/>
    <cellStyle name="Moneda 11 3 2 4 2" xfId="477" xr:uid="{00000000-0005-0000-0000-0000CB010000}"/>
    <cellStyle name="Moneda 11 3 2 5" xfId="478" xr:uid="{00000000-0005-0000-0000-0000CC010000}"/>
    <cellStyle name="Moneda 11 3 2 5 2" xfId="479" xr:uid="{00000000-0005-0000-0000-0000CD010000}"/>
    <cellStyle name="Moneda 11 3 2 6" xfId="480" xr:uid="{00000000-0005-0000-0000-0000CE010000}"/>
    <cellStyle name="Moneda 11 3 3" xfId="481" xr:uid="{00000000-0005-0000-0000-0000CF010000}"/>
    <cellStyle name="Moneda 11 3 3 2" xfId="482" xr:uid="{00000000-0005-0000-0000-0000D0010000}"/>
    <cellStyle name="Moneda 11 3 3 2 2" xfId="483" xr:uid="{00000000-0005-0000-0000-0000D1010000}"/>
    <cellStyle name="Moneda 11 3 3 3" xfId="484" xr:uid="{00000000-0005-0000-0000-0000D2010000}"/>
    <cellStyle name="Moneda 11 3 3 3 2" xfId="485" xr:uid="{00000000-0005-0000-0000-0000D3010000}"/>
    <cellStyle name="Moneda 11 3 3 4" xfId="486" xr:uid="{00000000-0005-0000-0000-0000D4010000}"/>
    <cellStyle name="Moneda 11 3 3 4 2" xfId="487" xr:uid="{00000000-0005-0000-0000-0000D5010000}"/>
    <cellStyle name="Moneda 11 3 3 5" xfId="488" xr:uid="{00000000-0005-0000-0000-0000D6010000}"/>
    <cellStyle name="Moneda 11 3 4" xfId="489" xr:uid="{00000000-0005-0000-0000-0000D7010000}"/>
    <cellStyle name="Moneda 11 3 4 2" xfId="490" xr:uid="{00000000-0005-0000-0000-0000D8010000}"/>
    <cellStyle name="Moneda 11 3 5" xfId="491" xr:uid="{00000000-0005-0000-0000-0000D9010000}"/>
    <cellStyle name="Moneda 11 3 5 2" xfId="492" xr:uid="{00000000-0005-0000-0000-0000DA010000}"/>
    <cellStyle name="Moneda 11 3 6" xfId="493" xr:uid="{00000000-0005-0000-0000-0000DB010000}"/>
    <cellStyle name="Moneda 11 3 6 2" xfId="494" xr:uid="{00000000-0005-0000-0000-0000DC010000}"/>
    <cellStyle name="Moneda 11 3 7" xfId="495" xr:uid="{00000000-0005-0000-0000-0000DD010000}"/>
    <cellStyle name="Moneda 11 4" xfId="496" xr:uid="{00000000-0005-0000-0000-0000DE010000}"/>
    <cellStyle name="Moneda 11 4 2" xfId="497" xr:uid="{00000000-0005-0000-0000-0000DF010000}"/>
    <cellStyle name="Moneda 11 4 2 2" xfId="498" xr:uid="{00000000-0005-0000-0000-0000E0010000}"/>
    <cellStyle name="Moneda 11 4 2 2 2" xfId="499" xr:uid="{00000000-0005-0000-0000-0000E1010000}"/>
    <cellStyle name="Moneda 11 4 2 2 2 2" xfId="500" xr:uid="{00000000-0005-0000-0000-0000E2010000}"/>
    <cellStyle name="Moneda 11 4 2 2 3" xfId="501" xr:uid="{00000000-0005-0000-0000-0000E3010000}"/>
    <cellStyle name="Moneda 11 4 2 2 3 2" xfId="502" xr:uid="{00000000-0005-0000-0000-0000E4010000}"/>
    <cellStyle name="Moneda 11 4 2 2 4" xfId="503" xr:uid="{00000000-0005-0000-0000-0000E5010000}"/>
    <cellStyle name="Moneda 11 4 2 2 4 2" xfId="504" xr:uid="{00000000-0005-0000-0000-0000E6010000}"/>
    <cellStyle name="Moneda 11 4 2 2 5" xfId="505" xr:uid="{00000000-0005-0000-0000-0000E7010000}"/>
    <cellStyle name="Moneda 11 4 2 3" xfId="506" xr:uid="{00000000-0005-0000-0000-0000E8010000}"/>
    <cellStyle name="Moneda 11 4 2 3 2" xfId="507" xr:uid="{00000000-0005-0000-0000-0000E9010000}"/>
    <cellStyle name="Moneda 11 4 2 4" xfId="508" xr:uid="{00000000-0005-0000-0000-0000EA010000}"/>
    <cellStyle name="Moneda 11 4 2 4 2" xfId="509" xr:uid="{00000000-0005-0000-0000-0000EB010000}"/>
    <cellStyle name="Moneda 11 4 2 5" xfId="510" xr:uid="{00000000-0005-0000-0000-0000EC010000}"/>
    <cellStyle name="Moneda 11 4 2 5 2" xfId="511" xr:uid="{00000000-0005-0000-0000-0000ED010000}"/>
    <cellStyle name="Moneda 11 4 2 6" xfId="512" xr:uid="{00000000-0005-0000-0000-0000EE010000}"/>
    <cellStyle name="Moneda 11 4 3" xfId="513" xr:uid="{00000000-0005-0000-0000-0000EF010000}"/>
    <cellStyle name="Moneda 11 4 3 2" xfId="514" xr:uid="{00000000-0005-0000-0000-0000F0010000}"/>
    <cellStyle name="Moneda 11 4 3 2 2" xfId="515" xr:uid="{00000000-0005-0000-0000-0000F1010000}"/>
    <cellStyle name="Moneda 11 4 3 3" xfId="516" xr:uid="{00000000-0005-0000-0000-0000F2010000}"/>
    <cellStyle name="Moneda 11 4 3 3 2" xfId="517" xr:uid="{00000000-0005-0000-0000-0000F3010000}"/>
    <cellStyle name="Moneda 11 4 3 4" xfId="518" xr:uid="{00000000-0005-0000-0000-0000F4010000}"/>
    <cellStyle name="Moneda 11 4 3 4 2" xfId="519" xr:uid="{00000000-0005-0000-0000-0000F5010000}"/>
    <cellStyle name="Moneda 11 4 3 5" xfId="520" xr:uid="{00000000-0005-0000-0000-0000F6010000}"/>
    <cellStyle name="Moneda 11 4 4" xfId="521" xr:uid="{00000000-0005-0000-0000-0000F7010000}"/>
    <cellStyle name="Moneda 11 4 4 2" xfId="522" xr:uid="{00000000-0005-0000-0000-0000F8010000}"/>
    <cellStyle name="Moneda 11 4 5" xfId="523" xr:uid="{00000000-0005-0000-0000-0000F9010000}"/>
    <cellStyle name="Moneda 11 4 5 2" xfId="524" xr:uid="{00000000-0005-0000-0000-0000FA010000}"/>
    <cellStyle name="Moneda 11 4 6" xfId="525" xr:uid="{00000000-0005-0000-0000-0000FB010000}"/>
    <cellStyle name="Moneda 11 4 6 2" xfId="526" xr:uid="{00000000-0005-0000-0000-0000FC010000}"/>
    <cellStyle name="Moneda 11 4 7" xfId="527" xr:uid="{00000000-0005-0000-0000-0000FD010000}"/>
    <cellStyle name="Moneda 11 5" xfId="528" xr:uid="{00000000-0005-0000-0000-0000FE010000}"/>
    <cellStyle name="Moneda 11 5 2" xfId="529" xr:uid="{00000000-0005-0000-0000-0000FF010000}"/>
    <cellStyle name="Moneda 11 5 2 2" xfId="530" xr:uid="{00000000-0005-0000-0000-000000020000}"/>
    <cellStyle name="Moneda 11 5 2 2 2" xfId="531" xr:uid="{00000000-0005-0000-0000-000001020000}"/>
    <cellStyle name="Moneda 11 5 2 3" xfId="532" xr:uid="{00000000-0005-0000-0000-000002020000}"/>
    <cellStyle name="Moneda 11 5 2 3 2" xfId="533" xr:uid="{00000000-0005-0000-0000-000003020000}"/>
    <cellStyle name="Moneda 11 5 2 4" xfId="534" xr:uid="{00000000-0005-0000-0000-000004020000}"/>
    <cellStyle name="Moneda 11 5 2 4 2" xfId="535" xr:uid="{00000000-0005-0000-0000-000005020000}"/>
    <cellStyle name="Moneda 11 5 2 5" xfId="536" xr:uid="{00000000-0005-0000-0000-000006020000}"/>
    <cellStyle name="Moneda 11 5 3" xfId="537" xr:uid="{00000000-0005-0000-0000-000007020000}"/>
    <cellStyle name="Moneda 11 5 3 2" xfId="538" xr:uid="{00000000-0005-0000-0000-000008020000}"/>
    <cellStyle name="Moneda 11 5 4" xfId="539" xr:uid="{00000000-0005-0000-0000-000009020000}"/>
    <cellStyle name="Moneda 11 5 4 2" xfId="540" xr:uid="{00000000-0005-0000-0000-00000A020000}"/>
    <cellStyle name="Moneda 11 5 5" xfId="541" xr:uid="{00000000-0005-0000-0000-00000B020000}"/>
    <cellStyle name="Moneda 11 5 5 2" xfId="542" xr:uid="{00000000-0005-0000-0000-00000C020000}"/>
    <cellStyle name="Moneda 11 5 6" xfId="543" xr:uid="{00000000-0005-0000-0000-00000D020000}"/>
    <cellStyle name="Moneda 11 6" xfId="544" xr:uid="{00000000-0005-0000-0000-00000E020000}"/>
    <cellStyle name="Moneda 11 6 2" xfId="545" xr:uid="{00000000-0005-0000-0000-00000F020000}"/>
    <cellStyle name="Moneda 11 6 2 2" xfId="546" xr:uid="{00000000-0005-0000-0000-000010020000}"/>
    <cellStyle name="Moneda 11 6 3" xfId="547" xr:uid="{00000000-0005-0000-0000-000011020000}"/>
    <cellStyle name="Moneda 11 6 3 2" xfId="548" xr:uid="{00000000-0005-0000-0000-000012020000}"/>
    <cellStyle name="Moneda 11 6 4" xfId="549" xr:uid="{00000000-0005-0000-0000-000013020000}"/>
    <cellStyle name="Moneda 11 6 4 2" xfId="550" xr:uid="{00000000-0005-0000-0000-000014020000}"/>
    <cellStyle name="Moneda 11 6 5" xfId="551" xr:uid="{00000000-0005-0000-0000-000015020000}"/>
    <cellStyle name="Moneda 11 7" xfId="552" xr:uid="{00000000-0005-0000-0000-000016020000}"/>
    <cellStyle name="Moneda 11 7 2" xfId="553" xr:uid="{00000000-0005-0000-0000-000017020000}"/>
    <cellStyle name="Moneda 11 8" xfId="554" xr:uid="{00000000-0005-0000-0000-000018020000}"/>
    <cellStyle name="Moneda 11 8 2" xfId="555" xr:uid="{00000000-0005-0000-0000-000019020000}"/>
    <cellStyle name="Moneda 11 9" xfId="556" xr:uid="{00000000-0005-0000-0000-00001A020000}"/>
    <cellStyle name="Moneda 11 9 2" xfId="557" xr:uid="{00000000-0005-0000-0000-00001B020000}"/>
    <cellStyle name="Moneda 12" xfId="558" xr:uid="{00000000-0005-0000-0000-00001C020000}"/>
    <cellStyle name="Moneda 12 2" xfId="559" xr:uid="{00000000-0005-0000-0000-00001D020000}"/>
    <cellStyle name="Moneda 12 2 2" xfId="560" xr:uid="{00000000-0005-0000-0000-00001E020000}"/>
    <cellStyle name="Moneda 12 2 2 2" xfId="561" xr:uid="{00000000-0005-0000-0000-00001F020000}"/>
    <cellStyle name="Moneda 12 2 2 2 2" xfId="562" xr:uid="{00000000-0005-0000-0000-000020020000}"/>
    <cellStyle name="Moneda 12 2 2 2 2 2" xfId="563" xr:uid="{00000000-0005-0000-0000-000021020000}"/>
    <cellStyle name="Moneda 12 2 2 2 3" xfId="564" xr:uid="{00000000-0005-0000-0000-000022020000}"/>
    <cellStyle name="Moneda 12 2 2 2 3 2" xfId="565" xr:uid="{00000000-0005-0000-0000-000023020000}"/>
    <cellStyle name="Moneda 12 2 2 2 4" xfId="566" xr:uid="{00000000-0005-0000-0000-000024020000}"/>
    <cellStyle name="Moneda 12 2 2 2 4 2" xfId="567" xr:uid="{00000000-0005-0000-0000-000025020000}"/>
    <cellStyle name="Moneda 12 2 2 2 5" xfId="568" xr:uid="{00000000-0005-0000-0000-000026020000}"/>
    <cellStyle name="Moneda 12 2 2 3" xfId="569" xr:uid="{00000000-0005-0000-0000-000027020000}"/>
    <cellStyle name="Moneda 12 2 2 3 2" xfId="570" xr:uid="{00000000-0005-0000-0000-000028020000}"/>
    <cellStyle name="Moneda 12 2 2 4" xfId="571" xr:uid="{00000000-0005-0000-0000-000029020000}"/>
    <cellStyle name="Moneda 12 2 2 4 2" xfId="572" xr:uid="{00000000-0005-0000-0000-00002A020000}"/>
    <cellStyle name="Moneda 12 2 2 5" xfId="573" xr:uid="{00000000-0005-0000-0000-00002B020000}"/>
    <cellStyle name="Moneda 12 2 2 5 2" xfId="574" xr:uid="{00000000-0005-0000-0000-00002C020000}"/>
    <cellStyle name="Moneda 12 2 2 6" xfId="575" xr:uid="{00000000-0005-0000-0000-00002D020000}"/>
    <cellStyle name="Moneda 12 2 3" xfId="576" xr:uid="{00000000-0005-0000-0000-00002E020000}"/>
    <cellStyle name="Moneda 12 2 3 2" xfId="577" xr:uid="{00000000-0005-0000-0000-00002F020000}"/>
    <cellStyle name="Moneda 12 2 3 2 2" xfId="578" xr:uid="{00000000-0005-0000-0000-000030020000}"/>
    <cellStyle name="Moneda 12 2 3 3" xfId="579" xr:uid="{00000000-0005-0000-0000-000031020000}"/>
    <cellStyle name="Moneda 12 2 3 3 2" xfId="580" xr:uid="{00000000-0005-0000-0000-000032020000}"/>
    <cellStyle name="Moneda 12 2 3 4" xfId="581" xr:uid="{00000000-0005-0000-0000-000033020000}"/>
    <cellStyle name="Moneda 12 2 3 4 2" xfId="582" xr:uid="{00000000-0005-0000-0000-000034020000}"/>
    <cellStyle name="Moneda 12 2 3 5" xfId="583" xr:uid="{00000000-0005-0000-0000-000035020000}"/>
    <cellStyle name="Moneda 12 2 4" xfId="584" xr:uid="{00000000-0005-0000-0000-000036020000}"/>
    <cellStyle name="Moneda 12 2 4 2" xfId="585" xr:uid="{00000000-0005-0000-0000-000037020000}"/>
    <cellStyle name="Moneda 12 2 5" xfId="586" xr:uid="{00000000-0005-0000-0000-000038020000}"/>
    <cellStyle name="Moneda 12 2 5 2" xfId="587" xr:uid="{00000000-0005-0000-0000-000039020000}"/>
    <cellStyle name="Moneda 12 2 6" xfId="588" xr:uid="{00000000-0005-0000-0000-00003A020000}"/>
    <cellStyle name="Moneda 12 2 6 2" xfId="589" xr:uid="{00000000-0005-0000-0000-00003B020000}"/>
    <cellStyle name="Moneda 12 2 7" xfId="590" xr:uid="{00000000-0005-0000-0000-00003C020000}"/>
    <cellStyle name="Moneda 12 2 8" xfId="591" xr:uid="{00000000-0005-0000-0000-00003D020000}"/>
    <cellStyle name="Moneda 12 3" xfId="592" xr:uid="{00000000-0005-0000-0000-00003E020000}"/>
    <cellStyle name="Moneda 12 3 2" xfId="593" xr:uid="{00000000-0005-0000-0000-00003F020000}"/>
    <cellStyle name="Moneda 12 3 2 2" xfId="594" xr:uid="{00000000-0005-0000-0000-000040020000}"/>
    <cellStyle name="Moneda 12 3 2 2 2" xfId="595" xr:uid="{00000000-0005-0000-0000-000041020000}"/>
    <cellStyle name="Moneda 12 3 2 3" xfId="596" xr:uid="{00000000-0005-0000-0000-000042020000}"/>
    <cellStyle name="Moneda 12 3 2 3 2" xfId="597" xr:uid="{00000000-0005-0000-0000-000043020000}"/>
    <cellStyle name="Moneda 12 3 2 4" xfId="598" xr:uid="{00000000-0005-0000-0000-000044020000}"/>
    <cellStyle name="Moneda 12 3 2 4 2" xfId="599" xr:uid="{00000000-0005-0000-0000-000045020000}"/>
    <cellStyle name="Moneda 12 3 2 5" xfId="600" xr:uid="{00000000-0005-0000-0000-000046020000}"/>
    <cellStyle name="Moneda 12 3 3" xfId="601" xr:uid="{00000000-0005-0000-0000-000047020000}"/>
    <cellStyle name="Moneda 12 3 3 2" xfId="602" xr:uid="{00000000-0005-0000-0000-000048020000}"/>
    <cellStyle name="Moneda 12 3 4" xfId="603" xr:uid="{00000000-0005-0000-0000-000049020000}"/>
    <cellStyle name="Moneda 12 3 4 2" xfId="604" xr:uid="{00000000-0005-0000-0000-00004A020000}"/>
    <cellStyle name="Moneda 12 3 5" xfId="605" xr:uid="{00000000-0005-0000-0000-00004B020000}"/>
    <cellStyle name="Moneda 12 3 5 2" xfId="606" xr:uid="{00000000-0005-0000-0000-00004C020000}"/>
    <cellStyle name="Moneda 12 3 6" xfId="607" xr:uid="{00000000-0005-0000-0000-00004D020000}"/>
    <cellStyle name="Moneda 12 4" xfId="608" xr:uid="{00000000-0005-0000-0000-00004E020000}"/>
    <cellStyle name="Moneda 12 4 2" xfId="609" xr:uid="{00000000-0005-0000-0000-00004F020000}"/>
    <cellStyle name="Moneda 12 4 2 2" xfId="610" xr:uid="{00000000-0005-0000-0000-000050020000}"/>
    <cellStyle name="Moneda 12 4 3" xfId="611" xr:uid="{00000000-0005-0000-0000-000051020000}"/>
    <cellStyle name="Moneda 12 4 3 2" xfId="612" xr:uid="{00000000-0005-0000-0000-000052020000}"/>
    <cellStyle name="Moneda 12 4 4" xfId="613" xr:uid="{00000000-0005-0000-0000-000053020000}"/>
    <cellStyle name="Moneda 12 4 4 2" xfId="614" xr:uid="{00000000-0005-0000-0000-000054020000}"/>
    <cellStyle name="Moneda 12 4 5" xfId="615" xr:uid="{00000000-0005-0000-0000-000055020000}"/>
    <cellStyle name="Moneda 12 5" xfId="616" xr:uid="{00000000-0005-0000-0000-000056020000}"/>
    <cellStyle name="Moneda 12 5 2" xfId="617" xr:uid="{00000000-0005-0000-0000-000057020000}"/>
    <cellStyle name="Moneda 12 6" xfId="618" xr:uid="{00000000-0005-0000-0000-000058020000}"/>
    <cellStyle name="Moneda 12 6 2" xfId="619" xr:uid="{00000000-0005-0000-0000-000059020000}"/>
    <cellStyle name="Moneda 12 7" xfId="620" xr:uid="{00000000-0005-0000-0000-00005A020000}"/>
    <cellStyle name="Moneda 12 7 2" xfId="621" xr:uid="{00000000-0005-0000-0000-00005B020000}"/>
    <cellStyle name="Moneda 12 8" xfId="622" xr:uid="{00000000-0005-0000-0000-00005C020000}"/>
    <cellStyle name="Moneda 12 9" xfId="623" xr:uid="{00000000-0005-0000-0000-00005D020000}"/>
    <cellStyle name="Moneda 13" xfId="624" xr:uid="{00000000-0005-0000-0000-00005E020000}"/>
    <cellStyle name="Moneda 13 10" xfId="625" xr:uid="{00000000-0005-0000-0000-00005F020000}"/>
    <cellStyle name="Moneda 13 2" xfId="626" xr:uid="{00000000-0005-0000-0000-000060020000}"/>
    <cellStyle name="Moneda 13 2 2" xfId="627" xr:uid="{00000000-0005-0000-0000-000061020000}"/>
    <cellStyle name="Moneda 13 2 2 2" xfId="628" xr:uid="{00000000-0005-0000-0000-000062020000}"/>
    <cellStyle name="Moneda 13 2 2 2 2" xfId="629" xr:uid="{00000000-0005-0000-0000-000063020000}"/>
    <cellStyle name="Moneda 13 2 2 2 2 2" xfId="630" xr:uid="{00000000-0005-0000-0000-000064020000}"/>
    <cellStyle name="Moneda 13 2 2 2 3" xfId="631" xr:uid="{00000000-0005-0000-0000-000065020000}"/>
    <cellStyle name="Moneda 13 2 2 2 3 2" xfId="632" xr:uid="{00000000-0005-0000-0000-000066020000}"/>
    <cellStyle name="Moneda 13 2 2 2 4" xfId="633" xr:uid="{00000000-0005-0000-0000-000067020000}"/>
    <cellStyle name="Moneda 13 2 2 2 4 2" xfId="634" xr:uid="{00000000-0005-0000-0000-000068020000}"/>
    <cellStyle name="Moneda 13 2 2 2 5" xfId="635" xr:uid="{00000000-0005-0000-0000-000069020000}"/>
    <cellStyle name="Moneda 13 2 2 3" xfId="636" xr:uid="{00000000-0005-0000-0000-00006A020000}"/>
    <cellStyle name="Moneda 13 2 2 3 2" xfId="637" xr:uid="{00000000-0005-0000-0000-00006B020000}"/>
    <cellStyle name="Moneda 13 2 2 4" xfId="638" xr:uid="{00000000-0005-0000-0000-00006C020000}"/>
    <cellStyle name="Moneda 13 2 2 4 2" xfId="639" xr:uid="{00000000-0005-0000-0000-00006D020000}"/>
    <cellStyle name="Moneda 13 2 2 5" xfId="640" xr:uid="{00000000-0005-0000-0000-00006E020000}"/>
    <cellStyle name="Moneda 13 2 2 5 2" xfId="641" xr:uid="{00000000-0005-0000-0000-00006F020000}"/>
    <cellStyle name="Moneda 13 2 2 6" xfId="642" xr:uid="{00000000-0005-0000-0000-000070020000}"/>
    <cellStyle name="Moneda 13 2 3" xfId="643" xr:uid="{00000000-0005-0000-0000-000071020000}"/>
    <cellStyle name="Moneda 13 2 3 2" xfId="644" xr:uid="{00000000-0005-0000-0000-000072020000}"/>
    <cellStyle name="Moneda 13 2 3 2 2" xfId="645" xr:uid="{00000000-0005-0000-0000-000073020000}"/>
    <cellStyle name="Moneda 13 2 3 3" xfId="646" xr:uid="{00000000-0005-0000-0000-000074020000}"/>
    <cellStyle name="Moneda 13 2 3 3 2" xfId="647" xr:uid="{00000000-0005-0000-0000-000075020000}"/>
    <cellStyle name="Moneda 13 2 3 4" xfId="648" xr:uid="{00000000-0005-0000-0000-000076020000}"/>
    <cellStyle name="Moneda 13 2 3 4 2" xfId="649" xr:uid="{00000000-0005-0000-0000-000077020000}"/>
    <cellStyle name="Moneda 13 2 3 5" xfId="650" xr:uid="{00000000-0005-0000-0000-000078020000}"/>
    <cellStyle name="Moneda 13 2 4" xfId="651" xr:uid="{00000000-0005-0000-0000-000079020000}"/>
    <cellStyle name="Moneda 13 2 4 2" xfId="652" xr:uid="{00000000-0005-0000-0000-00007A020000}"/>
    <cellStyle name="Moneda 13 2 5" xfId="653" xr:uid="{00000000-0005-0000-0000-00007B020000}"/>
    <cellStyle name="Moneda 13 2 5 2" xfId="654" xr:uid="{00000000-0005-0000-0000-00007C020000}"/>
    <cellStyle name="Moneda 13 2 6" xfId="655" xr:uid="{00000000-0005-0000-0000-00007D020000}"/>
    <cellStyle name="Moneda 13 2 6 2" xfId="656" xr:uid="{00000000-0005-0000-0000-00007E020000}"/>
    <cellStyle name="Moneda 13 2 7" xfId="657" xr:uid="{00000000-0005-0000-0000-00007F020000}"/>
    <cellStyle name="Moneda 13 2 8" xfId="658" xr:uid="{00000000-0005-0000-0000-000080020000}"/>
    <cellStyle name="Moneda 13 3" xfId="659" xr:uid="{00000000-0005-0000-0000-000081020000}"/>
    <cellStyle name="Moneda 13 3 2" xfId="660" xr:uid="{00000000-0005-0000-0000-000082020000}"/>
    <cellStyle name="Moneda 13 3 2 2" xfId="661" xr:uid="{00000000-0005-0000-0000-000083020000}"/>
    <cellStyle name="Moneda 13 3 2 2 2" xfId="662" xr:uid="{00000000-0005-0000-0000-000084020000}"/>
    <cellStyle name="Moneda 13 3 2 3" xfId="663" xr:uid="{00000000-0005-0000-0000-000085020000}"/>
    <cellStyle name="Moneda 13 3 2 3 2" xfId="664" xr:uid="{00000000-0005-0000-0000-000086020000}"/>
    <cellStyle name="Moneda 13 3 2 4" xfId="665" xr:uid="{00000000-0005-0000-0000-000087020000}"/>
    <cellStyle name="Moneda 13 3 2 4 2" xfId="666" xr:uid="{00000000-0005-0000-0000-000088020000}"/>
    <cellStyle name="Moneda 13 3 2 5" xfId="667" xr:uid="{00000000-0005-0000-0000-000089020000}"/>
    <cellStyle name="Moneda 13 3 3" xfId="668" xr:uid="{00000000-0005-0000-0000-00008A020000}"/>
    <cellStyle name="Moneda 13 3 3 2" xfId="669" xr:uid="{00000000-0005-0000-0000-00008B020000}"/>
    <cellStyle name="Moneda 13 3 4" xfId="670" xr:uid="{00000000-0005-0000-0000-00008C020000}"/>
    <cellStyle name="Moneda 13 3 4 2" xfId="671" xr:uid="{00000000-0005-0000-0000-00008D020000}"/>
    <cellStyle name="Moneda 13 3 5" xfId="672" xr:uid="{00000000-0005-0000-0000-00008E020000}"/>
    <cellStyle name="Moneda 13 3 5 2" xfId="673" xr:uid="{00000000-0005-0000-0000-00008F020000}"/>
    <cellStyle name="Moneda 13 3 6" xfId="674" xr:uid="{00000000-0005-0000-0000-000090020000}"/>
    <cellStyle name="Moneda 13 4" xfId="675" xr:uid="{00000000-0005-0000-0000-000091020000}"/>
    <cellStyle name="Moneda 13 4 2" xfId="676" xr:uid="{00000000-0005-0000-0000-000092020000}"/>
    <cellStyle name="Moneda 13 4 2 2" xfId="677" xr:uid="{00000000-0005-0000-0000-000093020000}"/>
    <cellStyle name="Moneda 13 4 3" xfId="678" xr:uid="{00000000-0005-0000-0000-000094020000}"/>
    <cellStyle name="Moneda 13 4 3 2" xfId="679" xr:uid="{00000000-0005-0000-0000-000095020000}"/>
    <cellStyle name="Moneda 13 4 4" xfId="680" xr:uid="{00000000-0005-0000-0000-000096020000}"/>
    <cellStyle name="Moneda 13 4 4 2" xfId="681" xr:uid="{00000000-0005-0000-0000-000097020000}"/>
    <cellStyle name="Moneda 13 4 5" xfId="682" xr:uid="{00000000-0005-0000-0000-000098020000}"/>
    <cellStyle name="Moneda 13 5" xfId="683" xr:uid="{00000000-0005-0000-0000-000099020000}"/>
    <cellStyle name="Moneda 13 5 2" xfId="684" xr:uid="{00000000-0005-0000-0000-00009A020000}"/>
    <cellStyle name="Moneda 13 5 2 2" xfId="685" xr:uid="{00000000-0005-0000-0000-00009B020000}"/>
    <cellStyle name="Moneda 13 5 3" xfId="686" xr:uid="{00000000-0005-0000-0000-00009C020000}"/>
    <cellStyle name="Moneda 13 5 3 2" xfId="687" xr:uid="{00000000-0005-0000-0000-00009D020000}"/>
    <cellStyle name="Moneda 13 5 4" xfId="688" xr:uid="{00000000-0005-0000-0000-00009E020000}"/>
    <cellStyle name="Moneda 13 5 4 2" xfId="689" xr:uid="{00000000-0005-0000-0000-00009F020000}"/>
    <cellStyle name="Moneda 13 5 5" xfId="690" xr:uid="{00000000-0005-0000-0000-0000A0020000}"/>
    <cellStyle name="Moneda 13 6" xfId="691" xr:uid="{00000000-0005-0000-0000-0000A1020000}"/>
    <cellStyle name="Moneda 13 6 2" xfId="692" xr:uid="{00000000-0005-0000-0000-0000A2020000}"/>
    <cellStyle name="Moneda 13 7" xfId="693" xr:uid="{00000000-0005-0000-0000-0000A3020000}"/>
    <cellStyle name="Moneda 13 7 2" xfId="694" xr:uid="{00000000-0005-0000-0000-0000A4020000}"/>
    <cellStyle name="Moneda 13 8" xfId="695" xr:uid="{00000000-0005-0000-0000-0000A5020000}"/>
    <cellStyle name="Moneda 13 8 2" xfId="696" xr:uid="{00000000-0005-0000-0000-0000A6020000}"/>
    <cellStyle name="Moneda 13 9" xfId="697" xr:uid="{00000000-0005-0000-0000-0000A7020000}"/>
    <cellStyle name="Moneda 14" xfId="698" xr:uid="{00000000-0005-0000-0000-0000A8020000}"/>
    <cellStyle name="Moneda 14 2" xfId="699" xr:uid="{00000000-0005-0000-0000-0000A9020000}"/>
    <cellStyle name="Moneda 14 2 2" xfId="700" xr:uid="{00000000-0005-0000-0000-0000AA020000}"/>
    <cellStyle name="Moneda 14 2 2 2" xfId="701" xr:uid="{00000000-0005-0000-0000-0000AB020000}"/>
    <cellStyle name="Moneda 14 2 2 2 2" xfId="702" xr:uid="{00000000-0005-0000-0000-0000AC020000}"/>
    <cellStyle name="Moneda 14 2 2 2 2 2" xfId="703" xr:uid="{00000000-0005-0000-0000-0000AD020000}"/>
    <cellStyle name="Moneda 14 2 2 2 3" xfId="704" xr:uid="{00000000-0005-0000-0000-0000AE020000}"/>
    <cellStyle name="Moneda 14 2 2 2 3 2" xfId="705" xr:uid="{00000000-0005-0000-0000-0000AF020000}"/>
    <cellStyle name="Moneda 14 2 2 2 4" xfId="706" xr:uid="{00000000-0005-0000-0000-0000B0020000}"/>
    <cellStyle name="Moneda 14 2 2 2 4 2" xfId="707" xr:uid="{00000000-0005-0000-0000-0000B1020000}"/>
    <cellStyle name="Moneda 14 2 2 2 5" xfId="708" xr:uid="{00000000-0005-0000-0000-0000B2020000}"/>
    <cellStyle name="Moneda 14 2 2 3" xfId="709" xr:uid="{00000000-0005-0000-0000-0000B3020000}"/>
    <cellStyle name="Moneda 14 2 2 3 2" xfId="710" xr:uid="{00000000-0005-0000-0000-0000B4020000}"/>
    <cellStyle name="Moneda 14 2 2 4" xfId="711" xr:uid="{00000000-0005-0000-0000-0000B5020000}"/>
    <cellStyle name="Moneda 14 2 2 4 2" xfId="712" xr:uid="{00000000-0005-0000-0000-0000B6020000}"/>
    <cellStyle name="Moneda 14 2 2 5" xfId="713" xr:uid="{00000000-0005-0000-0000-0000B7020000}"/>
    <cellStyle name="Moneda 14 2 2 5 2" xfId="714" xr:uid="{00000000-0005-0000-0000-0000B8020000}"/>
    <cellStyle name="Moneda 14 2 2 6" xfId="715" xr:uid="{00000000-0005-0000-0000-0000B9020000}"/>
    <cellStyle name="Moneda 14 2 3" xfId="716" xr:uid="{00000000-0005-0000-0000-0000BA020000}"/>
    <cellStyle name="Moneda 14 2 3 2" xfId="717" xr:uid="{00000000-0005-0000-0000-0000BB020000}"/>
    <cellStyle name="Moneda 14 2 3 2 2" xfId="718" xr:uid="{00000000-0005-0000-0000-0000BC020000}"/>
    <cellStyle name="Moneda 14 2 3 3" xfId="719" xr:uid="{00000000-0005-0000-0000-0000BD020000}"/>
    <cellStyle name="Moneda 14 2 3 3 2" xfId="720" xr:uid="{00000000-0005-0000-0000-0000BE020000}"/>
    <cellStyle name="Moneda 14 2 3 4" xfId="721" xr:uid="{00000000-0005-0000-0000-0000BF020000}"/>
    <cellStyle name="Moneda 14 2 3 4 2" xfId="722" xr:uid="{00000000-0005-0000-0000-0000C0020000}"/>
    <cellStyle name="Moneda 14 2 3 5" xfId="723" xr:uid="{00000000-0005-0000-0000-0000C1020000}"/>
    <cellStyle name="Moneda 14 2 4" xfId="724" xr:uid="{00000000-0005-0000-0000-0000C2020000}"/>
    <cellStyle name="Moneda 14 2 4 2" xfId="725" xr:uid="{00000000-0005-0000-0000-0000C3020000}"/>
    <cellStyle name="Moneda 14 2 5" xfId="726" xr:uid="{00000000-0005-0000-0000-0000C4020000}"/>
    <cellStyle name="Moneda 14 2 5 2" xfId="727" xr:uid="{00000000-0005-0000-0000-0000C5020000}"/>
    <cellStyle name="Moneda 14 2 6" xfId="728" xr:uid="{00000000-0005-0000-0000-0000C6020000}"/>
    <cellStyle name="Moneda 14 2 6 2" xfId="729" xr:uid="{00000000-0005-0000-0000-0000C7020000}"/>
    <cellStyle name="Moneda 14 2 7" xfId="730" xr:uid="{00000000-0005-0000-0000-0000C8020000}"/>
    <cellStyle name="Moneda 14 2 8" xfId="731" xr:uid="{00000000-0005-0000-0000-0000C9020000}"/>
    <cellStyle name="Moneda 14 3" xfId="732" xr:uid="{00000000-0005-0000-0000-0000CA020000}"/>
    <cellStyle name="Moneda 14 3 2" xfId="733" xr:uid="{00000000-0005-0000-0000-0000CB020000}"/>
    <cellStyle name="Moneda 14 3 2 2" xfId="734" xr:uid="{00000000-0005-0000-0000-0000CC020000}"/>
    <cellStyle name="Moneda 14 3 2 2 2" xfId="735" xr:uid="{00000000-0005-0000-0000-0000CD020000}"/>
    <cellStyle name="Moneda 14 3 2 3" xfId="736" xr:uid="{00000000-0005-0000-0000-0000CE020000}"/>
    <cellStyle name="Moneda 14 3 2 3 2" xfId="737" xr:uid="{00000000-0005-0000-0000-0000CF020000}"/>
    <cellStyle name="Moneda 14 3 2 4" xfId="738" xr:uid="{00000000-0005-0000-0000-0000D0020000}"/>
    <cellStyle name="Moneda 14 3 2 4 2" xfId="739" xr:uid="{00000000-0005-0000-0000-0000D1020000}"/>
    <cellStyle name="Moneda 14 3 2 5" xfId="740" xr:uid="{00000000-0005-0000-0000-0000D2020000}"/>
    <cellStyle name="Moneda 14 3 3" xfId="741" xr:uid="{00000000-0005-0000-0000-0000D3020000}"/>
    <cellStyle name="Moneda 14 3 3 2" xfId="742" xr:uid="{00000000-0005-0000-0000-0000D4020000}"/>
    <cellStyle name="Moneda 14 3 4" xfId="743" xr:uid="{00000000-0005-0000-0000-0000D5020000}"/>
    <cellStyle name="Moneda 14 3 4 2" xfId="744" xr:uid="{00000000-0005-0000-0000-0000D6020000}"/>
    <cellStyle name="Moneda 14 3 5" xfId="745" xr:uid="{00000000-0005-0000-0000-0000D7020000}"/>
    <cellStyle name="Moneda 14 3 5 2" xfId="746" xr:uid="{00000000-0005-0000-0000-0000D8020000}"/>
    <cellStyle name="Moneda 14 3 6" xfId="747" xr:uid="{00000000-0005-0000-0000-0000D9020000}"/>
    <cellStyle name="Moneda 14 4" xfId="748" xr:uid="{00000000-0005-0000-0000-0000DA020000}"/>
    <cellStyle name="Moneda 14 4 2" xfId="749" xr:uid="{00000000-0005-0000-0000-0000DB020000}"/>
    <cellStyle name="Moneda 14 4 2 2" xfId="750" xr:uid="{00000000-0005-0000-0000-0000DC020000}"/>
    <cellStyle name="Moneda 14 4 3" xfId="751" xr:uid="{00000000-0005-0000-0000-0000DD020000}"/>
    <cellStyle name="Moneda 14 4 3 2" xfId="752" xr:uid="{00000000-0005-0000-0000-0000DE020000}"/>
    <cellStyle name="Moneda 14 4 4" xfId="753" xr:uid="{00000000-0005-0000-0000-0000DF020000}"/>
    <cellStyle name="Moneda 14 4 4 2" xfId="754" xr:uid="{00000000-0005-0000-0000-0000E0020000}"/>
    <cellStyle name="Moneda 14 4 5" xfId="755" xr:uid="{00000000-0005-0000-0000-0000E1020000}"/>
    <cellStyle name="Moneda 14 5" xfId="756" xr:uid="{00000000-0005-0000-0000-0000E2020000}"/>
    <cellStyle name="Moneda 14 5 2" xfId="757" xr:uid="{00000000-0005-0000-0000-0000E3020000}"/>
    <cellStyle name="Moneda 14 6" xfId="758" xr:uid="{00000000-0005-0000-0000-0000E4020000}"/>
    <cellStyle name="Moneda 14 6 2" xfId="759" xr:uid="{00000000-0005-0000-0000-0000E5020000}"/>
    <cellStyle name="Moneda 14 7" xfId="760" xr:uid="{00000000-0005-0000-0000-0000E6020000}"/>
    <cellStyle name="Moneda 14 7 2" xfId="761" xr:uid="{00000000-0005-0000-0000-0000E7020000}"/>
    <cellStyle name="Moneda 14 8" xfId="762" xr:uid="{00000000-0005-0000-0000-0000E8020000}"/>
    <cellStyle name="Moneda 14 9" xfId="763" xr:uid="{00000000-0005-0000-0000-0000E9020000}"/>
    <cellStyle name="Moneda 15" xfId="764" xr:uid="{00000000-0005-0000-0000-0000EA020000}"/>
    <cellStyle name="Moneda 15 2" xfId="765" xr:uid="{00000000-0005-0000-0000-0000EB020000}"/>
    <cellStyle name="Moneda 15 2 2" xfId="766" xr:uid="{00000000-0005-0000-0000-0000EC020000}"/>
    <cellStyle name="Moneda 15 2 2 2" xfId="767" xr:uid="{00000000-0005-0000-0000-0000ED020000}"/>
    <cellStyle name="Moneda 15 2 2 2 2" xfId="768" xr:uid="{00000000-0005-0000-0000-0000EE020000}"/>
    <cellStyle name="Moneda 15 2 2 2 2 2" xfId="769" xr:uid="{00000000-0005-0000-0000-0000EF020000}"/>
    <cellStyle name="Moneda 15 2 2 2 3" xfId="770" xr:uid="{00000000-0005-0000-0000-0000F0020000}"/>
    <cellStyle name="Moneda 15 2 2 2 3 2" xfId="771" xr:uid="{00000000-0005-0000-0000-0000F1020000}"/>
    <cellStyle name="Moneda 15 2 2 2 4" xfId="772" xr:uid="{00000000-0005-0000-0000-0000F2020000}"/>
    <cellStyle name="Moneda 15 2 2 2 4 2" xfId="773" xr:uid="{00000000-0005-0000-0000-0000F3020000}"/>
    <cellStyle name="Moneda 15 2 2 2 5" xfId="774" xr:uid="{00000000-0005-0000-0000-0000F4020000}"/>
    <cellStyle name="Moneda 15 2 2 3" xfId="775" xr:uid="{00000000-0005-0000-0000-0000F5020000}"/>
    <cellStyle name="Moneda 15 2 2 3 2" xfId="776" xr:uid="{00000000-0005-0000-0000-0000F6020000}"/>
    <cellStyle name="Moneda 15 2 2 4" xfId="777" xr:uid="{00000000-0005-0000-0000-0000F7020000}"/>
    <cellStyle name="Moneda 15 2 2 4 2" xfId="778" xr:uid="{00000000-0005-0000-0000-0000F8020000}"/>
    <cellStyle name="Moneda 15 2 2 5" xfId="779" xr:uid="{00000000-0005-0000-0000-0000F9020000}"/>
    <cellStyle name="Moneda 15 2 2 5 2" xfId="780" xr:uid="{00000000-0005-0000-0000-0000FA020000}"/>
    <cellStyle name="Moneda 15 2 2 6" xfId="781" xr:uid="{00000000-0005-0000-0000-0000FB020000}"/>
    <cellStyle name="Moneda 15 2 3" xfId="782" xr:uid="{00000000-0005-0000-0000-0000FC020000}"/>
    <cellStyle name="Moneda 15 2 3 2" xfId="783" xr:uid="{00000000-0005-0000-0000-0000FD020000}"/>
    <cellStyle name="Moneda 15 2 3 2 2" xfId="784" xr:uid="{00000000-0005-0000-0000-0000FE020000}"/>
    <cellStyle name="Moneda 15 2 3 3" xfId="785" xr:uid="{00000000-0005-0000-0000-0000FF020000}"/>
    <cellStyle name="Moneda 15 2 3 3 2" xfId="786" xr:uid="{00000000-0005-0000-0000-000000030000}"/>
    <cellStyle name="Moneda 15 2 3 4" xfId="787" xr:uid="{00000000-0005-0000-0000-000001030000}"/>
    <cellStyle name="Moneda 15 2 3 4 2" xfId="788" xr:uid="{00000000-0005-0000-0000-000002030000}"/>
    <cellStyle name="Moneda 15 2 3 5" xfId="789" xr:uid="{00000000-0005-0000-0000-000003030000}"/>
    <cellStyle name="Moneda 15 2 4" xfId="790" xr:uid="{00000000-0005-0000-0000-000004030000}"/>
    <cellStyle name="Moneda 15 2 4 2" xfId="791" xr:uid="{00000000-0005-0000-0000-000005030000}"/>
    <cellStyle name="Moneda 15 2 5" xfId="792" xr:uid="{00000000-0005-0000-0000-000006030000}"/>
    <cellStyle name="Moneda 15 2 5 2" xfId="793" xr:uid="{00000000-0005-0000-0000-000007030000}"/>
    <cellStyle name="Moneda 15 2 6" xfId="794" xr:uid="{00000000-0005-0000-0000-000008030000}"/>
    <cellStyle name="Moneda 15 2 6 2" xfId="795" xr:uid="{00000000-0005-0000-0000-000009030000}"/>
    <cellStyle name="Moneda 15 2 7" xfId="796" xr:uid="{00000000-0005-0000-0000-00000A030000}"/>
    <cellStyle name="Moneda 15 2 8" xfId="797" xr:uid="{00000000-0005-0000-0000-00000B030000}"/>
    <cellStyle name="Moneda 15 3" xfId="798" xr:uid="{00000000-0005-0000-0000-00000C030000}"/>
    <cellStyle name="Moneda 15 3 2" xfId="799" xr:uid="{00000000-0005-0000-0000-00000D030000}"/>
    <cellStyle name="Moneda 15 3 2 2" xfId="800" xr:uid="{00000000-0005-0000-0000-00000E030000}"/>
    <cellStyle name="Moneda 15 3 2 2 2" xfId="801" xr:uid="{00000000-0005-0000-0000-00000F030000}"/>
    <cellStyle name="Moneda 15 3 2 3" xfId="802" xr:uid="{00000000-0005-0000-0000-000010030000}"/>
    <cellStyle name="Moneda 15 3 2 3 2" xfId="803" xr:uid="{00000000-0005-0000-0000-000011030000}"/>
    <cellStyle name="Moneda 15 3 2 4" xfId="804" xr:uid="{00000000-0005-0000-0000-000012030000}"/>
    <cellStyle name="Moneda 15 3 2 4 2" xfId="805" xr:uid="{00000000-0005-0000-0000-000013030000}"/>
    <cellStyle name="Moneda 15 3 2 5" xfId="806" xr:uid="{00000000-0005-0000-0000-000014030000}"/>
    <cellStyle name="Moneda 15 3 3" xfId="807" xr:uid="{00000000-0005-0000-0000-000015030000}"/>
    <cellStyle name="Moneda 15 3 3 2" xfId="808" xr:uid="{00000000-0005-0000-0000-000016030000}"/>
    <cellStyle name="Moneda 15 3 4" xfId="809" xr:uid="{00000000-0005-0000-0000-000017030000}"/>
    <cellStyle name="Moneda 15 3 4 2" xfId="810" xr:uid="{00000000-0005-0000-0000-000018030000}"/>
    <cellStyle name="Moneda 15 3 5" xfId="811" xr:uid="{00000000-0005-0000-0000-000019030000}"/>
    <cellStyle name="Moneda 15 3 5 2" xfId="812" xr:uid="{00000000-0005-0000-0000-00001A030000}"/>
    <cellStyle name="Moneda 15 3 6" xfId="813" xr:uid="{00000000-0005-0000-0000-00001B030000}"/>
    <cellStyle name="Moneda 15 4" xfId="814" xr:uid="{00000000-0005-0000-0000-00001C030000}"/>
    <cellStyle name="Moneda 15 4 2" xfId="815" xr:uid="{00000000-0005-0000-0000-00001D030000}"/>
    <cellStyle name="Moneda 15 4 2 2" xfId="816" xr:uid="{00000000-0005-0000-0000-00001E030000}"/>
    <cellStyle name="Moneda 15 4 3" xfId="817" xr:uid="{00000000-0005-0000-0000-00001F030000}"/>
    <cellStyle name="Moneda 15 4 3 2" xfId="818" xr:uid="{00000000-0005-0000-0000-000020030000}"/>
    <cellStyle name="Moneda 15 4 4" xfId="819" xr:uid="{00000000-0005-0000-0000-000021030000}"/>
    <cellStyle name="Moneda 15 4 4 2" xfId="820" xr:uid="{00000000-0005-0000-0000-000022030000}"/>
    <cellStyle name="Moneda 15 4 5" xfId="821" xr:uid="{00000000-0005-0000-0000-000023030000}"/>
    <cellStyle name="Moneda 15 5" xfId="822" xr:uid="{00000000-0005-0000-0000-000024030000}"/>
    <cellStyle name="Moneda 15 5 2" xfId="823" xr:uid="{00000000-0005-0000-0000-000025030000}"/>
    <cellStyle name="Moneda 15 6" xfId="824" xr:uid="{00000000-0005-0000-0000-000026030000}"/>
    <cellStyle name="Moneda 15 6 2" xfId="825" xr:uid="{00000000-0005-0000-0000-000027030000}"/>
    <cellStyle name="Moneda 15 7" xfId="826" xr:uid="{00000000-0005-0000-0000-000028030000}"/>
    <cellStyle name="Moneda 15 7 2" xfId="827" xr:uid="{00000000-0005-0000-0000-000029030000}"/>
    <cellStyle name="Moneda 15 8" xfId="828" xr:uid="{00000000-0005-0000-0000-00002A030000}"/>
    <cellStyle name="Moneda 15 9" xfId="829" xr:uid="{00000000-0005-0000-0000-00002B030000}"/>
    <cellStyle name="Moneda 16" xfId="830" xr:uid="{00000000-0005-0000-0000-00002C030000}"/>
    <cellStyle name="Moneda 16 2" xfId="831" xr:uid="{00000000-0005-0000-0000-00002D030000}"/>
    <cellStyle name="Moneda 16 2 2" xfId="832" xr:uid="{00000000-0005-0000-0000-00002E030000}"/>
    <cellStyle name="Moneda 16 2 2 2" xfId="833" xr:uid="{00000000-0005-0000-0000-00002F030000}"/>
    <cellStyle name="Moneda 16 2 2 2 2" xfId="834" xr:uid="{00000000-0005-0000-0000-000030030000}"/>
    <cellStyle name="Moneda 16 2 2 3" xfId="835" xr:uid="{00000000-0005-0000-0000-000031030000}"/>
    <cellStyle name="Moneda 16 2 2 3 2" xfId="836" xr:uid="{00000000-0005-0000-0000-000032030000}"/>
    <cellStyle name="Moneda 16 2 2 4" xfId="837" xr:uid="{00000000-0005-0000-0000-000033030000}"/>
    <cellStyle name="Moneda 16 2 2 4 2" xfId="838" xr:uid="{00000000-0005-0000-0000-000034030000}"/>
    <cellStyle name="Moneda 16 2 2 5" xfId="839" xr:uid="{00000000-0005-0000-0000-000035030000}"/>
    <cellStyle name="Moneda 16 2 3" xfId="840" xr:uid="{00000000-0005-0000-0000-000036030000}"/>
    <cellStyle name="Moneda 16 2 3 2" xfId="841" xr:uid="{00000000-0005-0000-0000-000037030000}"/>
    <cellStyle name="Moneda 16 2 4" xfId="842" xr:uid="{00000000-0005-0000-0000-000038030000}"/>
    <cellStyle name="Moneda 16 2 4 2" xfId="843" xr:uid="{00000000-0005-0000-0000-000039030000}"/>
    <cellStyle name="Moneda 16 2 5" xfId="844" xr:uid="{00000000-0005-0000-0000-00003A030000}"/>
    <cellStyle name="Moneda 16 2 5 2" xfId="845" xr:uid="{00000000-0005-0000-0000-00003B030000}"/>
    <cellStyle name="Moneda 16 2 6" xfId="846" xr:uid="{00000000-0005-0000-0000-00003C030000}"/>
    <cellStyle name="Moneda 16 2 7" xfId="847" xr:uid="{00000000-0005-0000-0000-00003D030000}"/>
    <cellStyle name="Moneda 16 3" xfId="848" xr:uid="{00000000-0005-0000-0000-00003E030000}"/>
    <cellStyle name="Moneda 16 3 2" xfId="849" xr:uid="{00000000-0005-0000-0000-00003F030000}"/>
    <cellStyle name="Moneda 16 3 2 2" xfId="850" xr:uid="{00000000-0005-0000-0000-000040030000}"/>
    <cellStyle name="Moneda 16 3 3" xfId="851" xr:uid="{00000000-0005-0000-0000-000041030000}"/>
    <cellStyle name="Moneda 16 3 3 2" xfId="852" xr:uid="{00000000-0005-0000-0000-000042030000}"/>
    <cellStyle name="Moneda 16 3 4" xfId="853" xr:uid="{00000000-0005-0000-0000-000043030000}"/>
    <cellStyle name="Moneda 16 3 4 2" xfId="854" xr:uid="{00000000-0005-0000-0000-000044030000}"/>
    <cellStyle name="Moneda 16 3 5" xfId="855" xr:uid="{00000000-0005-0000-0000-000045030000}"/>
    <cellStyle name="Moneda 16 4" xfId="856" xr:uid="{00000000-0005-0000-0000-000046030000}"/>
    <cellStyle name="Moneda 16 4 2" xfId="857" xr:uid="{00000000-0005-0000-0000-000047030000}"/>
    <cellStyle name="Moneda 16 5" xfId="858" xr:uid="{00000000-0005-0000-0000-000048030000}"/>
    <cellStyle name="Moneda 16 5 2" xfId="859" xr:uid="{00000000-0005-0000-0000-000049030000}"/>
    <cellStyle name="Moneda 16 6" xfId="860" xr:uid="{00000000-0005-0000-0000-00004A030000}"/>
    <cellStyle name="Moneda 16 6 2" xfId="861" xr:uid="{00000000-0005-0000-0000-00004B030000}"/>
    <cellStyle name="Moneda 16 7" xfId="862" xr:uid="{00000000-0005-0000-0000-00004C030000}"/>
    <cellStyle name="Moneda 16 8" xfId="863" xr:uid="{00000000-0005-0000-0000-00004D030000}"/>
    <cellStyle name="Moneda 17" xfId="864" xr:uid="{00000000-0005-0000-0000-00004E030000}"/>
    <cellStyle name="Moneda 17 2" xfId="865" xr:uid="{00000000-0005-0000-0000-00004F030000}"/>
    <cellStyle name="Moneda 17 2 2" xfId="866" xr:uid="{00000000-0005-0000-0000-000050030000}"/>
    <cellStyle name="Moneda 17 2 2 2" xfId="867" xr:uid="{00000000-0005-0000-0000-000051030000}"/>
    <cellStyle name="Moneda 17 2 2 2 2" xfId="868" xr:uid="{00000000-0005-0000-0000-000052030000}"/>
    <cellStyle name="Moneda 17 2 2 3" xfId="869" xr:uid="{00000000-0005-0000-0000-000053030000}"/>
    <cellStyle name="Moneda 17 2 2 3 2" xfId="870" xr:uid="{00000000-0005-0000-0000-000054030000}"/>
    <cellStyle name="Moneda 17 2 2 4" xfId="871" xr:uid="{00000000-0005-0000-0000-000055030000}"/>
    <cellStyle name="Moneda 17 2 2 4 2" xfId="872" xr:uid="{00000000-0005-0000-0000-000056030000}"/>
    <cellStyle name="Moneda 17 2 2 5" xfId="873" xr:uid="{00000000-0005-0000-0000-000057030000}"/>
    <cellStyle name="Moneda 17 2 3" xfId="874" xr:uid="{00000000-0005-0000-0000-000058030000}"/>
    <cellStyle name="Moneda 17 2 3 2" xfId="875" xr:uid="{00000000-0005-0000-0000-000059030000}"/>
    <cellStyle name="Moneda 17 2 4" xfId="876" xr:uid="{00000000-0005-0000-0000-00005A030000}"/>
    <cellStyle name="Moneda 17 2 4 2" xfId="877" xr:uid="{00000000-0005-0000-0000-00005B030000}"/>
    <cellStyle name="Moneda 17 2 5" xfId="878" xr:uid="{00000000-0005-0000-0000-00005C030000}"/>
    <cellStyle name="Moneda 17 2 5 2" xfId="879" xr:uid="{00000000-0005-0000-0000-00005D030000}"/>
    <cellStyle name="Moneda 17 2 6" xfId="880" xr:uid="{00000000-0005-0000-0000-00005E030000}"/>
    <cellStyle name="Moneda 17 2 7" xfId="881" xr:uid="{00000000-0005-0000-0000-00005F030000}"/>
    <cellStyle name="Moneda 17 3" xfId="882" xr:uid="{00000000-0005-0000-0000-000060030000}"/>
    <cellStyle name="Moneda 17 3 2" xfId="883" xr:uid="{00000000-0005-0000-0000-000061030000}"/>
    <cellStyle name="Moneda 17 3 2 2" xfId="884" xr:uid="{00000000-0005-0000-0000-000062030000}"/>
    <cellStyle name="Moneda 17 3 3" xfId="885" xr:uid="{00000000-0005-0000-0000-000063030000}"/>
    <cellStyle name="Moneda 17 3 3 2" xfId="886" xr:uid="{00000000-0005-0000-0000-000064030000}"/>
    <cellStyle name="Moneda 17 3 4" xfId="887" xr:uid="{00000000-0005-0000-0000-000065030000}"/>
    <cellStyle name="Moneda 17 3 4 2" xfId="888" xr:uid="{00000000-0005-0000-0000-000066030000}"/>
    <cellStyle name="Moneda 17 3 5" xfId="889" xr:uid="{00000000-0005-0000-0000-000067030000}"/>
    <cellStyle name="Moneda 17 4" xfId="890" xr:uid="{00000000-0005-0000-0000-000068030000}"/>
    <cellStyle name="Moneda 17 4 2" xfId="891" xr:uid="{00000000-0005-0000-0000-000069030000}"/>
    <cellStyle name="Moneda 17 5" xfId="892" xr:uid="{00000000-0005-0000-0000-00006A030000}"/>
    <cellStyle name="Moneda 17 5 2" xfId="893" xr:uid="{00000000-0005-0000-0000-00006B030000}"/>
    <cellStyle name="Moneda 17 6" xfId="894" xr:uid="{00000000-0005-0000-0000-00006C030000}"/>
    <cellStyle name="Moneda 17 6 2" xfId="895" xr:uid="{00000000-0005-0000-0000-00006D030000}"/>
    <cellStyle name="Moneda 17 7" xfId="896" xr:uid="{00000000-0005-0000-0000-00006E030000}"/>
    <cellStyle name="Moneda 17 8" xfId="897" xr:uid="{00000000-0005-0000-0000-00006F030000}"/>
    <cellStyle name="Moneda 18" xfId="898" xr:uid="{00000000-0005-0000-0000-000070030000}"/>
    <cellStyle name="Moneda 18 2" xfId="899" xr:uid="{00000000-0005-0000-0000-000071030000}"/>
    <cellStyle name="Moneda 18 2 2" xfId="900" xr:uid="{00000000-0005-0000-0000-000072030000}"/>
    <cellStyle name="Moneda 18 2 2 2" xfId="901" xr:uid="{00000000-0005-0000-0000-000073030000}"/>
    <cellStyle name="Moneda 18 2 2 2 2" xfId="902" xr:uid="{00000000-0005-0000-0000-000074030000}"/>
    <cellStyle name="Moneda 18 2 2 3" xfId="903" xr:uid="{00000000-0005-0000-0000-000075030000}"/>
    <cellStyle name="Moneda 18 2 2 3 2" xfId="904" xr:uid="{00000000-0005-0000-0000-000076030000}"/>
    <cellStyle name="Moneda 18 2 2 4" xfId="905" xr:uid="{00000000-0005-0000-0000-000077030000}"/>
    <cellStyle name="Moneda 18 2 2 4 2" xfId="906" xr:uid="{00000000-0005-0000-0000-000078030000}"/>
    <cellStyle name="Moneda 18 2 2 5" xfId="907" xr:uid="{00000000-0005-0000-0000-000079030000}"/>
    <cellStyle name="Moneda 18 2 3" xfId="908" xr:uid="{00000000-0005-0000-0000-00007A030000}"/>
    <cellStyle name="Moneda 18 2 3 2" xfId="909" xr:uid="{00000000-0005-0000-0000-00007B030000}"/>
    <cellStyle name="Moneda 18 2 4" xfId="910" xr:uid="{00000000-0005-0000-0000-00007C030000}"/>
    <cellStyle name="Moneda 18 2 4 2" xfId="911" xr:uid="{00000000-0005-0000-0000-00007D030000}"/>
    <cellStyle name="Moneda 18 2 5" xfId="912" xr:uid="{00000000-0005-0000-0000-00007E030000}"/>
    <cellStyle name="Moneda 18 2 5 2" xfId="913" xr:uid="{00000000-0005-0000-0000-00007F030000}"/>
    <cellStyle name="Moneda 18 2 6" xfId="914" xr:uid="{00000000-0005-0000-0000-000080030000}"/>
    <cellStyle name="Moneda 18 2 7" xfId="915" xr:uid="{00000000-0005-0000-0000-000081030000}"/>
    <cellStyle name="Moneda 18 3" xfId="916" xr:uid="{00000000-0005-0000-0000-000082030000}"/>
    <cellStyle name="Moneda 18 3 2" xfId="917" xr:uid="{00000000-0005-0000-0000-000083030000}"/>
    <cellStyle name="Moneda 18 3 2 2" xfId="918" xr:uid="{00000000-0005-0000-0000-000084030000}"/>
    <cellStyle name="Moneda 18 3 3" xfId="919" xr:uid="{00000000-0005-0000-0000-000085030000}"/>
    <cellStyle name="Moneda 18 3 3 2" xfId="920" xr:uid="{00000000-0005-0000-0000-000086030000}"/>
    <cellStyle name="Moneda 18 3 4" xfId="921" xr:uid="{00000000-0005-0000-0000-000087030000}"/>
    <cellStyle name="Moneda 18 3 4 2" xfId="922" xr:uid="{00000000-0005-0000-0000-000088030000}"/>
    <cellStyle name="Moneda 18 3 5" xfId="923" xr:uid="{00000000-0005-0000-0000-000089030000}"/>
    <cellStyle name="Moneda 18 4" xfId="924" xr:uid="{00000000-0005-0000-0000-00008A030000}"/>
    <cellStyle name="Moneda 18 4 2" xfId="925" xr:uid="{00000000-0005-0000-0000-00008B030000}"/>
    <cellStyle name="Moneda 18 5" xfId="926" xr:uid="{00000000-0005-0000-0000-00008C030000}"/>
    <cellStyle name="Moneda 18 5 2" xfId="927" xr:uid="{00000000-0005-0000-0000-00008D030000}"/>
    <cellStyle name="Moneda 18 6" xfId="928" xr:uid="{00000000-0005-0000-0000-00008E030000}"/>
    <cellStyle name="Moneda 18 6 2" xfId="929" xr:uid="{00000000-0005-0000-0000-00008F030000}"/>
    <cellStyle name="Moneda 18 7" xfId="930" xr:uid="{00000000-0005-0000-0000-000090030000}"/>
    <cellStyle name="Moneda 18 8" xfId="931" xr:uid="{00000000-0005-0000-0000-000091030000}"/>
    <cellStyle name="Moneda 19" xfId="932" xr:uid="{00000000-0005-0000-0000-000092030000}"/>
    <cellStyle name="Moneda 19 2" xfId="933" xr:uid="{00000000-0005-0000-0000-000093030000}"/>
    <cellStyle name="Moneda 19 2 2" xfId="934" xr:uid="{00000000-0005-0000-0000-000094030000}"/>
    <cellStyle name="Moneda 19 2 2 2" xfId="935" xr:uid="{00000000-0005-0000-0000-000095030000}"/>
    <cellStyle name="Moneda 19 2 2 2 2" xfId="936" xr:uid="{00000000-0005-0000-0000-000096030000}"/>
    <cellStyle name="Moneda 19 2 2 3" xfId="937" xr:uid="{00000000-0005-0000-0000-000097030000}"/>
    <cellStyle name="Moneda 19 2 2 3 2" xfId="938" xr:uid="{00000000-0005-0000-0000-000098030000}"/>
    <cellStyle name="Moneda 19 2 2 4" xfId="939" xr:uid="{00000000-0005-0000-0000-000099030000}"/>
    <cellStyle name="Moneda 19 2 2 4 2" xfId="940" xr:uid="{00000000-0005-0000-0000-00009A030000}"/>
    <cellStyle name="Moneda 19 2 2 5" xfId="941" xr:uid="{00000000-0005-0000-0000-00009B030000}"/>
    <cellStyle name="Moneda 19 2 3" xfId="942" xr:uid="{00000000-0005-0000-0000-00009C030000}"/>
    <cellStyle name="Moneda 19 2 3 2" xfId="943" xr:uid="{00000000-0005-0000-0000-00009D030000}"/>
    <cellStyle name="Moneda 19 2 4" xfId="944" xr:uid="{00000000-0005-0000-0000-00009E030000}"/>
    <cellStyle name="Moneda 19 2 4 2" xfId="945" xr:uid="{00000000-0005-0000-0000-00009F030000}"/>
    <cellStyle name="Moneda 19 2 5" xfId="946" xr:uid="{00000000-0005-0000-0000-0000A0030000}"/>
    <cellStyle name="Moneda 19 2 5 2" xfId="947" xr:uid="{00000000-0005-0000-0000-0000A1030000}"/>
    <cellStyle name="Moneda 19 2 6" xfId="948" xr:uid="{00000000-0005-0000-0000-0000A2030000}"/>
    <cellStyle name="Moneda 19 2 7" xfId="949" xr:uid="{00000000-0005-0000-0000-0000A3030000}"/>
    <cellStyle name="Moneda 19 3" xfId="950" xr:uid="{00000000-0005-0000-0000-0000A4030000}"/>
    <cellStyle name="Moneda 19 3 2" xfId="951" xr:uid="{00000000-0005-0000-0000-0000A5030000}"/>
    <cellStyle name="Moneda 19 3 2 2" xfId="952" xr:uid="{00000000-0005-0000-0000-0000A6030000}"/>
    <cellStyle name="Moneda 19 3 3" xfId="953" xr:uid="{00000000-0005-0000-0000-0000A7030000}"/>
    <cellStyle name="Moneda 19 3 3 2" xfId="954" xr:uid="{00000000-0005-0000-0000-0000A8030000}"/>
    <cellStyle name="Moneda 19 3 4" xfId="955" xr:uid="{00000000-0005-0000-0000-0000A9030000}"/>
    <cellStyle name="Moneda 19 3 4 2" xfId="956" xr:uid="{00000000-0005-0000-0000-0000AA030000}"/>
    <cellStyle name="Moneda 19 3 5" xfId="957" xr:uid="{00000000-0005-0000-0000-0000AB030000}"/>
    <cellStyle name="Moneda 19 4" xfId="958" xr:uid="{00000000-0005-0000-0000-0000AC030000}"/>
    <cellStyle name="Moneda 19 4 2" xfId="959" xr:uid="{00000000-0005-0000-0000-0000AD030000}"/>
    <cellStyle name="Moneda 19 5" xfId="960" xr:uid="{00000000-0005-0000-0000-0000AE030000}"/>
    <cellStyle name="Moneda 19 5 2" xfId="961" xr:uid="{00000000-0005-0000-0000-0000AF030000}"/>
    <cellStyle name="Moneda 19 6" xfId="962" xr:uid="{00000000-0005-0000-0000-0000B0030000}"/>
    <cellStyle name="Moneda 19 6 2" xfId="963" xr:uid="{00000000-0005-0000-0000-0000B1030000}"/>
    <cellStyle name="Moneda 19 7" xfId="964" xr:uid="{00000000-0005-0000-0000-0000B2030000}"/>
    <cellStyle name="Moneda 19 8" xfId="965" xr:uid="{00000000-0005-0000-0000-0000B3030000}"/>
    <cellStyle name="Moneda 2" xfId="10" xr:uid="{00000000-0005-0000-0000-0000B4030000}"/>
    <cellStyle name="Moneda 2 2" xfId="11" xr:uid="{00000000-0005-0000-0000-0000B5030000}"/>
    <cellStyle name="Moneda 2 2 2" xfId="12" xr:uid="{00000000-0005-0000-0000-0000B6030000}"/>
    <cellStyle name="Moneda 2 2 3" xfId="966" xr:uid="{00000000-0005-0000-0000-0000B7030000}"/>
    <cellStyle name="Moneda 2 2 3 2" xfId="967" xr:uid="{00000000-0005-0000-0000-0000B8030000}"/>
    <cellStyle name="Moneda 2 3" xfId="13" xr:uid="{00000000-0005-0000-0000-0000B9030000}"/>
    <cellStyle name="Moneda 2 3 10" xfId="968" xr:uid="{00000000-0005-0000-0000-0000BA030000}"/>
    <cellStyle name="Moneda 2 3 10 2" xfId="969" xr:uid="{00000000-0005-0000-0000-0000BB030000}"/>
    <cellStyle name="Moneda 2 3 10 2 2" xfId="970" xr:uid="{00000000-0005-0000-0000-0000BC030000}"/>
    <cellStyle name="Moneda 2 3 10 3" xfId="971" xr:uid="{00000000-0005-0000-0000-0000BD030000}"/>
    <cellStyle name="Moneda 2 3 11" xfId="972" xr:uid="{00000000-0005-0000-0000-0000BE030000}"/>
    <cellStyle name="Moneda 2 3 11 2" xfId="973" xr:uid="{00000000-0005-0000-0000-0000BF030000}"/>
    <cellStyle name="Moneda 2 3 11 3" xfId="974" xr:uid="{00000000-0005-0000-0000-0000C0030000}"/>
    <cellStyle name="Moneda 2 3 12" xfId="975" xr:uid="{00000000-0005-0000-0000-0000C1030000}"/>
    <cellStyle name="Moneda 2 3 2" xfId="976" xr:uid="{00000000-0005-0000-0000-0000C2030000}"/>
    <cellStyle name="Moneda 2 3 2 10" xfId="977" xr:uid="{00000000-0005-0000-0000-0000C3030000}"/>
    <cellStyle name="Moneda 2 3 2 11" xfId="978" xr:uid="{00000000-0005-0000-0000-0000C4030000}"/>
    <cellStyle name="Moneda 2 3 2 2" xfId="979" xr:uid="{00000000-0005-0000-0000-0000C5030000}"/>
    <cellStyle name="Moneda 2 3 2 2 2" xfId="980" xr:uid="{00000000-0005-0000-0000-0000C6030000}"/>
    <cellStyle name="Moneda 2 3 2 2 2 2" xfId="981" xr:uid="{00000000-0005-0000-0000-0000C7030000}"/>
    <cellStyle name="Moneda 2 3 2 2 2 2 2" xfId="982" xr:uid="{00000000-0005-0000-0000-0000C8030000}"/>
    <cellStyle name="Moneda 2 3 2 2 2 2 2 2" xfId="983" xr:uid="{00000000-0005-0000-0000-0000C9030000}"/>
    <cellStyle name="Moneda 2 3 2 2 2 2 2 2 2" xfId="984" xr:uid="{00000000-0005-0000-0000-0000CA030000}"/>
    <cellStyle name="Moneda 2 3 2 2 2 2 2 3" xfId="985" xr:uid="{00000000-0005-0000-0000-0000CB030000}"/>
    <cellStyle name="Moneda 2 3 2 2 2 2 3" xfId="986" xr:uid="{00000000-0005-0000-0000-0000CC030000}"/>
    <cellStyle name="Moneda 2 3 2 2 2 2 3 2" xfId="987" xr:uid="{00000000-0005-0000-0000-0000CD030000}"/>
    <cellStyle name="Moneda 2 3 2 2 2 2 3 3" xfId="988" xr:uid="{00000000-0005-0000-0000-0000CE030000}"/>
    <cellStyle name="Moneda 2 3 2 2 2 2 4" xfId="989" xr:uid="{00000000-0005-0000-0000-0000CF030000}"/>
    <cellStyle name="Moneda 2 3 2 2 2 2 4 2" xfId="990" xr:uid="{00000000-0005-0000-0000-0000D0030000}"/>
    <cellStyle name="Moneda 2 3 2 2 2 2 5" xfId="991" xr:uid="{00000000-0005-0000-0000-0000D1030000}"/>
    <cellStyle name="Moneda 2 3 2 2 2 2 6" xfId="992" xr:uid="{00000000-0005-0000-0000-0000D2030000}"/>
    <cellStyle name="Moneda 2 3 2 2 2 3" xfId="993" xr:uid="{00000000-0005-0000-0000-0000D3030000}"/>
    <cellStyle name="Moneda 2 3 2 2 2 3 2" xfId="994" xr:uid="{00000000-0005-0000-0000-0000D4030000}"/>
    <cellStyle name="Moneda 2 3 2 2 2 3 2 2" xfId="995" xr:uid="{00000000-0005-0000-0000-0000D5030000}"/>
    <cellStyle name="Moneda 2 3 2 2 2 3 3" xfId="996" xr:uid="{00000000-0005-0000-0000-0000D6030000}"/>
    <cellStyle name="Moneda 2 3 2 2 2 4" xfId="997" xr:uid="{00000000-0005-0000-0000-0000D7030000}"/>
    <cellStyle name="Moneda 2 3 2 2 2 4 2" xfId="998" xr:uid="{00000000-0005-0000-0000-0000D8030000}"/>
    <cellStyle name="Moneda 2 3 2 2 2 4 3" xfId="999" xr:uid="{00000000-0005-0000-0000-0000D9030000}"/>
    <cellStyle name="Moneda 2 3 2 2 2 5" xfId="1000" xr:uid="{00000000-0005-0000-0000-0000DA030000}"/>
    <cellStyle name="Moneda 2 3 2 2 2 5 2" xfId="1001" xr:uid="{00000000-0005-0000-0000-0000DB030000}"/>
    <cellStyle name="Moneda 2 3 2 2 2 6" xfId="1002" xr:uid="{00000000-0005-0000-0000-0000DC030000}"/>
    <cellStyle name="Moneda 2 3 2 2 2 7" xfId="1003" xr:uid="{00000000-0005-0000-0000-0000DD030000}"/>
    <cellStyle name="Moneda 2 3 2 2 3" xfId="1004" xr:uid="{00000000-0005-0000-0000-0000DE030000}"/>
    <cellStyle name="Moneda 2 3 2 2 3 2" xfId="1005" xr:uid="{00000000-0005-0000-0000-0000DF030000}"/>
    <cellStyle name="Moneda 2 3 2 2 3 2 2" xfId="1006" xr:uid="{00000000-0005-0000-0000-0000E0030000}"/>
    <cellStyle name="Moneda 2 3 2 2 3 2 2 2" xfId="1007" xr:uid="{00000000-0005-0000-0000-0000E1030000}"/>
    <cellStyle name="Moneda 2 3 2 2 3 2 2 3" xfId="1008" xr:uid="{00000000-0005-0000-0000-0000E2030000}"/>
    <cellStyle name="Moneda 2 3 2 2 3 2 3" xfId="1009" xr:uid="{00000000-0005-0000-0000-0000E3030000}"/>
    <cellStyle name="Moneda 2 3 2 2 3 2 4" xfId="1010" xr:uid="{00000000-0005-0000-0000-0000E4030000}"/>
    <cellStyle name="Moneda 2 3 2 2 3 3" xfId="1011" xr:uid="{00000000-0005-0000-0000-0000E5030000}"/>
    <cellStyle name="Moneda 2 3 2 2 3 3 2" xfId="1012" xr:uid="{00000000-0005-0000-0000-0000E6030000}"/>
    <cellStyle name="Moneda 2 3 2 2 3 3 2 2" xfId="1013" xr:uid="{00000000-0005-0000-0000-0000E7030000}"/>
    <cellStyle name="Moneda 2 3 2 2 3 3 3" xfId="1014" xr:uid="{00000000-0005-0000-0000-0000E8030000}"/>
    <cellStyle name="Moneda 2 3 2 2 3 4" xfId="1015" xr:uid="{00000000-0005-0000-0000-0000E9030000}"/>
    <cellStyle name="Moneda 2 3 2 2 3 4 2" xfId="1016" xr:uid="{00000000-0005-0000-0000-0000EA030000}"/>
    <cellStyle name="Moneda 2 3 2 2 3 4 3" xfId="1017" xr:uid="{00000000-0005-0000-0000-0000EB030000}"/>
    <cellStyle name="Moneda 2 3 2 2 3 5" xfId="1018" xr:uid="{00000000-0005-0000-0000-0000EC030000}"/>
    <cellStyle name="Moneda 2 3 2 2 3 6" xfId="1019" xr:uid="{00000000-0005-0000-0000-0000ED030000}"/>
    <cellStyle name="Moneda 2 3 2 2 4" xfId="1020" xr:uid="{00000000-0005-0000-0000-0000EE030000}"/>
    <cellStyle name="Moneda 2 3 2 2 4 2" xfId="1021" xr:uid="{00000000-0005-0000-0000-0000EF030000}"/>
    <cellStyle name="Moneda 2 3 2 2 4 2 2" xfId="1022" xr:uid="{00000000-0005-0000-0000-0000F0030000}"/>
    <cellStyle name="Moneda 2 3 2 2 4 2 2 2" xfId="1023" xr:uid="{00000000-0005-0000-0000-0000F1030000}"/>
    <cellStyle name="Moneda 2 3 2 2 4 2 3" xfId="1024" xr:uid="{00000000-0005-0000-0000-0000F2030000}"/>
    <cellStyle name="Moneda 2 3 2 2 4 2 4" xfId="1025" xr:uid="{00000000-0005-0000-0000-0000F3030000}"/>
    <cellStyle name="Moneda 2 3 2 2 4 3" xfId="1026" xr:uid="{00000000-0005-0000-0000-0000F4030000}"/>
    <cellStyle name="Moneda 2 3 2 2 4 3 2" xfId="1027" xr:uid="{00000000-0005-0000-0000-0000F5030000}"/>
    <cellStyle name="Moneda 2 3 2 2 4 4" xfId="1028" xr:uid="{00000000-0005-0000-0000-0000F6030000}"/>
    <cellStyle name="Moneda 2 3 2 2 4 5" xfId="1029" xr:uid="{00000000-0005-0000-0000-0000F7030000}"/>
    <cellStyle name="Moneda 2 3 2 2 5" xfId="1030" xr:uid="{00000000-0005-0000-0000-0000F8030000}"/>
    <cellStyle name="Moneda 2 3 2 2 5 2" xfId="1031" xr:uid="{00000000-0005-0000-0000-0000F9030000}"/>
    <cellStyle name="Moneda 2 3 2 2 5 2 2" xfId="1032" xr:uid="{00000000-0005-0000-0000-0000FA030000}"/>
    <cellStyle name="Moneda 2 3 2 2 5 2 3" xfId="1033" xr:uid="{00000000-0005-0000-0000-0000FB030000}"/>
    <cellStyle name="Moneda 2 3 2 2 5 3" xfId="1034" xr:uid="{00000000-0005-0000-0000-0000FC030000}"/>
    <cellStyle name="Moneda 2 3 2 2 5 4" xfId="1035" xr:uid="{00000000-0005-0000-0000-0000FD030000}"/>
    <cellStyle name="Moneda 2 3 2 2 6" xfId="1036" xr:uid="{00000000-0005-0000-0000-0000FE030000}"/>
    <cellStyle name="Moneda 2 3 2 2 6 2" xfId="1037" xr:uid="{00000000-0005-0000-0000-0000FF030000}"/>
    <cellStyle name="Moneda 2 3 2 2 6 2 2" xfId="1038" xr:uid="{00000000-0005-0000-0000-000000040000}"/>
    <cellStyle name="Moneda 2 3 2 2 6 3" xfId="1039" xr:uid="{00000000-0005-0000-0000-000001040000}"/>
    <cellStyle name="Moneda 2 3 2 2 7" xfId="1040" xr:uid="{00000000-0005-0000-0000-000002040000}"/>
    <cellStyle name="Moneda 2 3 2 2 7 2" xfId="1041" xr:uid="{00000000-0005-0000-0000-000003040000}"/>
    <cellStyle name="Moneda 2 3 2 2 8" xfId="1042" xr:uid="{00000000-0005-0000-0000-000004040000}"/>
    <cellStyle name="Moneda 2 3 2 3" xfId="1043" xr:uid="{00000000-0005-0000-0000-000005040000}"/>
    <cellStyle name="Moneda 2 3 2 3 2" xfId="1044" xr:uid="{00000000-0005-0000-0000-000006040000}"/>
    <cellStyle name="Moneda 2 3 2 3 2 2" xfId="1045" xr:uid="{00000000-0005-0000-0000-000007040000}"/>
    <cellStyle name="Moneda 2 3 2 3 2 2 2" xfId="1046" xr:uid="{00000000-0005-0000-0000-000008040000}"/>
    <cellStyle name="Moneda 2 3 2 3 2 2 2 2" xfId="1047" xr:uid="{00000000-0005-0000-0000-000009040000}"/>
    <cellStyle name="Moneda 2 3 2 3 2 2 2 3" xfId="1048" xr:uid="{00000000-0005-0000-0000-00000A040000}"/>
    <cellStyle name="Moneda 2 3 2 3 2 2 3" xfId="1049" xr:uid="{00000000-0005-0000-0000-00000B040000}"/>
    <cellStyle name="Moneda 2 3 2 3 2 2 3 2" xfId="1050" xr:uid="{00000000-0005-0000-0000-00000C040000}"/>
    <cellStyle name="Moneda 2 3 2 3 2 2 4" xfId="1051" xr:uid="{00000000-0005-0000-0000-00000D040000}"/>
    <cellStyle name="Moneda 2 3 2 3 2 2 4 2" xfId="1052" xr:uid="{00000000-0005-0000-0000-00000E040000}"/>
    <cellStyle name="Moneda 2 3 2 3 2 2 5" xfId="1053" xr:uid="{00000000-0005-0000-0000-00000F040000}"/>
    <cellStyle name="Moneda 2 3 2 3 2 2 6" xfId="1054" xr:uid="{00000000-0005-0000-0000-000010040000}"/>
    <cellStyle name="Moneda 2 3 2 3 2 3" xfId="1055" xr:uid="{00000000-0005-0000-0000-000011040000}"/>
    <cellStyle name="Moneda 2 3 2 3 2 3 2" xfId="1056" xr:uid="{00000000-0005-0000-0000-000012040000}"/>
    <cellStyle name="Moneda 2 3 2 3 2 3 3" xfId="1057" xr:uid="{00000000-0005-0000-0000-000013040000}"/>
    <cellStyle name="Moneda 2 3 2 3 2 4" xfId="1058" xr:uid="{00000000-0005-0000-0000-000014040000}"/>
    <cellStyle name="Moneda 2 3 2 3 2 4 2" xfId="1059" xr:uid="{00000000-0005-0000-0000-000015040000}"/>
    <cellStyle name="Moneda 2 3 2 3 2 5" xfId="1060" xr:uid="{00000000-0005-0000-0000-000016040000}"/>
    <cellStyle name="Moneda 2 3 2 3 2 5 2" xfId="1061" xr:uid="{00000000-0005-0000-0000-000017040000}"/>
    <cellStyle name="Moneda 2 3 2 3 2 6" xfId="1062" xr:uid="{00000000-0005-0000-0000-000018040000}"/>
    <cellStyle name="Moneda 2 3 2 3 2 7" xfId="1063" xr:uid="{00000000-0005-0000-0000-000019040000}"/>
    <cellStyle name="Moneda 2 3 2 3 3" xfId="1064" xr:uid="{00000000-0005-0000-0000-00001A040000}"/>
    <cellStyle name="Moneda 2 3 2 3 3 2" xfId="1065" xr:uid="{00000000-0005-0000-0000-00001B040000}"/>
    <cellStyle name="Moneda 2 3 2 3 3 2 2" xfId="1066" xr:uid="{00000000-0005-0000-0000-00001C040000}"/>
    <cellStyle name="Moneda 2 3 2 3 3 2 3" xfId="1067" xr:uid="{00000000-0005-0000-0000-00001D040000}"/>
    <cellStyle name="Moneda 2 3 2 3 3 3" xfId="1068" xr:uid="{00000000-0005-0000-0000-00001E040000}"/>
    <cellStyle name="Moneda 2 3 2 3 3 3 2" xfId="1069" xr:uid="{00000000-0005-0000-0000-00001F040000}"/>
    <cellStyle name="Moneda 2 3 2 3 3 4" xfId="1070" xr:uid="{00000000-0005-0000-0000-000020040000}"/>
    <cellStyle name="Moneda 2 3 2 3 3 4 2" xfId="1071" xr:uid="{00000000-0005-0000-0000-000021040000}"/>
    <cellStyle name="Moneda 2 3 2 3 3 5" xfId="1072" xr:uid="{00000000-0005-0000-0000-000022040000}"/>
    <cellStyle name="Moneda 2 3 2 3 3 6" xfId="1073" xr:uid="{00000000-0005-0000-0000-000023040000}"/>
    <cellStyle name="Moneda 2 3 2 3 4" xfId="1074" xr:uid="{00000000-0005-0000-0000-000024040000}"/>
    <cellStyle name="Moneda 2 3 2 3 4 2" xfId="1075" xr:uid="{00000000-0005-0000-0000-000025040000}"/>
    <cellStyle name="Moneda 2 3 2 3 4 3" xfId="1076" xr:uid="{00000000-0005-0000-0000-000026040000}"/>
    <cellStyle name="Moneda 2 3 2 3 5" xfId="1077" xr:uid="{00000000-0005-0000-0000-000027040000}"/>
    <cellStyle name="Moneda 2 3 2 3 5 2" xfId="1078" xr:uid="{00000000-0005-0000-0000-000028040000}"/>
    <cellStyle name="Moneda 2 3 2 3 6" xfId="1079" xr:uid="{00000000-0005-0000-0000-000029040000}"/>
    <cellStyle name="Moneda 2 3 2 3 6 2" xfId="1080" xr:uid="{00000000-0005-0000-0000-00002A040000}"/>
    <cellStyle name="Moneda 2 3 2 3 7" xfId="1081" xr:uid="{00000000-0005-0000-0000-00002B040000}"/>
    <cellStyle name="Moneda 2 3 2 3 8" xfId="1082" xr:uid="{00000000-0005-0000-0000-00002C040000}"/>
    <cellStyle name="Moneda 2 3 2 4" xfId="1083" xr:uid="{00000000-0005-0000-0000-00002D040000}"/>
    <cellStyle name="Moneda 2 3 2 4 2" xfId="1084" xr:uid="{00000000-0005-0000-0000-00002E040000}"/>
    <cellStyle name="Moneda 2 3 2 4 2 2" xfId="1085" xr:uid="{00000000-0005-0000-0000-00002F040000}"/>
    <cellStyle name="Moneda 2 3 2 4 2 2 2" xfId="1086" xr:uid="{00000000-0005-0000-0000-000030040000}"/>
    <cellStyle name="Moneda 2 3 2 4 2 2 2 2" xfId="1087" xr:uid="{00000000-0005-0000-0000-000031040000}"/>
    <cellStyle name="Moneda 2 3 2 4 2 2 2 3" xfId="1088" xr:uid="{00000000-0005-0000-0000-000032040000}"/>
    <cellStyle name="Moneda 2 3 2 4 2 2 3" xfId="1089" xr:uid="{00000000-0005-0000-0000-000033040000}"/>
    <cellStyle name="Moneda 2 3 2 4 2 2 3 2" xfId="1090" xr:uid="{00000000-0005-0000-0000-000034040000}"/>
    <cellStyle name="Moneda 2 3 2 4 2 2 4" xfId="1091" xr:uid="{00000000-0005-0000-0000-000035040000}"/>
    <cellStyle name="Moneda 2 3 2 4 2 2 4 2" xfId="1092" xr:uid="{00000000-0005-0000-0000-000036040000}"/>
    <cellStyle name="Moneda 2 3 2 4 2 2 5" xfId="1093" xr:uid="{00000000-0005-0000-0000-000037040000}"/>
    <cellStyle name="Moneda 2 3 2 4 2 2 6" xfId="1094" xr:uid="{00000000-0005-0000-0000-000038040000}"/>
    <cellStyle name="Moneda 2 3 2 4 2 3" xfId="1095" xr:uid="{00000000-0005-0000-0000-000039040000}"/>
    <cellStyle name="Moneda 2 3 2 4 2 3 2" xfId="1096" xr:uid="{00000000-0005-0000-0000-00003A040000}"/>
    <cellStyle name="Moneda 2 3 2 4 2 3 3" xfId="1097" xr:uid="{00000000-0005-0000-0000-00003B040000}"/>
    <cellStyle name="Moneda 2 3 2 4 2 4" xfId="1098" xr:uid="{00000000-0005-0000-0000-00003C040000}"/>
    <cellStyle name="Moneda 2 3 2 4 2 4 2" xfId="1099" xr:uid="{00000000-0005-0000-0000-00003D040000}"/>
    <cellStyle name="Moneda 2 3 2 4 2 5" xfId="1100" xr:uid="{00000000-0005-0000-0000-00003E040000}"/>
    <cellStyle name="Moneda 2 3 2 4 2 5 2" xfId="1101" xr:uid="{00000000-0005-0000-0000-00003F040000}"/>
    <cellStyle name="Moneda 2 3 2 4 2 6" xfId="1102" xr:uid="{00000000-0005-0000-0000-000040040000}"/>
    <cellStyle name="Moneda 2 3 2 4 2 7" xfId="1103" xr:uid="{00000000-0005-0000-0000-000041040000}"/>
    <cellStyle name="Moneda 2 3 2 4 3" xfId="1104" xr:uid="{00000000-0005-0000-0000-000042040000}"/>
    <cellStyle name="Moneda 2 3 2 4 3 2" xfId="1105" xr:uid="{00000000-0005-0000-0000-000043040000}"/>
    <cellStyle name="Moneda 2 3 2 4 3 2 2" xfId="1106" xr:uid="{00000000-0005-0000-0000-000044040000}"/>
    <cellStyle name="Moneda 2 3 2 4 3 2 3" xfId="1107" xr:uid="{00000000-0005-0000-0000-000045040000}"/>
    <cellStyle name="Moneda 2 3 2 4 3 3" xfId="1108" xr:uid="{00000000-0005-0000-0000-000046040000}"/>
    <cellStyle name="Moneda 2 3 2 4 3 3 2" xfId="1109" xr:uid="{00000000-0005-0000-0000-000047040000}"/>
    <cellStyle name="Moneda 2 3 2 4 3 4" xfId="1110" xr:uid="{00000000-0005-0000-0000-000048040000}"/>
    <cellStyle name="Moneda 2 3 2 4 3 4 2" xfId="1111" xr:uid="{00000000-0005-0000-0000-000049040000}"/>
    <cellStyle name="Moneda 2 3 2 4 3 5" xfId="1112" xr:uid="{00000000-0005-0000-0000-00004A040000}"/>
    <cellStyle name="Moneda 2 3 2 4 3 6" xfId="1113" xr:uid="{00000000-0005-0000-0000-00004B040000}"/>
    <cellStyle name="Moneda 2 3 2 4 4" xfId="1114" xr:uid="{00000000-0005-0000-0000-00004C040000}"/>
    <cellStyle name="Moneda 2 3 2 4 4 2" xfId="1115" xr:uid="{00000000-0005-0000-0000-00004D040000}"/>
    <cellStyle name="Moneda 2 3 2 4 4 3" xfId="1116" xr:uid="{00000000-0005-0000-0000-00004E040000}"/>
    <cellStyle name="Moneda 2 3 2 4 5" xfId="1117" xr:uid="{00000000-0005-0000-0000-00004F040000}"/>
    <cellStyle name="Moneda 2 3 2 4 5 2" xfId="1118" xr:uid="{00000000-0005-0000-0000-000050040000}"/>
    <cellStyle name="Moneda 2 3 2 4 6" xfId="1119" xr:uid="{00000000-0005-0000-0000-000051040000}"/>
    <cellStyle name="Moneda 2 3 2 4 6 2" xfId="1120" xr:uid="{00000000-0005-0000-0000-000052040000}"/>
    <cellStyle name="Moneda 2 3 2 4 7" xfId="1121" xr:uid="{00000000-0005-0000-0000-000053040000}"/>
    <cellStyle name="Moneda 2 3 2 4 8" xfId="1122" xr:uid="{00000000-0005-0000-0000-000054040000}"/>
    <cellStyle name="Moneda 2 3 2 5" xfId="1123" xr:uid="{00000000-0005-0000-0000-000055040000}"/>
    <cellStyle name="Moneda 2 3 2 5 2" xfId="1124" xr:uid="{00000000-0005-0000-0000-000056040000}"/>
    <cellStyle name="Moneda 2 3 2 5 2 2" xfId="1125" xr:uid="{00000000-0005-0000-0000-000057040000}"/>
    <cellStyle name="Moneda 2 3 2 5 2 2 2" xfId="1126" xr:uid="{00000000-0005-0000-0000-000058040000}"/>
    <cellStyle name="Moneda 2 3 2 5 2 2 2 2" xfId="1127" xr:uid="{00000000-0005-0000-0000-000059040000}"/>
    <cellStyle name="Moneda 2 3 2 5 2 2 3" xfId="1128" xr:uid="{00000000-0005-0000-0000-00005A040000}"/>
    <cellStyle name="Moneda 2 3 2 5 2 3" xfId="1129" xr:uid="{00000000-0005-0000-0000-00005B040000}"/>
    <cellStyle name="Moneda 2 3 2 5 2 3 2" xfId="1130" xr:uid="{00000000-0005-0000-0000-00005C040000}"/>
    <cellStyle name="Moneda 2 3 2 5 2 3 3" xfId="1131" xr:uid="{00000000-0005-0000-0000-00005D040000}"/>
    <cellStyle name="Moneda 2 3 2 5 2 4" xfId="1132" xr:uid="{00000000-0005-0000-0000-00005E040000}"/>
    <cellStyle name="Moneda 2 3 2 5 2 4 2" xfId="1133" xr:uid="{00000000-0005-0000-0000-00005F040000}"/>
    <cellStyle name="Moneda 2 3 2 5 2 5" xfId="1134" xr:uid="{00000000-0005-0000-0000-000060040000}"/>
    <cellStyle name="Moneda 2 3 2 5 2 6" xfId="1135" xr:uid="{00000000-0005-0000-0000-000061040000}"/>
    <cellStyle name="Moneda 2 3 2 5 3" xfId="1136" xr:uid="{00000000-0005-0000-0000-000062040000}"/>
    <cellStyle name="Moneda 2 3 2 5 3 2" xfId="1137" xr:uid="{00000000-0005-0000-0000-000063040000}"/>
    <cellStyle name="Moneda 2 3 2 5 3 2 2" xfId="1138" xr:uid="{00000000-0005-0000-0000-000064040000}"/>
    <cellStyle name="Moneda 2 3 2 5 3 3" xfId="1139" xr:uid="{00000000-0005-0000-0000-000065040000}"/>
    <cellStyle name="Moneda 2 3 2 5 4" xfId="1140" xr:uid="{00000000-0005-0000-0000-000066040000}"/>
    <cellStyle name="Moneda 2 3 2 5 4 2" xfId="1141" xr:uid="{00000000-0005-0000-0000-000067040000}"/>
    <cellStyle name="Moneda 2 3 2 5 4 3" xfId="1142" xr:uid="{00000000-0005-0000-0000-000068040000}"/>
    <cellStyle name="Moneda 2 3 2 5 5" xfId="1143" xr:uid="{00000000-0005-0000-0000-000069040000}"/>
    <cellStyle name="Moneda 2 3 2 5 5 2" xfId="1144" xr:uid="{00000000-0005-0000-0000-00006A040000}"/>
    <cellStyle name="Moneda 2 3 2 5 6" xfId="1145" xr:uid="{00000000-0005-0000-0000-00006B040000}"/>
    <cellStyle name="Moneda 2 3 2 5 7" xfId="1146" xr:uid="{00000000-0005-0000-0000-00006C040000}"/>
    <cellStyle name="Moneda 2 3 2 6" xfId="1147" xr:uid="{00000000-0005-0000-0000-00006D040000}"/>
    <cellStyle name="Moneda 2 3 2 6 2" xfId="1148" xr:uid="{00000000-0005-0000-0000-00006E040000}"/>
    <cellStyle name="Moneda 2 3 2 6 2 2" xfId="1149" xr:uid="{00000000-0005-0000-0000-00006F040000}"/>
    <cellStyle name="Moneda 2 3 2 6 2 2 2" xfId="1150" xr:uid="{00000000-0005-0000-0000-000070040000}"/>
    <cellStyle name="Moneda 2 3 2 6 2 3" xfId="1151" xr:uid="{00000000-0005-0000-0000-000071040000}"/>
    <cellStyle name="Moneda 2 3 2 6 3" xfId="1152" xr:uid="{00000000-0005-0000-0000-000072040000}"/>
    <cellStyle name="Moneda 2 3 2 6 3 2" xfId="1153" xr:uid="{00000000-0005-0000-0000-000073040000}"/>
    <cellStyle name="Moneda 2 3 2 6 3 3" xfId="1154" xr:uid="{00000000-0005-0000-0000-000074040000}"/>
    <cellStyle name="Moneda 2 3 2 6 4" xfId="1155" xr:uid="{00000000-0005-0000-0000-000075040000}"/>
    <cellStyle name="Moneda 2 3 2 6 4 2" xfId="1156" xr:uid="{00000000-0005-0000-0000-000076040000}"/>
    <cellStyle name="Moneda 2 3 2 6 5" xfId="1157" xr:uid="{00000000-0005-0000-0000-000077040000}"/>
    <cellStyle name="Moneda 2 3 2 6 6" xfId="1158" xr:uid="{00000000-0005-0000-0000-000078040000}"/>
    <cellStyle name="Moneda 2 3 2 7" xfId="1159" xr:uid="{00000000-0005-0000-0000-000079040000}"/>
    <cellStyle name="Moneda 2 3 2 7 2" xfId="1160" xr:uid="{00000000-0005-0000-0000-00007A040000}"/>
    <cellStyle name="Moneda 2 3 2 7 2 2" xfId="1161" xr:uid="{00000000-0005-0000-0000-00007B040000}"/>
    <cellStyle name="Moneda 2 3 2 7 3" xfId="1162" xr:uid="{00000000-0005-0000-0000-00007C040000}"/>
    <cellStyle name="Moneda 2 3 2 8" xfId="1163" xr:uid="{00000000-0005-0000-0000-00007D040000}"/>
    <cellStyle name="Moneda 2 3 2 8 2" xfId="1164" xr:uid="{00000000-0005-0000-0000-00007E040000}"/>
    <cellStyle name="Moneda 2 3 2 8 3" xfId="1165" xr:uid="{00000000-0005-0000-0000-00007F040000}"/>
    <cellStyle name="Moneda 2 3 2 9" xfId="1166" xr:uid="{00000000-0005-0000-0000-000080040000}"/>
    <cellStyle name="Moneda 2 3 2 9 2" xfId="1167" xr:uid="{00000000-0005-0000-0000-000081040000}"/>
    <cellStyle name="Moneda 2 3 3" xfId="1168" xr:uid="{00000000-0005-0000-0000-000082040000}"/>
    <cellStyle name="Moneda 2 3 3 2" xfId="1169" xr:uid="{00000000-0005-0000-0000-000083040000}"/>
    <cellStyle name="Moneda 2 3 3 2 2" xfId="1170" xr:uid="{00000000-0005-0000-0000-000084040000}"/>
    <cellStyle name="Moneda 2 3 3 2 2 2" xfId="1171" xr:uid="{00000000-0005-0000-0000-000085040000}"/>
    <cellStyle name="Moneda 2 3 3 2 2 2 2" xfId="1172" xr:uid="{00000000-0005-0000-0000-000086040000}"/>
    <cellStyle name="Moneda 2 3 3 2 2 2 2 2" xfId="1173" xr:uid="{00000000-0005-0000-0000-000087040000}"/>
    <cellStyle name="Moneda 2 3 3 2 2 2 3" xfId="1174" xr:uid="{00000000-0005-0000-0000-000088040000}"/>
    <cellStyle name="Moneda 2 3 3 2 2 3" xfId="1175" xr:uid="{00000000-0005-0000-0000-000089040000}"/>
    <cellStyle name="Moneda 2 3 3 2 2 3 2" xfId="1176" xr:uid="{00000000-0005-0000-0000-00008A040000}"/>
    <cellStyle name="Moneda 2 3 3 2 2 3 3" xfId="1177" xr:uid="{00000000-0005-0000-0000-00008B040000}"/>
    <cellStyle name="Moneda 2 3 3 2 2 4" xfId="1178" xr:uid="{00000000-0005-0000-0000-00008C040000}"/>
    <cellStyle name="Moneda 2 3 3 2 2 4 2" xfId="1179" xr:uid="{00000000-0005-0000-0000-00008D040000}"/>
    <cellStyle name="Moneda 2 3 3 2 2 5" xfId="1180" xr:uid="{00000000-0005-0000-0000-00008E040000}"/>
    <cellStyle name="Moneda 2 3 3 2 2 6" xfId="1181" xr:uid="{00000000-0005-0000-0000-00008F040000}"/>
    <cellStyle name="Moneda 2 3 3 2 3" xfId="1182" xr:uid="{00000000-0005-0000-0000-000090040000}"/>
    <cellStyle name="Moneda 2 3 3 2 3 2" xfId="1183" xr:uid="{00000000-0005-0000-0000-000091040000}"/>
    <cellStyle name="Moneda 2 3 3 2 3 2 2" xfId="1184" xr:uid="{00000000-0005-0000-0000-000092040000}"/>
    <cellStyle name="Moneda 2 3 3 2 3 3" xfId="1185" xr:uid="{00000000-0005-0000-0000-000093040000}"/>
    <cellStyle name="Moneda 2 3 3 2 4" xfId="1186" xr:uid="{00000000-0005-0000-0000-000094040000}"/>
    <cellStyle name="Moneda 2 3 3 2 4 2" xfId="1187" xr:uid="{00000000-0005-0000-0000-000095040000}"/>
    <cellStyle name="Moneda 2 3 3 2 4 3" xfId="1188" xr:uid="{00000000-0005-0000-0000-000096040000}"/>
    <cellStyle name="Moneda 2 3 3 2 5" xfId="1189" xr:uid="{00000000-0005-0000-0000-000097040000}"/>
    <cellStyle name="Moneda 2 3 3 2 5 2" xfId="1190" xr:uid="{00000000-0005-0000-0000-000098040000}"/>
    <cellStyle name="Moneda 2 3 3 2 6" xfId="1191" xr:uid="{00000000-0005-0000-0000-000099040000}"/>
    <cellStyle name="Moneda 2 3 3 2 7" xfId="1192" xr:uid="{00000000-0005-0000-0000-00009A040000}"/>
    <cellStyle name="Moneda 2 3 3 3" xfId="1193" xr:uid="{00000000-0005-0000-0000-00009B040000}"/>
    <cellStyle name="Moneda 2 3 3 3 2" xfId="1194" xr:uid="{00000000-0005-0000-0000-00009C040000}"/>
    <cellStyle name="Moneda 2 3 3 3 2 2" xfId="1195" xr:uid="{00000000-0005-0000-0000-00009D040000}"/>
    <cellStyle name="Moneda 2 3 3 3 2 2 2" xfId="1196" xr:uid="{00000000-0005-0000-0000-00009E040000}"/>
    <cellStyle name="Moneda 2 3 3 3 2 2 3" xfId="1197" xr:uid="{00000000-0005-0000-0000-00009F040000}"/>
    <cellStyle name="Moneda 2 3 3 3 2 3" xfId="1198" xr:uid="{00000000-0005-0000-0000-0000A0040000}"/>
    <cellStyle name="Moneda 2 3 3 3 2 4" xfId="1199" xr:uid="{00000000-0005-0000-0000-0000A1040000}"/>
    <cellStyle name="Moneda 2 3 3 3 3" xfId="1200" xr:uid="{00000000-0005-0000-0000-0000A2040000}"/>
    <cellStyle name="Moneda 2 3 3 3 3 2" xfId="1201" xr:uid="{00000000-0005-0000-0000-0000A3040000}"/>
    <cellStyle name="Moneda 2 3 3 3 3 2 2" xfId="1202" xr:uid="{00000000-0005-0000-0000-0000A4040000}"/>
    <cellStyle name="Moneda 2 3 3 3 3 3" xfId="1203" xr:uid="{00000000-0005-0000-0000-0000A5040000}"/>
    <cellStyle name="Moneda 2 3 3 3 4" xfId="1204" xr:uid="{00000000-0005-0000-0000-0000A6040000}"/>
    <cellStyle name="Moneda 2 3 3 3 4 2" xfId="1205" xr:uid="{00000000-0005-0000-0000-0000A7040000}"/>
    <cellStyle name="Moneda 2 3 3 3 4 3" xfId="1206" xr:uid="{00000000-0005-0000-0000-0000A8040000}"/>
    <cellStyle name="Moneda 2 3 3 3 5" xfId="1207" xr:uid="{00000000-0005-0000-0000-0000A9040000}"/>
    <cellStyle name="Moneda 2 3 3 3 6" xfId="1208" xr:uid="{00000000-0005-0000-0000-0000AA040000}"/>
    <cellStyle name="Moneda 2 3 3 4" xfId="1209" xr:uid="{00000000-0005-0000-0000-0000AB040000}"/>
    <cellStyle name="Moneda 2 3 3 4 2" xfId="1210" xr:uid="{00000000-0005-0000-0000-0000AC040000}"/>
    <cellStyle name="Moneda 2 3 3 4 2 2" xfId="1211" xr:uid="{00000000-0005-0000-0000-0000AD040000}"/>
    <cellStyle name="Moneda 2 3 3 4 2 2 2" xfId="1212" xr:uid="{00000000-0005-0000-0000-0000AE040000}"/>
    <cellStyle name="Moneda 2 3 3 4 2 3" xfId="1213" xr:uid="{00000000-0005-0000-0000-0000AF040000}"/>
    <cellStyle name="Moneda 2 3 3 4 2 4" xfId="1214" xr:uid="{00000000-0005-0000-0000-0000B0040000}"/>
    <cellStyle name="Moneda 2 3 3 4 3" xfId="1215" xr:uid="{00000000-0005-0000-0000-0000B1040000}"/>
    <cellStyle name="Moneda 2 3 3 4 3 2" xfId="1216" xr:uid="{00000000-0005-0000-0000-0000B2040000}"/>
    <cellStyle name="Moneda 2 3 3 4 4" xfId="1217" xr:uid="{00000000-0005-0000-0000-0000B3040000}"/>
    <cellStyle name="Moneda 2 3 3 4 5" xfId="1218" xr:uid="{00000000-0005-0000-0000-0000B4040000}"/>
    <cellStyle name="Moneda 2 3 3 5" xfId="1219" xr:uid="{00000000-0005-0000-0000-0000B5040000}"/>
    <cellStyle name="Moneda 2 3 3 5 2" xfId="1220" xr:uid="{00000000-0005-0000-0000-0000B6040000}"/>
    <cellStyle name="Moneda 2 3 3 5 2 2" xfId="1221" xr:uid="{00000000-0005-0000-0000-0000B7040000}"/>
    <cellStyle name="Moneda 2 3 3 5 2 3" xfId="1222" xr:uid="{00000000-0005-0000-0000-0000B8040000}"/>
    <cellStyle name="Moneda 2 3 3 5 3" xfId="1223" xr:uid="{00000000-0005-0000-0000-0000B9040000}"/>
    <cellStyle name="Moneda 2 3 3 5 4" xfId="1224" xr:uid="{00000000-0005-0000-0000-0000BA040000}"/>
    <cellStyle name="Moneda 2 3 3 6" xfId="1225" xr:uid="{00000000-0005-0000-0000-0000BB040000}"/>
    <cellStyle name="Moneda 2 3 3 6 2" xfId="1226" xr:uid="{00000000-0005-0000-0000-0000BC040000}"/>
    <cellStyle name="Moneda 2 3 3 6 2 2" xfId="1227" xr:uid="{00000000-0005-0000-0000-0000BD040000}"/>
    <cellStyle name="Moneda 2 3 3 6 3" xfId="1228" xr:uid="{00000000-0005-0000-0000-0000BE040000}"/>
    <cellStyle name="Moneda 2 3 3 7" xfId="1229" xr:uid="{00000000-0005-0000-0000-0000BF040000}"/>
    <cellStyle name="Moneda 2 3 3 7 2" xfId="1230" xr:uid="{00000000-0005-0000-0000-0000C0040000}"/>
    <cellStyle name="Moneda 2 3 3 8" xfId="1231" xr:uid="{00000000-0005-0000-0000-0000C1040000}"/>
    <cellStyle name="Moneda 2 3 4" xfId="1232" xr:uid="{00000000-0005-0000-0000-0000C2040000}"/>
    <cellStyle name="Moneda 2 3 4 2" xfId="1233" xr:uid="{00000000-0005-0000-0000-0000C3040000}"/>
    <cellStyle name="Moneda 2 3 4 2 2" xfId="1234" xr:uid="{00000000-0005-0000-0000-0000C4040000}"/>
    <cellStyle name="Moneda 2 3 4 2 2 2" xfId="1235" xr:uid="{00000000-0005-0000-0000-0000C5040000}"/>
    <cellStyle name="Moneda 2 3 4 2 2 2 2" xfId="1236" xr:uid="{00000000-0005-0000-0000-0000C6040000}"/>
    <cellStyle name="Moneda 2 3 4 2 2 2 2 2" xfId="1237" xr:uid="{00000000-0005-0000-0000-0000C7040000}"/>
    <cellStyle name="Moneda 2 3 4 2 2 2 3" xfId="1238" xr:uid="{00000000-0005-0000-0000-0000C8040000}"/>
    <cellStyle name="Moneda 2 3 4 2 2 3" xfId="1239" xr:uid="{00000000-0005-0000-0000-0000C9040000}"/>
    <cellStyle name="Moneda 2 3 4 2 2 3 2" xfId="1240" xr:uid="{00000000-0005-0000-0000-0000CA040000}"/>
    <cellStyle name="Moneda 2 3 4 2 2 3 3" xfId="1241" xr:uid="{00000000-0005-0000-0000-0000CB040000}"/>
    <cellStyle name="Moneda 2 3 4 2 2 4" xfId="1242" xr:uid="{00000000-0005-0000-0000-0000CC040000}"/>
    <cellStyle name="Moneda 2 3 4 2 2 4 2" xfId="1243" xr:uid="{00000000-0005-0000-0000-0000CD040000}"/>
    <cellStyle name="Moneda 2 3 4 2 2 5" xfId="1244" xr:uid="{00000000-0005-0000-0000-0000CE040000}"/>
    <cellStyle name="Moneda 2 3 4 2 2 6" xfId="1245" xr:uid="{00000000-0005-0000-0000-0000CF040000}"/>
    <cellStyle name="Moneda 2 3 4 2 3" xfId="1246" xr:uid="{00000000-0005-0000-0000-0000D0040000}"/>
    <cellStyle name="Moneda 2 3 4 2 3 2" xfId="1247" xr:uid="{00000000-0005-0000-0000-0000D1040000}"/>
    <cellStyle name="Moneda 2 3 4 2 3 2 2" xfId="1248" xr:uid="{00000000-0005-0000-0000-0000D2040000}"/>
    <cellStyle name="Moneda 2 3 4 2 3 3" xfId="1249" xr:uid="{00000000-0005-0000-0000-0000D3040000}"/>
    <cellStyle name="Moneda 2 3 4 2 4" xfId="1250" xr:uid="{00000000-0005-0000-0000-0000D4040000}"/>
    <cellStyle name="Moneda 2 3 4 2 4 2" xfId="1251" xr:uid="{00000000-0005-0000-0000-0000D5040000}"/>
    <cellStyle name="Moneda 2 3 4 2 4 3" xfId="1252" xr:uid="{00000000-0005-0000-0000-0000D6040000}"/>
    <cellStyle name="Moneda 2 3 4 2 5" xfId="1253" xr:uid="{00000000-0005-0000-0000-0000D7040000}"/>
    <cellStyle name="Moneda 2 3 4 2 5 2" xfId="1254" xr:uid="{00000000-0005-0000-0000-0000D8040000}"/>
    <cellStyle name="Moneda 2 3 4 2 6" xfId="1255" xr:uid="{00000000-0005-0000-0000-0000D9040000}"/>
    <cellStyle name="Moneda 2 3 4 2 7" xfId="1256" xr:uid="{00000000-0005-0000-0000-0000DA040000}"/>
    <cellStyle name="Moneda 2 3 4 3" xfId="1257" xr:uid="{00000000-0005-0000-0000-0000DB040000}"/>
    <cellStyle name="Moneda 2 3 4 3 2" xfId="1258" xr:uid="{00000000-0005-0000-0000-0000DC040000}"/>
    <cellStyle name="Moneda 2 3 4 3 2 2" xfId="1259" xr:uid="{00000000-0005-0000-0000-0000DD040000}"/>
    <cellStyle name="Moneda 2 3 4 3 2 2 2" xfId="1260" xr:uid="{00000000-0005-0000-0000-0000DE040000}"/>
    <cellStyle name="Moneda 2 3 4 3 2 2 3" xfId="1261" xr:uid="{00000000-0005-0000-0000-0000DF040000}"/>
    <cellStyle name="Moneda 2 3 4 3 2 3" xfId="1262" xr:uid="{00000000-0005-0000-0000-0000E0040000}"/>
    <cellStyle name="Moneda 2 3 4 3 2 4" xfId="1263" xr:uid="{00000000-0005-0000-0000-0000E1040000}"/>
    <cellStyle name="Moneda 2 3 4 3 3" xfId="1264" xr:uid="{00000000-0005-0000-0000-0000E2040000}"/>
    <cellStyle name="Moneda 2 3 4 3 3 2" xfId="1265" xr:uid="{00000000-0005-0000-0000-0000E3040000}"/>
    <cellStyle name="Moneda 2 3 4 3 3 2 2" xfId="1266" xr:uid="{00000000-0005-0000-0000-0000E4040000}"/>
    <cellStyle name="Moneda 2 3 4 3 3 3" xfId="1267" xr:uid="{00000000-0005-0000-0000-0000E5040000}"/>
    <cellStyle name="Moneda 2 3 4 3 4" xfId="1268" xr:uid="{00000000-0005-0000-0000-0000E6040000}"/>
    <cellStyle name="Moneda 2 3 4 3 4 2" xfId="1269" xr:uid="{00000000-0005-0000-0000-0000E7040000}"/>
    <cellStyle name="Moneda 2 3 4 3 4 3" xfId="1270" xr:uid="{00000000-0005-0000-0000-0000E8040000}"/>
    <cellStyle name="Moneda 2 3 4 3 5" xfId="1271" xr:uid="{00000000-0005-0000-0000-0000E9040000}"/>
    <cellStyle name="Moneda 2 3 4 3 6" xfId="1272" xr:uid="{00000000-0005-0000-0000-0000EA040000}"/>
    <cellStyle name="Moneda 2 3 4 4" xfId="1273" xr:uid="{00000000-0005-0000-0000-0000EB040000}"/>
    <cellStyle name="Moneda 2 3 4 4 2" xfId="1274" xr:uid="{00000000-0005-0000-0000-0000EC040000}"/>
    <cellStyle name="Moneda 2 3 4 4 2 2" xfId="1275" xr:uid="{00000000-0005-0000-0000-0000ED040000}"/>
    <cellStyle name="Moneda 2 3 4 4 2 2 2" xfId="1276" xr:uid="{00000000-0005-0000-0000-0000EE040000}"/>
    <cellStyle name="Moneda 2 3 4 4 2 3" xfId="1277" xr:uid="{00000000-0005-0000-0000-0000EF040000}"/>
    <cellStyle name="Moneda 2 3 4 4 2 4" xfId="1278" xr:uid="{00000000-0005-0000-0000-0000F0040000}"/>
    <cellStyle name="Moneda 2 3 4 4 3" xfId="1279" xr:uid="{00000000-0005-0000-0000-0000F1040000}"/>
    <cellStyle name="Moneda 2 3 4 4 3 2" xfId="1280" xr:uid="{00000000-0005-0000-0000-0000F2040000}"/>
    <cellStyle name="Moneda 2 3 4 4 4" xfId="1281" xr:uid="{00000000-0005-0000-0000-0000F3040000}"/>
    <cellStyle name="Moneda 2 3 4 4 5" xfId="1282" xr:uid="{00000000-0005-0000-0000-0000F4040000}"/>
    <cellStyle name="Moneda 2 3 4 5" xfId="1283" xr:uid="{00000000-0005-0000-0000-0000F5040000}"/>
    <cellStyle name="Moneda 2 3 4 5 2" xfId="1284" xr:uid="{00000000-0005-0000-0000-0000F6040000}"/>
    <cellStyle name="Moneda 2 3 4 5 2 2" xfId="1285" xr:uid="{00000000-0005-0000-0000-0000F7040000}"/>
    <cellStyle name="Moneda 2 3 4 5 2 3" xfId="1286" xr:uid="{00000000-0005-0000-0000-0000F8040000}"/>
    <cellStyle name="Moneda 2 3 4 5 3" xfId="1287" xr:uid="{00000000-0005-0000-0000-0000F9040000}"/>
    <cellStyle name="Moneda 2 3 4 5 4" xfId="1288" xr:uid="{00000000-0005-0000-0000-0000FA040000}"/>
    <cellStyle name="Moneda 2 3 4 6" xfId="1289" xr:uid="{00000000-0005-0000-0000-0000FB040000}"/>
    <cellStyle name="Moneda 2 3 4 6 2" xfId="1290" xr:uid="{00000000-0005-0000-0000-0000FC040000}"/>
    <cellStyle name="Moneda 2 3 4 6 2 2" xfId="1291" xr:uid="{00000000-0005-0000-0000-0000FD040000}"/>
    <cellStyle name="Moneda 2 3 4 6 3" xfId="1292" xr:uid="{00000000-0005-0000-0000-0000FE040000}"/>
    <cellStyle name="Moneda 2 3 4 7" xfId="1293" xr:uid="{00000000-0005-0000-0000-0000FF040000}"/>
    <cellStyle name="Moneda 2 3 4 7 2" xfId="1294" xr:uid="{00000000-0005-0000-0000-000000050000}"/>
    <cellStyle name="Moneda 2 3 4 8" xfId="1295" xr:uid="{00000000-0005-0000-0000-000001050000}"/>
    <cellStyle name="Moneda 2 3 5" xfId="1296" xr:uid="{00000000-0005-0000-0000-000002050000}"/>
    <cellStyle name="Moneda 2 3 5 2" xfId="1297" xr:uid="{00000000-0005-0000-0000-000003050000}"/>
    <cellStyle name="Moneda 2 3 5 2 2" xfId="1298" xr:uid="{00000000-0005-0000-0000-000004050000}"/>
    <cellStyle name="Moneda 2 3 5 2 2 2" xfId="1299" xr:uid="{00000000-0005-0000-0000-000005050000}"/>
    <cellStyle name="Moneda 2 3 5 2 2 2 2" xfId="1300" xr:uid="{00000000-0005-0000-0000-000006050000}"/>
    <cellStyle name="Moneda 2 3 5 2 2 2 3" xfId="1301" xr:uid="{00000000-0005-0000-0000-000007050000}"/>
    <cellStyle name="Moneda 2 3 5 2 2 3" xfId="1302" xr:uid="{00000000-0005-0000-0000-000008050000}"/>
    <cellStyle name="Moneda 2 3 5 2 2 3 2" xfId="1303" xr:uid="{00000000-0005-0000-0000-000009050000}"/>
    <cellStyle name="Moneda 2 3 5 2 2 4" xfId="1304" xr:uid="{00000000-0005-0000-0000-00000A050000}"/>
    <cellStyle name="Moneda 2 3 5 2 2 4 2" xfId="1305" xr:uid="{00000000-0005-0000-0000-00000B050000}"/>
    <cellStyle name="Moneda 2 3 5 2 2 5" xfId="1306" xr:uid="{00000000-0005-0000-0000-00000C050000}"/>
    <cellStyle name="Moneda 2 3 5 2 2 6" xfId="1307" xr:uid="{00000000-0005-0000-0000-00000D050000}"/>
    <cellStyle name="Moneda 2 3 5 2 3" xfId="1308" xr:uid="{00000000-0005-0000-0000-00000E050000}"/>
    <cellStyle name="Moneda 2 3 5 2 3 2" xfId="1309" xr:uid="{00000000-0005-0000-0000-00000F050000}"/>
    <cellStyle name="Moneda 2 3 5 2 3 3" xfId="1310" xr:uid="{00000000-0005-0000-0000-000010050000}"/>
    <cellStyle name="Moneda 2 3 5 2 4" xfId="1311" xr:uid="{00000000-0005-0000-0000-000011050000}"/>
    <cellStyle name="Moneda 2 3 5 2 4 2" xfId="1312" xr:uid="{00000000-0005-0000-0000-000012050000}"/>
    <cellStyle name="Moneda 2 3 5 2 5" xfId="1313" xr:uid="{00000000-0005-0000-0000-000013050000}"/>
    <cellStyle name="Moneda 2 3 5 2 5 2" xfId="1314" xr:uid="{00000000-0005-0000-0000-000014050000}"/>
    <cellStyle name="Moneda 2 3 5 2 6" xfId="1315" xr:uid="{00000000-0005-0000-0000-000015050000}"/>
    <cellStyle name="Moneda 2 3 5 2 7" xfId="1316" xr:uid="{00000000-0005-0000-0000-000016050000}"/>
    <cellStyle name="Moneda 2 3 5 3" xfId="1317" xr:uid="{00000000-0005-0000-0000-000017050000}"/>
    <cellStyle name="Moneda 2 3 5 3 2" xfId="1318" xr:uid="{00000000-0005-0000-0000-000018050000}"/>
    <cellStyle name="Moneda 2 3 5 3 2 2" xfId="1319" xr:uid="{00000000-0005-0000-0000-000019050000}"/>
    <cellStyle name="Moneda 2 3 5 3 2 3" xfId="1320" xr:uid="{00000000-0005-0000-0000-00001A050000}"/>
    <cellStyle name="Moneda 2 3 5 3 3" xfId="1321" xr:uid="{00000000-0005-0000-0000-00001B050000}"/>
    <cellStyle name="Moneda 2 3 5 3 3 2" xfId="1322" xr:uid="{00000000-0005-0000-0000-00001C050000}"/>
    <cellStyle name="Moneda 2 3 5 3 4" xfId="1323" xr:uid="{00000000-0005-0000-0000-00001D050000}"/>
    <cellStyle name="Moneda 2 3 5 3 4 2" xfId="1324" xr:uid="{00000000-0005-0000-0000-00001E050000}"/>
    <cellStyle name="Moneda 2 3 5 3 5" xfId="1325" xr:uid="{00000000-0005-0000-0000-00001F050000}"/>
    <cellStyle name="Moneda 2 3 5 3 6" xfId="1326" xr:uid="{00000000-0005-0000-0000-000020050000}"/>
    <cellStyle name="Moneda 2 3 5 4" xfId="1327" xr:uid="{00000000-0005-0000-0000-000021050000}"/>
    <cellStyle name="Moneda 2 3 5 4 2" xfId="1328" xr:uid="{00000000-0005-0000-0000-000022050000}"/>
    <cellStyle name="Moneda 2 3 5 4 3" xfId="1329" xr:uid="{00000000-0005-0000-0000-000023050000}"/>
    <cellStyle name="Moneda 2 3 5 5" xfId="1330" xr:uid="{00000000-0005-0000-0000-000024050000}"/>
    <cellStyle name="Moneda 2 3 5 5 2" xfId="1331" xr:uid="{00000000-0005-0000-0000-000025050000}"/>
    <cellStyle name="Moneda 2 3 5 6" xfId="1332" xr:uid="{00000000-0005-0000-0000-000026050000}"/>
    <cellStyle name="Moneda 2 3 5 6 2" xfId="1333" xr:uid="{00000000-0005-0000-0000-000027050000}"/>
    <cellStyle name="Moneda 2 3 5 7" xfId="1334" xr:uid="{00000000-0005-0000-0000-000028050000}"/>
    <cellStyle name="Moneda 2 3 5 8" xfId="1335" xr:uid="{00000000-0005-0000-0000-000029050000}"/>
    <cellStyle name="Moneda 2 3 6" xfId="1336" xr:uid="{00000000-0005-0000-0000-00002A050000}"/>
    <cellStyle name="Moneda 2 3 6 2" xfId="1337" xr:uid="{00000000-0005-0000-0000-00002B050000}"/>
    <cellStyle name="Moneda 2 3 6 2 2" xfId="1338" xr:uid="{00000000-0005-0000-0000-00002C050000}"/>
    <cellStyle name="Moneda 2 3 6 2 2 2" xfId="1339" xr:uid="{00000000-0005-0000-0000-00002D050000}"/>
    <cellStyle name="Moneda 2 3 6 2 2 2 2" xfId="1340" xr:uid="{00000000-0005-0000-0000-00002E050000}"/>
    <cellStyle name="Moneda 2 3 6 2 2 3" xfId="1341" xr:uid="{00000000-0005-0000-0000-00002F050000}"/>
    <cellStyle name="Moneda 2 3 6 2 3" xfId="1342" xr:uid="{00000000-0005-0000-0000-000030050000}"/>
    <cellStyle name="Moneda 2 3 6 2 3 2" xfId="1343" xr:uid="{00000000-0005-0000-0000-000031050000}"/>
    <cellStyle name="Moneda 2 3 6 2 3 3" xfId="1344" xr:uid="{00000000-0005-0000-0000-000032050000}"/>
    <cellStyle name="Moneda 2 3 6 2 4" xfId="1345" xr:uid="{00000000-0005-0000-0000-000033050000}"/>
    <cellStyle name="Moneda 2 3 6 2 4 2" xfId="1346" xr:uid="{00000000-0005-0000-0000-000034050000}"/>
    <cellStyle name="Moneda 2 3 6 2 5" xfId="1347" xr:uid="{00000000-0005-0000-0000-000035050000}"/>
    <cellStyle name="Moneda 2 3 6 2 6" xfId="1348" xr:uid="{00000000-0005-0000-0000-000036050000}"/>
    <cellStyle name="Moneda 2 3 6 3" xfId="1349" xr:uid="{00000000-0005-0000-0000-000037050000}"/>
    <cellStyle name="Moneda 2 3 6 3 2" xfId="1350" xr:uid="{00000000-0005-0000-0000-000038050000}"/>
    <cellStyle name="Moneda 2 3 6 3 2 2" xfId="1351" xr:uid="{00000000-0005-0000-0000-000039050000}"/>
    <cellStyle name="Moneda 2 3 6 3 3" xfId="1352" xr:uid="{00000000-0005-0000-0000-00003A050000}"/>
    <cellStyle name="Moneda 2 3 6 4" xfId="1353" xr:uid="{00000000-0005-0000-0000-00003B050000}"/>
    <cellStyle name="Moneda 2 3 6 4 2" xfId="1354" xr:uid="{00000000-0005-0000-0000-00003C050000}"/>
    <cellStyle name="Moneda 2 3 6 4 3" xfId="1355" xr:uid="{00000000-0005-0000-0000-00003D050000}"/>
    <cellStyle name="Moneda 2 3 6 5" xfId="1356" xr:uid="{00000000-0005-0000-0000-00003E050000}"/>
    <cellStyle name="Moneda 2 3 6 5 2" xfId="1357" xr:uid="{00000000-0005-0000-0000-00003F050000}"/>
    <cellStyle name="Moneda 2 3 6 6" xfId="1358" xr:uid="{00000000-0005-0000-0000-000040050000}"/>
    <cellStyle name="Moneda 2 3 6 7" xfId="1359" xr:uid="{00000000-0005-0000-0000-000041050000}"/>
    <cellStyle name="Moneda 2 3 7" xfId="1360" xr:uid="{00000000-0005-0000-0000-000042050000}"/>
    <cellStyle name="Moneda 2 3 7 2" xfId="1361" xr:uid="{00000000-0005-0000-0000-000043050000}"/>
    <cellStyle name="Moneda 2 3 7 2 2" xfId="1362" xr:uid="{00000000-0005-0000-0000-000044050000}"/>
    <cellStyle name="Moneda 2 3 7 2 2 2" xfId="1363" xr:uid="{00000000-0005-0000-0000-000045050000}"/>
    <cellStyle name="Moneda 2 3 7 2 2 3" xfId="1364" xr:uid="{00000000-0005-0000-0000-000046050000}"/>
    <cellStyle name="Moneda 2 3 7 2 3" xfId="1365" xr:uid="{00000000-0005-0000-0000-000047050000}"/>
    <cellStyle name="Moneda 2 3 7 2 4" xfId="1366" xr:uid="{00000000-0005-0000-0000-000048050000}"/>
    <cellStyle name="Moneda 2 3 7 3" xfId="1367" xr:uid="{00000000-0005-0000-0000-000049050000}"/>
    <cellStyle name="Moneda 2 3 7 3 2" xfId="1368" xr:uid="{00000000-0005-0000-0000-00004A050000}"/>
    <cellStyle name="Moneda 2 3 7 3 2 2" xfId="1369" xr:uid="{00000000-0005-0000-0000-00004B050000}"/>
    <cellStyle name="Moneda 2 3 7 3 3" xfId="1370" xr:uid="{00000000-0005-0000-0000-00004C050000}"/>
    <cellStyle name="Moneda 2 3 7 4" xfId="1371" xr:uid="{00000000-0005-0000-0000-00004D050000}"/>
    <cellStyle name="Moneda 2 3 7 4 2" xfId="1372" xr:uid="{00000000-0005-0000-0000-00004E050000}"/>
    <cellStyle name="Moneda 2 3 7 4 3" xfId="1373" xr:uid="{00000000-0005-0000-0000-00004F050000}"/>
    <cellStyle name="Moneda 2 3 7 5" xfId="1374" xr:uid="{00000000-0005-0000-0000-000050050000}"/>
    <cellStyle name="Moneda 2 3 7 6" xfId="1375" xr:uid="{00000000-0005-0000-0000-000051050000}"/>
    <cellStyle name="Moneda 2 3 8" xfId="1376" xr:uid="{00000000-0005-0000-0000-000052050000}"/>
    <cellStyle name="Moneda 2 3 8 2" xfId="1377" xr:uid="{00000000-0005-0000-0000-000053050000}"/>
    <cellStyle name="Moneda 2 3 8 2 2" xfId="1378" xr:uid="{00000000-0005-0000-0000-000054050000}"/>
    <cellStyle name="Moneda 2 3 8 2 3" xfId="1379" xr:uid="{00000000-0005-0000-0000-000055050000}"/>
    <cellStyle name="Moneda 2 3 8 3" xfId="1380" xr:uid="{00000000-0005-0000-0000-000056050000}"/>
    <cellStyle name="Moneda 2 3 8 4" xfId="1381" xr:uid="{00000000-0005-0000-0000-000057050000}"/>
    <cellStyle name="Moneda 2 3 9" xfId="1382" xr:uid="{00000000-0005-0000-0000-000058050000}"/>
    <cellStyle name="Moneda 2 3 9 2" xfId="1383" xr:uid="{00000000-0005-0000-0000-000059050000}"/>
    <cellStyle name="Moneda 2 3 9 2 2" xfId="1384" xr:uid="{00000000-0005-0000-0000-00005A050000}"/>
    <cellStyle name="Moneda 2 3 9 3" xfId="1385" xr:uid="{00000000-0005-0000-0000-00005B050000}"/>
    <cellStyle name="Moneda 2 4" xfId="1386" xr:uid="{00000000-0005-0000-0000-00005C050000}"/>
    <cellStyle name="Moneda 2 4 2" xfId="1387" xr:uid="{00000000-0005-0000-0000-00005D050000}"/>
    <cellStyle name="Moneda 2 5" xfId="1388" xr:uid="{00000000-0005-0000-0000-00005E050000}"/>
    <cellStyle name="Moneda 2 5 2" xfId="1389" xr:uid="{00000000-0005-0000-0000-00005F050000}"/>
    <cellStyle name="Moneda 2 5 2 2" xfId="1390" xr:uid="{00000000-0005-0000-0000-000060050000}"/>
    <cellStyle name="Moneda 2 5 3" xfId="1391" xr:uid="{00000000-0005-0000-0000-000061050000}"/>
    <cellStyle name="Moneda 2 5 3 2" xfId="1392" xr:uid="{00000000-0005-0000-0000-000062050000}"/>
    <cellStyle name="Moneda 2 5 4" xfId="1393" xr:uid="{00000000-0005-0000-0000-000063050000}"/>
    <cellStyle name="Moneda 2 5 4 2" xfId="1394" xr:uid="{00000000-0005-0000-0000-000064050000}"/>
    <cellStyle name="Moneda 2 5 5" xfId="1395" xr:uid="{00000000-0005-0000-0000-000065050000}"/>
    <cellStyle name="Moneda 2 6" xfId="1396" xr:uid="{00000000-0005-0000-0000-000066050000}"/>
    <cellStyle name="Moneda 20" xfId="1397" xr:uid="{00000000-0005-0000-0000-000067050000}"/>
    <cellStyle name="Moneda 20 2" xfId="1398" xr:uid="{00000000-0005-0000-0000-000068050000}"/>
    <cellStyle name="Moneda 20 2 2" xfId="1399" xr:uid="{00000000-0005-0000-0000-000069050000}"/>
    <cellStyle name="Moneda 20 2 2 2" xfId="1400" xr:uid="{00000000-0005-0000-0000-00006A050000}"/>
    <cellStyle name="Moneda 20 2 2 2 2" xfId="1401" xr:uid="{00000000-0005-0000-0000-00006B050000}"/>
    <cellStyle name="Moneda 20 2 2 3" xfId="1402" xr:uid="{00000000-0005-0000-0000-00006C050000}"/>
    <cellStyle name="Moneda 20 2 2 3 2" xfId="1403" xr:uid="{00000000-0005-0000-0000-00006D050000}"/>
    <cellStyle name="Moneda 20 2 2 4" xfId="1404" xr:uid="{00000000-0005-0000-0000-00006E050000}"/>
    <cellStyle name="Moneda 20 2 2 4 2" xfId="1405" xr:uid="{00000000-0005-0000-0000-00006F050000}"/>
    <cellStyle name="Moneda 20 2 2 5" xfId="1406" xr:uid="{00000000-0005-0000-0000-000070050000}"/>
    <cellStyle name="Moneda 20 2 3" xfId="1407" xr:uid="{00000000-0005-0000-0000-000071050000}"/>
    <cellStyle name="Moneda 20 2 3 2" xfId="1408" xr:uid="{00000000-0005-0000-0000-000072050000}"/>
    <cellStyle name="Moneda 20 2 4" xfId="1409" xr:uid="{00000000-0005-0000-0000-000073050000}"/>
    <cellStyle name="Moneda 20 2 4 2" xfId="1410" xr:uid="{00000000-0005-0000-0000-000074050000}"/>
    <cellStyle name="Moneda 20 2 5" xfId="1411" xr:uid="{00000000-0005-0000-0000-000075050000}"/>
    <cellStyle name="Moneda 20 2 5 2" xfId="1412" xr:uid="{00000000-0005-0000-0000-000076050000}"/>
    <cellStyle name="Moneda 20 2 6" xfId="1413" xr:uid="{00000000-0005-0000-0000-000077050000}"/>
    <cellStyle name="Moneda 20 2 7" xfId="1414" xr:uid="{00000000-0005-0000-0000-000078050000}"/>
    <cellStyle name="Moneda 20 3" xfId="1415" xr:uid="{00000000-0005-0000-0000-000079050000}"/>
    <cellStyle name="Moneda 20 3 2" xfId="1416" xr:uid="{00000000-0005-0000-0000-00007A050000}"/>
    <cellStyle name="Moneda 20 3 2 2" xfId="1417" xr:uid="{00000000-0005-0000-0000-00007B050000}"/>
    <cellStyle name="Moneda 20 3 3" xfId="1418" xr:uid="{00000000-0005-0000-0000-00007C050000}"/>
    <cellStyle name="Moneda 20 3 3 2" xfId="1419" xr:uid="{00000000-0005-0000-0000-00007D050000}"/>
    <cellStyle name="Moneda 20 3 4" xfId="1420" xr:uid="{00000000-0005-0000-0000-00007E050000}"/>
    <cellStyle name="Moneda 20 3 4 2" xfId="1421" xr:uid="{00000000-0005-0000-0000-00007F050000}"/>
    <cellStyle name="Moneda 20 3 5" xfId="1422" xr:uid="{00000000-0005-0000-0000-000080050000}"/>
    <cellStyle name="Moneda 20 4" xfId="1423" xr:uid="{00000000-0005-0000-0000-000081050000}"/>
    <cellStyle name="Moneda 20 4 2" xfId="1424" xr:uid="{00000000-0005-0000-0000-000082050000}"/>
    <cellStyle name="Moneda 20 5" xfId="1425" xr:uid="{00000000-0005-0000-0000-000083050000}"/>
    <cellStyle name="Moneda 20 5 2" xfId="1426" xr:uid="{00000000-0005-0000-0000-000084050000}"/>
    <cellStyle name="Moneda 20 6" xfId="1427" xr:uid="{00000000-0005-0000-0000-000085050000}"/>
    <cellStyle name="Moneda 20 6 2" xfId="1428" xr:uid="{00000000-0005-0000-0000-000086050000}"/>
    <cellStyle name="Moneda 20 7" xfId="1429" xr:uid="{00000000-0005-0000-0000-000087050000}"/>
    <cellStyle name="Moneda 20 8" xfId="1430" xr:uid="{00000000-0005-0000-0000-000088050000}"/>
    <cellStyle name="Moneda 21" xfId="1431" xr:uid="{00000000-0005-0000-0000-000089050000}"/>
    <cellStyle name="Moneda 21 2" xfId="1432" xr:uid="{00000000-0005-0000-0000-00008A050000}"/>
    <cellStyle name="Moneda 21 2 2" xfId="1433" xr:uid="{00000000-0005-0000-0000-00008B050000}"/>
    <cellStyle name="Moneda 21 2 2 2" xfId="1434" xr:uid="{00000000-0005-0000-0000-00008C050000}"/>
    <cellStyle name="Moneda 21 2 2 2 2" xfId="1435" xr:uid="{00000000-0005-0000-0000-00008D050000}"/>
    <cellStyle name="Moneda 21 2 2 3" xfId="1436" xr:uid="{00000000-0005-0000-0000-00008E050000}"/>
    <cellStyle name="Moneda 21 2 2 3 2" xfId="1437" xr:uid="{00000000-0005-0000-0000-00008F050000}"/>
    <cellStyle name="Moneda 21 2 2 4" xfId="1438" xr:uid="{00000000-0005-0000-0000-000090050000}"/>
    <cellStyle name="Moneda 21 2 2 4 2" xfId="1439" xr:uid="{00000000-0005-0000-0000-000091050000}"/>
    <cellStyle name="Moneda 21 2 2 5" xfId="1440" xr:uid="{00000000-0005-0000-0000-000092050000}"/>
    <cellStyle name="Moneda 21 2 3" xfId="1441" xr:uid="{00000000-0005-0000-0000-000093050000}"/>
    <cellStyle name="Moneda 21 2 3 2" xfId="1442" xr:uid="{00000000-0005-0000-0000-000094050000}"/>
    <cellStyle name="Moneda 21 2 4" xfId="1443" xr:uid="{00000000-0005-0000-0000-000095050000}"/>
    <cellStyle name="Moneda 21 2 4 2" xfId="1444" xr:uid="{00000000-0005-0000-0000-000096050000}"/>
    <cellStyle name="Moneda 21 2 5" xfId="1445" xr:uid="{00000000-0005-0000-0000-000097050000}"/>
    <cellStyle name="Moneda 21 2 5 2" xfId="1446" xr:uid="{00000000-0005-0000-0000-000098050000}"/>
    <cellStyle name="Moneda 21 2 6" xfId="1447" xr:uid="{00000000-0005-0000-0000-000099050000}"/>
    <cellStyle name="Moneda 21 2 7" xfId="1448" xr:uid="{00000000-0005-0000-0000-00009A050000}"/>
    <cellStyle name="Moneda 21 3" xfId="1449" xr:uid="{00000000-0005-0000-0000-00009B050000}"/>
    <cellStyle name="Moneda 21 3 2" xfId="1450" xr:uid="{00000000-0005-0000-0000-00009C050000}"/>
    <cellStyle name="Moneda 21 3 2 2" xfId="1451" xr:uid="{00000000-0005-0000-0000-00009D050000}"/>
    <cellStyle name="Moneda 21 3 3" xfId="1452" xr:uid="{00000000-0005-0000-0000-00009E050000}"/>
    <cellStyle name="Moneda 21 3 3 2" xfId="1453" xr:uid="{00000000-0005-0000-0000-00009F050000}"/>
    <cellStyle name="Moneda 21 3 4" xfId="1454" xr:uid="{00000000-0005-0000-0000-0000A0050000}"/>
    <cellStyle name="Moneda 21 3 4 2" xfId="1455" xr:uid="{00000000-0005-0000-0000-0000A1050000}"/>
    <cellStyle name="Moneda 21 3 5" xfId="1456" xr:uid="{00000000-0005-0000-0000-0000A2050000}"/>
    <cellStyle name="Moneda 21 4" xfId="1457" xr:uid="{00000000-0005-0000-0000-0000A3050000}"/>
    <cellStyle name="Moneda 21 4 2" xfId="1458" xr:uid="{00000000-0005-0000-0000-0000A4050000}"/>
    <cellStyle name="Moneda 21 5" xfId="1459" xr:uid="{00000000-0005-0000-0000-0000A5050000}"/>
    <cellStyle name="Moneda 21 5 2" xfId="1460" xr:uid="{00000000-0005-0000-0000-0000A6050000}"/>
    <cellStyle name="Moneda 21 6" xfId="1461" xr:uid="{00000000-0005-0000-0000-0000A7050000}"/>
    <cellStyle name="Moneda 21 6 2" xfId="1462" xr:uid="{00000000-0005-0000-0000-0000A8050000}"/>
    <cellStyle name="Moneda 21 7" xfId="1463" xr:uid="{00000000-0005-0000-0000-0000A9050000}"/>
    <cellStyle name="Moneda 21 8" xfId="1464" xr:uid="{00000000-0005-0000-0000-0000AA050000}"/>
    <cellStyle name="Moneda 22" xfId="1465" xr:uid="{00000000-0005-0000-0000-0000AB050000}"/>
    <cellStyle name="Moneda 22 2" xfId="1466" xr:uid="{00000000-0005-0000-0000-0000AC050000}"/>
    <cellStyle name="Moneda 22 2 2" xfId="1467" xr:uid="{00000000-0005-0000-0000-0000AD050000}"/>
    <cellStyle name="Moneda 22 2 2 2" xfId="1468" xr:uid="{00000000-0005-0000-0000-0000AE050000}"/>
    <cellStyle name="Moneda 22 2 2 2 2" xfId="1469" xr:uid="{00000000-0005-0000-0000-0000AF050000}"/>
    <cellStyle name="Moneda 22 2 2 3" xfId="1470" xr:uid="{00000000-0005-0000-0000-0000B0050000}"/>
    <cellStyle name="Moneda 22 2 2 3 2" xfId="1471" xr:uid="{00000000-0005-0000-0000-0000B1050000}"/>
    <cellStyle name="Moneda 22 2 2 4" xfId="1472" xr:uid="{00000000-0005-0000-0000-0000B2050000}"/>
    <cellStyle name="Moneda 22 2 2 4 2" xfId="1473" xr:uid="{00000000-0005-0000-0000-0000B3050000}"/>
    <cellStyle name="Moneda 22 2 2 5" xfId="1474" xr:uid="{00000000-0005-0000-0000-0000B4050000}"/>
    <cellStyle name="Moneda 22 2 3" xfId="1475" xr:uid="{00000000-0005-0000-0000-0000B5050000}"/>
    <cellStyle name="Moneda 22 2 3 2" xfId="1476" xr:uid="{00000000-0005-0000-0000-0000B6050000}"/>
    <cellStyle name="Moneda 22 2 4" xfId="1477" xr:uid="{00000000-0005-0000-0000-0000B7050000}"/>
    <cellStyle name="Moneda 22 2 4 2" xfId="1478" xr:uid="{00000000-0005-0000-0000-0000B8050000}"/>
    <cellStyle name="Moneda 22 2 5" xfId="1479" xr:uid="{00000000-0005-0000-0000-0000B9050000}"/>
    <cellStyle name="Moneda 22 2 5 2" xfId="1480" xr:uid="{00000000-0005-0000-0000-0000BA050000}"/>
    <cellStyle name="Moneda 22 2 6" xfId="1481" xr:uid="{00000000-0005-0000-0000-0000BB050000}"/>
    <cellStyle name="Moneda 22 3" xfId="1482" xr:uid="{00000000-0005-0000-0000-0000BC050000}"/>
    <cellStyle name="Moneda 22 3 2" xfId="1483" xr:uid="{00000000-0005-0000-0000-0000BD050000}"/>
    <cellStyle name="Moneda 22 3 2 2" xfId="1484" xr:uid="{00000000-0005-0000-0000-0000BE050000}"/>
    <cellStyle name="Moneda 22 3 3" xfId="1485" xr:uid="{00000000-0005-0000-0000-0000BF050000}"/>
    <cellStyle name="Moneda 22 3 3 2" xfId="1486" xr:uid="{00000000-0005-0000-0000-0000C0050000}"/>
    <cellStyle name="Moneda 22 3 4" xfId="1487" xr:uid="{00000000-0005-0000-0000-0000C1050000}"/>
    <cellStyle name="Moneda 22 3 4 2" xfId="1488" xr:uid="{00000000-0005-0000-0000-0000C2050000}"/>
    <cellStyle name="Moneda 22 3 5" xfId="1489" xr:uid="{00000000-0005-0000-0000-0000C3050000}"/>
    <cellStyle name="Moneda 22 4" xfId="1490" xr:uid="{00000000-0005-0000-0000-0000C4050000}"/>
    <cellStyle name="Moneda 22 4 2" xfId="1491" xr:uid="{00000000-0005-0000-0000-0000C5050000}"/>
    <cellStyle name="Moneda 22 5" xfId="1492" xr:uid="{00000000-0005-0000-0000-0000C6050000}"/>
    <cellStyle name="Moneda 22 5 2" xfId="1493" xr:uid="{00000000-0005-0000-0000-0000C7050000}"/>
    <cellStyle name="Moneda 22 6" xfId="1494" xr:uid="{00000000-0005-0000-0000-0000C8050000}"/>
    <cellStyle name="Moneda 22 6 2" xfId="1495" xr:uid="{00000000-0005-0000-0000-0000C9050000}"/>
    <cellStyle name="Moneda 22 7" xfId="1496" xr:uid="{00000000-0005-0000-0000-0000CA050000}"/>
    <cellStyle name="Moneda 22 8" xfId="1497" xr:uid="{00000000-0005-0000-0000-0000CB050000}"/>
    <cellStyle name="Moneda 23" xfId="1498" xr:uid="{00000000-0005-0000-0000-0000CC050000}"/>
    <cellStyle name="Moneda 23 2" xfId="1499" xr:uid="{00000000-0005-0000-0000-0000CD050000}"/>
    <cellStyle name="Moneda 23 2 2" xfId="1500" xr:uid="{00000000-0005-0000-0000-0000CE050000}"/>
    <cellStyle name="Moneda 23 2 2 2" xfId="1501" xr:uid="{00000000-0005-0000-0000-0000CF050000}"/>
    <cellStyle name="Moneda 23 2 3" xfId="1502" xr:uid="{00000000-0005-0000-0000-0000D0050000}"/>
    <cellStyle name="Moneda 23 2 3 2" xfId="1503" xr:uid="{00000000-0005-0000-0000-0000D1050000}"/>
    <cellStyle name="Moneda 23 2 4" xfId="1504" xr:uid="{00000000-0005-0000-0000-0000D2050000}"/>
    <cellStyle name="Moneda 23 2 4 2" xfId="1505" xr:uid="{00000000-0005-0000-0000-0000D3050000}"/>
    <cellStyle name="Moneda 23 2 5" xfId="1506" xr:uid="{00000000-0005-0000-0000-0000D4050000}"/>
    <cellStyle name="Moneda 23 3" xfId="1507" xr:uid="{00000000-0005-0000-0000-0000D5050000}"/>
    <cellStyle name="Moneda 23 3 2" xfId="1508" xr:uid="{00000000-0005-0000-0000-0000D6050000}"/>
    <cellStyle name="Moneda 23 4" xfId="1509" xr:uid="{00000000-0005-0000-0000-0000D7050000}"/>
    <cellStyle name="Moneda 23 4 2" xfId="1510" xr:uid="{00000000-0005-0000-0000-0000D8050000}"/>
    <cellStyle name="Moneda 23 5" xfId="1511" xr:uid="{00000000-0005-0000-0000-0000D9050000}"/>
    <cellStyle name="Moneda 23 5 2" xfId="1512" xr:uid="{00000000-0005-0000-0000-0000DA050000}"/>
    <cellStyle name="Moneda 23 6" xfId="1513" xr:uid="{00000000-0005-0000-0000-0000DB050000}"/>
    <cellStyle name="Moneda 23 7" xfId="1514" xr:uid="{00000000-0005-0000-0000-0000DC050000}"/>
    <cellStyle name="Moneda 24" xfId="1515" xr:uid="{00000000-0005-0000-0000-0000DD050000}"/>
    <cellStyle name="Moneda 24 2" xfId="1516" xr:uid="{00000000-0005-0000-0000-0000DE050000}"/>
    <cellStyle name="Moneda 24 2 2" xfId="1517" xr:uid="{00000000-0005-0000-0000-0000DF050000}"/>
    <cellStyle name="Moneda 24 2 2 2" xfId="1518" xr:uid="{00000000-0005-0000-0000-0000E0050000}"/>
    <cellStyle name="Moneda 24 2 3" xfId="1519" xr:uid="{00000000-0005-0000-0000-0000E1050000}"/>
    <cellStyle name="Moneda 24 2 3 2" xfId="1520" xr:uid="{00000000-0005-0000-0000-0000E2050000}"/>
    <cellStyle name="Moneda 24 2 4" xfId="1521" xr:uid="{00000000-0005-0000-0000-0000E3050000}"/>
    <cellStyle name="Moneda 24 2 4 2" xfId="1522" xr:uid="{00000000-0005-0000-0000-0000E4050000}"/>
    <cellStyle name="Moneda 24 2 5" xfId="1523" xr:uid="{00000000-0005-0000-0000-0000E5050000}"/>
    <cellStyle name="Moneda 24 3" xfId="1524" xr:uid="{00000000-0005-0000-0000-0000E6050000}"/>
    <cellStyle name="Moneda 24 3 2" xfId="1525" xr:uid="{00000000-0005-0000-0000-0000E7050000}"/>
    <cellStyle name="Moneda 24 4" xfId="1526" xr:uid="{00000000-0005-0000-0000-0000E8050000}"/>
    <cellStyle name="Moneda 24 4 2" xfId="1527" xr:uid="{00000000-0005-0000-0000-0000E9050000}"/>
    <cellStyle name="Moneda 24 5" xfId="1528" xr:uid="{00000000-0005-0000-0000-0000EA050000}"/>
    <cellStyle name="Moneda 24 5 2" xfId="1529" xr:uid="{00000000-0005-0000-0000-0000EB050000}"/>
    <cellStyle name="Moneda 24 6" xfId="1530" xr:uid="{00000000-0005-0000-0000-0000EC050000}"/>
    <cellStyle name="Moneda 24 7" xfId="1531" xr:uid="{00000000-0005-0000-0000-0000ED050000}"/>
    <cellStyle name="Moneda 25" xfId="1532" xr:uid="{00000000-0005-0000-0000-0000EE050000}"/>
    <cellStyle name="Moneda 25 2" xfId="1533" xr:uid="{00000000-0005-0000-0000-0000EF050000}"/>
    <cellStyle name="Moneda 25 2 2" xfId="1534" xr:uid="{00000000-0005-0000-0000-0000F0050000}"/>
    <cellStyle name="Moneda 25 3" xfId="1535" xr:uid="{00000000-0005-0000-0000-0000F1050000}"/>
    <cellStyle name="Moneda 25 3 2" xfId="1536" xr:uid="{00000000-0005-0000-0000-0000F2050000}"/>
    <cellStyle name="Moneda 25 4" xfId="1537" xr:uid="{00000000-0005-0000-0000-0000F3050000}"/>
    <cellStyle name="Moneda 25 4 2" xfId="1538" xr:uid="{00000000-0005-0000-0000-0000F4050000}"/>
    <cellStyle name="Moneda 25 5" xfId="1539" xr:uid="{00000000-0005-0000-0000-0000F5050000}"/>
    <cellStyle name="Moneda 26" xfId="1540" xr:uid="{00000000-0005-0000-0000-0000F6050000}"/>
    <cellStyle name="Moneda 26 2" xfId="1541" xr:uid="{00000000-0005-0000-0000-0000F7050000}"/>
    <cellStyle name="Moneda 26 2 2" xfId="1542" xr:uid="{00000000-0005-0000-0000-0000F8050000}"/>
    <cellStyle name="Moneda 26 3" xfId="1543" xr:uid="{00000000-0005-0000-0000-0000F9050000}"/>
    <cellStyle name="Moneda 26 3 2" xfId="1544" xr:uid="{00000000-0005-0000-0000-0000FA050000}"/>
    <cellStyle name="Moneda 26 4" xfId="1545" xr:uid="{00000000-0005-0000-0000-0000FB050000}"/>
    <cellStyle name="Moneda 26 4 2" xfId="1546" xr:uid="{00000000-0005-0000-0000-0000FC050000}"/>
    <cellStyle name="Moneda 26 5" xfId="1547" xr:uid="{00000000-0005-0000-0000-0000FD050000}"/>
    <cellStyle name="Moneda 27" xfId="1548" xr:uid="{00000000-0005-0000-0000-0000FE050000}"/>
    <cellStyle name="Moneda 27 2" xfId="1549" xr:uid="{00000000-0005-0000-0000-0000FF050000}"/>
    <cellStyle name="Moneda 27 2 2" xfId="1550" xr:uid="{00000000-0005-0000-0000-000000060000}"/>
    <cellStyle name="Moneda 27 3" xfId="1551" xr:uid="{00000000-0005-0000-0000-000001060000}"/>
    <cellStyle name="Moneda 27 3 2" xfId="1552" xr:uid="{00000000-0005-0000-0000-000002060000}"/>
    <cellStyle name="Moneda 27 4" xfId="1553" xr:uid="{00000000-0005-0000-0000-000003060000}"/>
    <cellStyle name="Moneda 27 4 2" xfId="1554" xr:uid="{00000000-0005-0000-0000-000004060000}"/>
    <cellStyle name="Moneda 27 5" xfId="1555" xr:uid="{00000000-0005-0000-0000-000005060000}"/>
    <cellStyle name="Moneda 28" xfId="1556" xr:uid="{00000000-0005-0000-0000-000006060000}"/>
    <cellStyle name="Moneda 28 2" xfId="1557" xr:uid="{00000000-0005-0000-0000-000007060000}"/>
    <cellStyle name="Moneda 28 2 2" xfId="1558" xr:uid="{00000000-0005-0000-0000-000008060000}"/>
    <cellStyle name="Moneda 28 3" xfId="1559" xr:uid="{00000000-0005-0000-0000-000009060000}"/>
    <cellStyle name="Moneda 28 3 2" xfId="1560" xr:uid="{00000000-0005-0000-0000-00000A060000}"/>
    <cellStyle name="Moneda 28 4" xfId="1561" xr:uid="{00000000-0005-0000-0000-00000B060000}"/>
    <cellStyle name="Moneda 28 4 2" xfId="1562" xr:uid="{00000000-0005-0000-0000-00000C060000}"/>
    <cellStyle name="Moneda 28 5" xfId="1563" xr:uid="{00000000-0005-0000-0000-00000D060000}"/>
    <cellStyle name="Moneda 29" xfId="1564" xr:uid="{00000000-0005-0000-0000-00000E060000}"/>
    <cellStyle name="Moneda 29 2" xfId="1565" xr:uid="{00000000-0005-0000-0000-00000F060000}"/>
    <cellStyle name="Moneda 29 2 2" xfId="1566" xr:uid="{00000000-0005-0000-0000-000010060000}"/>
    <cellStyle name="Moneda 29 3" xfId="1567" xr:uid="{00000000-0005-0000-0000-000011060000}"/>
    <cellStyle name="Moneda 29 3 2" xfId="1568" xr:uid="{00000000-0005-0000-0000-000012060000}"/>
    <cellStyle name="Moneda 29 4" xfId="1569" xr:uid="{00000000-0005-0000-0000-000013060000}"/>
    <cellStyle name="Moneda 29 4 2" xfId="1570" xr:uid="{00000000-0005-0000-0000-000014060000}"/>
    <cellStyle name="Moneda 29 5" xfId="1571" xr:uid="{00000000-0005-0000-0000-000015060000}"/>
    <cellStyle name="Moneda 3" xfId="14" xr:uid="{00000000-0005-0000-0000-000016060000}"/>
    <cellStyle name="Moneda 3 10" xfId="1572" xr:uid="{00000000-0005-0000-0000-000017060000}"/>
    <cellStyle name="Moneda 3 10 2" xfId="1573" xr:uid="{00000000-0005-0000-0000-000018060000}"/>
    <cellStyle name="Moneda 3 10 2 2" xfId="1574" xr:uid="{00000000-0005-0000-0000-000019060000}"/>
    <cellStyle name="Moneda 3 10 3" xfId="1575" xr:uid="{00000000-0005-0000-0000-00001A060000}"/>
    <cellStyle name="Moneda 3 10 3 2" xfId="1576" xr:uid="{00000000-0005-0000-0000-00001B060000}"/>
    <cellStyle name="Moneda 3 10 4" xfId="1577" xr:uid="{00000000-0005-0000-0000-00001C060000}"/>
    <cellStyle name="Moneda 3 10 4 2" xfId="1578" xr:uid="{00000000-0005-0000-0000-00001D060000}"/>
    <cellStyle name="Moneda 3 10 5" xfId="1579" xr:uid="{00000000-0005-0000-0000-00001E060000}"/>
    <cellStyle name="Moneda 3 11" xfId="1580" xr:uid="{00000000-0005-0000-0000-00001F060000}"/>
    <cellStyle name="Moneda 3 11 2" xfId="1581" xr:uid="{00000000-0005-0000-0000-000020060000}"/>
    <cellStyle name="Moneda 3 12" xfId="1582" xr:uid="{00000000-0005-0000-0000-000021060000}"/>
    <cellStyle name="Moneda 3 12 2" xfId="1583" xr:uid="{00000000-0005-0000-0000-000022060000}"/>
    <cellStyle name="Moneda 3 13" xfId="1584" xr:uid="{00000000-0005-0000-0000-000023060000}"/>
    <cellStyle name="Moneda 3 13 2" xfId="1585" xr:uid="{00000000-0005-0000-0000-000024060000}"/>
    <cellStyle name="Moneda 3 14" xfId="1586" xr:uid="{00000000-0005-0000-0000-000025060000}"/>
    <cellStyle name="Moneda 3 14 2" xfId="1587" xr:uid="{00000000-0005-0000-0000-000026060000}"/>
    <cellStyle name="Moneda 3 15" xfId="1588" xr:uid="{00000000-0005-0000-0000-000027060000}"/>
    <cellStyle name="Moneda 3 15 2" xfId="1589" xr:uid="{00000000-0005-0000-0000-000028060000}"/>
    <cellStyle name="Moneda 3 15 3" xfId="1590" xr:uid="{00000000-0005-0000-0000-000029060000}"/>
    <cellStyle name="Moneda 3 16" xfId="1591" xr:uid="{00000000-0005-0000-0000-00002A060000}"/>
    <cellStyle name="Moneda 3 2" xfId="1592" xr:uid="{00000000-0005-0000-0000-00002B060000}"/>
    <cellStyle name="Moneda 3 2 10" xfId="1593" xr:uid="{00000000-0005-0000-0000-00002C060000}"/>
    <cellStyle name="Moneda 3 2 10 2" xfId="1594" xr:uid="{00000000-0005-0000-0000-00002D060000}"/>
    <cellStyle name="Moneda 3 2 11" xfId="1595" xr:uid="{00000000-0005-0000-0000-00002E060000}"/>
    <cellStyle name="Moneda 3 2 2" xfId="1596" xr:uid="{00000000-0005-0000-0000-00002F060000}"/>
    <cellStyle name="Moneda 3 2 2 2" xfId="1597" xr:uid="{00000000-0005-0000-0000-000030060000}"/>
    <cellStyle name="Moneda 3 2 2 2 2" xfId="1598" xr:uid="{00000000-0005-0000-0000-000031060000}"/>
    <cellStyle name="Moneda 3 2 2 2 2 2" xfId="1599" xr:uid="{00000000-0005-0000-0000-000032060000}"/>
    <cellStyle name="Moneda 3 2 2 2 2 2 2" xfId="1600" xr:uid="{00000000-0005-0000-0000-000033060000}"/>
    <cellStyle name="Moneda 3 2 2 2 2 3" xfId="1601" xr:uid="{00000000-0005-0000-0000-000034060000}"/>
    <cellStyle name="Moneda 3 2 2 2 2 3 2" xfId="1602" xr:uid="{00000000-0005-0000-0000-000035060000}"/>
    <cellStyle name="Moneda 3 2 2 2 2 4" xfId="1603" xr:uid="{00000000-0005-0000-0000-000036060000}"/>
    <cellStyle name="Moneda 3 2 2 2 2 4 2" xfId="1604" xr:uid="{00000000-0005-0000-0000-000037060000}"/>
    <cellStyle name="Moneda 3 2 2 2 2 5" xfId="1605" xr:uid="{00000000-0005-0000-0000-000038060000}"/>
    <cellStyle name="Moneda 3 2 2 2 3" xfId="1606" xr:uid="{00000000-0005-0000-0000-000039060000}"/>
    <cellStyle name="Moneda 3 2 2 2 3 2" xfId="1607" xr:uid="{00000000-0005-0000-0000-00003A060000}"/>
    <cellStyle name="Moneda 3 2 2 2 4" xfId="1608" xr:uid="{00000000-0005-0000-0000-00003B060000}"/>
    <cellStyle name="Moneda 3 2 2 2 4 2" xfId="1609" xr:uid="{00000000-0005-0000-0000-00003C060000}"/>
    <cellStyle name="Moneda 3 2 2 2 5" xfId="1610" xr:uid="{00000000-0005-0000-0000-00003D060000}"/>
    <cellStyle name="Moneda 3 2 2 2 5 2" xfId="1611" xr:uid="{00000000-0005-0000-0000-00003E060000}"/>
    <cellStyle name="Moneda 3 2 2 2 6" xfId="1612" xr:uid="{00000000-0005-0000-0000-00003F060000}"/>
    <cellStyle name="Moneda 3 2 2 3" xfId="1613" xr:uid="{00000000-0005-0000-0000-000040060000}"/>
    <cellStyle name="Moneda 3 2 2 3 2" xfId="1614" xr:uid="{00000000-0005-0000-0000-000041060000}"/>
    <cellStyle name="Moneda 3 2 2 3 2 2" xfId="1615" xr:uid="{00000000-0005-0000-0000-000042060000}"/>
    <cellStyle name="Moneda 3 2 2 3 2 2 2" xfId="1616" xr:uid="{00000000-0005-0000-0000-000043060000}"/>
    <cellStyle name="Moneda 3 2 2 3 2 3" xfId="1617" xr:uid="{00000000-0005-0000-0000-000044060000}"/>
    <cellStyle name="Moneda 3 2 2 3 3" xfId="1618" xr:uid="{00000000-0005-0000-0000-000045060000}"/>
    <cellStyle name="Moneda 3 2 2 3 3 2" xfId="1619" xr:uid="{00000000-0005-0000-0000-000046060000}"/>
    <cellStyle name="Moneda 3 2 2 3 4" xfId="1620" xr:uid="{00000000-0005-0000-0000-000047060000}"/>
    <cellStyle name="Moneda 3 2 2 3 4 2" xfId="1621" xr:uid="{00000000-0005-0000-0000-000048060000}"/>
    <cellStyle name="Moneda 3 2 2 3 5" xfId="1622" xr:uid="{00000000-0005-0000-0000-000049060000}"/>
    <cellStyle name="Moneda 3 2 2 4" xfId="1623" xr:uid="{00000000-0005-0000-0000-00004A060000}"/>
    <cellStyle name="Moneda 3 2 2 4 2" xfId="1624" xr:uid="{00000000-0005-0000-0000-00004B060000}"/>
    <cellStyle name="Moneda 3 2 2 4 2 2" xfId="1625" xr:uid="{00000000-0005-0000-0000-00004C060000}"/>
    <cellStyle name="Moneda 3 2 2 4 2 2 2" xfId="1626" xr:uid="{00000000-0005-0000-0000-00004D060000}"/>
    <cellStyle name="Moneda 3 2 2 4 2 3" xfId="1627" xr:uid="{00000000-0005-0000-0000-00004E060000}"/>
    <cellStyle name="Moneda 3 2 2 4 3" xfId="1628" xr:uid="{00000000-0005-0000-0000-00004F060000}"/>
    <cellStyle name="Moneda 3 2 2 4 3 2" xfId="1629" xr:uid="{00000000-0005-0000-0000-000050060000}"/>
    <cellStyle name="Moneda 3 2 2 4 4" xfId="1630" xr:uid="{00000000-0005-0000-0000-000051060000}"/>
    <cellStyle name="Moneda 3 2 2 5" xfId="1631" xr:uid="{00000000-0005-0000-0000-000052060000}"/>
    <cellStyle name="Moneda 3 2 2 5 2" xfId="1632" xr:uid="{00000000-0005-0000-0000-000053060000}"/>
    <cellStyle name="Moneda 3 2 2 5 2 2" xfId="1633" xr:uid="{00000000-0005-0000-0000-000054060000}"/>
    <cellStyle name="Moneda 3 2 2 5 3" xfId="1634" xr:uid="{00000000-0005-0000-0000-000055060000}"/>
    <cellStyle name="Moneda 3 2 2 6" xfId="1635" xr:uid="{00000000-0005-0000-0000-000056060000}"/>
    <cellStyle name="Moneda 3 2 2 6 2" xfId="1636" xr:uid="{00000000-0005-0000-0000-000057060000}"/>
    <cellStyle name="Moneda 3 2 2 7" xfId="1637" xr:uid="{00000000-0005-0000-0000-000058060000}"/>
    <cellStyle name="Moneda 3 2 3" xfId="1638" xr:uid="{00000000-0005-0000-0000-000059060000}"/>
    <cellStyle name="Moneda 3 2 3 2" xfId="1639" xr:uid="{00000000-0005-0000-0000-00005A060000}"/>
    <cellStyle name="Moneda 3 2 3 2 2" xfId="1640" xr:uid="{00000000-0005-0000-0000-00005B060000}"/>
    <cellStyle name="Moneda 3 2 3 2 2 2" xfId="1641" xr:uid="{00000000-0005-0000-0000-00005C060000}"/>
    <cellStyle name="Moneda 3 2 3 2 2 2 2" xfId="1642" xr:uid="{00000000-0005-0000-0000-00005D060000}"/>
    <cellStyle name="Moneda 3 2 3 2 2 3" xfId="1643" xr:uid="{00000000-0005-0000-0000-00005E060000}"/>
    <cellStyle name="Moneda 3 2 3 2 2 3 2" xfId="1644" xr:uid="{00000000-0005-0000-0000-00005F060000}"/>
    <cellStyle name="Moneda 3 2 3 2 2 4" xfId="1645" xr:uid="{00000000-0005-0000-0000-000060060000}"/>
    <cellStyle name="Moneda 3 2 3 2 2 4 2" xfId="1646" xr:uid="{00000000-0005-0000-0000-000061060000}"/>
    <cellStyle name="Moneda 3 2 3 2 2 5" xfId="1647" xr:uid="{00000000-0005-0000-0000-000062060000}"/>
    <cellStyle name="Moneda 3 2 3 2 3" xfId="1648" xr:uid="{00000000-0005-0000-0000-000063060000}"/>
    <cellStyle name="Moneda 3 2 3 2 3 2" xfId="1649" xr:uid="{00000000-0005-0000-0000-000064060000}"/>
    <cellStyle name="Moneda 3 2 3 2 4" xfId="1650" xr:uid="{00000000-0005-0000-0000-000065060000}"/>
    <cellStyle name="Moneda 3 2 3 2 4 2" xfId="1651" xr:uid="{00000000-0005-0000-0000-000066060000}"/>
    <cellStyle name="Moneda 3 2 3 2 5" xfId="1652" xr:uid="{00000000-0005-0000-0000-000067060000}"/>
    <cellStyle name="Moneda 3 2 3 2 5 2" xfId="1653" xr:uid="{00000000-0005-0000-0000-000068060000}"/>
    <cellStyle name="Moneda 3 2 3 2 6" xfId="1654" xr:uid="{00000000-0005-0000-0000-000069060000}"/>
    <cellStyle name="Moneda 3 2 3 3" xfId="1655" xr:uid="{00000000-0005-0000-0000-00006A060000}"/>
    <cellStyle name="Moneda 3 2 3 3 2" xfId="1656" xr:uid="{00000000-0005-0000-0000-00006B060000}"/>
    <cellStyle name="Moneda 3 2 3 3 2 2" xfId="1657" xr:uid="{00000000-0005-0000-0000-00006C060000}"/>
    <cellStyle name="Moneda 3 2 3 3 3" xfId="1658" xr:uid="{00000000-0005-0000-0000-00006D060000}"/>
    <cellStyle name="Moneda 3 2 3 3 3 2" xfId="1659" xr:uid="{00000000-0005-0000-0000-00006E060000}"/>
    <cellStyle name="Moneda 3 2 3 3 4" xfId="1660" xr:uid="{00000000-0005-0000-0000-00006F060000}"/>
    <cellStyle name="Moneda 3 2 3 3 4 2" xfId="1661" xr:uid="{00000000-0005-0000-0000-000070060000}"/>
    <cellStyle name="Moneda 3 2 3 3 5" xfId="1662" xr:uid="{00000000-0005-0000-0000-000071060000}"/>
    <cellStyle name="Moneda 3 2 3 4" xfId="1663" xr:uid="{00000000-0005-0000-0000-000072060000}"/>
    <cellStyle name="Moneda 3 2 3 4 2" xfId="1664" xr:uid="{00000000-0005-0000-0000-000073060000}"/>
    <cellStyle name="Moneda 3 2 3 5" xfId="1665" xr:uid="{00000000-0005-0000-0000-000074060000}"/>
    <cellStyle name="Moneda 3 2 3 5 2" xfId="1666" xr:uid="{00000000-0005-0000-0000-000075060000}"/>
    <cellStyle name="Moneda 3 2 3 6" xfId="1667" xr:uid="{00000000-0005-0000-0000-000076060000}"/>
    <cellStyle name="Moneda 3 2 3 6 2" xfId="1668" xr:uid="{00000000-0005-0000-0000-000077060000}"/>
    <cellStyle name="Moneda 3 2 3 7" xfId="1669" xr:uid="{00000000-0005-0000-0000-000078060000}"/>
    <cellStyle name="Moneda 3 2 4" xfId="1670" xr:uid="{00000000-0005-0000-0000-000079060000}"/>
    <cellStyle name="Moneda 3 2 4 2" xfId="1671" xr:uid="{00000000-0005-0000-0000-00007A060000}"/>
    <cellStyle name="Moneda 3 2 4 2 2" xfId="1672" xr:uid="{00000000-0005-0000-0000-00007B060000}"/>
    <cellStyle name="Moneda 3 2 4 2 2 2" xfId="1673" xr:uid="{00000000-0005-0000-0000-00007C060000}"/>
    <cellStyle name="Moneda 3 2 4 2 2 2 2" xfId="1674" xr:uid="{00000000-0005-0000-0000-00007D060000}"/>
    <cellStyle name="Moneda 3 2 4 2 2 3" xfId="1675" xr:uid="{00000000-0005-0000-0000-00007E060000}"/>
    <cellStyle name="Moneda 3 2 4 2 2 3 2" xfId="1676" xr:uid="{00000000-0005-0000-0000-00007F060000}"/>
    <cellStyle name="Moneda 3 2 4 2 2 4" xfId="1677" xr:uid="{00000000-0005-0000-0000-000080060000}"/>
    <cellStyle name="Moneda 3 2 4 2 2 4 2" xfId="1678" xr:uid="{00000000-0005-0000-0000-000081060000}"/>
    <cellStyle name="Moneda 3 2 4 2 2 5" xfId="1679" xr:uid="{00000000-0005-0000-0000-000082060000}"/>
    <cellStyle name="Moneda 3 2 4 2 3" xfId="1680" xr:uid="{00000000-0005-0000-0000-000083060000}"/>
    <cellStyle name="Moneda 3 2 4 2 3 2" xfId="1681" xr:uid="{00000000-0005-0000-0000-000084060000}"/>
    <cellStyle name="Moneda 3 2 4 2 4" xfId="1682" xr:uid="{00000000-0005-0000-0000-000085060000}"/>
    <cellStyle name="Moneda 3 2 4 2 4 2" xfId="1683" xr:uid="{00000000-0005-0000-0000-000086060000}"/>
    <cellStyle name="Moneda 3 2 4 2 5" xfId="1684" xr:uid="{00000000-0005-0000-0000-000087060000}"/>
    <cellStyle name="Moneda 3 2 4 2 5 2" xfId="1685" xr:uid="{00000000-0005-0000-0000-000088060000}"/>
    <cellStyle name="Moneda 3 2 4 2 6" xfId="1686" xr:uid="{00000000-0005-0000-0000-000089060000}"/>
    <cellStyle name="Moneda 3 2 4 3" xfId="1687" xr:uid="{00000000-0005-0000-0000-00008A060000}"/>
    <cellStyle name="Moneda 3 2 4 3 2" xfId="1688" xr:uid="{00000000-0005-0000-0000-00008B060000}"/>
    <cellStyle name="Moneda 3 2 4 3 2 2" xfId="1689" xr:uid="{00000000-0005-0000-0000-00008C060000}"/>
    <cellStyle name="Moneda 3 2 4 3 3" xfId="1690" xr:uid="{00000000-0005-0000-0000-00008D060000}"/>
    <cellStyle name="Moneda 3 2 4 3 3 2" xfId="1691" xr:uid="{00000000-0005-0000-0000-00008E060000}"/>
    <cellStyle name="Moneda 3 2 4 3 4" xfId="1692" xr:uid="{00000000-0005-0000-0000-00008F060000}"/>
    <cellStyle name="Moneda 3 2 4 3 4 2" xfId="1693" xr:uid="{00000000-0005-0000-0000-000090060000}"/>
    <cellStyle name="Moneda 3 2 4 3 5" xfId="1694" xr:uid="{00000000-0005-0000-0000-000091060000}"/>
    <cellStyle name="Moneda 3 2 4 4" xfId="1695" xr:uid="{00000000-0005-0000-0000-000092060000}"/>
    <cellStyle name="Moneda 3 2 4 4 2" xfId="1696" xr:uid="{00000000-0005-0000-0000-000093060000}"/>
    <cellStyle name="Moneda 3 2 4 5" xfId="1697" xr:uid="{00000000-0005-0000-0000-000094060000}"/>
    <cellStyle name="Moneda 3 2 4 5 2" xfId="1698" xr:uid="{00000000-0005-0000-0000-000095060000}"/>
    <cellStyle name="Moneda 3 2 4 6" xfId="1699" xr:uid="{00000000-0005-0000-0000-000096060000}"/>
    <cellStyle name="Moneda 3 2 4 6 2" xfId="1700" xr:uid="{00000000-0005-0000-0000-000097060000}"/>
    <cellStyle name="Moneda 3 2 4 7" xfId="1701" xr:uid="{00000000-0005-0000-0000-000098060000}"/>
    <cellStyle name="Moneda 3 2 5" xfId="1702" xr:uid="{00000000-0005-0000-0000-000099060000}"/>
    <cellStyle name="Moneda 3 2 5 2" xfId="1703" xr:uid="{00000000-0005-0000-0000-00009A060000}"/>
    <cellStyle name="Moneda 3 2 5 2 2" xfId="1704" xr:uid="{00000000-0005-0000-0000-00009B060000}"/>
    <cellStyle name="Moneda 3 2 5 2 2 2" xfId="1705" xr:uid="{00000000-0005-0000-0000-00009C060000}"/>
    <cellStyle name="Moneda 3 2 5 2 3" xfId="1706" xr:uid="{00000000-0005-0000-0000-00009D060000}"/>
    <cellStyle name="Moneda 3 2 5 2 3 2" xfId="1707" xr:uid="{00000000-0005-0000-0000-00009E060000}"/>
    <cellStyle name="Moneda 3 2 5 2 4" xfId="1708" xr:uid="{00000000-0005-0000-0000-00009F060000}"/>
    <cellStyle name="Moneda 3 2 5 2 4 2" xfId="1709" xr:uid="{00000000-0005-0000-0000-0000A0060000}"/>
    <cellStyle name="Moneda 3 2 5 2 5" xfId="1710" xr:uid="{00000000-0005-0000-0000-0000A1060000}"/>
    <cellStyle name="Moneda 3 2 5 3" xfId="1711" xr:uid="{00000000-0005-0000-0000-0000A2060000}"/>
    <cellStyle name="Moneda 3 2 5 3 2" xfId="1712" xr:uid="{00000000-0005-0000-0000-0000A3060000}"/>
    <cellStyle name="Moneda 3 2 5 4" xfId="1713" xr:uid="{00000000-0005-0000-0000-0000A4060000}"/>
    <cellStyle name="Moneda 3 2 5 4 2" xfId="1714" xr:uid="{00000000-0005-0000-0000-0000A5060000}"/>
    <cellStyle name="Moneda 3 2 5 5" xfId="1715" xr:uid="{00000000-0005-0000-0000-0000A6060000}"/>
    <cellStyle name="Moneda 3 2 5 5 2" xfId="1716" xr:uid="{00000000-0005-0000-0000-0000A7060000}"/>
    <cellStyle name="Moneda 3 2 5 6" xfId="1717" xr:uid="{00000000-0005-0000-0000-0000A8060000}"/>
    <cellStyle name="Moneda 3 2 6" xfId="1718" xr:uid="{00000000-0005-0000-0000-0000A9060000}"/>
    <cellStyle name="Moneda 3 2 6 2" xfId="1719" xr:uid="{00000000-0005-0000-0000-0000AA060000}"/>
    <cellStyle name="Moneda 3 2 6 2 2" xfId="1720" xr:uid="{00000000-0005-0000-0000-0000AB060000}"/>
    <cellStyle name="Moneda 3 2 6 2 3" xfId="1721" xr:uid="{00000000-0005-0000-0000-0000AC060000}"/>
    <cellStyle name="Moneda 3 2 6 3" xfId="1722" xr:uid="{00000000-0005-0000-0000-0000AD060000}"/>
    <cellStyle name="Moneda 3 2 6 4" xfId="1723" xr:uid="{00000000-0005-0000-0000-0000AE060000}"/>
    <cellStyle name="Moneda 3 2 7" xfId="1724" xr:uid="{00000000-0005-0000-0000-0000AF060000}"/>
    <cellStyle name="Moneda 3 2 7 2" xfId="1725" xr:uid="{00000000-0005-0000-0000-0000B0060000}"/>
    <cellStyle name="Moneda 3 2 7 2 2" xfId="1726" xr:uid="{00000000-0005-0000-0000-0000B1060000}"/>
    <cellStyle name="Moneda 3 2 7 3" xfId="1727" xr:uid="{00000000-0005-0000-0000-0000B2060000}"/>
    <cellStyle name="Moneda 3 2 7 3 2" xfId="1728" xr:uid="{00000000-0005-0000-0000-0000B3060000}"/>
    <cellStyle name="Moneda 3 2 7 4" xfId="1729" xr:uid="{00000000-0005-0000-0000-0000B4060000}"/>
    <cellStyle name="Moneda 3 2 7 4 2" xfId="1730" xr:uid="{00000000-0005-0000-0000-0000B5060000}"/>
    <cellStyle name="Moneda 3 2 7 5" xfId="1731" xr:uid="{00000000-0005-0000-0000-0000B6060000}"/>
    <cellStyle name="Moneda 3 2 8" xfId="1732" xr:uid="{00000000-0005-0000-0000-0000B7060000}"/>
    <cellStyle name="Moneda 3 2 8 2" xfId="1733" xr:uid="{00000000-0005-0000-0000-0000B8060000}"/>
    <cellStyle name="Moneda 3 2 8 3" xfId="1734" xr:uid="{00000000-0005-0000-0000-0000B9060000}"/>
    <cellStyle name="Moneda 3 2 9" xfId="1735" xr:uid="{00000000-0005-0000-0000-0000BA060000}"/>
    <cellStyle name="Moneda 3 2 9 2" xfId="1736" xr:uid="{00000000-0005-0000-0000-0000BB060000}"/>
    <cellStyle name="Moneda 3 3" xfId="1737" xr:uid="{00000000-0005-0000-0000-0000BC060000}"/>
    <cellStyle name="Moneda 3 3 2" xfId="1738" xr:uid="{00000000-0005-0000-0000-0000BD060000}"/>
    <cellStyle name="Moneda 3 3 2 2" xfId="1739" xr:uid="{00000000-0005-0000-0000-0000BE060000}"/>
    <cellStyle name="Moneda 3 3 2 2 2" xfId="1740" xr:uid="{00000000-0005-0000-0000-0000BF060000}"/>
    <cellStyle name="Moneda 3 3 2 2 2 2" xfId="1741" xr:uid="{00000000-0005-0000-0000-0000C0060000}"/>
    <cellStyle name="Moneda 3 3 2 2 3" xfId="1742" xr:uid="{00000000-0005-0000-0000-0000C1060000}"/>
    <cellStyle name="Moneda 3 3 2 2 3 2" xfId="1743" xr:uid="{00000000-0005-0000-0000-0000C2060000}"/>
    <cellStyle name="Moneda 3 3 2 2 4" xfId="1744" xr:uid="{00000000-0005-0000-0000-0000C3060000}"/>
    <cellStyle name="Moneda 3 3 2 2 4 2" xfId="1745" xr:uid="{00000000-0005-0000-0000-0000C4060000}"/>
    <cellStyle name="Moneda 3 3 2 2 5" xfId="1746" xr:uid="{00000000-0005-0000-0000-0000C5060000}"/>
    <cellStyle name="Moneda 3 3 2 3" xfId="1747" xr:uid="{00000000-0005-0000-0000-0000C6060000}"/>
    <cellStyle name="Moneda 3 3 2 3 2" xfId="1748" xr:uid="{00000000-0005-0000-0000-0000C7060000}"/>
    <cellStyle name="Moneda 3 3 2 4" xfId="1749" xr:uid="{00000000-0005-0000-0000-0000C8060000}"/>
    <cellStyle name="Moneda 3 3 2 4 2" xfId="1750" xr:uid="{00000000-0005-0000-0000-0000C9060000}"/>
    <cellStyle name="Moneda 3 3 2 5" xfId="1751" xr:uid="{00000000-0005-0000-0000-0000CA060000}"/>
    <cellStyle name="Moneda 3 3 2 5 2" xfId="1752" xr:uid="{00000000-0005-0000-0000-0000CB060000}"/>
    <cellStyle name="Moneda 3 3 2 6" xfId="1753" xr:uid="{00000000-0005-0000-0000-0000CC060000}"/>
    <cellStyle name="Moneda 3 3 2 7" xfId="1754" xr:uid="{00000000-0005-0000-0000-0000CD060000}"/>
    <cellStyle name="Moneda 3 3 3" xfId="1755" xr:uid="{00000000-0005-0000-0000-0000CE060000}"/>
    <cellStyle name="Moneda 3 3 3 2" xfId="1756" xr:uid="{00000000-0005-0000-0000-0000CF060000}"/>
    <cellStyle name="Moneda 3 3 3 2 2" xfId="1757" xr:uid="{00000000-0005-0000-0000-0000D0060000}"/>
    <cellStyle name="Moneda 3 3 3 3" xfId="1758" xr:uid="{00000000-0005-0000-0000-0000D1060000}"/>
    <cellStyle name="Moneda 3 3 3 3 2" xfId="1759" xr:uid="{00000000-0005-0000-0000-0000D2060000}"/>
    <cellStyle name="Moneda 3 3 3 4" xfId="1760" xr:uid="{00000000-0005-0000-0000-0000D3060000}"/>
    <cellStyle name="Moneda 3 3 3 4 2" xfId="1761" xr:uid="{00000000-0005-0000-0000-0000D4060000}"/>
    <cellStyle name="Moneda 3 3 3 5" xfId="1762" xr:uid="{00000000-0005-0000-0000-0000D5060000}"/>
    <cellStyle name="Moneda 3 3 4" xfId="1763" xr:uid="{00000000-0005-0000-0000-0000D6060000}"/>
    <cellStyle name="Moneda 3 3 4 2" xfId="1764" xr:uid="{00000000-0005-0000-0000-0000D7060000}"/>
    <cellStyle name="Moneda 3 3 5" xfId="1765" xr:uid="{00000000-0005-0000-0000-0000D8060000}"/>
    <cellStyle name="Moneda 3 3 5 2" xfId="1766" xr:uid="{00000000-0005-0000-0000-0000D9060000}"/>
    <cellStyle name="Moneda 3 3 6" xfId="1767" xr:uid="{00000000-0005-0000-0000-0000DA060000}"/>
    <cellStyle name="Moneda 3 3 6 2" xfId="1768" xr:uid="{00000000-0005-0000-0000-0000DB060000}"/>
    <cellStyle name="Moneda 3 3 7" xfId="1769" xr:uid="{00000000-0005-0000-0000-0000DC060000}"/>
    <cellStyle name="Moneda 3 3 8" xfId="1770" xr:uid="{00000000-0005-0000-0000-0000DD060000}"/>
    <cellStyle name="Moneda 3 4" xfId="1771" xr:uid="{00000000-0005-0000-0000-0000DE060000}"/>
    <cellStyle name="Moneda 3 4 2" xfId="1772" xr:uid="{00000000-0005-0000-0000-0000DF060000}"/>
    <cellStyle name="Moneda 3 4 2 2" xfId="1773" xr:uid="{00000000-0005-0000-0000-0000E0060000}"/>
    <cellStyle name="Moneda 3 4 2 2 2" xfId="1774" xr:uid="{00000000-0005-0000-0000-0000E1060000}"/>
    <cellStyle name="Moneda 3 4 2 2 2 2" xfId="1775" xr:uid="{00000000-0005-0000-0000-0000E2060000}"/>
    <cellStyle name="Moneda 3 4 2 2 3" xfId="1776" xr:uid="{00000000-0005-0000-0000-0000E3060000}"/>
    <cellStyle name="Moneda 3 4 2 2 3 2" xfId="1777" xr:uid="{00000000-0005-0000-0000-0000E4060000}"/>
    <cellStyle name="Moneda 3 4 2 2 4" xfId="1778" xr:uid="{00000000-0005-0000-0000-0000E5060000}"/>
    <cellStyle name="Moneda 3 4 2 2 4 2" xfId="1779" xr:uid="{00000000-0005-0000-0000-0000E6060000}"/>
    <cellStyle name="Moneda 3 4 2 2 5" xfId="1780" xr:uid="{00000000-0005-0000-0000-0000E7060000}"/>
    <cellStyle name="Moneda 3 4 2 3" xfId="1781" xr:uid="{00000000-0005-0000-0000-0000E8060000}"/>
    <cellStyle name="Moneda 3 4 2 3 2" xfId="1782" xr:uid="{00000000-0005-0000-0000-0000E9060000}"/>
    <cellStyle name="Moneda 3 4 2 4" xfId="1783" xr:uid="{00000000-0005-0000-0000-0000EA060000}"/>
    <cellStyle name="Moneda 3 4 2 4 2" xfId="1784" xr:uid="{00000000-0005-0000-0000-0000EB060000}"/>
    <cellStyle name="Moneda 3 4 2 5" xfId="1785" xr:uid="{00000000-0005-0000-0000-0000EC060000}"/>
    <cellStyle name="Moneda 3 4 2 5 2" xfId="1786" xr:uid="{00000000-0005-0000-0000-0000ED060000}"/>
    <cellStyle name="Moneda 3 4 2 6" xfId="1787" xr:uid="{00000000-0005-0000-0000-0000EE060000}"/>
    <cellStyle name="Moneda 3 4 3" xfId="1788" xr:uid="{00000000-0005-0000-0000-0000EF060000}"/>
    <cellStyle name="Moneda 3 4 3 2" xfId="1789" xr:uid="{00000000-0005-0000-0000-0000F0060000}"/>
    <cellStyle name="Moneda 3 4 3 2 2" xfId="1790" xr:uid="{00000000-0005-0000-0000-0000F1060000}"/>
    <cellStyle name="Moneda 3 4 3 3" xfId="1791" xr:uid="{00000000-0005-0000-0000-0000F2060000}"/>
    <cellStyle name="Moneda 3 4 3 3 2" xfId="1792" xr:uid="{00000000-0005-0000-0000-0000F3060000}"/>
    <cellStyle name="Moneda 3 4 3 4" xfId="1793" xr:uid="{00000000-0005-0000-0000-0000F4060000}"/>
    <cellStyle name="Moneda 3 4 3 4 2" xfId="1794" xr:uid="{00000000-0005-0000-0000-0000F5060000}"/>
    <cellStyle name="Moneda 3 4 3 5" xfId="1795" xr:uid="{00000000-0005-0000-0000-0000F6060000}"/>
    <cellStyle name="Moneda 3 4 4" xfId="1796" xr:uid="{00000000-0005-0000-0000-0000F7060000}"/>
    <cellStyle name="Moneda 3 4 4 2" xfId="1797" xr:uid="{00000000-0005-0000-0000-0000F8060000}"/>
    <cellStyle name="Moneda 3 4 5" xfId="1798" xr:uid="{00000000-0005-0000-0000-0000F9060000}"/>
    <cellStyle name="Moneda 3 4 5 2" xfId="1799" xr:uid="{00000000-0005-0000-0000-0000FA060000}"/>
    <cellStyle name="Moneda 3 4 6" xfId="1800" xr:uid="{00000000-0005-0000-0000-0000FB060000}"/>
    <cellStyle name="Moneda 3 4 6 2" xfId="1801" xr:uid="{00000000-0005-0000-0000-0000FC060000}"/>
    <cellStyle name="Moneda 3 4 7" xfId="1802" xr:uid="{00000000-0005-0000-0000-0000FD060000}"/>
    <cellStyle name="Moneda 3 5" xfId="1803" xr:uid="{00000000-0005-0000-0000-0000FE060000}"/>
    <cellStyle name="Moneda 3 5 2" xfId="1804" xr:uid="{00000000-0005-0000-0000-0000FF060000}"/>
    <cellStyle name="Moneda 3 5 2 2" xfId="1805" xr:uid="{00000000-0005-0000-0000-000000070000}"/>
    <cellStyle name="Moneda 3 5 2 2 2" xfId="1806" xr:uid="{00000000-0005-0000-0000-000001070000}"/>
    <cellStyle name="Moneda 3 5 2 2 2 2" xfId="1807" xr:uid="{00000000-0005-0000-0000-000002070000}"/>
    <cellStyle name="Moneda 3 5 2 2 3" xfId="1808" xr:uid="{00000000-0005-0000-0000-000003070000}"/>
    <cellStyle name="Moneda 3 5 2 2 3 2" xfId="1809" xr:uid="{00000000-0005-0000-0000-000004070000}"/>
    <cellStyle name="Moneda 3 5 2 2 4" xfId="1810" xr:uid="{00000000-0005-0000-0000-000005070000}"/>
    <cellStyle name="Moneda 3 5 2 2 4 2" xfId="1811" xr:uid="{00000000-0005-0000-0000-000006070000}"/>
    <cellStyle name="Moneda 3 5 2 2 5" xfId="1812" xr:uid="{00000000-0005-0000-0000-000007070000}"/>
    <cellStyle name="Moneda 3 5 2 3" xfId="1813" xr:uid="{00000000-0005-0000-0000-000008070000}"/>
    <cellStyle name="Moneda 3 5 2 3 2" xfId="1814" xr:uid="{00000000-0005-0000-0000-000009070000}"/>
    <cellStyle name="Moneda 3 5 2 4" xfId="1815" xr:uid="{00000000-0005-0000-0000-00000A070000}"/>
    <cellStyle name="Moneda 3 5 2 4 2" xfId="1816" xr:uid="{00000000-0005-0000-0000-00000B070000}"/>
    <cellStyle name="Moneda 3 5 2 5" xfId="1817" xr:uid="{00000000-0005-0000-0000-00000C070000}"/>
    <cellStyle name="Moneda 3 5 2 5 2" xfId="1818" xr:uid="{00000000-0005-0000-0000-00000D070000}"/>
    <cellStyle name="Moneda 3 5 2 6" xfId="1819" xr:uid="{00000000-0005-0000-0000-00000E070000}"/>
    <cellStyle name="Moneda 3 5 3" xfId="1820" xr:uid="{00000000-0005-0000-0000-00000F070000}"/>
    <cellStyle name="Moneda 3 5 3 2" xfId="1821" xr:uid="{00000000-0005-0000-0000-000010070000}"/>
    <cellStyle name="Moneda 3 5 3 2 2" xfId="1822" xr:uid="{00000000-0005-0000-0000-000011070000}"/>
    <cellStyle name="Moneda 3 5 3 3" xfId="1823" xr:uid="{00000000-0005-0000-0000-000012070000}"/>
    <cellStyle name="Moneda 3 5 3 3 2" xfId="1824" xr:uid="{00000000-0005-0000-0000-000013070000}"/>
    <cellStyle name="Moneda 3 5 3 4" xfId="1825" xr:uid="{00000000-0005-0000-0000-000014070000}"/>
    <cellStyle name="Moneda 3 5 3 4 2" xfId="1826" xr:uid="{00000000-0005-0000-0000-000015070000}"/>
    <cellStyle name="Moneda 3 5 3 5" xfId="1827" xr:uid="{00000000-0005-0000-0000-000016070000}"/>
    <cellStyle name="Moneda 3 5 4" xfId="1828" xr:uid="{00000000-0005-0000-0000-000017070000}"/>
    <cellStyle name="Moneda 3 5 4 2" xfId="1829" xr:uid="{00000000-0005-0000-0000-000018070000}"/>
    <cellStyle name="Moneda 3 5 5" xfId="1830" xr:uid="{00000000-0005-0000-0000-000019070000}"/>
    <cellStyle name="Moneda 3 5 5 2" xfId="1831" xr:uid="{00000000-0005-0000-0000-00001A070000}"/>
    <cellStyle name="Moneda 3 5 6" xfId="1832" xr:uid="{00000000-0005-0000-0000-00001B070000}"/>
    <cellStyle name="Moneda 3 5 6 2" xfId="1833" xr:uid="{00000000-0005-0000-0000-00001C070000}"/>
    <cellStyle name="Moneda 3 5 7" xfId="1834" xr:uid="{00000000-0005-0000-0000-00001D070000}"/>
    <cellStyle name="Moneda 3 5 8" xfId="1835" xr:uid="{00000000-0005-0000-0000-00001E070000}"/>
    <cellStyle name="Moneda 3 6" xfId="1836" xr:uid="{00000000-0005-0000-0000-00001F070000}"/>
    <cellStyle name="Moneda 3 6 2" xfId="1837" xr:uid="{00000000-0005-0000-0000-000020070000}"/>
    <cellStyle name="Moneda 3 6 2 2" xfId="1838" xr:uid="{00000000-0005-0000-0000-000021070000}"/>
    <cellStyle name="Moneda 3 6 2 2 2" xfId="1839" xr:uid="{00000000-0005-0000-0000-000022070000}"/>
    <cellStyle name="Moneda 3 6 2 3" xfId="1840" xr:uid="{00000000-0005-0000-0000-000023070000}"/>
    <cellStyle name="Moneda 3 6 3" xfId="1841" xr:uid="{00000000-0005-0000-0000-000024070000}"/>
    <cellStyle name="Moneda 3 7" xfId="1842" xr:uid="{00000000-0005-0000-0000-000025070000}"/>
    <cellStyle name="Moneda 3 7 2" xfId="1843" xr:uid="{00000000-0005-0000-0000-000026070000}"/>
    <cellStyle name="Moneda 3 7 2 2" xfId="1844" xr:uid="{00000000-0005-0000-0000-000027070000}"/>
    <cellStyle name="Moneda 3 7 3" xfId="1845" xr:uid="{00000000-0005-0000-0000-000028070000}"/>
    <cellStyle name="Moneda 3 8" xfId="1846" xr:uid="{00000000-0005-0000-0000-000029070000}"/>
    <cellStyle name="Moneda 3 8 2" xfId="1847" xr:uid="{00000000-0005-0000-0000-00002A070000}"/>
    <cellStyle name="Moneda 3 8 2 2" xfId="1848" xr:uid="{00000000-0005-0000-0000-00002B070000}"/>
    <cellStyle name="Moneda 3 8 2 2 2" xfId="1849" xr:uid="{00000000-0005-0000-0000-00002C070000}"/>
    <cellStyle name="Moneda 3 8 2 3" xfId="1850" xr:uid="{00000000-0005-0000-0000-00002D070000}"/>
    <cellStyle name="Moneda 3 8 2 3 2" xfId="1851" xr:uid="{00000000-0005-0000-0000-00002E070000}"/>
    <cellStyle name="Moneda 3 8 2 4" xfId="1852" xr:uid="{00000000-0005-0000-0000-00002F070000}"/>
    <cellStyle name="Moneda 3 8 2 4 2" xfId="1853" xr:uid="{00000000-0005-0000-0000-000030070000}"/>
    <cellStyle name="Moneda 3 8 2 5" xfId="1854" xr:uid="{00000000-0005-0000-0000-000031070000}"/>
    <cellStyle name="Moneda 3 8 3" xfId="1855" xr:uid="{00000000-0005-0000-0000-000032070000}"/>
    <cellStyle name="Moneda 3 8 3 2" xfId="1856" xr:uid="{00000000-0005-0000-0000-000033070000}"/>
    <cellStyle name="Moneda 3 8 4" xfId="1857" xr:uid="{00000000-0005-0000-0000-000034070000}"/>
    <cellStyle name="Moneda 3 8 4 2" xfId="1858" xr:uid="{00000000-0005-0000-0000-000035070000}"/>
    <cellStyle name="Moneda 3 8 5" xfId="1859" xr:uid="{00000000-0005-0000-0000-000036070000}"/>
    <cellStyle name="Moneda 3 8 5 2" xfId="1860" xr:uid="{00000000-0005-0000-0000-000037070000}"/>
    <cellStyle name="Moneda 3 8 6" xfId="1861" xr:uid="{00000000-0005-0000-0000-000038070000}"/>
    <cellStyle name="Moneda 3 9" xfId="1862" xr:uid="{00000000-0005-0000-0000-000039070000}"/>
    <cellStyle name="Moneda 3 9 2" xfId="1863" xr:uid="{00000000-0005-0000-0000-00003A070000}"/>
    <cellStyle name="Moneda 30" xfId="1864" xr:uid="{00000000-0005-0000-0000-00003B070000}"/>
    <cellStyle name="Moneda 30 2" xfId="1865" xr:uid="{00000000-0005-0000-0000-00003C070000}"/>
    <cellStyle name="Moneda 30 2 2" xfId="1866" xr:uid="{00000000-0005-0000-0000-00003D070000}"/>
    <cellStyle name="Moneda 30 3" xfId="1867" xr:uid="{00000000-0005-0000-0000-00003E070000}"/>
    <cellStyle name="Moneda 30 3 2" xfId="1868" xr:uid="{00000000-0005-0000-0000-00003F070000}"/>
    <cellStyle name="Moneda 30 4" xfId="1869" xr:uid="{00000000-0005-0000-0000-000040070000}"/>
    <cellStyle name="Moneda 30 4 2" xfId="1870" xr:uid="{00000000-0005-0000-0000-000041070000}"/>
    <cellStyle name="Moneda 30 5" xfId="1871" xr:uid="{00000000-0005-0000-0000-000042070000}"/>
    <cellStyle name="Moneda 31" xfId="1872" xr:uid="{00000000-0005-0000-0000-000043070000}"/>
    <cellStyle name="Moneda 31 2" xfId="1873" xr:uid="{00000000-0005-0000-0000-000044070000}"/>
    <cellStyle name="Moneda 32" xfId="1874" xr:uid="{00000000-0005-0000-0000-000045070000}"/>
    <cellStyle name="Moneda 32 2" xfId="1875" xr:uid="{00000000-0005-0000-0000-000046070000}"/>
    <cellStyle name="Moneda 33" xfId="1876" xr:uid="{00000000-0005-0000-0000-000047070000}"/>
    <cellStyle name="Moneda 33 2" xfId="1877" xr:uid="{00000000-0005-0000-0000-000048070000}"/>
    <cellStyle name="Moneda 34" xfId="1878" xr:uid="{00000000-0005-0000-0000-000049070000}"/>
    <cellStyle name="Moneda 34 2" xfId="1879" xr:uid="{00000000-0005-0000-0000-00004A070000}"/>
    <cellStyle name="Moneda 35" xfId="1880" xr:uid="{00000000-0005-0000-0000-00004B070000}"/>
    <cellStyle name="Moneda 35 2" xfId="1881" xr:uid="{00000000-0005-0000-0000-00004C070000}"/>
    <cellStyle name="Moneda 36" xfId="1882" xr:uid="{00000000-0005-0000-0000-00004D070000}"/>
    <cellStyle name="Moneda 36 2" xfId="1883" xr:uid="{00000000-0005-0000-0000-00004E070000}"/>
    <cellStyle name="Moneda 37" xfId="1884" xr:uid="{00000000-0005-0000-0000-00004F070000}"/>
    <cellStyle name="Moneda 37 2" xfId="1885" xr:uid="{00000000-0005-0000-0000-000050070000}"/>
    <cellStyle name="Moneda 38" xfId="1886" xr:uid="{00000000-0005-0000-0000-000051070000}"/>
    <cellStyle name="Moneda 38 2" xfId="1887" xr:uid="{00000000-0005-0000-0000-000052070000}"/>
    <cellStyle name="Moneda 39" xfId="1888" xr:uid="{00000000-0005-0000-0000-000053070000}"/>
    <cellStyle name="Moneda 39 2" xfId="1889" xr:uid="{00000000-0005-0000-0000-000054070000}"/>
    <cellStyle name="Moneda 4" xfId="15" xr:uid="{00000000-0005-0000-0000-000055070000}"/>
    <cellStyle name="Moneda 4 2" xfId="1890" xr:uid="{00000000-0005-0000-0000-000056070000}"/>
    <cellStyle name="Moneda 4 3" xfId="1891" xr:uid="{00000000-0005-0000-0000-000057070000}"/>
    <cellStyle name="Moneda 4 4" xfId="1892" xr:uid="{00000000-0005-0000-0000-000058070000}"/>
    <cellStyle name="Moneda 40" xfId="1893" xr:uid="{00000000-0005-0000-0000-000059070000}"/>
    <cellStyle name="Moneda 40 2" xfId="1894" xr:uid="{00000000-0005-0000-0000-00005A070000}"/>
    <cellStyle name="Moneda 41" xfId="1895" xr:uid="{00000000-0005-0000-0000-00005B070000}"/>
    <cellStyle name="Moneda 41 2" xfId="1896" xr:uid="{00000000-0005-0000-0000-00005C070000}"/>
    <cellStyle name="Moneda 42" xfId="1897" xr:uid="{00000000-0005-0000-0000-00005D070000}"/>
    <cellStyle name="Moneda 42 2" xfId="1898" xr:uid="{00000000-0005-0000-0000-00005E070000}"/>
    <cellStyle name="Moneda 43" xfId="1899" xr:uid="{00000000-0005-0000-0000-00005F070000}"/>
    <cellStyle name="Moneda 43 2" xfId="1900" xr:uid="{00000000-0005-0000-0000-000060070000}"/>
    <cellStyle name="Moneda 44" xfId="1901" xr:uid="{00000000-0005-0000-0000-000061070000}"/>
    <cellStyle name="Moneda 44 2" xfId="1902" xr:uid="{00000000-0005-0000-0000-000062070000}"/>
    <cellStyle name="Moneda 45" xfId="1903" xr:uid="{00000000-0005-0000-0000-000063070000}"/>
    <cellStyle name="Moneda 45 2" xfId="1904" xr:uid="{00000000-0005-0000-0000-000064070000}"/>
    <cellStyle name="Moneda 46" xfId="1905" xr:uid="{00000000-0005-0000-0000-000065070000}"/>
    <cellStyle name="Moneda 46 2" xfId="1906" xr:uid="{00000000-0005-0000-0000-000066070000}"/>
    <cellStyle name="Moneda 47" xfId="1907" xr:uid="{00000000-0005-0000-0000-000067070000}"/>
    <cellStyle name="Moneda 47 2" xfId="1908" xr:uid="{00000000-0005-0000-0000-000068070000}"/>
    <cellStyle name="Moneda 48" xfId="1909" xr:uid="{00000000-0005-0000-0000-000069070000}"/>
    <cellStyle name="Moneda 48 2" xfId="1910" xr:uid="{00000000-0005-0000-0000-00006A070000}"/>
    <cellStyle name="Moneda 49" xfId="1911" xr:uid="{00000000-0005-0000-0000-00006B070000}"/>
    <cellStyle name="Moneda 5" xfId="1912" xr:uid="{00000000-0005-0000-0000-00006C070000}"/>
    <cellStyle name="Moneda 5 2" xfId="1913" xr:uid="{00000000-0005-0000-0000-00006D070000}"/>
    <cellStyle name="Moneda 5 3" xfId="1914" xr:uid="{00000000-0005-0000-0000-00006E070000}"/>
    <cellStyle name="Moneda 5 4" xfId="1915" xr:uid="{00000000-0005-0000-0000-00006F070000}"/>
    <cellStyle name="Moneda 5 5" xfId="1916" xr:uid="{00000000-0005-0000-0000-000070070000}"/>
    <cellStyle name="Moneda 50" xfId="1917" xr:uid="{00000000-0005-0000-0000-000071070000}"/>
    <cellStyle name="Moneda 51" xfId="1918" xr:uid="{00000000-0005-0000-0000-000072070000}"/>
    <cellStyle name="Moneda 52" xfId="1919" xr:uid="{00000000-0005-0000-0000-000073070000}"/>
    <cellStyle name="Moneda 6" xfId="1920" xr:uid="{00000000-0005-0000-0000-000074070000}"/>
    <cellStyle name="Moneda 6 10" xfId="1921" xr:uid="{00000000-0005-0000-0000-000075070000}"/>
    <cellStyle name="Moneda 6 10 2" xfId="1922" xr:uid="{00000000-0005-0000-0000-000076070000}"/>
    <cellStyle name="Moneda 6 11" xfId="1923" xr:uid="{00000000-0005-0000-0000-000077070000}"/>
    <cellStyle name="Moneda 6 11 2" xfId="1924" xr:uid="{00000000-0005-0000-0000-000078070000}"/>
    <cellStyle name="Moneda 6 12" xfId="1925" xr:uid="{00000000-0005-0000-0000-000079070000}"/>
    <cellStyle name="Moneda 6 2" xfId="1926" xr:uid="{00000000-0005-0000-0000-00007A070000}"/>
    <cellStyle name="Moneda 6 2 10" xfId="1927" xr:uid="{00000000-0005-0000-0000-00007B070000}"/>
    <cellStyle name="Moneda 6 2 11" xfId="1928" xr:uid="{00000000-0005-0000-0000-00007C070000}"/>
    <cellStyle name="Moneda 6 2 2" xfId="1929" xr:uid="{00000000-0005-0000-0000-00007D070000}"/>
    <cellStyle name="Moneda 6 2 2 2" xfId="1930" xr:uid="{00000000-0005-0000-0000-00007E070000}"/>
    <cellStyle name="Moneda 6 2 2 2 2" xfId="1931" xr:uid="{00000000-0005-0000-0000-00007F070000}"/>
    <cellStyle name="Moneda 6 2 2 2 2 2" xfId="1932" xr:uid="{00000000-0005-0000-0000-000080070000}"/>
    <cellStyle name="Moneda 6 2 2 2 2 2 2" xfId="1933" xr:uid="{00000000-0005-0000-0000-000081070000}"/>
    <cellStyle name="Moneda 6 2 2 2 2 3" xfId="1934" xr:uid="{00000000-0005-0000-0000-000082070000}"/>
    <cellStyle name="Moneda 6 2 2 2 2 3 2" xfId="1935" xr:uid="{00000000-0005-0000-0000-000083070000}"/>
    <cellStyle name="Moneda 6 2 2 2 2 4" xfId="1936" xr:uid="{00000000-0005-0000-0000-000084070000}"/>
    <cellStyle name="Moneda 6 2 2 2 2 4 2" xfId="1937" xr:uid="{00000000-0005-0000-0000-000085070000}"/>
    <cellStyle name="Moneda 6 2 2 2 2 5" xfId="1938" xr:uid="{00000000-0005-0000-0000-000086070000}"/>
    <cellStyle name="Moneda 6 2 2 2 3" xfId="1939" xr:uid="{00000000-0005-0000-0000-000087070000}"/>
    <cellStyle name="Moneda 6 2 2 2 3 2" xfId="1940" xr:uid="{00000000-0005-0000-0000-000088070000}"/>
    <cellStyle name="Moneda 6 2 2 2 4" xfId="1941" xr:uid="{00000000-0005-0000-0000-000089070000}"/>
    <cellStyle name="Moneda 6 2 2 2 4 2" xfId="1942" xr:uid="{00000000-0005-0000-0000-00008A070000}"/>
    <cellStyle name="Moneda 6 2 2 2 5" xfId="1943" xr:uid="{00000000-0005-0000-0000-00008B070000}"/>
    <cellStyle name="Moneda 6 2 2 2 5 2" xfId="1944" xr:uid="{00000000-0005-0000-0000-00008C070000}"/>
    <cellStyle name="Moneda 6 2 2 2 6" xfId="1945" xr:uid="{00000000-0005-0000-0000-00008D070000}"/>
    <cellStyle name="Moneda 6 2 2 3" xfId="1946" xr:uid="{00000000-0005-0000-0000-00008E070000}"/>
    <cellStyle name="Moneda 6 2 2 3 2" xfId="1947" xr:uid="{00000000-0005-0000-0000-00008F070000}"/>
    <cellStyle name="Moneda 6 2 2 3 2 2" xfId="1948" xr:uid="{00000000-0005-0000-0000-000090070000}"/>
    <cellStyle name="Moneda 6 2 2 3 3" xfId="1949" xr:uid="{00000000-0005-0000-0000-000091070000}"/>
    <cellStyle name="Moneda 6 2 2 3 3 2" xfId="1950" xr:uid="{00000000-0005-0000-0000-000092070000}"/>
    <cellStyle name="Moneda 6 2 2 3 4" xfId="1951" xr:uid="{00000000-0005-0000-0000-000093070000}"/>
    <cellStyle name="Moneda 6 2 2 3 4 2" xfId="1952" xr:uid="{00000000-0005-0000-0000-000094070000}"/>
    <cellStyle name="Moneda 6 2 2 3 5" xfId="1953" xr:uid="{00000000-0005-0000-0000-000095070000}"/>
    <cellStyle name="Moneda 6 2 2 4" xfId="1954" xr:uid="{00000000-0005-0000-0000-000096070000}"/>
    <cellStyle name="Moneda 6 2 2 4 2" xfId="1955" xr:uid="{00000000-0005-0000-0000-000097070000}"/>
    <cellStyle name="Moneda 6 2 2 5" xfId="1956" xr:uid="{00000000-0005-0000-0000-000098070000}"/>
    <cellStyle name="Moneda 6 2 2 5 2" xfId="1957" xr:uid="{00000000-0005-0000-0000-000099070000}"/>
    <cellStyle name="Moneda 6 2 2 6" xfId="1958" xr:uid="{00000000-0005-0000-0000-00009A070000}"/>
    <cellStyle name="Moneda 6 2 2 6 2" xfId="1959" xr:uid="{00000000-0005-0000-0000-00009B070000}"/>
    <cellStyle name="Moneda 6 2 2 7" xfId="1960" xr:uid="{00000000-0005-0000-0000-00009C070000}"/>
    <cellStyle name="Moneda 6 2 3" xfId="1961" xr:uid="{00000000-0005-0000-0000-00009D070000}"/>
    <cellStyle name="Moneda 6 2 3 2" xfId="1962" xr:uid="{00000000-0005-0000-0000-00009E070000}"/>
    <cellStyle name="Moneda 6 2 3 2 2" xfId="1963" xr:uid="{00000000-0005-0000-0000-00009F070000}"/>
    <cellStyle name="Moneda 6 2 3 2 2 2" xfId="1964" xr:uid="{00000000-0005-0000-0000-0000A0070000}"/>
    <cellStyle name="Moneda 6 2 3 2 2 2 2" xfId="1965" xr:uid="{00000000-0005-0000-0000-0000A1070000}"/>
    <cellStyle name="Moneda 6 2 3 2 2 3" xfId="1966" xr:uid="{00000000-0005-0000-0000-0000A2070000}"/>
    <cellStyle name="Moneda 6 2 3 2 2 3 2" xfId="1967" xr:uid="{00000000-0005-0000-0000-0000A3070000}"/>
    <cellStyle name="Moneda 6 2 3 2 2 4" xfId="1968" xr:uid="{00000000-0005-0000-0000-0000A4070000}"/>
    <cellStyle name="Moneda 6 2 3 2 2 4 2" xfId="1969" xr:uid="{00000000-0005-0000-0000-0000A5070000}"/>
    <cellStyle name="Moneda 6 2 3 2 2 5" xfId="1970" xr:uid="{00000000-0005-0000-0000-0000A6070000}"/>
    <cellStyle name="Moneda 6 2 3 2 3" xfId="1971" xr:uid="{00000000-0005-0000-0000-0000A7070000}"/>
    <cellStyle name="Moneda 6 2 3 2 3 2" xfId="1972" xr:uid="{00000000-0005-0000-0000-0000A8070000}"/>
    <cellStyle name="Moneda 6 2 3 2 4" xfId="1973" xr:uid="{00000000-0005-0000-0000-0000A9070000}"/>
    <cellStyle name="Moneda 6 2 3 2 4 2" xfId="1974" xr:uid="{00000000-0005-0000-0000-0000AA070000}"/>
    <cellStyle name="Moneda 6 2 3 2 5" xfId="1975" xr:uid="{00000000-0005-0000-0000-0000AB070000}"/>
    <cellStyle name="Moneda 6 2 3 2 5 2" xfId="1976" xr:uid="{00000000-0005-0000-0000-0000AC070000}"/>
    <cellStyle name="Moneda 6 2 3 2 6" xfId="1977" xr:uid="{00000000-0005-0000-0000-0000AD070000}"/>
    <cellStyle name="Moneda 6 2 3 3" xfId="1978" xr:uid="{00000000-0005-0000-0000-0000AE070000}"/>
    <cellStyle name="Moneda 6 2 3 3 2" xfId="1979" xr:uid="{00000000-0005-0000-0000-0000AF070000}"/>
    <cellStyle name="Moneda 6 2 3 3 2 2" xfId="1980" xr:uid="{00000000-0005-0000-0000-0000B0070000}"/>
    <cellStyle name="Moneda 6 2 3 3 3" xfId="1981" xr:uid="{00000000-0005-0000-0000-0000B1070000}"/>
    <cellStyle name="Moneda 6 2 3 3 3 2" xfId="1982" xr:uid="{00000000-0005-0000-0000-0000B2070000}"/>
    <cellStyle name="Moneda 6 2 3 3 4" xfId="1983" xr:uid="{00000000-0005-0000-0000-0000B3070000}"/>
    <cellStyle name="Moneda 6 2 3 3 4 2" xfId="1984" xr:uid="{00000000-0005-0000-0000-0000B4070000}"/>
    <cellStyle name="Moneda 6 2 3 3 5" xfId="1985" xr:uid="{00000000-0005-0000-0000-0000B5070000}"/>
    <cellStyle name="Moneda 6 2 3 4" xfId="1986" xr:uid="{00000000-0005-0000-0000-0000B6070000}"/>
    <cellStyle name="Moneda 6 2 3 4 2" xfId="1987" xr:uid="{00000000-0005-0000-0000-0000B7070000}"/>
    <cellStyle name="Moneda 6 2 3 5" xfId="1988" xr:uid="{00000000-0005-0000-0000-0000B8070000}"/>
    <cellStyle name="Moneda 6 2 3 5 2" xfId="1989" xr:uid="{00000000-0005-0000-0000-0000B9070000}"/>
    <cellStyle name="Moneda 6 2 3 6" xfId="1990" xr:uid="{00000000-0005-0000-0000-0000BA070000}"/>
    <cellStyle name="Moneda 6 2 3 6 2" xfId="1991" xr:uid="{00000000-0005-0000-0000-0000BB070000}"/>
    <cellStyle name="Moneda 6 2 3 7" xfId="1992" xr:uid="{00000000-0005-0000-0000-0000BC070000}"/>
    <cellStyle name="Moneda 6 2 4" xfId="1993" xr:uid="{00000000-0005-0000-0000-0000BD070000}"/>
    <cellStyle name="Moneda 6 2 4 2" xfId="1994" xr:uid="{00000000-0005-0000-0000-0000BE070000}"/>
    <cellStyle name="Moneda 6 2 4 2 2" xfId="1995" xr:uid="{00000000-0005-0000-0000-0000BF070000}"/>
    <cellStyle name="Moneda 6 2 4 2 2 2" xfId="1996" xr:uid="{00000000-0005-0000-0000-0000C0070000}"/>
    <cellStyle name="Moneda 6 2 4 2 2 2 2" xfId="1997" xr:uid="{00000000-0005-0000-0000-0000C1070000}"/>
    <cellStyle name="Moneda 6 2 4 2 2 3" xfId="1998" xr:uid="{00000000-0005-0000-0000-0000C2070000}"/>
    <cellStyle name="Moneda 6 2 4 2 2 3 2" xfId="1999" xr:uid="{00000000-0005-0000-0000-0000C3070000}"/>
    <cellStyle name="Moneda 6 2 4 2 2 4" xfId="2000" xr:uid="{00000000-0005-0000-0000-0000C4070000}"/>
    <cellStyle name="Moneda 6 2 4 2 2 4 2" xfId="2001" xr:uid="{00000000-0005-0000-0000-0000C5070000}"/>
    <cellStyle name="Moneda 6 2 4 2 2 5" xfId="2002" xr:uid="{00000000-0005-0000-0000-0000C6070000}"/>
    <cellStyle name="Moneda 6 2 4 2 3" xfId="2003" xr:uid="{00000000-0005-0000-0000-0000C7070000}"/>
    <cellStyle name="Moneda 6 2 4 2 3 2" xfId="2004" xr:uid="{00000000-0005-0000-0000-0000C8070000}"/>
    <cellStyle name="Moneda 6 2 4 2 4" xfId="2005" xr:uid="{00000000-0005-0000-0000-0000C9070000}"/>
    <cellStyle name="Moneda 6 2 4 2 4 2" xfId="2006" xr:uid="{00000000-0005-0000-0000-0000CA070000}"/>
    <cellStyle name="Moneda 6 2 4 2 5" xfId="2007" xr:uid="{00000000-0005-0000-0000-0000CB070000}"/>
    <cellStyle name="Moneda 6 2 4 2 5 2" xfId="2008" xr:uid="{00000000-0005-0000-0000-0000CC070000}"/>
    <cellStyle name="Moneda 6 2 4 2 6" xfId="2009" xr:uid="{00000000-0005-0000-0000-0000CD070000}"/>
    <cellStyle name="Moneda 6 2 4 3" xfId="2010" xr:uid="{00000000-0005-0000-0000-0000CE070000}"/>
    <cellStyle name="Moneda 6 2 4 3 2" xfId="2011" xr:uid="{00000000-0005-0000-0000-0000CF070000}"/>
    <cellStyle name="Moneda 6 2 4 3 2 2" xfId="2012" xr:uid="{00000000-0005-0000-0000-0000D0070000}"/>
    <cellStyle name="Moneda 6 2 4 3 3" xfId="2013" xr:uid="{00000000-0005-0000-0000-0000D1070000}"/>
    <cellStyle name="Moneda 6 2 4 3 3 2" xfId="2014" xr:uid="{00000000-0005-0000-0000-0000D2070000}"/>
    <cellStyle name="Moneda 6 2 4 3 4" xfId="2015" xr:uid="{00000000-0005-0000-0000-0000D3070000}"/>
    <cellStyle name="Moneda 6 2 4 3 4 2" xfId="2016" xr:uid="{00000000-0005-0000-0000-0000D4070000}"/>
    <cellStyle name="Moneda 6 2 4 3 5" xfId="2017" xr:uid="{00000000-0005-0000-0000-0000D5070000}"/>
    <cellStyle name="Moneda 6 2 4 4" xfId="2018" xr:uid="{00000000-0005-0000-0000-0000D6070000}"/>
    <cellStyle name="Moneda 6 2 4 4 2" xfId="2019" xr:uid="{00000000-0005-0000-0000-0000D7070000}"/>
    <cellStyle name="Moneda 6 2 4 5" xfId="2020" xr:uid="{00000000-0005-0000-0000-0000D8070000}"/>
    <cellStyle name="Moneda 6 2 4 5 2" xfId="2021" xr:uid="{00000000-0005-0000-0000-0000D9070000}"/>
    <cellStyle name="Moneda 6 2 4 6" xfId="2022" xr:uid="{00000000-0005-0000-0000-0000DA070000}"/>
    <cellStyle name="Moneda 6 2 4 6 2" xfId="2023" xr:uid="{00000000-0005-0000-0000-0000DB070000}"/>
    <cellStyle name="Moneda 6 2 4 7" xfId="2024" xr:uid="{00000000-0005-0000-0000-0000DC070000}"/>
    <cellStyle name="Moneda 6 2 5" xfId="2025" xr:uid="{00000000-0005-0000-0000-0000DD070000}"/>
    <cellStyle name="Moneda 6 2 5 2" xfId="2026" xr:uid="{00000000-0005-0000-0000-0000DE070000}"/>
    <cellStyle name="Moneda 6 2 5 2 2" xfId="2027" xr:uid="{00000000-0005-0000-0000-0000DF070000}"/>
    <cellStyle name="Moneda 6 2 5 2 2 2" xfId="2028" xr:uid="{00000000-0005-0000-0000-0000E0070000}"/>
    <cellStyle name="Moneda 6 2 5 2 3" xfId="2029" xr:uid="{00000000-0005-0000-0000-0000E1070000}"/>
    <cellStyle name="Moneda 6 2 5 2 3 2" xfId="2030" xr:uid="{00000000-0005-0000-0000-0000E2070000}"/>
    <cellStyle name="Moneda 6 2 5 2 4" xfId="2031" xr:uid="{00000000-0005-0000-0000-0000E3070000}"/>
    <cellStyle name="Moneda 6 2 5 2 4 2" xfId="2032" xr:uid="{00000000-0005-0000-0000-0000E4070000}"/>
    <cellStyle name="Moneda 6 2 5 2 5" xfId="2033" xr:uid="{00000000-0005-0000-0000-0000E5070000}"/>
    <cellStyle name="Moneda 6 2 5 3" xfId="2034" xr:uid="{00000000-0005-0000-0000-0000E6070000}"/>
    <cellStyle name="Moneda 6 2 5 3 2" xfId="2035" xr:uid="{00000000-0005-0000-0000-0000E7070000}"/>
    <cellStyle name="Moneda 6 2 5 4" xfId="2036" xr:uid="{00000000-0005-0000-0000-0000E8070000}"/>
    <cellStyle name="Moneda 6 2 5 4 2" xfId="2037" xr:uid="{00000000-0005-0000-0000-0000E9070000}"/>
    <cellStyle name="Moneda 6 2 5 5" xfId="2038" xr:uid="{00000000-0005-0000-0000-0000EA070000}"/>
    <cellStyle name="Moneda 6 2 5 5 2" xfId="2039" xr:uid="{00000000-0005-0000-0000-0000EB070000}"/>
    <cellStyle name="Moneda 6 2 5 6" xfId="2040" xr:uid="{00000000-0005-0000-0000-0000EC070000}"/>
    <cellStyle name="Moneda 6 2 6" xfId="2041" xr:uid="{00000000-0005-0000-0000-0000ED070000}"/>
    <cellStyle name="Moneda 6 2 6 2" xfId="2042" xr:uid="{00000000-0005-0000-0000-0000EE070000}"/>
    <cellStyle name="Moneda 6 2 6 2 2" xfId="2043" xr:uid="{00000000-0005-0000-0000-0000EF070000}"/>
    <cellStyle name="Moneda 6 2 6 3" xfId="2044" xr:uid="{00000000-0005-0000-0000-0000F0070000}"/>
    <cellStyle name="Moneda 6 2 6 3 2" xfId="2045" xr:uid="{00000000-0005-0000-0000-0000F1070000}"/>
    <cellStyle name="Moneda 6 2 6 4" xfId="2046" xr:uid="{00000000-0005-0000-0000-0000F2070000}"/>
    <cellStyle name="Moneda 6 2 6 4 2" xfId="2047" xr:uid="{00000000-0005-0000-0000-0000F3070000}"/>
    <cellStyle name="Moneda 6 2 6 5" xfId="2048" xr:uid="{00000000-0005-0000-0000-0000F4070000}"/>
    <cellStyle name="Moneda 6 2 7" xfId="2049" xr:uid="{00000000-0005-0000-0000-0000F5070000}"/>
    <cellStyle name="Moneda 6 2 7 2" xfId="2050" xr:uid="{00000000-0005-0000-0000-0000F6070000}"/>
    <cellStyle name="Moneda 6 2 8" xfId="2051" xr:uid="{00000000-0005-0000-0000-0000F7070000}"/>
    <cellStyle name="Moneda 6 2 8 2" xfId="2052" xr:uid="{00000000-0005-0000-0000-0000F8070000}"/>
    <cellStyle name="Moneda 6 2 9" xfId="2053" xr:uid="{00000000-0005-0000-0000-0000F9070000}"/>
    <cellStyle name="Moneda 6 2 9 2" xfId="2054" xr:uid="{00000000-0005-0000-0000-0000FA070000}"/>
    <cellStyle name="Moneda 6 3" xfId="2055" xr:uid="{00000000-0005-0000-0000-0000FB070000}"/>
    <cellStyle name="Moneda 6 3 2" xfId="2056" xr:uid="{00000000-0005-0000-0000-0000FC070000}"/>
    <cellStyle name="Moneda 6 3 2 2" xfId="2057" xr:uid="{00000000-0005-0000-0000-0000FD070000}"/>
    <cellStyle name="Moneda 6 3 2 2 2" xfId="2058" xr:uid="{00000000-0005-0000-0000-0000FE070000}"/>
    <cellStyle name="Moneda 6 3 2 2 2 2" xfId="2059" xr:uid="{00000000-0005-0000-0000-0000FF070000}"/>
    <cellStyle name="Moneda 6 3 2 2 3" xfId="2060" xr:uid="{00000000-0005-0000-0000-000000080000}"/>
    <cellStyle name="Moneda 6 3 2 2 3 2" xfId="2061" xr:uid="{00000000-0005-0000-0000-000001080000}"/>
    <cellStyle name="Moneda 6 3 2 2 4" xfId="2062" xr:uid="{00000000-0005-0000-0000-000002080000}"/>
    <cellStyle name="Moneda 6 3 2 2 4 2" xfId="2063" xr:uid="{00000000-0005-0000-0000-000003080000}"/>
    <cellStyle name="Moneda 6 3 2 2 5" xfId="2064" xr:uid="{00000000-0005-0000-0000-000004080000}"/>
    <cellStyle name="Moneda 6 3 2 3" xfId="2065" xr:uid="{00000000-0005-0000-0000-000005080000}"/>
    <cellStyle name="Moneda 6 3 2 3 2" xfId="2066" xr:uid="{00000000-0005-0000-0000-000006080000}"/>
    <cellStyle name="Moneda 6 3 2 4" xfId="2067" xr:uid="{00000000-0005-0000-0000-000007080000}"/>
    <cellStyle name="Moneda 6 3 2 4 2" xfId="2068" xr:uid="{00000000-0005-0000-0000-000008080000}"/>
    <cellStyle name="Moneda 6 3 2 5" xfId="2069" xr:uid="{00000000-0005-0000-0000-000009080000}"/>
    <cellStyle name="Moneda 6 3 2 5 2" xfId="2070" xr:uid="{00000000-0005-0000-0000-00000A080000}"/>
    <cellStyle name="Moneda 6 3 2 6" xfId="2071" xr:uid="{00000000-0005-0000-0000-00000B080000}"/>
    <cellStyle name="Moneda 6 3 3" xfId="2072" xr:uid="{00000000-0005-0000-0000-00000C080000}"/>
    <cellStyle name="Moneda 6 3 3 2" xfId="2073" xr:uid="{00000000-0005-0000-0000-00000D080000}"/>
    <cellStyle name="Moneda 6 3 3 2 2" xfId="2074" xr:uid="{00000000-0005-0000-0000-00000E080000}"/>
    <cellStyle name="Moneda 6 3 3 3" xfId="2075" xr:uid="{00000000-0005-0000-0000-00000F080000}"/>
    <cellStyle name="Moneda 6 3 3 3 2" xfId="2076" xr:uid="{00000000-0005-0000-0000-000010080000}"/>
    <cellStyle name="Moneda 6 3 3 4" xfId="2077" xr:uid="{00000000-0005-0000-0000-000011080000}"/>
    <cellStyle name="Moneda 6 3 3 4 2" xfId="2078" xr:uid="{00000000-0005-0000-0000-000012080000}"/>
    <cellStyle name="Moneda 6 3 3 5" xfId="2079" xr:uid="{00000000-0005-0000-0000-000013080000}"/>
    <cellStyle name="Moneda 6 3 4" xfId="2080" xr:uid="{00000000-0005-0000-0000-000014080000}"/>
    <cellStyle name="Moneda 6 3 4 2" xfId="2081" xr:uid="{00000000-0005-0000-0000-000015080000}"/>
    <cellStyle name="Moneda 6 3 5" xfId="2082" xr:uid="{00000000-0005-0000-0000-000016080000}"/>
    <cellStyle name="Moneda 6 3 5 2" xfId="2083" xr:uid="{00000000-0005-0000-0000-000017080000}"/>
    <cellStyle name="Moneda 6 3 6" xfId="2084" xr:uid="{00000000-0005-0000-0000-000018080000}"/>
    <cellStyle name="Moneda 6 3 6 2" xfId="2085" xr:uid="{00000000-0005-0000-0000-000019080000}"/>
    <cellStyle name="Moneda 6 3 7" xfId="2086" xr:uid="{00000000-0005-0000-0000-00001A080000}"/>
    <cellStyle name="Moneda 6 4" xfId="2087" xr:uid="{00000000-0005-0000-0000-00001B080000}"/>
    <cellStyle name="Moneda 6 4 2" xfId="2088" xr:uid="{00000000-0005-0000-0000-00001C080000}"/>
    <cellStyle name="Moneda 6 4 2 2" xfId="2089" xr:uid="{00000000-0005-0000-0000-00001D080000}"/>
    <cellStyle name="Moneda 6 4 2 2 2" xfId="2090" xr:uid="{00000000-0005-0000-0000-00001E080000}"/>
    <cellStyle name="Moneda 6 4 2 2 2 2" xfId="2091" xr:uid="{00000000-0005-0000-0000-00001F080000}"/>
    <cellStyle name="Moneda 6 4 2 2 3" xfId="2092" xr:uid="{00000000-0005-0000-0000-000020080000}"/>
    <cellStyle name="Moneda 6 4 2 2 3 2" xfId="2093" xr:uid="{00000000-0005-0000-0000-000021080000}"/>
    <cellStyle name="Moneda 6 4 2 2 4" xfId="2094" xr:uid="{00000000-0005-0000-0000-000022080000}"/>
    <cellStyle name="Moneda 6 4 2 2 4 2" xfId="2095" xr:uid="{00000000-0005-0000-0000-000023080000}"/>
    <cellStyle name="Moneda 6 4 2 2 5" xfId="2096" xr:uid="{00000000-0005-0000-0000-000024080000}"/>
    <cellStyle name="Moneda 6 4 2 3" xfId="2097" xr:uid="{00000000-0005-0000-0000-000025080000}"/>
    <cellStyle name="Moneda 6 4 2 3 2" xfId="2098" xr:uid="{00000000-0005-0000-0000-000026080000}"/>
    <cellStyle name="Moneda 6 4 2 4" xfId="2099" xr:uid="{00000000-0005-0000-0000-000027080000}"/>
    <cellStyle name="Moneda 6 4 2 4 2" xfId="2100" xr:uid="{00000000-0005-0000-0000-000028080000}"/>
    <cellStyle name="Moneda 6 4 2 5" xfId="2101" xr:uid="{00000000-0005-0000-0000-000029080000}"/>
    <cellStyle name="Moneda 6 4 2 5 2" xfId="2102" xr:uid="{00000000-0005-0000-0000-00002A080000}"/>
    <cellStyle name="Moneda 6 4 2 6" xfId="2103" xr:uid="{00000000-0005-0000-0000-00002B080000}"/>
    <cellStyle name="Moneda 6 4 3" xfId="2104" xr:uid="{00000000-0005-0000-0000-00002C080000}"/>
    <cellStyle name="Moneda 6 4 3 2" xfId="2105" xr:uid="{00000000-0005-0000-0000-00002D080000}"/>
    <cellStyle name="Moneda 6 4 3 2 2" xfId="2106" xr:uid="{00000000-0005-0000-0000-00002E080000}"/>
    <cellStyle name="Moneda 6 4 3 3" xfId="2107" xr:uid="{00000000-0005-0000-0000-00002F080000}"/>
    <cellStyle name="Moneda 6 4 3 3 2" xfId="2108" xr:uid="{00000000-0005-0000-0000-000030080000}"/>
    <cellStyle name="Moneda 6 4 3 4" xfId="2109" xr:uid="{00000000-0005-0000-0000-000031080000}"/>
    <cellStyle name="Moneda 6 4 3 4 2" xfId="2110" xr:uid="{00000000-0005-0000-0000-000032080000}"/>
    <cellStyle name="Moneda 6 4 3 5" xfId="2111" xr:uid="{00000000-0005-0000-0000-000033080000}"/>
    <cellStyle name="Moneda 6 4 4" xfId="2112" xr:uid="{00000000-0005-0000-0000-000034080000}"/>
    <cellStyle name="Moneda 6 4 4 2" xfId="2113" xr:uid="{00000000-0005-0000-0000-000035080000}"/>
    <cellStyle name="Moneda 6 4 5" xfId="2114" xr:uid="{00000000-0005-0000-0000-000036080000}"/>
    <cellStyle name="Moneda 6 4 5 2" xfId="2115" xr:uid="{00000000-0005-0000-0000-000037080000}"/>
    <cellStyle name="Moneda 6 4 6" xfId="2116" xr:uid="{00000000-0005-0000-0000-000038080000}"/>
    <cellStyle name="Moneda 6 4 6 2" xfId="2117" xr:uid="{00000000-0005-0000-0000-000039080000}"/>
    <cellStyle name="Moneda 6 4 7" xfId="2118" xr:uid="{00000000-0005-0000-0000-00003A080000}"/>
    <cellStyle name="Moneda 6 5" xfId="2119" xr:uid="{00000000-0005-0000-0000-00003B080000}"/>
    <cellStyle name="Moneda 6 5 2" xfId="2120" xr:uid="{00000000-0005-0000-0000-00003C080000}"/>
    <cellStyle name="Moneda 6 5 2 2" xfId="2121" xr:uid="{00000000-0005-0000-0000-00003D080000}"/>
    <cellStyle name="Moneda 6 5 2 2 2" xfId="2122" xr:uid="{00000000-0005-0000-0000-00003E080000}"/>
    <cellStyle name="Moneda 6 5 2 2 2 2" xfId="2123" xr:uid="{00000000-0005-0000-0000-00003F080000}"/>
    <cellStyle name="Moneda 6 5 2 2 3" xfId="2124" xr:uid="{00000000-0005-0000-0000-000040080000}"/>
    <cellStyle name="Moneda 6 5 2 2 3 2" xfId="2125" xr:uid="{00000000-0005-0000-0000-000041080000}"/>
    <cellStyle name="Moneda 6 5 2 2 4" xfId="2126" xr:uid="{00000000-0005-0000-0000-000042080000}"/>
    <cellStyle name="Moneda 6 5 2 2 4 2" xfId="2127" xr:uid="{00000000-0005-0000-0000-000043080000}"/>
    <cellStyle name="Moneda 6 5 2 2 5" xfId="2128" xr:uid="{00000000-0005-0000-0000-000044080000}"/>
    <cellStyle name="Moneda 6 5 2 3" xfId="2129" xr:uid="{00000000-0005-0000-0000-000045080000}"/>
    <cellStyle name="Moneda 6 5 2 3 2" xfId="2130" xr:uid="{00000000-0005-0000-0000-000046080000}"/>
    <cellStyle name="Moneda 6 5 2 4" xfId="2131" xr:uid="{00000000-0005-0000-0000-000047080000}"/>
    <cellStyle name="Moneda 6 5 2 4 2" xfId="2132" xr:uid="{00000000-0005-0000-0000-000048080000}"/>
    <cellStyle name="Moneda 6 5 2 5" xfId="2133" xr:uid="{00000000-0005-0000-0000-000049080000}"/>
    <cellStyle name="Moneda 6 5 2 5 2" xfId="2134" xr:uid="{00000000-0005-0000-0000-00004A080000}"/>
    <cellStyle name="Moneda 6 5 2 6" xfId="2135" xr:uid="{00000000-0005-0000-0000-00004B080000}"/>
    <cellStyle name="Moneda 6 5 3" xfId="2136" xr:uid="{00000000-0005-0000-0000-00004C080000}"/>
    <cellStyle name="Moneda 6 5 3 2" xfId="2137" xr:uid="{00000000-0005-0000-0000-00004D080000}"/>
    <cellStyle name="Moneda 6 5 3 2 2" xfId="2138" xr:uid="{00000000-0005-0000-0000-00004E080000}"/>
    <cellStyle name="Moneda 6 5 3 3" xfId="2139" xr:uid="{00000000-0005-0000-0000-00004F080000}"/>
    <cellStyle name="Moneda 6 5 3 3 2" xfId="2140" xr:uid="{00000000-0005-0000-0000-000050080000}"/>
    <cellStyle name="Moneda 6 5 3 4" xfId="2141" xr:uid="{00000000-0005-0000-0000-000051080000}"/>
    <cellStyle name="Moneda 6 5 3 4 2" xfId="2142" xr:uid="{00000000-0005-0000-0000-000052080000}"/>
    <cellStyle name="Moneda 6 5 3 5" xfId="2143" xr:uid="{00000000-0005-0000-0000-000053080000}"/>
    <cellStyle name="Moneda 6 5 4" xfId="2144" xr:uid="{00000000-0005-0000-0000-000054080000}"/>
    <cellStyle name="Moneda 6 5 4 2" xfId="2145" xr:uid="{00000000-0005-0000-0000-000055080000}"/>
    <cellStyle name="Moneda 6 5 5" xfId="2146" xr:uid="{00000000-0005-0000-0000-000056080000}"/>
    <cellStyle name="Moneda 6 5 5 2" xfId="2147" xr:uid="{00000000-0005-0000-0000-000057080000}"/>
    <cellStyle name="Moneda 6 5 6" xfId="2148" xr:uid="{00000000-0005-0000-0000-000058080000}"/>
    <cellStyle name="Moneda 6 5 6 2" xfId="2149" xr:uid="{00000000-0005-0000-0000-000059080000}"/>
    <cellStyle name="Moneda 6 5 7" xfId="2150" xr:uid="{00000000-0005-0000-0000-00005A080000}"/>
    <cellStyle name="Moneda 6 6" xfId="2151" xr:uid="{00000000-0005-0000-0000-00005B080000}"/>
    <cellStyle name="Moneda 6 6 2" xfId="2152" xr:uid="{00000000-0005-0000-0000-00005C080000}"/>
    <cellStyle name="Moneda 6 6 2 2" xfId="2153" xr:uid="{00000000-0005-0000-0000-00005D080000}"/>
    <cellStyle name="Moneda 6 6 2 2 2" xfId="2154" xr:uid="{00000000-0005-0000-0000-00005E080000}"/>
    <cellStyle name="Moneda 6 6 2 3" xfId="2155" xr:uid="{00000000-0005-0000-0000-00005F080000}"/>
    <cellStyle name="Moneda 6 6 2 3 2" xfId="2156" xr:uid="{00000000-0005-0000-0000-000060080000}"/>
    <cellStyle name="Moneda 6 6 2 4" xfId="2157" xr:uid="{00000000-0005-0000-0000-000061080000}"/>
    <cellStyle name="Moneda 6 6 2 4 2" xfId="2158" xr:uid="{00000000-0005-0000-0000-000062080000}"/>
    <cellStyle name="Moneda 6 6 2 5" xfId="2159" xr:uid="{00000000-0005-0000-0000-000063080000}"/>
    <cellStyle name="Moneda 6 6 3" xfId="2160" xr:uid="{00000000-0005-0000-0000-000064080000}"/>
    <cellStyle name="Moneda 6 6 3 2" xfId="2161" xr:uid="{00000000-0005-0000-0000-000065080000}"/>
    <cellStyle name="Moneda 6 6 4" xfId="2162" xr:uid="{00000000-0005-0000-0000-000066080000}"/>
    <cellStyle name="Moneda 6 6 4 2" xfId="2163" xr:uid="{00000000-0005-0000-0000-000067080000}"/>
    <cellStyle name="Moneda 6 6 5" xfId="2164" xr:uid="{00000000-0005-0000-0000-000068080000}"/>
    <cellStyle name="Moneda 6 6 5 2" xfId="2165" xr:uid="{00000000-0005-0000-0000-000069080000}"/>
    <cellStyle name="Moneda 6 6 6" xfId="2166" xr:uid="{00000000-0005-0000-0000-00006A080000}"/>
    <cellStyle name="Moneda 6 7" xfId="2167" xr:uid="{00000000-0005-0000-0000-00006B080000}"/>
    <cellStyle name="Moneda 6 7 2" xfId="2168" xr:uid="{00000000-0005-0000-0000-00006C080000}"/>
    <cellStyle name="Moneda 6 7 2 2" xfId="2169" xr:uid="{00000000-0005-0000-0000-00006D080000}"/>
    <cellStyle name="Moneda 6 7 3" xfId="2170" xr:uid="{00000000-0005-0000-0000-00006E080000}"/>
    <cellStyle name="Moneda 6 7 3 2" xfId="2171" xr:uid="{00000000-0005-0000-0000-00006F080000}"/>
    <cellStyle name="Moneda 6 7 4" xfId="2172" xr:uid="{00000000-0005-0000-0000-000070080000}"/>
    <cellStyle name="Moneda 6 7 4 2" xfId="2173" xr:uid="{00000000-0005-0000-0000-000071080000}"/>
    <cellStyle name="Moneda 6 7 5" xfId="2174" xr:uid="{00000000-0005-0000-0000-000072080000}"/>
    <cellStyle name="Moneda 6 8" xfId="2175" xr:uid="{00000000-0005-0000-0000-000073080000}"/>
    <cellStyle name="Moneda 6 8 2" xfId="2176" xr:uid="{00000000-0005-0000-0000-000074080000}"/>
    <cellStyle name="Moneda 6 9" xfId="2177" xr:uid="{00000000-0005-0000-0000-000075080000}"/>
    <cellStyle name="Moneda 6 9 2" xfId="2178" xr:uid="{00000000-0005-0000-0000-000076080000}"/>
    <cellStyle name="Moneda 7" xfId="2179" xr:uid="{00000000-0005-0000-0000-000077080000}"/>
    <cellStyle name="Moneda 7 10" xfId="2180" xr:uid="{00000000-0005-0000-0000-000078080000}"/>
    <cellStyle name="Moneda 7 10 2" xfId="2181" xr:uid="{00000000-0005-0000-0000-000079080000}"/>
    <cellStyle name="Moneda 7 11" xfId="2182" xr:uid="{00000000-0005-0000-0000-00007A080000}"/>
    <cellStyle name="Moneda 7 12" xfId="2183" xr:uid="{00000000-0005-0000-0000-00007B080000}"/>
    <cellStyle name="Moneda 7 2" xfId="2184" xr:uid="{00000000-0005-0000-0000-00007C080000}"/>
    <cellStyle name="Moneda 7 2 10" xfId="2185" xr:uid="{00000000-0005-0000-0000-00007D080000}"/>
    <cellStyle name="Moneda 7 2 11" xfId="2186" xr:uid="{00000000-0005-0000-0000-00007E080000}"/>
    <cellStyle name="Moneda 7 2 2" xfId="2187" xr:uid="{00000000-0005-0000-0000-00007F080000}"/>
    <cellStyle name="Moneda 7 2 2 2" xfId="2188" xr:uid="{00000000-0005-0000-0000-000080080000}"/>
    <cellStyle name="Moneda 7 2 2 2 2" xfId="2189" xr:uid="{00000000-0005-0000-0000-000081080000}"/>
    <cellStyle name="Moneda 7 2 2 2 2 2" xfId="2190" xr:uid="{00000000-0005-0000-0000-000082080000}"/>
    <cellStyle name="Moneda 7 2 2 2 2 2 2" xfId="2191" xr:uid="{00000000-0005-0000-0000-000083080000}"/>
    <cellStyle name="Moneda 7 2 2 2 2 3" xfId="2192" xr:uid="{00000000-0005-0000-0000-000084080000}"/>
    <cellStyle name="Moneda 7 2 2 2 2 3 2" xfId="2193" xr:uid="{00000000-0005-0000-0000-000085080000}"/>
    <cellStyle name="Moneda 7 2 2 2 2 4" xfId="2194" xr:uid="{00000000-0005-0000-0000-000086080000}"/>
    <cellStyle name="Moneda 7 2 2 2 2 4 2" xfId="2195" xr:uid="{00000000-0005-0000-0000-000087080000}"/>
    <cellStyle name="Moneda 7 2 2 2 2 5" xfId="2196" xr:uid="{00000000-0005-0000-0000-000088080000}"/>
    <cellStyle name="Moneda 7 2 2 2 3" xfId="2197" xr:uid="{00000000-0005-0000-0000-000089080000}"/>
    <cellStyle name="Moneda 7 2 2 2 3 2" xfId="2198" xr:uid="{00000000-0005-0000-0000-00008A080000}"/>
    <cellStyle name="Moneda 7 2 2 2 4" xfId="2199" xr:uid="{00000000-0005-0000-0000-00008B080000}"/>
    <cellStyle name="Moneda 7 2 2 2 4 2" xfId="2200" xr:uid="{00000000-0005-0000-0000-00008C080000}"/>
    <cellStyle name="Moneda 7 2 2 2 5" xfId="2201" xr:uid="{00000000-0005-0000-0000-00008D080000}"/>
    <cellStyle name="Moneda 7 2 2 2 5 2" xfId="2202" xr:uid="{00000000-0005-0000-0000-00008E080000}"/>
    <cellStyle name="Moneda 7 2 2 2 6" xfId="2203" xr:uid="{00000000-0005-0000-0000-00008F080000}"/>
    <cellStyle name="Moneda 7 2 2 3" xfId="2204" xr:uid="{00000000-0005-0000-0000-000090080000}"/>
    <cellStyle name="Moneda 7 2 2 3 2" xfId="2205" xr:uid="{00000000-0005-0000-0000-000091080000}"/>
    <cellStyle name="Moneda 7 2 2 3 2 2" xfId="2206" xr:uid="{00000000-0005-0000-0000-000092080000}"/>
    <cellStyle name="Moneda 7 2 2 3 3" xfId="2207" xr:uid="{00000000-0005-0000-0000-000093080000}"/>
    <cellStyle name="Moneda 7 2 2 3 3 2" xfId="2208" xr:uid="{00000000-0005-0000-0000-000094080000}"/>
    <cellStyle name="Moneda 7 2 2 3 4" xfId="2209" xr:uid="{00000000-0005-0000-0000-000095080000}"/>
    <cellStyle name="Moneda 7 2 2 3 4 2" xfId="2210" xr:uid="{00000000-0005-0000-0000-000096080000}"/>
    <cellStyle name="Moneda 7 2 2 3 5" xfId="2211" xr:uid="{00000000-0005-0000-0000-000097080000}"/>
    <cellStyle name="Moneda 7 2 2 4" xfId="2212" xr:uid="{00000000-0005-0000-0000-000098080000}"/>
    <cellStyle name="Moneda 7 2 2 4 2" xfId="2213" xr:uid="{00000000-0005-0000-0000-000099080000}"/>
    <cellStyle name="Moneda 7 2 2 5" xfId="2214" xr:uid="{00000000-0005-0000-0000-00009A080000}"/>
    <cellStyle name="Moneda 7 2 2 5 2" xfId="2215" xr:uid="{00000000-0005-0000-0000-00009B080000}"/>
    <cellStyle name="Moneda 7 2 2 6" xfId="2216" xr:uid="{00000000-0005-0000-0000-00009C080000}"/>
    <cellStyle name="Moneda 7 2 2 6 2" xfId="2217" xr:uid="{00000000-0005-0000-0000-00009D080000}"/>
    <cellStyle name="Moneda 7 2 2 7" xfId="2218" xr:uid="{00000000-0005-0000-0000-00009E080000}"/>
    <cellStyle name="Moneda 7 2 3" xfId="2219" xr:uid="{00000000-0005-0000-0000-00009F080000}"/>
    <cellStyle name="Moneda 7 2 3 2" xfId="2220" xr:uid="{00000000-0005-0000-0000-0000A0080000}"/>
    <cellStyle name="Moneda 7 2 3 2 2" xfId="2221" xr:uid="{00000000-0005-0000-0000-0000A1080000}"/>
    <cellStyle name="Moneda 7 2 3 2 2 2" xfId="2222" xr:uid="{00000000-0005-0000-0000-0000A2080000}"/>
    <cellStyle name="Moneda 7 2 3 2 2 2 2" xfId="2223" xr:uid="{00000000-0005-0000-0000-0000A3080000}"/>
    <cellStyle name="Moneda 7 2 3 2 2 3" xfId="2224" xr:uid="{00000000-0005-0000-0000-0000A4080000}"/>
    <cellStyle name="Moneda 7 2 3 2 2 3 2" xfId="2225" xr:uid="{00000000-0005-0000-0000-0000A5080000}"/>
    <cellStyle name="Moneda 7 2 3 2 2 4" xfId="2226" xr:uid="{00000000-0005-0000-0000-0000A6080000}"/>
    <cellStyle name="Moneda 7 2 3 2 2 4 2" xfId="2227" xr:uid="{00000000-0005-0000-0000-0000A7080000}"/>
    <cellStyle name="Moneda 7 2 3 2 2 5" xfId="2228" xr:uid="{00000000-0005-0000-0000-0000A8080000}"/>
    <cellStyle name="Moneda 7 2 3 2 3" xfId="2229" xr:uid="{00000000-0005-0000-0000-0000A9080000}"/>
    <cellStyle name="Moneda 7 2 3 2 3 2" xfId="2230" xr:uid="{00000000-0005-0000-0000-0000AA080000}"/>
    <cellStyle name="Moneda 7 2 3 2 4" xfId="2231" xr:uid="{00000000-0005-0000-0000-0000AB080000}"/>
    <cellStyle name="Moneda 7 2 3 2 4 2" xfId="2232" xr:uid="{00000000-0005-0000-0000-0000AC080000}"/>
    <cellStyle name="Moneda 7 2 3 2 5" xfId="2233" xr:uid="{00000000-0005-0000-0000-0000AD080000}"/>
    <cellStyle name="Moneda 7 2 3 2 5 2" xfId="2234" xr:uid="{00000000-0005-0000-0000-0000AE080000}"/>
    <cellStyle name="Moneda 7 2 3 2 6" xfId="2235" xr:uid="{00000000-0005-0000-0000-0000AF080000}"/>
    <cellStyle name="Moneda 7 2 3 3" xfId="2236" xr:uid="{00000000-0005-0000-0000-0000B0080000}"/>
    <cellStyle name="Moneda 7 2 3 3 2" xfId="2237" xr:uid="{00000000-0005-0000-0000-0000B1080000}"/>
    <cellStyle name="Moneda 7 2 3 3 2 2" xfId="2238" xr:uid="{00000000-0005-0000-0000-0000B2080000}"/>
    <cellStyle name="Moneda 7 2 3 3 3" xfId="2239" xr:uid="{00000000-0005-0000-0000-0000B3080000}"/>
    <cellStyle name="Moneda 7 2 3 3 3 2" xfId="2240" xr:uid="{00000000-0005-0000-0000-0000B4080000}"/>
    <cellStyle name="Moneda 7 2 3 3 4" xfId="2241" xr:uid="{00000000-0005-0000-0000-0000B5080000}"/>
    <cellStyle name="Moneda 7 2 3 3 4 2" xfId="2242" xr:uid="{00000000-0005-0000-0000-0000B6080000}"/>
    <cellStyle name="Moneda 7 2 3 3 5" xfId="2243" xr:uid="{00000000-0005-0000-0000-0000B7080000}"/>
    <cellStyle name="Moneda 7 2 3 4" xfId="2244" xr:uid="{00000000-0005-0000-0000-0000B8080000}"/>
    <cellStyle name="Moneda 7 2 3 4 2" xfId="2245" xr:uid="{00000000-0005-0000-0000-0000B9080000}"/>
    <cellStyle name="Moneda 7 2 3 5" xfId="2246" xr:uid="{00000000-0005-0000-0000-0000BA080000}"/>
    <cellStyle name="Moneda 7 2 3 5 2" xfId="2247" xr:uid="{00000000-0005-0000-0000-0000BB080000}"/>
    <cellStyle name="Moneda 7 2 3 6" xfId="2248" xr:uid="{00000000-0005-0000-0000-0000BC080000}"/>
    <cellStyle name="Moneda 7 2 3 6 2" xfId="2249" xr:uid="{00000000-0005-0000-0000-0000BD080000}"/>
    <cellStyle name="Moneda 7 2 3 7" xfId="2250" xr:uid="{00000000-0005-0000-0000-0000BE080000}"/>
    <cellStyle name="Moneda 7 2 4" xfId="2251" xr:uid="{00000000-0005-0000-0000-0000BF080000}"/>
    <cellStyle name="Moneda 7 2 4 2" xfId="2252" xr:uid="{00000000-0005-0000-0000-0000C0080000}"/>
    <cellStyle name="Moneda 7 2 4 2 2" xfId="2253" xr:uid="{00000000-0005-0000-0000-0000C1080000}"/>
    <cellStyle name="Moneda 7 2 4 2 2 2" xfId="2254" xr:uid="{00000000-0005-0000-0000-0000C2080000}"/>
    <cellStyle name="Moneda 7 2 4 2 2 2 2" xfId="2255" xr:uid="{00000000-0005-0000-0000-0000C3080000}"/>
    <cellStyle name="Moneda 7 2 4 2 2 3" xfId="2256" xr:uid="{00000000-0005-0000-0000-0000C4080000}"/>
    <cellStyle name="Moneda 7 2 4 2 2 3 2" xfId="2257" xr:uid="{00000000-0005-0000-0000-0000C5080000}"/>
    <cellStyle name="Moneda 7 2 4 2 2 4" xfId="2258" xr:uid="{00000000-0005-0000-0000-0000C6080000}"/>
    <cellStyle name="Moneda 7 2 4 2 2 4 2" xfId="2259" xr:uid="{00000000-0005-0000-0000-0000C7080000}"/>
    <cellStyle name="Moneda 7 2 4 2 2 5" xfId="2260" xr:uid="{00000000-0005-0000-0000-0000C8080000}"/>
    <cellStyle name="Moneda 7 2 4 2 3" xfId="2261" xr:uid="{00000000-0005-0000-0000-0000C9080000}"/>
    <cellStyle name="Moneda 7 2 4 2 3 2" xfId="2262" xr:uid="{00000000-0005-0000-0000-0000CA080000}"/>
    <cellStyle name="Moneda 7 2 4 2 4" xfId="2263" xr:uid="{00000000-0005-0000-0000-0000CB080000}"/>
    <cellStyle name="Moneda 7 2 4 2 4 2" xfId="2264" xr:uid="{00000000-0005-0000-0000-0000CC080000}"/>
    <cellStyle name="Moneda 7 2 4 2 5" xfId="2265" xr:uid="{00000000-0005-0000-0000-0000CD080000}"/>
    <cellStyle name="Moneda 7 2 4 2 5 2" xfId="2266" xr:uid="{00000000-0005-0000-0000-0000CE080000}"/>
    <cellStyle name="Moneda 7 2 4 2 6" xfId="2267" xr:uid="{00000000-0005-0000-0000-0000CF080000}"/>
    <cellStyle name="Moneda 7 2 4 3" xfId="2268" xr:uid="{00000000-0005-0000-0000-0000D0080000}"/>
    <cellStyle name="Moneda 7 2 4 3 2" xfId="2269" xr:uid="{00000000-0005-0000-0000-0000D1080000}"/>
    <cellStyle name="Moneda 7 2 4 3 2 2" xfId="2270" xr:uid="{00000000-0005-0000-0000-0000D2080000}"/>
    <cellStyle name="Moneda 7 2 4 3 3" xfId="2271" xr:uid="{00000000-0005-0000-0000-0000D3080000}"/>
    <cellStyle name="Moneda 7 2 4 3 3 2" xfId="2272" xr:uid="{00000000-0005-0000-0000-0000D4080000}"/>
    <cellStyle name="Moneda 7 2 4 3 4" xfId="2273" xr:uid="{00000000-0005-0000-0000-0000D5080000}"/>
    <cellStyle name="Moneda 7 2 4 3 4 2" xfId="2274" xr:uid="{00000000-0005-0000-0000-0000D6080000}"/>
    <cellStyle name="Moneda 7 2 4 3 5" xfId="2275" xr:uid="{00000000-0005-0000-0000-0000D7080000}"/>
    <cellStyle name="Moneda 7 2 4 4" xfId="2276" xr:uid="{00000000-0005-0000-0000-0000D8080000}"/>
    <cellStyle name="Moneda 7 2 4 4 2" xfId="2277" xr:uid="{00000000-0005-0000-0000-0000D9080000}"/>
    <cellStyle name="Moneda 7 2 4 5" xfId="2278" xr:uid="{00000000-0005-0000-0000-0000DA080000}"/>
    <cellStyle name="Moneda 7 2 4 5 2" xfId="2279" xr:uid="{00000000-0005-0000-0000-0000DB080000}"/>
    <cellStyle name="Moneda 7 2 4 6" xfId="2280" xr:uid="{00000000-0005-0000-0000-0000DC080000}"/>
    <cellStyle name="Moneda 7 2 4 6 2" xfId="2281" xr:uid="{00000000-0005-0000-0000-0000DD080000}"/>
    <cellStyle name="Moneda 7 2 4 7" xfId="2282" xr:uid="{00000000-0005-0000-0000-0000DE080000}"/>
    <cellStyle name="Moneda 7 2 5" xfId="2283" xr:uid="{00000000-0005-0000-0000-0000DF080000}"/>
    <cellStyle name="Moneda 7 2 5 2" xfId="2284" xr:uid="{00000000-0005-0000-0000-0000E0080000}"/>
    <cellStyle name="Moneda 7 2 5 2 2" xfId="2285" xr:uid="{00000000-0005-0000-0000-0000E1080000}"/>
    <cellStyle name="Moneda 7 2 5 2 2 2" xfId="2286" xr:uid="{00000000-0005-0000-0000-0000E2080000}"/>
    <cellStyle name="Moneda 7 2 5 2 3" xfId="2287" xr:uid="{00000000-0005-0000-0000-0000E3080000}"/>
    <cellStyle name="Moneda 7 2 5 2 3 2" xfId="2288" xr:uid="{00000000-0005-0000-0000-0000E4080000}"/>
    <cellStyle name="Moneda 7 2 5 2 4" xfId="2289" xr:uid="{00000000-0005-0000-0000-0000E5080000}"/>
    <cellStyle name="Moneda 7 2 5 2 4 2" xfId="2290" xr:uid="{00000000-0005-0000-0000-0000E6080000}"/>
    <cellStyle name="Moneda 7 2 5 2 5" xfId="2291" xr:uid="{00000000-0005-0000-0000-0000E7080000}"/>
    <cellStyle name="Moneda 7 2 5 3" xfId="2292" xr:uid="{00000000-0005-0000-0000-0000E8080000}"/>
    <cellStyle name="Moneda 7 2 5 3 2" xfId="2293" xr:uid="{00000000-0005-0000-0000-0000E9080000}"/>
    <cellStyle name="Moneda 7 2 5 4" xfId="2294" xr:uid="{00000000-0005-0000-0000-0000EA080000}"/>
    <cellStyle name="Moneda 7 2 5 4 2" xfId="2295" xr:uid="{00000000-0005-0000-0000-0000EB080000}"/>
    <cellStyle name="Moneda 7 2 5 5" xfId="2296" xr:uid="{00000000-0005-0000-0000-0000EC080000}"/>
    <cellStyle name="Moneda 7 2 5 5 2" xfId="2297" xr:uid="{00000000-0005-0000-0000-0000ED080000}"/>
    <cellStyle name="Moneda 7 2 5 6" xfId="2298" xr:uid="{00000000-0005-0000-0000-0000EE080000}"/>
    <cellStyle name="Moneda 7 2 6" xfId="2299" xr:uid="{00000000-0005-0000-0000-0000EF080000}"/>
    <cellStyle name="Moneda 7 2 6 2" xfId="2300" xr:uid="{00000000-0005-0000-0000-0000F0080000}"/>
    <cellStyle name="Moneda 7 2 6 2 2" xfId="2301" xr:uid="{00000000-0005-0000-0000-0000F1080000}"/>
    <cellStyle name="Moneda 7 2 6 3" xfId="2302" xr:uid="{00000000-0005-0000-0000-0000F2080000}"/>
    <cellStyle name="Moneda 7 2 6 3 2" xfId="2303" xr:uid="{00000000-0005-0000-0000-0000F3080000}"/>
    <cellStyle name="Moneda 7 2 6 4" xfId="2304" xr:uid="{00000000-0005-0000-0000-0000F4080000}"/>
    <cellStyle name="Moneda 7 2 6 4 2" xfId="2305" xr:uid="{00000000-0005-0000-0000-0000F5080000}"/>
    <cellStyle name="Moneda 7 2 6 5" xfId="2306" xr:uid="{00000000-0005-0000-0000-0000F6080000}"/>
    <cellStyle name="Moneda 7 2 7" xfId="2307" xr:uid="{00000000-0005-0000-0000-0000F7080000}"/>
    <cellStyle name="Moneda 7 2 7 2" xfId="2308" xr:uid="{00000000-0005-0000-0000-0000F8080000}"/>
    <cellStyle name="Moneda 7 2 8" xfId="2309" xr:uid="{00000000-0005-0000-0000-0000F9080000}"/>
    <cellStyle name="Moneda 7 2 8 2" xfId="2310" xr:uid="{00000000-0005-0000-0000-0000FA080000}"/>
    <cellStyle name="Moneda 7 2 9" xfId="2311" xr:uid="{00000000-0005-0000-0000-0000FB080000}"/>
    <cellStyle name="Moneda 7 2 9 2" xfId="2312" xr:uid="{00000000-0005-0000-0000-0000FC080000}"/>
    <cellStyle name="Moneda 7 3" xfId="2313" xr:uid="{00000000-0005-0000-0000-0000FD080000}"/>
    <cellStyle name="Moneda 7 3 2" xfId="2314" xr:uid="{00000000-0005-0000-0000-0000FE080000}"/>
    <cellStyle name="Moneda 7 3 2 2" xfId="2315" xr:uid="{00000000-0005-0000-0000-0000FF080000}"/>
    <cellStyle name="Moneda 7 3 2 2 2" xfId="2316" xr:uid="{00000000-0005-0000-0000-000000090000}"/>
    <cellStyle name="Moneda 7 3 2 2 2 2" xfId="2317" xr:uid="{00000000-0005-0000-0000-000001090000}"/>
    <cellStyle name="Moneda 7 3 2 2 3" xfId="2318" xr:uid="{00000000-0005-0000-0000-000002090000}"/>
    <cellStyle name="Moneda 7 3 2 2 3 2" xfId="2319" xr:uid="{00000000-0005-0000-0000-000003090000}"/>
    <cellStyle name="Moneda 7 3 2 2 4" xfId="2320" xr:uid="{00000000-0005-0000-0000-000004090000}"/>
    <cellStyle name="Moneda 7 3 2 2 4 2" xfId="2321" xr:uid="{00000000-0005-0000-0000-000005090000}"/>
    <cellStyle name="Moneda 7 3 2 2 5" xfId="2322" xr:uid="{00000000-0005-0000-0000-000006090000}"/>
    <cellStyle name="Moneda 7 3 2 3" xfId="2323" xr:uid="{00000000-0005-0000-0000-000007090000}"/>
    <cellStyle name="Moneda 7 3 2 3 2" xfId="2324" xr:uid="{00000000-0005-0000-0000-000008090000}"/>
    <cellStyle name="Moneda 7 3 2 4" xfId="2325" xr:uid="{00000000-0005-0000-0000-000009090000}"/>
    <cellStyle name="Moneda 7 3 2 4 2" xfId="2326" xr:uid="{00000000-0005-0000-0000-00000A090000}"/>
    <cellStyle name="Moneda 7 3 2 5" xfId="2327" xr:uid="{00000000-0005-0000-0000-00000B090000}"/>
    <cellStyle name="Moneda 7 3 2 5 2" xfId="2328" xr:uid="{00000000-0005-0000-0000-00000C090000}"/>
    <cellStyle name="Moneda 7 3 2 6" xfId="2329" xr:uid="{00000000-0005-0000-0000-00000D090000}"/>
    <cellStyle name="Moneda 7 3 3" xfId="2330" xr:uid="{00000000-0005-0000-0000-00000E090000}"/>
    <cellStyle name="Moneda 7 3 3 2" xfId="2331" xr:uid="{00000000-0005-0000-0000-00000F090000}"/>
    <cellStyle name="Moneda 7 3 3 2 2" xfId="2332" xr:uid="{00000000-0005-0000-0000-000010090000}"/>
    <cellStyle name="Moneda 7 3 3 3" xfId="2333" xr:uid="{00000000-0005-0000-0000-000011090000}"/>
    <cellStyle name="Moneda 7 3 3 3 2" xfId="2334" xr:uid="{00000000-0005-0000-0000-000012090000}"/>
    <cellStyle name="Moneda 7 3 3 4" xfId="2335" xr:uid="{00000000-0005-0000-0000-000013090000}"/>
    <cellStyle name="Moneda 7 3 3 4 2" xfId="2336" xr:uid="{00000000-0005-0000-0000-000014090000}"/>
    <cellStyle name="Moneda 7 3 3 5" xfId="2337" xr:uid="{00000000-0005-0000-0000-000015090000}"/>
    <cellStyle name="Moneda 7 3 4" xfId="2338" xr:uid="{00000000-0005-0000-0000-000016090000}"/>
    <cellStyle name="Moneda 7 3 4 2" xfId="2339" xr:uid="{00000000-0005-0000-0000-000017090000}"/>
    <cellStyle name="Moneda 7 3 5" xfId="2340" xr:uid="{00000000-0005-0000-0000-000018090000}"/>
    <cellStyle name="Moneda 7 3 5 2" xfId="2341" xr:uid="{00000000-0005-0000-0000-000019090000}"/>
    <cellStyle name="Moneda 7 3 6" xfId="2342" xr:uid="{00000000-0005-0000-0000-00001A090000}"/>
    <cellStyle name="Moneda 7 3 6 2" xfId="2343" xr:uid="{00000000-0005-0000-0000-00001B090000}"/>
    <cellStyle name="Moneda 7 3 7" xfId="2344" xr:uid="{00000000-0005-0000-0000-00001C090000}"/>
    <cellStyle name="Moneda 7 4" xfId="2345" xr:uid="{00000000-0005-0000-0000-00001D090000}"/>
    <cellStyle name="Moneda 7 4 2" xfId="2346" xr:uid="{00000000-0005-0000-0000-00001E090000}"/>
    <cellStyle name="Moneda 7 4 2 2" xfId="2347" xr:uid="{00000000-0005-0000-0000-00001F090000}"/>
    <cellStyle name="Moneda 7 4 2 2 2" xfId="2348" xr:uid="{00000000-0005-0000-0000-000020090000}"/>
    <cellStyle name="Moneda 7 4 2 2 2 2" xfId="2349" xr:uid="{00000000-0005-0000-0000-000021090000}"/>
    <cellStyle name="Moneda 7 4 2 2 3" xfId="2350" xr:uid="{00000000-0005-0000-0000-000022090000}"/>
    <cellStyle name="Moneda 7 4 2 2 3 2" xfId="2351" xr:uid="{00000000-0005-0000-0000-000023090000}"/>
    <cellStyle name="Moneda 7 4 2 2 4" xfId="2352" xr:uid="{00000000-0005-0000-0000-000024090000}"/>
    <cellStyle name="Moneda 7 4 2 2 4 2" xfId="2353" xr:uid="{00000000-0005-0000-0000-000025090000}"/>
    <cellStyle name="Moneda 7 4 2 2 5" xfId="2354" xr:uid="{00000000-0005-0000-0000-000026090000}"/>
    <cellStyle name="Moneda 7 4 2 3" xfId="2355" xr:uid="{00000000-0005-0000-0000-000027090000}"/>
    <cellStyle name="Moneda 7 4 2 3 2" xfId="2356" xr:uid="{00000000-0005-0000-0000-000028090000}"/>
    <cellStyle name="Moneda 7 4 2 4" xfId="2357" xr:uid="{00000000-0005-0000-0000-000029090000}"/>
    <cellStyle name="Moneda 7 4 2 4 2" xfId="2358" xr:uid="{00000000-0005-0000-0000-00002A090000}"/>
    <cellStyle name="Moneda 7 4 2 5" xfId="2359" xr:uid="{00000000-0005-0000-0000-00002B090000}"/>
    <cellStyle name="Moneda 7 4 2 5 2" xfId="2360" xr:uid="{00000000-0005-0000-0000-00002C090000}"/>
    <cellStyle name="Moneda 7 4 2 6" xfId="2361" xr:uid="{00000000-0005-0000-0000-00002D090000}"/>
    <cellStyle name="Moneda 7 4 3" xfId="2362" xr:uid="{00000000-0005-0000-0000-00002E090000}"/>
    <cellStyle name="Moneda 7 4 3 2" xfId="2363" xr:uid="{00000000-0005-0000-0000-00002F090000}"/>
    <cellStyle name="Moneda 7 4 3 2 2" xfId="2364" xr:uid="{00000000-0005-0000-0000-000030090000}"/>
    <cellStyle name="Moneda 7 4 3 3" xfId="2365" xr:uid="{00000000-0005-0000-0000-000031090000}"/>
    <cellStyle name="Moneda 7 4 3 3 2" xfId="2366" xr:uid="{00000000-0005-0000-0000-000032090000}"/>
    <cellStyle name="Moneda 7 4 3 4" xfId="2367" xr:uid="{00000000-0005-0000-0000-000033090000}"/>
    <cellStyle name="Moneda 7 4 3 4 2" xfId="2368" xr:uid="{00000000-0005-0000-0000-000034090000}"/>
    <cellStyle name="Moneda 7 4 3 5" xfId="2369" xr:uid="{00000000-0005-0000-0000-000035090000}"/>
    <cellStyle name="Moneda 7 4 4" xfId="2370" xr:uid="{00000000-0005-0000-0000-000036090000}"/>
    <cellStyle name="Moneda 7 4 4 2" xfId="2371" xr:uid="{00000000-0005-0000-0000-000037090000}"/>
    <cellStyle name="Moneda 7 4 5" xfId="2372" xr:uid="{00000000-0005-0000-0000-000038090000}"/>
    <cellStyle name="Moneda 7 4 5 2" xfId="2373" xr:uid="{00000000-0005-0000-0000-000039090000}"/>
    <cellStyle name="Moneda 7 4 6" xfId="2374" xr:uid="{00000000-0005-0000-0000-00003A090000}"/>
    <cellStyle name="Moneda 7 4 6 2" xfId="2375" xr:uid="{00000000-0005-0000-0000-00003B090000}"/>
    <cellStyle name="Moneda 7 4 7" xfId="2376" xr:uid="{00000000-0005-0000-0000-00003C090000}"/>
    <cellStyle name="Moneda 7 5" xfId="2377" xr:uid="{00000000-0005-0000-0000-00003D090000}"/>
    <cellStyle name="Moneda 7 5 2" xfId="2378" xr:uid="{00000000-0005-0000-0000-00003E090000}"/>
    <cellStyle name="Moneda 7 5 2 2" xfId="2379" xr:uid="{00000000-0005-0000-0000-00003F090000}"/>
    <cellStyle name="Moneda 7 5 2 2 2" xfId="2380" xr:uid="{00000000-0005-0000-0000-000040090000}"/>
    <cellStyle name="Moneda 7 5 2 2 2 2" xfId="2381" xr:uid="{00000000-0005-0000-0000-000041090000}"/>
    <cellStyle name="Moneda 7 5 2 2 3" xfId="2382" xr:uid="{00000000-0005-0000-0000-000042090000}"/>
    <cellStyle name="Moneda 7 5 2 2 3 2" xfId="2383" xr:uid="{00000000-0005-0000-0000-000043090000}"/>
    <cellStyle name="Moneda 7 5 2 2 4" xfId="2384" xr:uid="{00000000-0005-0000-0000-000044090000}"/>
    <cellStyle name="Moneda 7 5 2 2 4 2" xfId="2385" xr:uid="{00000000-0005-0000-0000-000045090000}"/>
    <cellStyle name="Moneda 7 5 2 2 5" xfId="2386" xr:uid="{00000000-0005-0000-0000-000046090000}"/>
    <cellStyle name="Moneda 7 5 2 3" xfId="2387" xr:uid="{00000000-0005-0000-0000-000047090000}"/>
    <cellStyle name="Moneda 7 5 2 3 2" xfId="2388" xr:uid="{00000000-0005-0000-0000-000048090000}"/>
    <cellStyle name="Moneda 7 5 2 4" xfId="2389" xr:uid="{00000000-0005-0000-0000-000049090000}"/>
    <cellStyle name="Moneda 7 5 2 4 2" xfId="2390" xr:uid="{00000000-0005-0000-0000-00004A090000}"/>
    <cellStyle name="Moneda 7 5 2 5" xfId="2391" xr:uid="{00000000-0005-0000-0000-00004B090000}"/>
    <cellStyle name="Moneda 7 5 2 5 2" xfId="2392" xr:uid="{00000000-0005-0000-0000-00004C090000}"/>
    <cellStyle name="Moneda 7 5 2 6" xfId="2393" xr:uid="{00000000-0005-0000-0000-00004D090000}"/>
    <cellStyle name="Moneda 7 5 3" xfId="2394" xr:uid="{00000000-0005-0000-0000-00004E090000}"/>
    <cellStyle name="Moneda 7 5 3 2" xfId="2395" xr:uid="{00000000-0005-0000-0000-00004F090000}"/>
    <cellStyle name="Moneda 7 5 3 2 2" xfId="2396" xr:uid="{00000000-0005-0000-0000-000050090000}"/>
    <cellStyle name="Moneda 7 5 3 3" xfId="2397" xr:uid="{00000000-0005-0000-0000-000051090000}"/>
    <cellStyle name="Moneda 7 5 3 3 2" xfId="2398" xr:uid="{00000000-0005-0000-0000-000052090000}"/>
    <cellStyle name="Moneda 7 5 3 4" xfId="2399" xr:uid="{00000000-0005-0000-0000-000053090000}"/>
    <cellStyle name="Moneda 7 5 3 4 2" xfId="2400" xr:uid="{00000000-0005-0000-0000-000054090000}"/>
    <cellStyle name="Moneda 7 5 3 5" xfId="2401" xr:uid="{00000000-0005-0000-0000-000055090000}"/>
    <cellStyle name="Moneda 7 5 4" xfId="2402" xr:uid="{00000000-0005-0000-0000-000056090000}"/>
    <cellStyle name="Moneda 7 5 4 2" xfId="2403" xr:uid="{00000000-0005-0000-0000-000057090000}"/>
    <cellStyle name="Moneda 7 5 5" xfId="2404" xr:uid="{00000000-0005-0000-0000-000058090000}"/>
    <cellStyle name="Moneda 7 5 5 2" xfId="2405" xr:uid="{00000000-0005-0000-0000-000059090000}"/>
    <cellStyle name="Moneda 7 5 6" xfId="2406" xr:uid="{00000000-0005-0000-0000-00005A090000}"/>
    <cellStyle name="Moneda 7 5 6 2" xfId="2407" xr:uid="{00000000-0005-0000-0000-00005B090000}"/>
    <cellStyle name="Moneda 7 5 7" xfId="2408" xr:uid="{00000000-0005-0000-0000-00005C090000}"/>
    <cellStyle name="Moneda 7 6" xfId="2409" xr:uid="{00000000-0005-0000-0000-00005D090000}"/>
    <cellStyle name="Moneda 7 6 2" xfId="2410" xr:uid="{00000000-0005-0000-0000-00005E090000}"/>
    <cellStyle name="Moneda 7 6 2 2" xfId="2411" xr:uid="{00000000-0005-0000-0000-00005F090000}"/>
    <cellStyle name="Moneda 7 6 2 2 2" xfId="2412" xr:uid="{00000000-0005-0000-0000-000060090000}"/>
    <cellStyle name="Moneda 7 6 2 3" xfId="2413" xr:uid="{00000000-0005-0000-0000-000061090000}"/>
    <cellStyle name="Moneda 7 6 2 3 2" xfId="2414" xr:uid="{00000000-0005-0000-0000-000062090000}"/>
    <cellStyle name="Moneda 7 6 2 4" xfId="2415" xr:uid="{00000000-0005-0000-0000-000063090000}"/>
    <cellStyle name="Moneda 7 6 2 4 2" xfId="2416" xr:uid="{00000000-0005-0000-0000-000064090000}"/>
    <cellStyle name="Moneda 7 6 2 5" xfId="2417" xr:uid="{00000000-0005-0000-0000-000065090000}"/>
    <cellStyle name="Moneda 7 6 3" xfId="2418" xr:uid="{00000000-0005-0000-0000-000066090000}"/>
    <cellStyle name="Moneda 7 6 3 2" xfId="2419" xr:uid="{00000000-0005-0000-0000-000067090000}"/>
    <cellStyle name="Moneda 7 6 4" xfId="2420" xr:uid="{00000000-0005-0000-0000-000068090000}"/>
    <cellStyle name="Moneda 7 6 4 2" xfId="2421" xr:uid="{00000000-0005-0000-0000-000069090000}"/>
    <cellStyle name="Moneda 7 6 5" xfId="2422" xr:uid="{00000000-0005-0000-0000-00006A090000}"/>
    <cellStyle name="Moneda 7 6 5 2" xfId="2423" xr:uid="{00000000-0005-0000-0000-00006B090000}"/>
    <cellStyle name="Moneda 7 6 6" xfId="2424" xr:uid="{00000000-0005-0000-0000-00006C090000}"/>
    <cellStyle name="Moneda 7 7" xfId="2425" xr:uid="{00000000-0005-0000-0000-00006D090000}"/>
    <cellStyle name="Moneda 7 7 2" xfId="2426" xr:uid="{00000000-0005-0000-0000-00006E090000}"/>
    <cellStyle name="Moneda 7 7 2 2" xfId="2427" xr:uid="{00000000-0005-0000-0000-00006F090000}"/>
    <cellStyle name="Moneda 7 7 3" xfId="2428" xr:uid="{00000000-0005-0000-0000-000070090000}"/>
    <cellStyle name="Moneda 7 7 3 2" xfId="2429" xr:uid="{00000000-0005-0000-0000-000071090000}"/>
    <cellStyle name="Moneda 7 7 4" xfId="2430" xr:uid="{00000000-0005-0000-0000-000072090000}"/>
    <cellStyle name="Moneda 7 7 4 2" xfId="2431" xr:uid="{00000000-0005-0000-0000-000073090000}"/>
    <cellStyle name="Moneda 7 7 5" xfId="2432" xr:uid="{00000000-0005-0000-0000-000074090000}"/>
    <cellStyle name="Moneda 7 8" xfId="2433" xr:uid="{00000000-0005-0000-0000-000075090000}"/>
    <cellStyle name="Moneda 7 8 2" xfId="2434" xr:uid="{00000000-0005-0000-0000-000076090000}"/>
    <cellStyle name="Moneda 7 9" xfId="2435" xr:uid="{00000000-0005-0000-0000-000077090000}"/>
    <cellStyle name="Moneda 7 9 2" xfId="2436" xr:uid="{00000000-0005-0000-0000-000078090000}"/>
    <cellStyle name="Moneda 8" xfId="2437" xr:uid="{00000000-0005-0000-0000-000079090000}"/>
    <cellStyle name="Moneda 8 10" xfId="2438" xr:uid="{00000000-0005-0000-0000-00007A090000}"/>
    <cellStyle name="Moneda 8 10 2" xfId="2439" xr:uid="{00000000-0005-0000-0000-00007B090000}"/>
    <cellStyle name="Moneda 8 11" xfId="2440" xr:uid="{00000000-0005-0000-0000-00007C090000}"/>
    <cellStyle name="Moneda 8 11 2" xfId="2441" xr:uid="{00000000-0005-0000-0000-00007D090000}"/>
    <cellStyle name="Moneda 8 12" xfId="2442" xr:uid="{00000000-0005-0000-0000-00007E090000}"/>
    <cellStyle name="Moneda 8 13" xfId="2443" xr:uid="{00000000-0005-0000-0000-00007F090000}"/>
    <cellStyle name="Moneda 8 2" xfId="2444" xr:uid="{00000000-0005-0000-0000-000080090000}"/>
    <cellStyle name="Moneda 8 2 10" xfId="2445" xr:uid="{00000000-0005-0000-0000-000081090000}"/>
    <cellStyle name="Moneda 8 2 11" xfId="2446" xr:uid="{00000000-0005-0000-0000-000082090000}"/>
    <cellStyle name="Moneda 8 2 2" xfId="2447" xr:uid="{00000000-0005-0000-0000-000083090000}"/>
    <cellStyle name="Moneda 8 2 2 2" xfId="2448" xr:uid="{00000000-0005-0000-0000-000084090000}"/>
    <cellStyle name="Moneda 8 2 2 2 2" xfId="2449" xr:uid="{00000000-0005-0000-0000-000085090000}"/>
    <cellStyle name="Moneda 8 2 2 2 2 2" xfId="2450" xr:uid="{00000000-0005-0000-0000-000086090000}"/>
    <cellStyle name="Moneda 8 2 2 2 2 2 2" xfId="2451" xr:uid="{00000000-0005-0000-0000-000087090000}"/>
    <cellStyle name="Moneda 8 2 2 2 2 3" xfId="2452" xr:uid="{00000000-0005-0000-0000-000088090000}"/>
    <cellStyle name="Moneda 8 2 2 2 2 3 2" xfId="2453" xr:uid="{00000000-0005-0000-0000-000089090000}"/>
    <cellStyle name="Moneda 8 2 2 2 2 4" xfId="2454" xr:uid="{00000000-0005-0000-0000-00008A090000}"/>
    <cellStyle name="Moneda 8 2 2 2 2 4 2" xfId="2455" xr:uid="{00000000-0005-0000-0000-00008B090000}"/>
    <cellStyle name="Moneda 8 2 2 2 2 5" xfId="2456" xr:uid="{00000000-0005-0000-0000-00008C090000}"/>
    <cellStyle name="Moneda 8 2 2 2 3" xfId="2457" xr:uid="{00000000-0005-0000-0000-00008D090000}"/>
    <cellStyle name="Moneda 8 2 2 2 3 2" xfId="2458" xr:uid="{00000000-0005-0000-0000-00008E090000}"/>
    <cellStyle name="Moneda 8 2 2 2 4" xfId="2459" xr:uid="{00000000-0005-0000-0000-00008F090000}"/>
    <cellStyle name="Moneda 8 2 2 2 4 2" xfId="2460" xr:uid="{00000000-0005-0000-0000-000090090000}"/>
    <cellStyle name="Moneda 8 2 2 2 5" xfId="2461" xr:uid="{00000000-0005-0000-0000-000091090000}"/>
    <cellStyle name="Moneda 8 2 2 2 5 2" xfId="2462" xr:uid="{00000000-0005-0000-0000-000092090000}"/>
    <cellStyle name="Moneda 8 2 2 2 6" xfId="2463" xr:uid="{00000000-0005-0000-0000-000093090000}"/>
    <cellStyle name="Moneda 8 2 2 3" xfId="2464" xr:uid="{00000000-0005-0000-0000-000094090000}"/>
    <cellStyle name="Moneda 8 2 2 3 2" xfId="2465" xr:uid="{00000000-0005-0000-0000-000095090000}"/>
    <cellStyle name="Moneda 8 2 2 3 2 2" xfId="2466" xr:uid="{00000000-0005-0000-0000-000096090000}"/>
    <cellStyle name="Moneda 8 2 2 3 3" xfId="2467" xr:uid="{00000000-0005-0000-0000-000097090000}"/>
    <cellStyle name="Moneda 8 2 2 3 3 2" xfId="2468" xr:uid="{00000000-0005-0000-0000-000098090000}"/>
    <cellStyle name="Moneda 8 2 2 3 4" xfId="2469" xr:uid="{00000000-0005-0000-0000-000099090000}"/>
    <cellStyle name="Moneda 8 2 2 3 4 2" xfId="2470" xr:uid="{00000000-0005-0000-0000-00009A090000}"/>
    <cellStyle name="Moneda 8 2 2 3 5" xfId="2471" xr:uid="{00000000-0005-0000-0000-00009B090000}"/>
    <cellStyle name="Moneda 8 2 2 4" xfId="2472" xr:uid="{00000000-0005-0000-0000-00009C090000}"/>
    <cellStyle name="Moneda 8 2 2 4 2" xfId="2473" xr:uid="{00000000-0005-0000-0000-00009D090000}"/>
    <cellStyle name="Moneda 8 2 2 5" xfId="2474" xr:uid="{00000000-0005-0000-0000-00009E090000}"/>
    <cellStyle name="Moneda 8 2 2 5 2" xfId="2475" xr:uid="{00000000-0005-0000-0000-00009F090000}"/>
    <cellStyle name="Moneda 8 2 2 6" xfId="2476" xr:uid="{00000000-0005-0000-0000-0000A0090000}"/>
    <cellStyle name="Moneda 8 2 2 6 2" xfId="2477" xr:uid="{00000000-0005-0000-0000-0000A1090000}"/>
    <cellStyle name="Moneda 8 2 2 7" xfId="2478" xr:uid="{00000000-0005-0000-0000-0000A2090000}"/>
    <cellStyle name="Moneda 8 2 3" xfId="2479" xr:uid="{00000000-0005-0000-0000-0000A3090000}"/>
    <cellStyle name="Moneda 8 2 3 2" xfId="2480" xr:uid="{00000000-0005-0000-0000-0000A4090000}"/>
    <cellStyle name="Moneda 8 2 3 2 2" xfId="2481" xr:uid="{00000000-0005-0000-0000-0000A5090000}"/>
    <cellStyle name="Moneda 8 2 3 2 2 2" xfId="2482" xr:uid="{00000000-0005-0000-0000-0000A6090000}"/>
    <cellStyle name="Moneda 8 2 3 2 2 2 2" xfId="2483" xr:uid="{00000000-0005-0000-0000-0000A7090000}"/>
    <cellStyle name="Moneda 8 2 3 2 2 3" xfId="2484" xr:uid="{00000000-0005-0000-0000-0000A8090000}"/>
    <cellStyle name="Moneda 8 2 3 2 2 3 2" xfId="2485" xr:uid="{00000000-0005-0000-0000-0000A9090000}"/>
    <cellStyle name="Moneda 8 2 3 2 2 4" xfId="2486" xr:uid="{00000000-0005-0000-0000-0000AA090000}"/>
    <cellStyle name="Moneda 8 2 3 2 2 4 2" xfId="2487" xr:uid="{00000000-0005-0000-0000-0000AB090000}"/>
    <cellStyle name="Moneda 8 2 3 2 2 5" xfId="2488" xr:uid="{00000000-0005-0000-0000-0000AC090000}"/>
    <cellStyle name="Moneda 8 2 3 2 3" xfId="2489" xr:uid="{00000000-0005-0000-0000-0000AD090000}"/>
    <cellStyle name="Moneda 8 2 3 2 3 2" xfId="2490" xr:uid="{00000000-0005-0000-0000-0000AE090000}"/>
    <cellStyle name="Moneda 8 2 3 2 4" xfId="2491" xr:uid="{00000000-0005-0000-0000-0000AF090000}"/>
    <cellStyle name="Moneda 8 2 3 2 4 2" xfId="2492" xr:uid="{00000000-0005-0000-0000-0000B0090000}"/>
    <cellStyle name="Moneda 8 2 3 2 5" xfId="2493" xr:uid="{00000000-0005-0000-0000-0000B1090000}"/>
    <cellStyle name="Moneda 8 2 3 2 5 2" xfId="2494" xr:uid="{00000000-0005-0000-0000-0000B2090000}"/>
    <cellStyle name="Moneda 8 2 3 2 6" xfId="2495" xr:uid="{00000000-0005-0000-0000-0000B3090000}"/>
    <cellStyle name="Moneda 8 2 3 3" xfId="2496" xr:uid="{00000000-0005-0000-0000-0000B4090000}"/>
    <cellStyle name="Moneda 8 2 3 3 2" xfId="2497" xr:uid="{00000000-0005-0000-0000-0000B5090000}"/>
    <cellStyle name="Moneda 8 2 3 3 2 2" xfId="2498" xr:uid="{00000000-0005-0000-0000-0000B6090000}"/>
    <cellStyle name="Moneda 8 2 3 3 3" xfId="2499" xr:uid="{00000000-0005-0000-0000-0000B7090000}"/>
    <cellStyle name="Moneda 8 2 3 3 3 2" xfId="2500" xr:uid="{00000000-0005-0000-0000-0000B8090000}"/>
    <cellStyle name="Moneda 8 2 3 3 4" xfId="2501" xr:uid="{00000000-0005-0000-0000-0000B9090000}"/>
    <cellStyle name="Moneda 8 2 3 3 4 2" xfId="2502" xr:uid="{00000000-0005-0000-0000-0000BA090000}"/>
    <cellStyle name="Moneda 8 2 3 3 5" xfId="2503" xr:uid="{00000000-0005-0000-0000-0000BB090000}"/>
    <cellStyle name="Moneda 8 2 3 4" xfId="2504" xr:uid="{00000000-0005-0000-0000-0000BC090000}"/>
    <cellStyle name="Moneda 8 2 3 4 2" xfId="2505" xr:uid="{00000000-0005-0000-0000-0000BD090000}"/>
    <cellStyle name="Moneda 8 2 3 5" xfId="2506" xr:uid="{00000000-0005-0000-0000-0000BE090000}"/>
    <cellStyle name="Moneda 8 2 3 5 2" xfId="2507" xr:uid="{00000000-0005-0000-0000-0000BF090000}"/>
    <cellStyle name="Moneda 8 2 3 6" xfId="2508" xr:uid="{00000000-0005-0000-0000-0000C0090000}"/>
    <cellStyle name="Moneda 8 2 3 6 2" xfId="2509" xr:uid="{00000000-0005-0000-0000-0000C1090000}"/>
    <cellStyle name="Moneda 8 2 3 7" xfId="2510" xr:uid="{00000000-0005-0000-0000-0000C2090000}"/>
    <cellStyle name="Moneda 8 2 4" xfId="2511" xr:uid="{00000000-0005-0000-0000-0000C3090000}"/>
    <cellStyle name="Moneda 8 2 4 2" xfId="2512" xr:uid="{00000000-0005-0000-0000-0000C4090000}"/>
    <cellStyle name="Moneda 8 2 4 2 2" xfId="2513" xr:uid="{00000000-0005-0000-0000-0000C5090000}"/>
    <cellStyle name="Moneda 8 2 4 2 2 2" xfId="2514" xr:uid="{00000000-0005-0000-0000-0000C6090000}"/>
    <cellStyle name="Moneda 8 2 4 2 2 2 2" xfId="2515" xr:uid="{00000000-0005-0000-0000-0000C7090000}"/>
    <cellStyle name="Moneda 8 2 4 2 2 3" xfId="2516" xr:uid="{00000000-0005-0000-0000-0000C8090000}"/>
    <cellStyle name="Moneda 8 2 4 2 2 3 2" xfId="2517" xr:uid="{00000000-0005-0000-0000-0000C9090000}"/>
    <cellStyle name="Moneda 8 2 4 2 2 4" xfId="2518" xr:uid="{00000000-0005-0000-0000-0000CA090000}"/>
    <cellStyle name="Moneda 8 2 4 2 2 4 2" xfId="2519" xr:uid="{00000000-0005-0000-0000-0000CB090000}"/>
    <cellStyle name="Moneda 8 2 4 2 2 5" xfId="2520" xr:uid="{00000000-0005-0000-0000-0000CC090000}"/>
    <cellStyle name="Moneda 8 2 4 2 3" xfId="2521" xr:uid="{00000000-0005-0000-0000-0000CD090000}"/>
    <cellStyle name="Moneda 8 2 4 2 3 2" xfId="2522" xr:uid="{00000000-0005-0000-0000-0000CE090000}"/>
    <cellStyle name="Moneda 8 2 4 2 4" xfId="2523" xr:uid="{00000000-0005-0000-0000-0000CF090000}"/>
    <cellStyle name="Moneda 8 2 4 2 4 2" xfId="2524" xr:uid="{00000000-0005-0000-0000-0000D0090000}"/>
    <cellStyle name="Moneda 8 2 4 2 5" xfId="2525" xr:uid="{00000000-0005-0000-0000-0000D1090000}"/>
    <cellStyle name="Moneda 8 2 4 2 5 2" xfId="2526" xr:uid="{00000000-0005-0000-0000-0000D2090000}"/>
    <cellStyle name="Moneda 8 2 4 2 6" xfId="2527" xr:uid="{00000000-0005-0000-0000-0000D3090000}"/>
    <cellStyle name="Moneda 8 2 4 3" xfId="2528" xr:uid="{00000000-0005-0000-0000-0000D4090000}"/>
    <cellStyle name="Moneda 8 2 4 3 2" xfId="2529" xr:uid="{00000000-0005-0000-0000-0000D5090000}"/>
    <cellStyle name="Moneda 8 2 4 3 2 2" xfId="2530" xr:uid="{00000000-0005-0000-0000-0000D6090000}"/>
    <cellStyle name="Moneda 8 2 4 3 3" xfId="2531" xr:uid="{00000000-0005-0000-0000-0000D7090000}"/>
    <cellStyle name="Moneda 8 2 4 3 3 2" xfId="2532" xr:uid="{00000000-0005-0000-0000-0000D8090000}"/>
    <cellStyle name="Moneda 8 2 4 3 4" xfId="2533" xr:uid="{00000000-0005-0000-0000-0000D9090000}"/>
    <cellStyle name="Moneda 8 2 4 3 4 2" xfId="2534" xr:uid="{00000000-0005-0000-0000-0000DA090000}"/>
    <cellStyle name="Moneda 8 2 4 3 5" xfId="2535" xr:uid="{00000000-0005-0000-0000-0000DB090000}"/>
    <cellStyle name="Moneda 8 2 4 4" xfId="2536" xr:uid="{00000000-0005-0000-0000-0000DC090000}"/>
    <cellStyle name="Moneda 8 2 4 4 2" xfId="2537" xr:uid="{00000000-0005-0000-0000-0000DD090000}"/>
    <cellStyle name="Moneda 8 2 4 5" xfId="2538" xr:uid="{00000000-0005-0000-0000-0000DE090000}"/>
    <cellStyle name="Moneda 8 2 4 5 2" xfId="2539" xr:uid="{00000000-0005-0000-0000-0000DF090000}"/>
    <cellStyle name="Moneda 8 2 4 6" xfId="2540" xr:uid="{00000000-0005-0000-0000-0000E0090000}"/>
    <cellStyle name="Moneda 8 2 4 6 2" xfId="2541" xr:uid="{00000000-0005-0000-0000-0000E1090000}"/>
    <cellStyle name="Moneda 8 2 4 7" xfId="2542" xr:uid="{00000000-0005-0000-0000-0000E2090000}"/>
    <cellStyle name="Moneda 8 2 5" xfId="2543" xr:uid="{00000000-0005-0000-0000-0000E3090000}"/>
    <cellStyle name="Moneda 8 2 5 2" xfId="2544" xr:uid="{00000000-0005-0000-0000-0000E4090000}"/>
    <cellStyle name="Moneda 8 2 5 2 2" xfId="2545" xr:uid="{00000000-0005-0000-0000-0000E5090000}"/>
    <cellStyle name="Moneda 8 2 5 2 2 2" xfId="2546" xr:uid="{00000000-0005-0000-0000-0000E6090000}"/>
    <cellStyle name="Moneda 8 2 5 2 3" xfId="2547" xr:uid="{00000000-0005-0000-0000-0000E7090000}"/>
    <cellStyle name="Moneda 8 2 5 2 3 2" xfId="2548" xr:uid="{00000000-0005-0000-0000-0000E8090000}"/>
    <cellStyle name="Moneda 8 2 5 2 4" xfId="2549" xr:uid="{00000000-0005-0000-0000-0000E9090000}"/>
    <cellStyle name="Moneda 8 2 5 2 4 2" xfId="2550" xr:uid="{00000000-0005-0000-0000-0000EA090000}"/>
    <cellStyle name="Moneda 8 2 5 2 5" xfId="2551" xr:uid="{00000000-0005-0000-0000-0000EB090000}"/>
    <cellStyle name="Moneda 8 2 5 3" xfId="2552" xr:uid="{00000000-0005-0000-0000-0000EC090000}"/>
    <cellStyle name="Moneda 8 2 5 3 2" xfId="2553" xr:uid="{00000000-0005-0000-0000-0000ED090000}"/>
    <cellStyle name="Moneda 8 2 5 4" xfId="2554" xr:uid="{00000000-0005-0000-0000-0000EE090000}"/>
    <cellStyle name="Moneda 8 2 5 4 2" xfId="2555" xr:uid="{00000000-0005-0000-0000-0000EF090000}"/>
    <cellStyle name="Moneda 8 2 5 5" xfId="2556" xr:uid="{00000000-0005-0000-0000-0000F0090000}"/>
    <cellStyle name="Moneda 8 2 5 5 2" xfId="2557" xr:uid="{00000000-0005-0000-0000-0000F1090000}"/>
    <cellStyle name="Moneda 8 2 5 6" xfId="2558" xr:uid="{00000000-0005-0000-0000-0000F2090000}"/>
    <cellStyle name="Moneda 8 2 6" xfId="2559" xr:uid="{00000000-0005-0000-0000-0000F3090000}"/>
    <cellStyle name="Moneda 8 2 6 2" xfId="2560" xr:uid="{00000000-0005-0000-0000-0000F4090000}"/>
    <cellStyle name="Moneda 8 2 6 2 2" xfId="2561" xr:uid="{00000000-0005-0000-0000-0000F5090000}"/>
    <cellStyle name="Moneda 8 2 6 3" xfId="2562" xr:uid="{00000000-0005-0000-0000-0000F6090000}"/>
    <cellStyle name="Moneda 8 2 6 3 2" xfId="2563" xr:uid="{00000000-0005-0000-0000-0000F7090000}"/>
    <cellStyle name="Moneda 8 2 6 4" xfId="2564" xr:uid="{00000000-0005-0000-0000-0000F8090000}"/>
    <cellStyle name="Moneda 8 2 6 4 2" xfId="2565" xr:uid="{00000000-0005-0000-0000-0000F9090000}"/>
    <cellStyle name="Moneda 8 2 6 5" xfId="2566" xr:uid="{00000000-0005-0000-0000-0000FA090000}"/>
    <cellStyle name="Moneda 8 2 7" xfId="2567" xr:uid="{00000000-0005-0000-0000-0000FB090000}"/>
    <cellStyle name="Moneda 8 2 7 2" xfId="2568" xr:uid="{00000000-0005-0000-0000-0000FC090000}"/>
    <cellStyle name="Moneda 8 2 8" xfId="2569" xr:uid="{00000000-0005-0000-0000-0000FD090000}"/>
    <cellStyle name="Moneda 8 2 8 2" xfId="2570" xr:uid="{00000000-0005-0000-0000-0000FE090000}"/>
    <cellStyle name="Moneda 8 2 9" xfId="2571" xr:uid="{00000000-0005-0000-0000-0000FF090000}"/>
    <cellStyle name="Moneda 8 2 9 2" xfId="2572" xr:uid="{00000000-0005-0000-0000-0000000A0000}"/>
    <cellStyle name="Moneda 8 3" xfId="2573" xr:uid="{00000000-0005-0000-0000-0000010A0000}"/>
    <cellStyle name="Moneda 8 3 2" xfId="2574" xr:uid="{00000000-0005-0000-0000-0000020A0000}"/>
    <cellStyle name="Moneda 8 3 2 2" xfId="2575" xr:uid="{00000000-0005-0000-0000-0000030A0000}"/>
    <cellStyle name="Moneda 8 3 2 2 2" xfId="2576" xr:uid="{00000000-0005-0000-0000-0000040A0000}"/>
    <cellStyle name="Moneda 8 3 2 2 2 2" xfId="2577" xr:uid="{00000000-0005-0000-0000-0000050A0000}"/>
    <cellStyle name="Moneda 8 3 2 2 3" xfId="2578" xr:uid="{00000000-0005-0000-0000-0000060A0000}"/>
    <cellStyle name="Moneda 8 3 2 2 3 2" xfId="2579" xr:uid="{00000000-0005-0000-0000-0000070A0000}"/>
    <cellStyle name="Moneda 8 3 2 2 4" xfId="2580" xr:uid="{00000000-0005-0000-0000-0000080A0000}"/>
    <cellStyle name="Moneda 8 3 2 2 4 2" xfId="2581" xr:uid="{00000000-0005-0000-0000-0000090A0000}"/>
    <cellStyle name="Moneda 8 3 2 2 5" xfId="2582" xr:uid="{00000000-0005-0000-0000-00000A0A0000}"/>
    <cellStyle name="Moneda 8 3 2 3" xfId="2583" xr:uid="{00000000-0005-0000-0000-00000B0A0000}"/>
    <cellStyle name="Moneda 8 3 2 3 2" xfId="2584" xr:uid="{00000000-0005-0000-0000-00000C0A0000}"/>
    <cellStyle name="Moneda 8 3 2 4" xfId="2585" xr:uid="{00000000-0005-0000-0000-00000D0A0000}"/>
    <cellStyle name="Moneda 8 3 2 4 2" xfId="2586" xr:uid="{00000000-0005-0000-0000-00000E0A0000}"/>
    <cellStyle name="Moneda 8 3 2 5" xfId="2587" xr:uid="{00000000-0005-0000-0000-00000F0A0000}"/>
    <cellStyle name="Moneda 8 3 2 5 2" xfId="2588" xr:uid="{00000000-0005-0000-0000-0000100A0000}"/>
    <cellStyle name="Moneda 8 3 2 6" xfId="2589" xr:uid="{00000000-0005-0000-0000-0000110A0000}"/>
    <cellStyle name="Moneda 8 3 3" xfId="2590" xr:uid="{00000000-0005-0000-0000-0000120A0000}"/>
    <cellStyle name="Moneda 8 3 3 2" xfId="2591" xr:uid="{00000000-0005-0000-0000-0000130A0000}"/>
    <cellStyle name="Moneda 8 3 3 2 2" xfId="2592" xr:uid="{00000000-0005-0000-0000-0000140A0000}"/>
    <cellStyle name="Moneda 8 3 3 3" xfId="2593" xr:uid="{00000000-0005-0000-0000-0000150A0000}"/>
    <cellStyle name="Moneda 8 3 3 3 2" xfId="2594" xr:uid="{00000000-0005-0000-0000-0000160A0000}"/>
    <cellStyle name="Moneda 8 3 3 4" xfId="2595" xr:uid="{00000000-0005-0000-0000-0000170A0000}"/>
    <cellStyle name="Moneda 8 3 3 4 2" xfId="2596" xr:uid="{00000000-0005-0000-0000-0000180A0000}"/>
    <cellStyle name="Moneda 8 3 3 5" xfId="2597" xr:uid="{00000000-0005-0000-0000-0000190A0000}"/>
    <cellStyle name="Moneda 8 3 4" xfId="2598" xr:uid="{00000000-0005-0000-0000-00001A0A0000}"/>
    <cellStyle name="Moneda 8 3 4 2" xfId="2599" xr:uid="{00000000-0005-0000-0000-00001B0A0000}"/>
    <cellStyle name="Moneda 8 3 5" xfId="2600" xr:uid="{00000000-0005-0000-0000-00001C0A0000}"/>
    <cellStyle name="Moneda 8 3 5 2" xfId="2601" xr:uid="{00000000-0005-0000-0000-00001D0A0000}"/>
    <cellStyle name="Moneda 8 3 6" xfId="2602" xr:uid="{00000000-0005-0000-0000-00001E0A0000}"/>
    <cellStyle name="Moneda 8 3 6 2" xfId="2603" xr:uid="{00000000-0005-0000-0000-00001F0A0000}"/>
    <cellStyle name="Moneda 8 3 7" xfId="2604" xr:uid="{00000000-0005-0000-0000-0000200A0000}"/>
    <cellStyle name="Moneda 8 4" xfId="2605" xr:uid="{00000000-0005-0000-0000-0000210A0000}"/>
    <cellStyle name="Moneda 8 4 2" xfId="2606" xr:uid="{00000000-0005-0000-0000-0000220A0000}"/>
    <cellStyle name="Moneda 8 4 2 2" xfId="2607" xr:uid="{00000000-0005-0000-0000-0000230A0000}"/>
    <cellStyle name="Moneda 8 4 2 2 2" xfId="2608" xr:uid="{00000000-0005-0000-0000-0000240A0000}"/>
    <cellStyle name="Moneda 8 4 2 2 2 2" xfId="2609" xr:uid="{00000000-0005-0000-0000-0000250A0000}"/>
    <cellStyle name="Moneda 8 4 2 2 3" xfId="2610" xr:uid="{00000000-0005-0000-0000-0000260A0000}"/>
    <cellStyle name="Moneda 8 4 2 2 3 2" xfId="2611" xr:uid="{00000000-0005-0000-0000-0000270A0000}"/>
    <cellStyle name="Moneda 8 4 2 2 4" xfId="2612" xr:uid="{00000000-0005-0000-0000-0000280A0000}"/>
    <cellStyle name="Moneda 8 4 2 2 4 2" xfId="2613" xr:uid="{00000000-0005-0000-0000-0000290A0000}"/>
    <cellStyle name="Moneda 8 4 2 2 5" xfId="2614" xr:uid="{00000000-0005-0000-0000-00002A0A0000}"/>
    <cellStyle name="Moneda 8 4 2 3" xfId="2615" xr:uid="{00000000-0005-0000-0000-00002B0A0000}"/>
    <cellStyle name="Moneda 8 4 2 3 2" xfId="2616" xr:uid="{00000000-0005-0000-0000-00002C0A0000}"/>
    <cellStyle name="Moneda 8 4 2 4" xfId="2617" xr:uid="{00000000-0005-0000-0000-00002D0A0000}"/>
    <cellStyle name="Moneda 8 4 2 4 2" xfId="2618" xr:uid="{00000000-0005-0000-0000-00002E0A0000}"/>
    <cellStyle name="Moneda 8 4 2 5" xfId="2619" xr:uid="{00000000-0005-0000-0000-00002F0A0000}"/>
    <cellStyle name="Moneda 8 4 2 5 2" xfId="2620" xr:uid="{00000000-0005-0000-0000-0000300A0000}"/>
    <cellStyle name="Moneda 8 4 2 6" xfId="2621" xr:uid="{00000000-0005-0000-0000-0000310A0000}"/>
    <cellStyle name="Moneda 8 4 3" xfId="2622" xr:uid="{00000000-0005-0000-0000-0000320A0000}"/>
    <cellStyle name="Moneda 8 4 3 2" xfId="2623" xr:uid="{00000000-0005-0000-0000-0000330A0000}"/>
    <cellStyle name="Moneda 8 4 3 2 2" xfId="2624" xr:uid="{00000000-0005-0000-0000-0000340A0000}"/>
    <cellStyle name="Moneda 8 4 3 3" xfId="2625" xr:uid="{00000000-0005-0000-0000-0000350A0000}"/>
    <cellStyle name="Moneda 8 4 3 3 2" xfId="2626" xr:uid="{00000000-0005-0000-0000-0000360A0000}"/>
    <cellStyle name="Moneda 8 4 3 4" xfId="2627" xr:uid="{00000000-0005-0000-0000-0000370A0000}"/>
    <cellStyle name="Moneda 8 4 3 4 2" xfId="2628" xr:uid="{00000000-0005-0000-0000-0000380A0000}"/>
    <cellStyle name="Moneda 8 4 3 5" xfId="2629" xr:uid="{00000000-0005-0000-0000-0000390A0000}"/>
    <cellStyle name="Moneda 8 4 4" xfId="2630" xr:uid="{00000000-0005-0000-0000-00003A0A0000}"/>
    <cellStyle name="Moneda 8 4 4 2" xfId="2631" xr:uid="{00000000-0005-0000-0000-00003B0A0000}"/>
    <cellStyle name="Moneda 8 4 5" xfId="2632" xr:uid="{00000000-0005-0000-0000-00003C0A0000}"/>
    <cellStyle name="Moneda 8 4 5 2" xfId="2633" xr:uid="{00000000-0005-0000-0000-00003D0A0000}"/>
    <cellStyle name="Moneda 8 4 6" xfId="2634" xr:uid="{00000000-0005-0000-0000-00003E0A0000}"/>
    <cellStyle name="Moneda 8 4 6 2" xfId="2635" xr:uid="{00000000-0005-0000-0000-00003F0A0000}"/>
    <cellStyle name="Moneda 8 4 7" xfId="2636" xr:uid="{00000000-0005-0000-0000-0000400A0000}"/>
    <cellStyle name="Moneda 8 5" xfId="2637" xr:uid="{00000000-0005-0000-0000-0000410A0000}"/>
    <cellStyle name="Moneda 8 5 2" xfId="2638" xr:uid="{00000000-0005-0000-0000-0000420A0000}"/>
    <cellStyle name="Moneda 8 5 2 2" xfId="2639" xr:uid="{00000000-0005-0000-0000-0000430A0000}"/>
    <cellStyle name="Moneda 8 5 2 2 2" xfId="2640" xr:uid="{00000000-0005-0000-0000-0000440A0000}"/>
    <cellStyle name="Moneda 8 5 2 2 2 2" xfId="2641" xr:uid="{00000000-0005-0000-0000-0000450A0000}"/>
    <cellStyle name="Moneda 8 5 2 2 3" xfId="2642" xr:uid="{00000000-0005-0000-0000-0000460A0000}"/>
    <cellStyle name="Moneda 8 5 2 2 3 2" xfId="2643" xr:uid="{00000000-0005-0000-0000-0000470A0000}"/>
    <cellStyle name="Moneda 8 5 2 2 4" xfId="2644" xr:uid="{00000000-0005-0000-0000-0000480A0000}"/>
    <cellStyle name="Moneda 8 5 2 2 4 2" xfId="2645" xr:uid="{00000000-0005-0000-0000-0000490A0000}"/>
    <cellStyle name="Moneda 8 5 2 2 5" xfId="2646" xr:uid="{00000000-0005-0000-0000-00004A0A0000}"/>
    <cellStyle name="Moneda 8 5 2 3" xfId="2647" xr:uid="{00000000-0005-0000-0000-00004B0A0000}"/>
    <cellStyle name="Moneda 8 5 2 3 2" xfId="2648" xr:uid="{00000000-0005-0000-0000-00004C0A0000}"/>
    <cellStyle name="Moneda 8 5 2 4" xfId="2649" xr:uid="{00000000-0005-0000-0000-00004D0A0000}"/>
    <cellStyle name="Moneda 8 5 2 4 2" xfId="2650" xr:uid="{00000000-0005-0000-0000-00004E0A0000}"/>
    <cellStyle name="Moneda 8 5 2 5" xfId="2651" xr:uid="{00000000-0005-0000-0000-00004F0A0000}"/>
    <cellStyle name="Moneda 8 5 2 5 2" xfId="2652" xr:uid="{00000000-0005-0000-0000-0000500A0000}"/>
    <cellStyle name="Moneda 8 5 2 6" xfId="2653" xr:uid="{00000000-0005-0000-0000-0000510A0000}"/>
    <cellStyle name="Moneda 8 5 3" xfId="2654" xr:uid="{00000000-0005-0000-0000-0000520A0000}"/>
    <cellStyle name="Moneda 8 5 3 2" xfId="2655" xr:uid="{00000000-0005-0000-0000-0000530A0000}"/>
    <cellStyle name="Moneda 8 5 3 2 2" xfId="2656" xr:uid="{00000000-0005-0000-0000-0000540A0000}"/>
    <cellStyle name="Moneda 8 5 3 3" xfId="2657" xr:uid="{00000000-0005-0000-0000-0000550A0000}"/>
    <cellStyle name="Moneda 8 5 3 3 2" xfId="2658" xr:uid="{00000000-0005-0000-0000-0000560A0000}"/>
    <cellStyle name="Moneda 8 5 3 4" xfId="2659" xr:uid="{00000000-0005-0000-0000-0000570A0000}"/>
    <cellStyle name="Moneda 8 5 3 4 2" xfId="2660" xr:uid="{00000000-0005-0000-0000-0000580A0000}"/>
    <cellStyle name="Moneda 8 5 3 5" xfId="2661" xr:uid="{00000000-0005-0000-0000-0000590A0000}"/>
    <cellStyle name="Moneda 8 5 4" xfId="2662" xr:uid="{00000000-0005-0000-0000-00005A0A0000}"/>
    <cellStyle name="Moneda 8 5 4 2" xfId="2663" xr:uid="{00000000-0005-0000-0000-00005B0A0000}"/>
    <cellStyle name="Moneda 8 5 5" xfId="2664" xr:uid="{00000000-0005-0000-0000-00005C0A0000}"/>
    <cellStyle name="Moneda 8 5 5 2" xfId="2665" xr:uid="{00000000-0005-0000-0000-00005D0A0000}"/>
    <cellStyle name="Moneda 8 5 6" xfId="2666" xr:uid="{00000000-0005-0000-0000-00005E0A0000}"/>
    <cellStyle name="Moneda 8 5 6 2" xfId="2667" xr:uid="{00000000-0005-0000-0000-00005F0A0000}"/>
    <cellStyle name="Moneda 8 5 7" xfId="2668" xr:uid="{00000000-0005-0000-0000-0000600A0000}"/>
    <cellStyle name="Moneda 8 6" xfId="2669" xr:uid="{00000000-0005-0000-0000-0000610A0000}"/>
    <cellStyle name="Moneda 8 6 2" xfId="2670" xr:uid="{00000000-0005-0000-0000-0000620A0000}"/>
    <cellStyle name="Moneda 8 6 2 2" xfId="2671" xr:uid="{00000000-0005-0000-0000-0000630A0000}"/>
    <cellStyle name="Moneda 8 6 2 2 2" xfId="2672" xr:uid="{00000000-0005-0000-0000-0000640A0000}"/>
    <cellStyle name="Moneda 8 6 2 3" xfId="2673" xr:uid="{00000000-0005-0000-0000-0000650A0000}"/>
    <cellStyle name="Moneda 8 6 2 3 2" xfId="2674" xr:uid="{00000000-0005-0000-0000-0000660A0000}"/>
    <cellStyle name="Moneda 8 6 2 4" xfId="2675" xr:uid="{00000000-0005-0000-0000-0000670A0000}"/>
    <cellStyle name="Moneda 8 6 2 4 2" xfId="2676" xr:uid="{00000000-0005-0000-0000-0000680A0000}"/>
    <cellStyle name="Moneda 8 6 2 5" xfId="2677" xr:uid="{00000000-0005-0000-0000-0000690A0000}"/>
    <cellStyle name="Moneda 8 6 3" xfId="2678" xr:uid="{00000000-0005-0000-0000-00006A0A0000}"/>
    <cellStyle name="Moneda 8 6 3 2" xfId="2679" xr:uid="{00000000-0005-0000-0000-00006B0A0000}"/>
    <cellStyle name="Moneda 8 6 4" xfId="2680" xr:uid="{00000000-0005-0000-0000-00006C0A0000}"/>
    <cellStyle name="Moneda 8 6 4 2" xfId="2681" xr:uid="{00000000-0005-0000-0000-00006D0A0000}"/>
    <cellStyle name="Moneda 8 6 5" xfId="2682" xr:uid="{00000000-0005-0000-0000-00006E0A0000}"/>
    <cellStyle name="Moneda 8 6 5 2" xfId="2683" xr:uid="{00000000-0005-0000-0000-00006F0A0000}"/>
    <cellStyle name="Moneda 8 6 6" xfId="2684" xr:uid="{00000000-0005-0000-0000-0000700A0000}"/>
    <cellStyle name="Moneda 8 7" xfId="2685" xr:uid="{00000000-0005-0000-0000-0000710A0000}"/>
    <cellStyle name="Moneda 8 7 2" xfId="2686" xr:uid="{00000000-0005-0000-0000-0000720A0000}"/>
    <cellStyle name="Moneda 8 7 2 2" xfId="2687" xr:uid="{00000000-0005-0000-0000-0000730A0000}"/>
    <cellStyle name="Moneda 8 7 3" xfId="2688" xr:uid="{00000000-0005-0000-0000-0000740A0000}"/>
    <cellStyle name="Moneda 8 7 3 2" xfId="2689" xr:uid="{00000000-0005-0000-0000-0000750A0000}"/>
    <cellStyle name="Moneda 8 7 4" xfId="2690" xr:uid="{00000000-0005-0000-0000-0000760A0000}"/>
    <cellStyle name="Moneda 8 7 4 2" xfId="2691" xr:uid="{00000000-0005-0000-0000-0000770A0000}"/>
    <cellStyle name="Moneda 8 7 5" xfId="2692" xr:uid="{00000000-0005-0000-0000-0000780A0000}"/>
    <cellStyle name="Moneda 8 8" xfId="2693" xr:uid="{00000000-0005-0000-0000-0000790A0000}"/>
    <cellStyle name="Moneda 8 8 2" xfId="2694" xr:uid="{00000000-0005-0000-0000-00007A0A0000}"/>
    <cellStyle name="Moneda 8 8 2 2" xfId="2695" xr:uid="{00000000-0005-0000-0000-00007B0A0000}"/>
    <cellStyle name="Moneda 8 8 3" xfId="2696" xr:uid="{00000000-0005-0000-0000-00007C0A0000}"/>
    <cellStyle name="Moneda 8 8 3 2" xfId="2697" xr:uid="{00000000-0005-0000-0000-00007D0A0000}"/>
    <cellStyle name="Moneda 8 8 4" xfId="2698" xr:uid="{00000000-0005-0000-0000-00007E0A0000}"/>
    <cellStyle name="Moneda 8 8 4 2" xfId="2699" xr:uid="{00000000-0005-0000-0000-00007F0A0000}"/>
    <cellStyle name="Moneda 8 8 5" xfId="2700" xr:uid="{00000000-0005-0000-0000-0000800A0000}"/>
    <cellStyle name="Moneda 8 9" xfId="2701" xr:uid="{00000000-0005-0000-0000-0000810A0000}"/>
    <cellStyle name="Moneda 8 9 2" xfId="2702" xr:uid="{00000000-0005-0000-0000-0000820A0000}"/>
    <cellStyle name="Moneda 9" xfId="2703" xr:uid="{00000000-0005-0000-0000-0000830A0000}"/>
    <cellStyle name="Moneda 9 10" xfId="2704" xr:uid="{00000000-0005-0000-0000-0000840A0000}"/>
    <cellStyle name="Moneda 9 11" xfId="2705" xr:uid="{00000000-0005-0000-0000-0000850A0000}"/>
    <cellStyle name="Moneda 9 2" xfId="2706" xr:uid="{00000000-0005-0000-0000-0000860A0000}"/>
    <cellStyle name="Moneda 9 2 2" xfId="2707" xr:uid="{00000000-0005-0000-0000-0000870A0000}"/>
    <cellStyle name="Moneda 9 2 2 2" xfId="2708" xr:uid="{00000000-0005-0000-0000-0000880A0000}"/>
    <cellStyle name="Moneda 9 2 2 2 2" xfId="2709" xr:uid="{00000000-0005-0000-0000-0000890A0000}"/>
    <cellStyle name="Moneda 9 2 2 2 2 2" xfId="2710" xr:uid="{00000000-0005-0000-0000-00008A0A0000}"/>
    <cellStyle name="Moneda 9 2 2 2 3" xfId="2711" xr:uid="{00000000-0005-0000-0000-00008B0A0000}"/>
    <cellStyle name="Moneda 9 2 2 2 3 2" xfId="2712" xr:uid="{00000000-0005-0000-0000-00008C0A0000}"/>
    <cellStyle name="Moneda 9 2 2 2 4" xfId="2713" xr:uid="{00000000-0005-0000-0000-00008D0A0000}"/>
    <cellStyle name="Moneda 9 2 2 2 4 2" xfId="2714" xr:uid="{00000000-0005-0000-0000-00008E0A0000}"/>
    <cellStyle name="Moneda 9 2 2 2 5" xfId="2715" xr:uid="{00000000-0005-0000-0000-00008F0A0000}"/>
    <cellStyle name="Moneda 9 2 2 3" xfId="2716" xr:uid="{00000000-0005-0000-0000-0000900A0000}"/>
    <cellStyle name="Moneda 9 2 2 3 2" xfId="2717" xr:uid="{00000000-0005-0000-0000-0000910A0000}"/>
    <cellStyle name="Moneda 9 2 2 4" xfId="2718" xr:uid="{00000000-0005-0000-0000-0000920A0000}"/>
    <cellStyle name="Moneda 9 2 2 4 2" xfId="2719" xr:uid="{00000000-0005-0000-0000-0000930A0000}"/>
    <cellStyle name="Moneda 9 2 2 5" xfId="2720" xr:uid="{00000000-0005-0000-0000-0000940A0000}"/>
    <cellStyle name="Moneda 9 2 2 5 2" xfId="2721" xr:uid="{00000000-0005-0000-0000-0000950A0000}"/>
    <cellStyle name="Moneda 9 2 2 6" xfId="2722" xr:uid="{00000000-0005-0000-0000-0000960A0000}"/>
    <cellStyle name="Moneda 9 2 3" xfId="2723" xr:uid="{00000000-0005-0000-0000-0000970A0000}"/>
    <cellStyle name="Moneda 9 2 3 2" xfId="2724" xr:uid="{00000000-0005-0000-0000-0000980A0000}"/>
    <cellStyle name="Moneda 9 2 3 2 2" xfId="2725" xr:uid="{00000000-0005-0000-0000-0000990A0000}"/>
    <cellStyle name="Moneda 9 2 3 3" xfId="2726" xr:uid="{00000000-0005-0000-0000-00009A0A0000}"/>
    <cellStyle name="Moneda 9 2 3 3 2" xfId="2727" xr:uid="{00000000-0005-0000-0000-00009B0A0000}"/>
    <cellStyle name="Moneda 9 2 3 4" xfId="2728" xr:uid="{00000000-0005-0000-0000-00009C0A0000}"/>
    <cellStyle name="Moneda 9 2 3 4 2" xfId="2729" xr:uid="{00000000-0005-0000-0000-00009D0A0000}"/>
    <cellStyle name="Moneda 9 2 3 5" xfId="2730" xr:uid="{00000000-0005-0000-0000-00009E0A0000}"/>
    <cellStyle name="Moneda 9 2 4" xfId="2731" xr:uid="{00000000-0005-0000-0000-00009F0A0000}"/>
    <cellStyle name="Moneda 9 2 4 2" xfId="2732" xr:uid="{00000000-0005-0000-0000-0000A00A0000}"/>
    <cellStyle name="Moneda 9 2 5" xfId="2733" xr:uid="{00000000-0005-0000-0000-0000A10A0000}"/>
    <cellStyle name="Moneda 9 2 5 2" xfId="2734" xr:uid="{00000000-0005-0000-0000-0000A20A0000}"/>
    <cellStyle name="Moneda 9 2 6" xfId="2735" xr:uid="{00000000-0005-0000-0000-0000A30A0000}"/>
    <cellStyle name="Moneda 9 2 6 2" xfId="2736" xr:uid="{00000000-0005-0000-0000-0000A40A0000}"/>
    <cellStyle name="Moneda 9 2 7" xfId="2737" xr:uid="{00000000-0005-0000-0000-0000A50A0000}"/>
    <cellStyle name="Moneda 9 2 8" xfId="2738" xr:uid="{00000000-0005-0000-0000-0000A60A0000}"/>
    <cellStyle name="Moneda 9 3" xfId="2739" xr:uid="{00000000-0005-0000-0000-0000A70A0000}"/>
    <cellStyle name="Moneda 9 3 2" xfId="2740" xr:uid="{00000000-0005-0000-0000-0000A80A0000}"/>
    <cellStyle name="Moneda 9 3 2 2" xfId="2741" xr:uid="{00000000-0005-0000-0000-0000A90A0000}"/>
    <cellStyle name="Moneda 9 3 2 2 2" xfId="2742" xr:uid="{00000000-0005-0000-0000-0000AA0A0000}"/>
    <cellStyle name="Moneda 9 3 2 2 2 2" xfId="2743" xr:uid="{00000000-0005-0000-0000-0000AB0A0000}"/>
    <cellStyle name="Moneda 9 3 2 2 3" xfId="2744" xr:uid="{00000000-0005-0000-0000-0000AC0A0000}"/>
    <cellStyle name="Moneda 9 3 2 2 3 2" xfId="2745" xr:uid="{00000000-0005-0000-0000-0000AD0A0000}"/>
    <cellStyle name="Moneda 9 3 2 2 4" xfId="2746" xr:uid="{00000000-0005-0000-0000-0000AE0A0000}"/>
    <cellStyle name="Moneda 9 3 2 2 4 2" xfId="2747" xr:uid="{00000000-0005-0000-0000-0000AF0A0000}"/>
    <cellStyle name="Moneda 9 3 2 2 5" xfId="2748" xr:uid="{00000000-0005-0000-0000-0000B00A0000}"/>
    <cellStyle name="Moneda 9 3 2 3" xfId="2749" xr:uid="{00000000-0005-0000-0000-0000B10A0000}"/>
    <cellStyle name="Moneda 9 3 2 3 2" xfId="2750" xr:uid="{00000000-0005-0000-0000-0000B20A0000}"/>
    <cellStyle name="Moneda 9 3 2 4" xfId="2751" xr:uid="{00000000-0005-0000-0000-0000B30A0000}"/>
    <cellStyle name="Moneda 9 3 2 4 2" xfId="2752" xr:uid="{00000000-0005-0000-0000-0000B40A0000}"/>
    <cellStyle name="Moneda 9 3 2 5" xfId="2753" xr:uid="{00000000-0005-0000-0000-0000B50A0000}"/>
    <cellStyle name="Moneda 9 3 2 5 2" xfId="2754" xr:uid="{00000000-0005-0000-0000-0000B60A0000}"/>
    <cellStyle name="Moneda 9 3 2 6" xfId="2755" xr:uid="{00000000-0005-0000-0000-0000B70A0000}"/>
    <cellStyle name="Moneda 9 3 3" xfId="2756" xr:uid="{00000000-0005-0000-0000-0000B80A0000}"/>
    <cellStyle name="Moneda 9 3 3 2" xfId="2757" xr:uid="{00000000-0005-0000-0000-0000B90A0000}"/>
    <cellStyle name="Moneda 9 3 3 2 2" xfId="2758" xr:uid="{00000000-0005-0000-0000-0000BA0A0000}"/>
    <cellStyle name="Moneda 9 3 3 3" xfId="2759" xr:uid="{00000000-0005-0000-0000-0000BB0A0000}"/>
    <cellStyle name="Moneda 9 3 3 3 2" xfId="2760" xr:uid="{00000000-0005-0000-0000-0000BC0A0000}"/>
    <cellStyle name="Moneda 9 3 3 4" xfId="2761" xr:uid="{00000000-0005-0000-0000-0000BD0A0000}"/>
    <cellStyle name="Moneda 9 3 3 4 2" xfId="2762" xr:uid="{00000000-0005-0000-0000-0000BE0A0000}"/>
    <cellStyle name="Moneda 9 3 3 5" xfId="2763" xr:uid="{00000000-0005-0000-0000-0000BF0A0000}"/>
    <cellStyle name="Moneda 9 3 4" xfId="2764" xr:uid="{00000000-0005-0000-0000-0000C00A0000}"/>
    <cellStyle name="Moneda 9 3 4 2" xfId="2765" xr:uid="{00000000-0005-0000-0000-0000C10A0000}"/>
    <cellStyle name="Moneda 9 3 5" xfId="2766" xr:uid="{00000000-0005-0000-0000-0000C20A0000}"/>
    <cellStyle name="Moneda 9 3 5 2" xfId="2767" xr:uid="{00000000-0005-0000-0000-0000C30A0000}"/>
    <cellStyle name="Moneda 9 3 6" xfId="2768" xr:uid="{00000000-0005-0000-0000-0000C40A0000}"/>
    <cellStyle name="Moneda 9 3 6 2" xfId="2769" xr:uid="{00000000-0005-0000-0000-0000C50A0000}"/>
    <cellStyle name="Moneda 9 3 7" xfId="2770" xr:uid="{00000000-0005-0000-0000-0000C60A0000}"/>
    <cellStyle name="Moneda 9 4" xfId="2771" xr:uid="{00000000-0005-0000-0000-0000C70A0000}"/>
    <cellStyle name="Moneda 9 4 2" xfId="2772" xr:uid="{00000000-0005-0000-0000-0000C80A0000}"/>
    <cellStyle name="Moneda 9 4 2 2" xfId="2773" xr:uid="{00000000-0005-0000-0000-0000C90A0000}"/>
    <cellStyle name="Moneda 9 4 2 2 2" xfId="2774" xr:uid="{00000000-0005-0000-0000-0000CA0A0000}"/>
    <cellStyle name="Moneda 9 4 2 2 2 2" xfId="2775" xr:uid="{00000000-0005-0000-0000-0000CB0A0000}"/>
    <cellStyle name="Moneda 9 4 2 2 3" xfId="2776" xr:uid="{00000000-0005-0000-0000-0000CC0A0000}"/>
    <cellStyle name="Moneda 9 4 2 2 3 2" xfId="2777" xr:uid="{00000000-0005-0000-0000-0000CD0A0000}"/>
    <cellStyle name="Moneda 9 4 2 2 4" xfId="2778" xr:uid="{00000000-0005-0000-0000-0000CE0A0000}"/>
    <cellStyle name="Moneda 9 4 2 2 4 2" xfId="2779" xr:uid="{00000000-0005-0000-0000-0000CF0A0000}"/>
    <cellStyle name="Moneda 9 4 2 2 5" xfId="2780" xr:uid="{00000000-0005-0000-0000-0000D00A0000}"/>
    <cellStyle name="Moneda 9 4 2 3" xfId="2781" xr:uid="{00000000-0005-0000-0000-0000D10A0000}"/>
    <cellStyle name="Moneda 9 4 2 3 2" xfId="2782" xr:uid="{00000000-0005-0000-0000-0000D20A0000}"/>
    <cellStyle name="Moneda 9 4 2 4" xfId="2783" xr:uid="{00000000-0005-0000-0000-0000D30A0000}"/>
    <cellStyle name="Moneda 9 4 2 4 2" xfId="2784" xr:uid="{00000000-0005-0000-0000-0000D40A0000}"/>
    <cellStyle name="Moneda 9 4 2 5" xfId="2785" xr:uid="{00000000-0005-0000-0000-0000D50A0000}"/>
    <cellStyle name="Moneda 9 4 2 5 2" xfId="2786" xr:uid="{00000000-0005-0000-0000-0000D60A0000}"/>
    <cellStyle name="Moneda 9 4 2 6" xfId="2787" xr:uid="{00000000-0005-0000-0000-0000D70A0000}"/>
    <cellStyle name="Moneda 9 4 3" xfId="2788" xr:uid="{00000000-0005-0000-0000-0000D80A0000}"/>
    <cellStyle name="Moneda 9 4 3 2" xfId="2789" xr:uid="{00000000-0005-0000-0000-0000D90A0000}"/>
    <cellStyle name="Moneda 9 4 3 2 2" xfId="2790" xr:uid="{00000000-0005-0000-0000-0000DA0A0000}"/>
    <cellStyle name="Moneda 9 4 3 3" xfId="2791" xr:uid="{00000000-0005-0000-0000-0000DB0A0000}"/>
    <cellStyle name="Moneda 9 4 3 3 2" xfId="2792" xr:uid="{00000000-0005-0000-0000-0000DC0A0000}"/>
    <cellStyle name="Moneda 9 4 3 4" xfId="2793" xr:uid="{00000000-0005-0000-0000-0000DD0A0000}"/>
    <cellStyle name="Moneda 9 4 3 4 2" xfId="2794" xr:uid="{00000000-0005-0000-0000-0000DE0A0000}"/>
    <cellStyle name="Moneda 9 4 3 5" xfId="2795" xr:uid="{00000000-0005-0000-0000-0000DF0A0000}"/>
    <cellStyle name="Moneda 9 4 4" xfId="2796" xr:uid="{00000000-0005-0000-0000-0000E00A0000}"/>
    <cellStyle name="Moneda 9 4 4 2" xfId="2797" xr:uid="{00000000-0005-0000-0000-0000E10A0000}"/>
    <cellStyle name="Moneda 9 4 5" xfId="2798" xr:uid="{00000000-0005-0000-0000-0000E20A0000}"/>
    <cellStyle name="Moneda 9 4 5 2" xfId="2799" xr:uid="{00000000-0005-0000-0000-0000E30A0000}"/>
    <cellStyle name="Moneda 9 4 6" xfId="2800" xr:uid="{00000000-0005-0000-0000-0000E40A0000}"/>
    <cellStyle name="Moneda 9 4 6 2" xfId="2801" xr:uid="{00000000-0005-0000-0000-0000E50A0000}"/>
    <cellStyle name="Moneda 9 4 7" xfId="2802" xr:uid="{00000000-0005-0000-0000-0000E60A0000}"/>
    <cellStyle name="Moneda 9 5" xfId="2803" xr:uid="{00000000-0005-0000-0000-0000E70A0000}"/>
    <cellStyle name="Moneda 9 5 2" xfId="2804" xr:uid="{00000000-0005-0000-0000-0000E80A0000}"/>
    <cellStyle name="Moneda 9 5 2 2" xfId="2805" xr:uid="{00000000-0005-0000-0000-0000E90A0000}"/>
    <cellStyle name="Moneda 9 5 2 2 2" xfId="2806" xr:uid="{00000000-0005-0000-0000-0000EA0A0000}"/>
    <cellStyle name="Moneda 9 5 2 3" xfId="2807" xr:uid="{00000000-0005-0000-0000-0000EB0A0000}"/>
    <cellStyle name="Moneda 9 5 2 3 2" xfId="2808" xr:uid="{00000000-0005-0000-0000-0000EC0A0000}"/>
    <cellStyle name="Moneda 9 5 2 4" xfId="2809" xr:uid="{00000000-0005-0000-0000-0000ED0A0000}"/>
    <cellStyle name="Moneda 9 5 2 4 2" xfId="2810" xr:uid="{00000000-0005-0000-0000-0000EE0A0000}"/>
    <cellStyle name="Moneda 9 5 2 5" xfId="2811" xr:uid="{00000000-0005-0000-0000-0000EF0A0000}"/>
    <cellStyle name="Moneda 9 5 3" xfId="2812" xr:uid="{00000000-0005-0000-0000-0000F00A0000}"/>
    <cellStyle name="Moneda 9 5 3 2" xfId="2813" xr:uid="{00000000-0005-0000-0000-0000F10A0000}"/>
    <cellStyle name="Moneda 9 5 4" xfId="2814" xr:uid="{00000000-0005-0000-0000-0000F20A0000}"/>
    <cellStyle name="Moneda 9 5 4 2" xfId="2815" xr:uid="{00000000-0005-0000-0000-0000F30A0000}"/>
    <cellStyle name="Moneda 9 5 5" xfId="2816" xr:uid="{00000000-0005-0000-0000-0000F40A0000}"/>
    <cellStyle name="Moneda 9 5 5 2" xfId="2817" xr:uid="{00000000-0005-0000-0000-0000F50A0000}"/>
    <cellStyle name="Moneda 9 5 6" xfId="2818" xr:uid="{00000000-0005-0000-0000-0000F60A0000}"/>
    <cellStyle name="Moneda 9 6" xfId="2819" xr:uid="{00000000-0005-0000-0000-0000F70A0000}"/>
    <cellStyle name="Moneda 9 6 2" xfId="2820" xr:uid="{00000000-0005-0000-0000-0000F80A0000}"/>
    <cellStyle name="Moneda 9 6 2 2" xfId="2821" xr:uid="{00000000-0005-0000-0000-0000F90A0000}"/>
    <cellStyle name="Moneda 9 6 3" xfId="2822" xr:uid="{00000000-0005-0000-0000-0000FA0A0000}"/>
    <cellStyle name="Moneda 9 6 3 2" xfId="2823" xr:uid="{00000000-0005-0000-0000-0000FB0A0000}"/>
    <cellStyle name="Moneda 9 6 4" xfId="2824" xr:uid="{00000000-0005-0000-0000-0000FC0A0000}"/>
    <cellStyle name="Moneda 9 6 4 2" xfId="2825" xr:uid="{00000000-0005-0000-0000-0000FD0A0000}"/>
    <cellStyle name="Moneda 9 6 5" xfId="2826" xr:uid="{00000000-0005-0000-0000-0000FE0A0000}"/>
    <cellStyle name="Moneda 9 7" xfId="2827" xr:uid="{00000000-0005-0000-0000-0000FF0A0000}"/>
    <cellStyle name="Moneda 9 7 2" xfId="2828" xr:uid="{00000000-0005-0000-0000-0000000B0000}"/>
    <cellStyle name="Moneda 9 8" xfId="2829" xr:uid="{00000000-0005-0000-0000-0000010B0000}"/>
    <cellStyle name="Moneda 9 8 2" xfId="2830" xr:uid="{00000000-0005-0000-0000-0000020B0000}"/>
    <cellStyle name="Moneda 9 9" xfId="2831" xr:uid="{00000000-0005-0000-0000-0000030B0000}"/>
    <cellStyle name="Moneda 9 9 2" xfId="2832" xr:uid="{00000000-0005-0000-0000-0000040B0000}"/>
    <cellStyle name="Moneda_Hoja1" xfId="246" xr:uid="{00000000-0005-0000-0000-0000050B0000}"/>
    <cellStyle name="Neutral 2" xfId="2833" xr:uid="{00000000-0005-0000-0000-0000060B0000}"/>
    <cellStyle name="Normal" xfId="0" builtinId="0"/>
    <cellStyle name="Normal 2" xfId="16" xr:uid="{00000000-0005-0000-0000-0000080B0000}"/>
    <cellStyle name="Normal 2 10" xfId="17" xr:uid="{00000000-0005-0000-0000-0000090B0000}"/>
    <cellStyle name="Normal 2 2" xfId="2834" xr:uid="{00000000-0005-0000-0000-00000A0B0000}"/>
    <cellStyle name="Normal 2 2 2" xfId="2835" xr:uid="{00000000-0005-0000-0000-00000B0B0000}"/>
    <cellStyle name="Normal 2 3" xfId="2836" xr:uid="{00000000-0005-0000-0000-00000C0B0000}"/>
    <cellStyle name="Normal 2 3 2" xfId="2837" xr:uid="{00000000-0005-0000-0000-00000D0B0000}"/>
    <cellStyle name="Normal 2 4" xfId="2838" xr:uid="{00000000-0005-0000-0000-00000E0B0000}"/>
    <cellStyle name="Normal 3" xfId="18" xr:uid="{00000000-0005-0000-0000-00000F0B0000}"/>
    <cellStyle name="Normal 3 2" xfId="19" xr:uid="{00000000-0005-0000-0000-0000100B0000}"/>
    <cellStyle name="Normal 3 2 2" xfId="2839" xr:uid="{00000000-0005-0000-0000-0000110B0000}"/>
    <cellStyle name="Normal 3 2 2 2" xfId="2840" xr:uid="{00000000-0005-0000-0000-0000120B0000}"/>
    <cellStyle name="Normal 3 2 3" xfId="2841" xr:uid="{00000000-0005-0000-0000-0000130B0000}"/>
    <cellStyle name="Normal 3 3" xfId="2842" xr:uid="{00000000-0005-0000-0000-0000140B0000}"/>
    <cellStyle name="Normal 3 4" xfId="2843" xr:uid="{00000000-0005-0000-0000-0000150B0000}"/>
    <cellStyle name="Normal 3 5" xfId="2844" xr:uid="{00000000-0005-0000-0000-0000160B0000}"/>
    <cellStyle name="Normal 3_CADENA DE VALOR" xfId="27" xr:uid="{00000000-0005-0000-0000-0000170B0000}"/>
    <cellStyle name="Normal 4" xfId="2845" xr:uid="{00000000-0005-0000-0000-0000180B0000}"/>
    <cellStyle name="Normal 4 2" xfId="20" xr:uid="{00000000-0005-0000-0000-0000190B0000}"/>
    <cellStyle name="Normal 5" xfId="2846" xr:uid="{00000000-0005-0000-0000-00001A0B0000}"/>
    <cellStyle name="Normal 6 2" xfId="2847" xr:uid="{00000000-0005-0000-0000-00001B0B0000}"/>
    <cellStyle name="Normal_CADENA DE VALOR" xfId="2867" xr:uid="{00000000-0005-0000-0000-00001C0B0000}"/>
    <cellStyle name="Numeric" xfId="2848" xr:uid="{00000000-0005-0000-0000-00001D0B0000}"/>
    <cellStyle name="NumericWithBorder" xfId="2849" xr:uid="{00000000-0005-0000-0000-00001E0B0000}"/>
    <cellStyle name="NumericWithBorder 2" xfId="2850" xr:uid="{00000000-0005-0000-0000-00001F0B0000}"/>
    <cellStyle name="NumericWithBorder 2 2" xfId="2851" xr:uid="{00000000-0005-0000-0000-0000200B0000}"/>
    <cellStyle name="NumericWithBorder 2 3" xfId="2852" xr:uid="{00000000-0005-0000-0000-0000210B0000}"/>
    <cellStyle name="NumericWithBorder 2 4" xfId="2853" xr:uid="{00000000-0005-0000-0000-0000220B0000}"/>
    <cellStyle name="NumericWithBorder 3" xfId="2854" xr:uid="{00000000-0005-0000-0000-0000230B0000}"/>
    <cellStyle name="NumericWithBorder 4" xfId="2855" xr:uid="{00000000-0005-0000-0000-0000240B0000}"/>
    <cellStyle name="NumericWithBorder 5" xfId="2856" xr:uid="{00000000-0005-0000-0000-0000250B0000}"/>
    <cellStyle name="Percent" xfId="2857" xr:uid="{00000000-0005-0000-0000-0000260B0000}"/>
    <cellStyle name="Percent 2" xfId="2858" xr:uid="{00000000-0005-0000-0000-0000270B0000}"/>
    <cellStyle name="Percent 2 2" xfId="2859" xr:uid="{00000000-0005-0000-0000-0000280B0000}"/>
    <cellStyle name="Porcentaje" xfId="21" builtinId="5"/>
    <cellStyle name="Porcentaje 2" xfId="24" xr:uid="{00000000-0005-0000-0000-00002A0B0000}"/>
    <cellStyle name="Porcentaje 2 2" xfId="2860" xr:uid="{00000000-0005-0000-0000-00002B0B0000}"/>
    <cellStyle name="Porcentaje 3" xfId="25" xr:uid="{00000000-0005-0000-0000-00002C0B0000}"/>
    <cellStyle name="Porcentaje 3 2" xfId="2861" xr:uid="{00000000-0005-0000-0000-00002D0B0000}"/>
    <cellStyle name="Porcentaje 4" xfId="26" xr:uid="{00000000-0005-0000-0000-00002E0B0000}"/>
    <cellStyle name="Porcentual 2" xfId="22" xr:uid="{00000000-0005-0000-0000-00002F0B0000}"/>
    <cellStyle name="Porcentual 2 2" xfId="23" xr:uid="{00000000-0005-0000-0000-0000300B0000}"/>
    <cellStyle name="Porcentual 2 2 2" xfId="2862" xr:uid="{00000000-0005-0000-0000-0000310B0000}"/>
    <cellStyle name="Porcentual 2 3" xfId="2863" xr:uid="{00000000-0005-0000-0000-0000320B0000}"/>
    <cellStyle name="Porcentual 2 3 2" xfId="2864" xr:uid="{00000000-0005-0000-0000-0000330B0000}"/>
    <cellStyle name="Porcentual 3" xfId="2865" xr:uid="{00000000-0005-0000-0000-0000340B0000}"/>
  </cellStyles>
  <dxfs count="1">
    <dxf>
      <font>
        <color rgb="FF9C0006"/>
      </font>
      <fill>
        <patternFill>
          <bgColor rgb="FFFFC7CE"/>
        </patternFill>
      </fill>
    </dxf>
  </dxfs>
  <tableStyles count="0" defaultTableStyle="TableStyleMedium9" defaultPivotStyle="PivotStyleLight16"/>
  <colors>
    <mruColors>
      <color rgb="FF00FF00"/>
      <color rgb="FFFF66FF"/>
      <color rgb="FF0066FF"/>
      <color rgb="FF75DBFF"/>
      <color rgb="FFB51B98"/>
      <color rgb="FF66FFFF"/>
      <color rgb="FF7BB800"/>
      <color rgb="FF66FF66"/>
      <color rgb="FF6699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521689</xdr:colOff>
      <xdr:row>1</xdr:row>
      <xdr:rowOff>139390</xdr:rowOff>
    </xdr:from>
    <xdr:to>
      <xdr:col>3</xdr:col>
      <xdr:colOff>2549820</xdr:colOff>
      <xdr:row>3</xdr:row>
      <xdr:rowOff>88899</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9" y="329890"/>
          <a:ext cx="3912061" cy="11941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369653</xdr:colOff>
      <xdr:row>0</xdr:row>
      <xdr:rowOff>84914</xdr:rowOff>
    </xdr:from>
    <xdr:to>
      <xdr:col>3</xdr:col>
      <xdr:colOff>102804</xdr:colOff>
      <xdr:row>1</xdr:row>
      <xdr:rowOff>113393</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9653" y="84914"/>
          <a:ext cx="2499937" cy="5727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340855</xdr:rowOff>
    </xdr:from>
    <xdr:to>
      <xdr:col>2</xdr:col>
      <xdr:colOff>1311413</xdr:colOff>
      <xdr:row>2</xdr:row>
      <xdr:rowOff>183173</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0" y="340855"/>
          <a:ext cx="2926522" cy="10294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430581</xdr:colOff>
      <xdr:row>0</xdr:row>
      <xdr:rowOff>39144</xdr:rowOff>
    </xdr:from>
    <xdr:to>
      <xdr:col>2</xdr:col>
      <xdr:colOff>1553826</xdr:colOff>
      <xdr:row>2</xdr:row>
      <xdr:rowOff>225936</xdr:rowOff>
    </xdr:to>
    <xdr:pic>
      <xdr:nvPicPr>
        <xdr:cNvPr id="2" name="Imagen 1">
          <a:extLst>
            <a:ext uri="{FF2B5EF4-FFF2-40B4-BE49-F238E27FC236}">
              <a16:creationId xmlns:a16="http://schemas.microsoft.com/office/drawing/2014/main" id="{75FA2955-EC68-4F7F-A10B-CE221B13918E}"/>
            </a:ext>
          </a:extLst>
        </xdr:cNvPr>
        <xdr:cNvPicPr>
          <a:picLocks noChangeAspect="1"/>
        </xdr:cNvPicPr>
      </xdr:nvPicPr>
      <xdr:blipFill>
        <a:blip xmlns:r="http://schemas.openxmlformats.org/officeDocument/2006/relationships" r:embed="rId1"/>
        <a:stretch>
          <a:fillRect/>
        </a:stretch>
      </xdr:blipFill>
      <xdr:spPr>
        <a:xfrm>
          <a:off x="430581" y="39144"/>
          <a:ext cx="2580170" cy="100975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200025</xdr:rowOff>
    </xdr:from>
    <xdr:to>
      <xdr:col>1</xdr:col>
      <xdr:colOff>1038225</xdr:colOff>
      <xdr:row>2</xdr:row>
      <xdr:rowOff>247650</xdr:rowOff>
    </xdr:to>
    <xdr:pic>
      <xdr:nvPicPr>
        <xdr:cNvPr id="2" name="Imagen 1">
          <a:extLst>
            <a:ext uri="{FF2B5EF4-FFF2-40B4-BE49-F238E27FC236}">
              <a16:creationId xmlns:a16="http://schemas.microsoft.com/office/drawing/2014/main" id="{74196100-998D-449E-9A06-A9C24D6FF24E}"/>
            </a:ext>
          </a:extLst>
        </xdr:cNvPr>
        <xdr:cNvPicPr>
          <a:picLocks noChangeAspect="1"/>
        </xdr:cNvPicPr>
      </xdr:nvPicPr>
      <xdr:blipFill>
        <a:blip xmlns:r="http://schemas.openxmlformats.org/officeDocument/2006/relationships" r:embed="rId1"/>
        <a:stretch>
          <a:fillRect/>
        </a:stretch>
      </xdr:blipFill>
      <xdr:spPr>
        <a:xfrm>
          <a:off x="9525" y="200025"/>
          <a:ext cx="2156460" cy="84010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380449</xdr:colOff>
      <xdr:row>0</xdr:row>
      <xdr:rowOff>273091</xdr:rowOff>
    </xdr:from>
    <xdr:to>
      <xdr:col>2</xdr:col>
      <xdr:colOff>1408316</xdr:colOff>
      <xdr:row>5</xdr:row>
      <xdr:rowOff>110421</xdr:rowOff>
    </xdr:to>
    <xdr:pic>
      <xdr:nvPicPr>
        <xdr:cNvPr id="3" name="Imagen 2">
          <a:extLst>
            <a:ext uri="{FF2B5EF4-FFF2-40B4-BE49-F238E27FC236}">
              <a16:creationId xmlns:a16="http://schemas.microsoft.com/office/drawing/2014/main" id="{B101406D-CEF2-434B-B559-7765CE3004B8}"/>
            </a:ext>
          </a:extLst>
        </xdr:cNvPr>
        <xdr:cNvPicPr>
          <a:picLocks noChangeAspect="1"/>
        </xdr:cNvPicPr>
      </xdr:nvPicPr>
      <xdr:blipFill>
        <a:blip xmlns:r="http://schemas.openxmlformats.org/officeDocument/2006/relationships" r:embed="rId1"/>
        <a:stretch>
          <a:fillRect/>
        </a:stretch>
      </xdr:blipFill>
      <xdr:spPr>
        <a:xfrm>
          <a:off x="380449" y="273091"/>
          <a:ext cx="2605207" cy="84317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Users/carolinanino/Documents/SDA-2020/Plan%20de%20Accio&#769;n%20NCSA/7806/ABRIL/D:/Users/carolinanino/Documents/SDA-2020/PA/NCSA/7794/C:/Users/carolinanino/Documents/SDA-2020/Analisis%20procesos%20de%20contratacio&#769;n/12161BA7/285_V2.xls?35BA7047" TargetMode="External"/><Relationship Id="rId1" Type="http://schemas.openxmlformats.org/officeDocument/2006/relationships/externalLinkPath" Target="file:///\\35BA704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carolinanino\Documents\SDA-2020\PA\NCSA\7794\C:\Users\carolinanino\Documents\SDA-2020\Analisis%20procesos%20de%20contratacio&#769;n\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Users\carolinanino\Documents\SDA-2020\Analisis%20procesos%20de%20contratacio&#769;n\C:\Users\Angela\Downloads\Base%20Reporte%20Plan%20de%20Acci&#243;n%207794_2021_01%20(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paola/Downloads/Plan%20de%20Accio&#769;n%207794%20febrero%2011032021%20terr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Users\usuario\Documents\SDA\backup%202020\PROYECTO%20DE%20INVERSION\Octubre%202020\SEGPLAN%20SEPT\Avance%20Plan%20Acci&#243;n%207794_SEPT_RevLin.%20Rev%20Yuli.%20con%20ppto%202021%2012_10_202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bigla/Downloads/Base%20Reporte%20Plan%20de%20Accio&#769;n%207794_Ab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RSIÓN"/>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VIDADES"/>
      <sheetName val="GESTIÓN"/>
      <sheetName val="INVERSIÓN"/>
      <sheetName val="TERRITORIALIZACIÓN"/>
      <sheetName val="SPI"/>
      <sheetName val="RevLin Cierre PAA 7794"/>
    </sheetNames>
    <sheetDataSet>
      <sheetData sheetId="0" refreshError="1"/>
      <sheetData sheetId="1" refreshError="1"/>
      <sheetData sheetId="2" refreshError="1">
        <row r="10">
          <cell r="V10">
            <v>109</v>
          </cell>
          <cell r="W10">
            <v>5</v>
          </cell>
          <cell r="X10">
            <v>109</v>
          </cell>
          <cell r="DR10">
            <v>13</v>
          </cell>
        </row>
        <row r="11">
          <cell r="V11">
            <v>574654000</v>
          </cell>
          <cell r="W11">
            <v>0</v>
          </cell>
          <cell r="X11">
            <v>574654000</v>
          </cell>
          <cell r="DR11">
            <v>308440000</v>
          </cell>
        </row>
        <row r="13">
          <cell r="V13">
            <v>108646338</v>
          </cell>
          <cell r="W13">
            <v>6777000</v>
          </cell>
          <cell r="X13">
            <v>108646338</v>
          </cell>
          <cell r="DR13">
            <v>72661243</v>
          </cell>
        </row>
        <row r="14">
          <cell r="V14">
            <v>109</v>
          </cell>
          <cell r="W14">
            <v>5</v>
          </cell>
          <cell r="X14">
            <v>109</v>
          </cell>
          <cell r="DR14">
            <v>13</v>
          </cell>
        </row>
        <row r="15">
          <cell r="V15">
            <v>683300338</v>
          </cell>
          <cell r="W15">
            <v>6777000</v>
          </cell>
          <cell r="X15">
            <v>683300338</v>
          </cell>
          <cell r="DR15">
            <v>381101243</v>
          </cell>
        </row>
        <row r="16">
          <cell r="V16">
            <v>77</v>
          </cell>
          <cell r="W16">
            <v>5</v>
          </cell>
          <cell r="X16">
            <v>77</v>
          </cell>
          <cell r="DR16">
            <v>11</v>
          </cell>
        </row>
        <row r="17">
          <cell r="V17">
            <v>198130000</v>
          </cell>
          <cell r="W17">
            <v>0</v>
          </cell>
          <cell r="X17">
            <v>198130000</v>
          </cell>
          <cell r="DR17">
            <v>129690000</v>
          </cell>
        </row>
        <row r="19">
          <cell r="V19">
            <v>41858171</v>
          </cell>
          <cell r="W19">
            <v>0</v>
          </cell>
          <cell r="X19">
            <v>41858171</v>
          </cell>
          <cell r="DR19">
            <v>19427343</v>
          </cell>
        </row>
        <row r="20">
          <cell r="V20">
            <v>77</v>
          </cell>
          <cell r="W20">
            <v>5</v>
          </cell>
          <cell r="X20">
            <v>77</v>
          </cell>
          <cell r="DR20">
            <v>11</v>
          </cell>
        </row>
        <row r="21">
          <cell r="V21">
            <v>239988171</v>
          </cell>
          <cell r="W21">
            <v>0</v>
          </cell>
          <cell r="X21">
            <v>239988171</v>
          </cell>
          <cell r="DR21">
            <v>149117343</v>
          </cell>
        </row>
        <row r="22">
          <cell r="S22">
            <v>2500</v>
          </cell>
          <cell r="V22">
            <v>3500</v>
          </cell>
          <cell r="W22">
            <v>246</v>
          </cell>
          <cell r="X22">
            <v>3500</v>
          </cell>
          <cell r="DR22">
            <v>547</v>
          </cell>
        </row>
        <row r="23">
          <cell r="S23">
            <v>13280000</v>
          </cell>
          <cell r="V23">
            <v>34285000</v>
          </cell>
          <cell r="W23">
            <v>0</v>
          </cell>
          <cell r="X23">
            <v>34285000</v>
          </cell>
          <cell r="DR23">
            <v>27200000</v>
          </cell>
        </row>
        <row r="25">
          <cell r="V25">
            <v>3718400</v>
          </cell>
          <cell r="W25">
            <v>3718400</v>
          </cell>
          <cell r="X25">
            <v>3718400</v>
          </cell>
          <cell r="DR25">
            <v>3718400</v>
          </cell>
        </row>
        <row r="26">
          <cell r="S26">
            <v>2500</v>
          </cell>
          <cell r="V26">
            <v>3500</v>
          </cell>
          <cell r="W26">
            <v>246</v>
          </cell>
          <cell r="X26">
            <v>3500</v>
          </cell>
          <cell r="DR26">
            <v>547</v>
          </cell>
        </row>
        <row r="27">
          <cell r="S27">
            <v>13280000</v>
          </cell>
          <cell r="V27">
            <v>38003400</v>
          </cell>
          <cell r="W27">
            <v>3718400</v>
          </cell>
          <cell r="X27">
            <v>38003400</v>
          </cell>
          <cell r="DR27">
            <v>30918400</v>
          </cell>
        </row>
        <row r="28">
          <cell r="O28">
            <v>0.05</v>
          </cell>
          <cell r="P28">
            <v>0.03</v>
          </cell>
          <cell r="R28">
            <v>0.04</v>
          </cell>
          <cell r="S28">
            <v>0.05</v>
          </cell>
          <cell r="U28">
            <v>0.2</v>
          </cell>
          <cell r="V28">
            <v>0.2</v>
          </cell>
          <cell r="W28">
            <v>0.06</v>
          </cell>
          <cell r="DR28">
            <v>0.09</v>
          </cell>
        </row>
        <row r="29">
          <cell r="O29">
            <v>90000000</v>
          </cell>
          <cell r="P29">
            <v>69812000</v>
          </cell>
          <cell r="R29">
            <v>69812000</v>
          </cell>
          <cell r="S29">
            <v>95347000</v>
          </cell>
          <cell r="U29">
            <v>68299000</v>
          </cell>
          <cell r="V29">
            <v>68299000</v>
          </cell>
          <cell r="W29">
            <v>0</v>
          </cell>
          <cell r="DR29">
            <v>0</v>
          </cell>
        </row>
        <row r="31">
          <cell r="U31">
            <v>25242234</v>
          </cell>
          <cell r="V31">
            <v>25242234</v>
          </cell>
          <cell r="W31">
            <v>7079600</v>
          </cell>
          <cell r="DR31">
            <v>16193367</v>
          </cell>
        </row>
        <row r="32">
          <cell r="O32">
            <v>0.05</v>
          </cell>
          <cell r="P32">
            <v>0.03</v>
          </cell>
          <cell r="R32">
            <v>0.04</v>
          </cell>
          <cell r="S32">
            <v>0.05</v>
          </cell>
          <cell r="U32">
            <v>0.2</v>
          </cell>
          <cell r="V32">
            <v>0.2</v>
          </cell>
          <cell r="W32">
            <v>0.06</v>
          </cell>
          <cell r="DR32">
            <v>0.09</v>
          </cell>
        </row>
        <row r="33">
          <cell r="O33">
            <v>90000000</v>
          </cell>
          <cell r="P33">
            <v>69812000</v>
          </cell>
          <cell r="R33">
            <v>69812000</v>
          </cell>
          <cell r="S33">
            <v>95347000</v>
          </cell>
          <cell r="U33">
            <v>93541234</v>
          </cell>
          <cell r="V33">
            <v>93541234</v>
          </cell>
          <cell r="W33">
            <v>7079600</v>
          </cell>
          <cell r="DR33">
            <v>16193367</v>
          </cell>
        </row>
        <row r="34">
          <cell r="O34">
            <v>50</v>
          </cell>
          <cell r="P34">
            <v>30</v>
          </cell>
          <cell r="Q34">
            <v>50</v>
          </cell>
          <cell r="R34">
            <v>45</v>
          </cell>
          <cell r="S34">
            <v>50</v>
          </cell>
          <cell r="U34">
            <v>160</v>
          </cell>
          <cell r="V34">
            <v>160</v>
          </cell>
          <cell r="W34">
            <v>20</v>
          </cell>
          <cell r="X34">
            <v>160</v>
          </cell>
          <cell r="DR34">
            <v>40</v>
          </cell>
        </row>
        <row r="35">
          <cell r="O35">
            <v>734428327</v>
          </cell>
          <cell r="P35">
            <v>532019000</v>
          </cell>
          <cell r="Q35">
            <v>714428327</v>
          </cell>
          <cell r="R35">
            <v>556969163</v>
          </cell>
          <cell r="S35">
            <v>714428327</v>
          </cell>
          <cell r="U35">
            <v>699388000</v>
          </cell>
          <cell r="V35">
            <v>699388000</v>
          </cell>
          <cell r="W35">
            <v>0</v>
          </cell>
          <cell r="X35">
            <v>699388000</v>
          </cell>
          <cell r="DR35">
            <v>61356000</v>
          </cell>
        </row>
        <row r="37">
          <cell r="U37">
            <v>249150644</v>
          </cell>
          <cell r="V37">
            <v>249150644</v>
          </cell>
          <cell r="W37">
            <v>35177075</v>
          </cell>
          <cell r="X37">
            <v>249150644</v>
          </cell>
          <cell r="DR37">
            <v>84962626</v>
          </cell>
        </row>
        <row r="38">
          <cell r="O38">
            <v>50</v>
          </cell>
          <cell r="P38">
            <v>30</v>
          </cell>
          <cell r="Q38">
            <v>50</v>
          </cell>
          <cell r="R38">
            <v>45</v>
          </cell>
          <cell r="S38">
            <v>50</v>
          </cell>
          <cell r="U38">
            <v>160</v>
          </cell>
          <cell r="V38">
            <v>160</v>
          </cell>
          <cell r="W38">
            <v>20</v>
          </cell>
          <cell r="X38">
            <v>160</v>
          </cell>
          <cell r="DR38">
            <v>40</v>
          </cell>
        </row>
        <row r="39">
          <cell r="O39">
            <v>734428327</v>
          </cell>
          <cell r="P39">
            <v>532019000</v>
          </cell>
          <cell r="Q39">
            <v>714428327</v>
          </cell>
          <cell r="R39">
            <v>556969163</v>
          </cell>
          <cell r="S39">
            <v>714428327</v>
          </cell>
          <cell r="U39">
            <v>948538644</v>
          </cell>
          <cell r="V39">
            <v>948538644</v>
          </cell>
          <cell r="W39">
            <v>35177075</v>
          </cell>
          <cell r="X39">
            <v>948538644</v>
          </cell>
          <cell r="DR39">
            <v>146318626</v>
          </cell>
        </row>
        <row r="40">
          <cell r="O40">
            <v>10</v>
          </cell>
          <cell r="Q40">
            <v>10</v>
          </cell>
          <cell r="R40">
            <v>9</v>
          </cell>
          <cell r="S40">
            <v>10</v>
          </cell>
          <cell r="U40">
            <v>20</v>
          </cell>
          <cell r="V40">
            <v>20</v>
          </cell>
          <cell r="W40">
            <v>1</v>
          </cell>
          <cell r="X40">
            <v>20</v>
          </cell>
          <cell r="DR40">
            <v>2</v>
          </cell>
        </row>
        <row r="41">
          <cell r="O41">
            <v>104955000</v>
          </cell>
          <cell r="Q41">
            <v>109624000</v>
          </cell>
          <cell r="R41">
            <v>90696000</v>
          </cell>
          <cell r="S41">
            <v>109624000</v>
          </cell>
          <cell r="U41">
            <v>349839000</v>
          </cell>
          <cell r="V41">
            <v>349839000</v>
          </cell>
          <cell r="W41">
            <v>0</v>
          </cell>
          <cell r="X41">
            <v>349839000</v>
          </cell>
          <cell r="DR41">
            <v>313790000</v>
          </cell>
        </row>
        <row r="43">
          <cell r="U43">
            <v>30874233</v>
          </cell>
          <cell r="V43">
            <v>30874233</v>
          </cell>
          <cell r="W43">
            <v>13317533</v>
          </cell>
          <cell r="X43">
            <v>30874233</v>
          </cell>
          <cell r="DR43">
            <v>30874233</v>
          </cell>
        </row>
        <row r="44">
          <cell r="O44">
            <v>10</v>
          </cell>
          <cell r="Q44">
            <v>10</v>
          </cell>
          <cell r="R44">
            <v>9</v>
          </cell>
          <cell r="S44">
            <v>10</v>
          </cell>
          <cell r="U44">
            <v>20</v>
          </cell>
          <cell r="V44">
            <v>20</v>
          </cell>
          <cell r="W44">
            <v>1</v>
          </cell>
          <cell r="X44">
            <v>20</v>
          </cell>
          <cell r="DR44">
            <v>2</v>
          </cell>
        </row>
        <row r="45">
          <cell r="O45">
            <v>104955000</v>
          </cell>
          <cell r="Q45">
            <v>109624000</v>
          </cell>
          <cell r="R45">
            <v>90696000</v>
          </cell>
          <cell r="S45">
            <v>109624000</v>
          </cell>
          <cell r="U45">
            <v>380713233</v>
          </cell>
          <cell r="V45">
            <v>380713233</v>
          </cell>
          <cell r="W45">
            <v>13317533</v>
          </cell>
          <cell r="X45">
            <v>380713233</v>
          </cell>
          <cell r="DR45">
            <v>344664233</v>
          </cell>
        </row>
        <row r="46">
          <cell r="O46">
            <v>0.5</v>
          </cell>
          <cell r="P46">
            <v>0.22</v>
          </cell>
          <cell r="Q46">
            <v>0.5</v>
          </cell>
          <cell r="R46">
            <v>0.42</v>
          </cell>
          <cell r="S46">
            <v>0.5</v>
          </cell>
          <cell r="U46">
            <v>0.6</v>
          </cell>
          <cell r="V46">
            <v>0.6</v>
          </cell>
          <cell r="W46">
            <v>0.06</v>
          </cell>
          <cell r="X46">
            <v>0.6</v>
          </cell>
          <cell r="DR46">
            <v>0.09</v>
          </cell>
        </row>
        <row r="47">
          <cell r="O47">
            <v>199997000</v>
          </cell>
          <cell r="P47">
            <v>162068000</v>
          </cell>
          <cell r="Q47">
            <v>218352000</v>
          </cell>
          <cell r="R47">
            <v>162068000</v>
          </cell>
          <cell r="S47">
            <v>218352000</v>
          </cell>
          <cell r="U47">
            <v>482999000</v>
          </cell>
          <cell r="V47">
            <v>482999000</v>
          </cell>
          <cell r="W47">
            <v>0</v>
          </cell>
          <cell r="X47">
            <v>482999000</v>
          </cell>
          <cell r="DR47">
            <v>340880000</v>
          </cell>
        </row>
        <row r="49">
          <cell r="U49">
            <v>45106067</v>
          </cell>
          <cell r="V49">
            <v>45106067</v>
          </cell>
          <cell r="W49">
            <v>18479500</v>
          </cell>
          <cell r="X49">
            <v>45106067</v>
          </cell>
          <cell r="DR49">
            <v>36465800</v>
          </cell>
        </row>
        <row r="50">
          <cell r="O50">
            <v>0.5</v>
          </cell>
          <cell r="P50">
            <v>0.22</v>
          </cell>
          <cell r="Q50">
            <v>0.5</v>
          </cell>
          <cell r="R50">
            <v>0.42</v>
          </cell>
          <cell r="S50">
            <v>0.5</v>
          </cell>
          <cell r="U50">
            <v>0.6</v>
          </cell>
          <cell r="V50">
            <v>0.6</v>
          </cell>
          <cell r="W50">
            <v>0.06</v>
          </cell>
          <cell r="X50">
            <v>0.6</v>
          </cell>
          <cell r="DR50">
            <v>0.09</v>
          </cell>
        </row>
        <row r="51">
          <cell r="O51">
            <v>199997000</v>
          </cell>
          <cell r="P51">
            <v>162068000</v>
          </cell>
          <cell r="Q51">
            <v>218352000</v>
          </cell>
          <cell r="R51">
            <v>162068000</v>
          </cell>
          <cell r="S51">
            <v>218352000</v>
          </cell>
          <cell r="U51">
            <v>528105067</v>
          </cell>
          <cell r="V51">
            <v>528105067</v>
          </cell>
          <cell r="W51">
            <v>18479500</v>
          </cell>
          <cell r="X51">
            <v>528105067</v>
          </cell>
          <cell r="DR51">
            <v>377345800</v>
          </cell>
        </row>
        <row r="52">
          <cell r="O52">
            <v>0.5</v>
          </cell>
          <cell r="P52">
            <v>0.17</v>
          </cell>
          <cell r="Q52">
            <v>0.5</v>
          </cell>
          <cell r="R52">
            <v>0.34</v>
          </cell>
          <cell r="S52">
            <v>0.5</v>
          </cell>
          <cell r="U52">
            <v>1.4</v>
          </cell>
          <cell r="V52">
            <v>1.4</v>
          </cell>
          <cell r="W52">
            <v>7.0000000000000007E-2</v>
          </cell>
          <cell r="X52">
            <v>1.4</v>
          </cell>
          <cell r="DR52">
            <v>0.19600000000000001</v>
          </cell>
        </row>
        <row r="53">
          <cell r="O53">
            <v>136314000</v>
          </cell>
          <cell r="P53">
            <v>116067000</v>
          </cell>
          <cell r="Q53">
            <v>156172000</v>
          </cell>
          <cell r="R53">
            <v>116067000</v>
          </cell>
          <cell r="S53">
            <v>156172000</v>
          </cell>
          <cell r="V53">
            <v>250350000</v>
          </cell>
          <cell r="W53">
            <v>0</v>
          </cell>
          <cell r="X53">
            <v>250350000</v>
          </cell>
          <cell r="DR53">
            <v>99990000</v>
          </cell>
        </row>
        <row r="55">
          <cell r="V55">
            <v>46923400</v>
          </cell>
          <cell r="W55">
            <v>5648300</v>
          </cell>
          <cell r="X55">
            <v>46923400</v>
          </cell>
          <cell r="DR55">
            <v>33089933</v>
          </cell>
        </row>
        <row r="56">
          <cell r="O56">
            <v>0.5</v>
          </cell>
          <cell r="P56">
            <v>0.17</v>
          </cell>
          <cell r="Q56">
            <v>0.5</v>
          </cell>
          <cell r="R56">
            <v>0.34</v>
          </cell>
          <cell r="S56">
            <v>0.5</v>
          </cell>
          <cell r="V56">
            <v>1.4</v>
          </cell>
          <cell r="W56">
            <v>7.0000000000000007E-2</v>
          </cell>
          <cell r="X56">
            <v>1.4</v>
          </cell>
          <cell r="DR56">
            <v>0.19600000000000001</v>
          </cell>
        </row>
        <row r="57">
          <cell r="O57">
            <v>136314000</v>
          </cell>
          <cell r="P57">
            <v>116067000</v>
          </cell>
          <cell r="Q57">
            <v>156172000</v>
          </cell>
          <cell r="R57">
            <v>116067000</v>
          </cell>
          <cell r="S57">
            <v>156172000</v>
          </cell>
          <cell r="V57">
            <v>297273400</v>
          </cell>
          <cell r="W57">
            <v>5648300</v>
          </cell>
          <cell r="X57">
            <v>297273400</v>
          </cell>
          <cell r="DR57">
            <v>133079933</v>
          </cell>
        </row>
        <row r="58">
          <cell r="O58">
            <v>1</v>
          </cell>
          <cell r="P58">
            <v>0.5</v>
          </cell>
          <cell r="Q58">
            <v>1</v>
          </cell>
          <cell r="R58">
            <v>0.7</v>
          </cell>
          <cell r="S58">
            <v>1</v>
          </cell>
          <cell r="U58">
            <v>0</v>
          </cell>
          <cell r="V58">
            <v>0</v>
          </cell>
          <cell r="W58">
            <v>0</v>
          </cell>
          <cell r="X58">
            <v>0</v>
          </cell>
          <cell r="DR58">
            <v>0</v>
          </cell>
        </row>
        <row r="59">
          <cell r="O59">
            <v>491805000</v>
          </cell>
          <cell r="P59">
            <v>318184000</v>
          </cell>
          <cell r="Q59">
            <v>463576000</v>
          </cell>
          <cell r="R59">
            <v>318184000</v>
          </cell>
          <cell r="S59">
            <v>463576000</v>
          </cell>
          <cell r="U59">
            <v>0</v>
          </cell>
          <cell r="V59">
            <v>0</v>
          </cell>
          <cell r="W59">
            <v>0</v>
          </cell>
          <cell r="X59">
            <v>0</v>
          </cell>
          <cell r="DR59">
            <v>0</v>
          </cell>
        </row>
        <row r="60">
          <cell r="U60">
            <v>0.1</v>
          </cell>
          <cell r="V60">
            <v>0.1</v>
          </cell>
          <cell r="W60">
            <v>0.05</v>
          </cell>
          <cell r="X60">
            <v>0.1</v>
          </cell>
          <cell r="DR60">
            <v>0.1</v>
          </cell>
        </row>
        <row r="61">
          <cell r="U61">
            <v>160059853</v>
          </cell>
          <cell r="V61">
            <v>160059853</v>
          </cell>
          <cell r="W61">
            <v>33914000</v>
          </cell>
          <cell r="X61">
            <v>160059853</v>
          </cell>
          <cell r="DR61">
            <v>97735000</v>
          </cell>
        </row>
        <row r="62">
          <cell r="O62">
            <v>1</v>
          </cell>
          <cell r="P62">
            <v>0.5</v>
          </cell>
          <cell r="Q62">
            <v>1</v>
          </cell>
          <cell r="R62">
            <v>0.7</v>
          </cell>
          <cell r="S62">
            <v>1</v>
          </cell>
          <cell r="U62">
            <v>0.1</v>
          </cell>
          <cell r="V62">
            <v>0.1</v>
          </cell>
          <cell r="W62">
            <v>0.05</v>
          </cell>
          <cell r="X62">
            <v>0.1</v>
          </cell>
          <cell r="DR62">
            <v>0.1</v>
          </cell>
        </row>
        <row r="63">
          <cell r="O63">
            <v>491805000</v>
          </cell>
          <cell r="P63">
            <v>318184000</v>
          </cell>
          <cell r="Q63">
            <v>463576000</v>
          </cell>
          <cell r="R63">
            <v>318184000</v>
          </cell>
          <cell r="S63">
            <v>463576000</v>
          </cell>
          <cell r="U63">
            <v>160059853</v>
          </cell>
          <cell r="V63">
            <v>160059853</v>
          </cell>
          <cell r="W63">
            <v>33914000</v>
          </cell>
          <cell r="X63">
            <v>160059853</v>
          </cell>
          <cell r="DR63">
            <v>97735000</v>
          </cell>
        </row>
        <row r="64">
          <cell r="O64">
            <v>12.5</v>
          </cell>
          <cell r="P64">
            <v>8.3000000000000007</v>
          </cell>
          <cell r="Q64">
            <v>12.5</v>
          </cell>
          <cell r="R64">
            <v>10.4</v>
          </cell>
          <cell r="S64">
            <v>12.5</v>
          </cell>
          <cell r="U64">
            <v>15</v>
          </cell>
          <cell r="V64">
            <v>15</v>
          </cell>
          <cell r="W64">
            <v>1.25</v>
          </cell>
          <cell r="X64">
            <v>15</v>
          </cell>
          <cell r="DR64">
            <v>2.5</v>
          </cell>
        </row>
        <row r="65">
          <cell r="O65">
            <v>225075000</v>
          </cell>
          <cell r="P65">
            <v>121576922</v>
          </cell>
          <cell r="Q65">
            <v>225075000</v>
          </cell>
          <cell r="R65">
            <v>168075108</v>
          </cell>
          <cell r="S65">
            <v>225075000</v>
          </cell>
          <cell r="U65">
            <v>801561000</v>
          </cell>
          <cell r="V65">
            <v>801561000</v>
          </cell>
          <cell r="W65">
            <v>0</v>
          </cell>
          <cell r="X65">
            <v>801561000</v>
          </cell>
          <cell r="DR65">
            <v>101350694</v>
          </cell>
        </row>
        <row r="67">
          <cell r="U67">
            <v>81973233</v>
          </cell>
          <cell r="V67">
            <v>81973233</v>
          </cell>
          <cell r="W67">
            <v>11357200</v>
          </cell>
          <cell r="X67">
            <v>81973233</v>
          </cell>
          <cell r="DR67">
            <v>38726571</v>
          </cell>
        </row>
        <row r="68">
          <cell r="O68">
            <v>12.5</v>
          </cell>
          <cell r="P68">
            <v>8.3000000000000007</v>
          </cell>
          <cell r="Q68">
            <v>12.5</v>
          </cell>
          <cell r="R68">
            <v>10.4</v>
          </cell>
          <cell r="S68">
            <v>12.5</v>
          </cell>
          <cell r="U68">
            <v>15</v>
          </cell>
          <cell r="V68">
            <v>15</v>
          </cell>
          <cell r="W68">
            <v>1.25</v>
          </cell>
          <cell r="X68">
            <v>15</v>
          </cell>
          <cell r="DR68">
            <v>2.5</v>
          </cell>
        </row>
        <row r="69">
          <cell r="O69">
            <v>225075000</v>
          </cell>
          <cell r="P69">
            <v>121576922</v>
          </cell>
          <cell r="Q69">
            <v>225075000</v>
          </cell>
          <cell r="R69">
            <v>168075108</v>
          </cell>
          <cell r="S69">
            <v>225075000</v>
          </cell>
          <cell r="U69">
            <v>883534233</v>
          </cell>
          <cell r="V69">
            <v>883534233</v>
          </cell>
          <cell r="W69">
            <v>11357200</v>
          </cell>
          <cell r="X69">
            <v>883534233</v>
          </cell>
          <cell r="DR69">
            <v>140077265</v>
          </cell>
        </row>
        <row r="70">
          <cell r="W70">
            <v>0</v>
          </cell>
        </row>
        <row r="71">
          <cell r="W71">
            <v>135468608</v>
          </cell>
        </row>
        <row r="72">
          <cell r="W72">
            <v>135468608</v>
          </cell>
        </row>
      </sheetData>
      <sheetData sheetId="3" refreshError="1"/>
      <sheetData sheetId="4" refreshError="1"/>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Resum Ejec 7794"/>
      <sheetName val="RevLin_EjecPtal7794_ Ago"/>
      <sheetName val="RevLinPA_avanceCronog_Ago"/>
    </sheetNames>
    <sheetDataSet>
      <sheetData sheetId="0"/>
      <sheetData sheetId="1">
        <row r="10">
          <cell r="H10">
            <v>66</v>
          </cell>
          <cell r="J10">
            <v>11</v>
          </cell>
          <cell r="K10">
            <v>66</v>
          </cell>
          <cell r="M10">
            <v>66</v>
          </cell>
          <cell r="DX10">
            <v>22</v>
          </cell>
          <cell r="DY10">
            <v>33</v>
          </cell>
        </row>
        <row r="11">
          <cell r="J11">
            <v>140580000</v>
          </cell>
          <cell r="K11">
            <v>361860000</v>
          </cell>
          <cell r="M11">
            <v>361860000</v>
          </cell>
          <cell r="DX11">
            <v>262457000</v>
          </cell>
          <cell r="DY11">
            <v>262457000</v>
          </cell>
        </row>
        <row r="12">
          <cell r="J12">
            <v>0</v>
          </cell>
          <cell r="K12">
            <v>0</v>
          </cell>
          <cell r="M12"/>
          <cell r="DX12"/>
          <cell r="DY12"/>
        </row>
        <row r="13">
          <cell r="J13">
            <v>0</v>
          </cell>
          <cell r="K13">
            <v>0</v>
          </cell>
          <cell r="M13"/>
          <cell r="DX13"/>
          <cell r="DY13"/>
        </row>
        <row r="14">
          <cell r="J14">
            <v>11</v>
          </cell>
          <cell r="K14">
            <v>66</v>
          </cell>
          <cell r="M14">
            <v>66</v>
          </cell>
          <cell r="DX14">
            <v>22</v>
          </cell>
          <cell r="DY14">
            <v>33</v>
          </cell>
        </row>
        <row r="15">
          <cell r="J15">
            <v>140580000</v>
          </cell>
          <cell r="K15">
            <v>361860000</v>
          </cell>
          <cell r="M15">
            <v>361860000</v>
          </cell>
          <cell r="DX15">
            <v>262457000</v>
          </cell>
          <cell r="DY15">
            <v>262457000</v>
          </cell>
        </row>
        <row r="16">
          <cell r="J16">
            <v>0</v>
          </cell>
          <cell r="K16">
            <v>20</v>
          </cell>
          <cell r="M16">
            <v>20</v>
          </cell>
          <cell r="DX16">
            <v>2</v>
          </cell>
          <cell r="DY16">
            <v>2</v>
          </cell>
        </row>
        <row r="17">
          <cell r="J17">
            <v>0</v>
          </cell>
          <cell r="K17">
            <v>142884000</v>
          </cell>
          <cell r="M17">
            <v>142884000</v>
          </cell>
          <cell r="DX17">
            <v>71774000</v>
          </cell>
          <cell r="DY17">
            <v>71774000</v>
          </cell>
        </row>
        <row r="18">
          <cell r="J18">
            <v>0</v>
          </cell>
          <cell r="K18">
            <v>0</v>
          </cell>
          <cell r="M18"/>
          <cell r="DX18"/>
          <cell r="DY18"/>
        </row>
        <row r="19">
          <cell r="J19">
            <v>0</v>
          </cell>
          <cell r="K19">
            <v>0</v>
          </cell>
          <cell r="M19"/>
          <cell r="DX19"/>
          <cell r="DY19"/>
        </row>
        <row r="20">
          <cell r="J20">
            <v>0</v>
          </cell>
          <cell r="K20">
            <v>20</v>
          </cell>
          <cell r="M20">
            <v>20</v>
          </cell>
          <cell r="DX20">
            <v>2</v>
          </cell>
          <cell r="DY20">
            <v>2</v>
          </cell>
        </row>
        <row r="21">
          <cell r="J21">
            <v>0</v>
          </cell>
          <cell r="K21">
            <v>142884000</v>
          </cell>
          <cell r="M21">
            <v>142884000</v>
          </cell>
          <cell r="DX21">
            <v>71774000</v>
          </cell>
          <cell r="DY21">
            <v>71774000</v>
          </cell>
        </row>
        <row r="22">
          <cell r="J22">
            <v>0</v>
          </cell>
          <cell r="K22">
            <v>2500</v>
          </cell>
          <cell r="M22">
            <v>2500</v>
          </cell>
          <cell r="DX22">
            <v>741</v>
          </cell>
          <cell r="DY22">
            <v>1257</v>
          </cell>
        </row>
        <row r="23">
          <cell r="J23">
            <v>0</v>
          </cell>
          <cell r="K23">
            <v>24546000</v>
          </cell>
          <cell r="M23">
            <v>24546000</v>
          </cell>
          <cell r="DX23">
            <v>10624000</v>
          </cell>
          <cell r="DY23">
            <v>10624000</v>
          </cell>
        </row>
        <row r="24">
          <cell r="J24">
            <v>0</v>
          </cell>
          <cell r="K24">
            <v>0</v>
          </cell>
          <cell r="M24"/>
          <cell r="DX24"/>
          <cell r="DY24"/>
        </row>
        <row r="25">
          <cell r="J25">
            <v>0</v>
          </cell>
          <cell r="K25">
            <v>0</v>
          </cell>
          <cell r="M25"/>
          <cell r="DX25"/>
          <cell r="DY25"/>
        </row>
        <row r="26">
          <cell r="J26">
            <v>0</v>
          </cell>
          <cell r="K26">
            <v>2500</v>
          </cell>
          <cell r="M26">
            <v>2500</v>
          </cell>
          <cell r="DX26">
            <v>741</v>
          </cell>
          <cell r="DY26">
            <v>1257</v>
          </cell>
        </row>
        <row r="27">
          <cell r="J27">
            <v>0</v>
          </cell>
          <cell r="K27">
            <v>24546000</v>
          </cell>
          <cell r="M27">
            <v>24546000</v>
          </cell>
          <cell r="DX27">
            <v>10624000</v>
          </cell>
          <cell r="DY27">
            <v>10624000</v>
          </cell>
        </row>
        <row r="28">
          <cell r="J28">
            <v>0</v>
          </cell>
          <cell r="K28">
            <v>0.05</v>
          </cell>
          <cell r="M28">
            <v>0.05</v>
          </cell>
          <cell r="DX28">
            <v>0.01</v>
          </cell>
          <cell r="DY28">
            <v>0.02</v>
          </cell>
        </row>
        <row r="29">
          <cell r="J29">
            <v>0</v>
          </cell>
          <cell r="K29">
            <v>90000000</v>
          </cell>
          <cell r="M29">
            <v>90000000</v>
          </cell>
          <cell r="DX29">
            <v>69812000</v>
          </cell>
          <cell r="DY29">
            <v>69812000</v>
          </cell>
        </row>
        <row r="30">
          <cell r="J30">
            <v>0</v>
          </cell>
          <cell r="K30">
            <v>0</v>
          </cell>
          <cell r="M30"/>
          <cell r="DX30"/>
          <cell r="DY30"/>
        </row>
        <row r="31">
          <cell r="J31">
            <v>0</v>
          </cell>
          <cell r="K31">
            <v>0</v>
          </cell>
          <cell r="M31"/>
          <cell r="DX31"/>
          <cell r="DY31"/>
        </row>
        <row r="32">
          <cell r="J32">
            <v>0</v>
          </cell>
          <cell r="K32">
            <v>0.05</v>
          </cell>
          <cell r="M32">
            <v>0.05</v>
          </cell>
          <cell r="DX32">
            <v>0.01</v>
          </cell>
          <cell r="DY32">
            <v>0.01</v>
          </cell>
        </row>
        <row r="33">
          <cell r="J33">
            <v>0</v>
          </cell>
          <cell r="K33">
            <v>90000000</v>
          </cell>
          <cell r="M33">
            <v>90000000</v>
          </cell>
          <cell r="DX33">
            <v>69812000</v>
          </cell>
          <cell r="DY33">
            <v>69812000</v>
          </cell>
        </row>
        <row r="34">
          <cell r="J34">
            <v>0</v>
          </cell>
          <cell r="K34">
            <v>50</v>
          </cell>
          <cell r="M34">
            <v>50</v>
          </cell>
          <cell r="DX34">
            <v>5</v>
          </cell>
          <cell r="DY34">
            <v>10</v>
          </cell>
        </row>
        <row r="35">
          <cell r="J35">
            <v>328110000</v>
          </cell>
          <cell r="K35">
            <v>641192490</v>
          </cell>
          <cell r="M35">
            <v>641192490</v>
          </cell>
          <cell r="DX35">
            <v>519353000</v>
          </cell>
          <cell r="DY35">
            <v>532019000</v>
          </cell>
        </row>
        <row r="36">
          <cell r="J36">
            <v>0</v>
          </cell>
          <cell r="K36">
            <v>0</v>
          </cell>
          <cell r="M36"/>
          <cell r="DX36"/>
          <cell r="DY36"/>
        </row>
        <row r="37">
          <cell r="J37">
            <v>0</v>
          </cell>
          <cell r="K37">
            <v>0</v>
          </cell>
          <cell r="M37"/>
          <cell r="DX37"/>
          <cell r="DY37"/>
        </row>
        <row r="38">
          <cell r="J38">
            <v>0</v>
          </cell>
          <cell r="K38">
            <v>50</v>
          </cell>
          <cell r="M38">
            <v>50</v>
          </cell>
          <cell r="DX38">
            <v>5</v>
          </cell>
          <cell r="DY38">
            <v>10</v>
          </cell>
        </row>
        <row r="39">
          <cell r="J39">
            <v>328110000</v>
          </cell>
          <cell r="K39">
            <v>641192490</v>
          </cell>
          <cell r="M39">
            <v>641192490</v>
          </cell>
          <cell r="DX39">
            <v>519353000</v>
          </cell>
          <cell r="DY39">
            <v>532019000</v>
          </cell>
        </row>
        <row r="40">
          <cell r="J40">
            <v>2</v>
          </cell>
          <cell r="K40">
            <v>10</v>
          </cell>
          <cell r="M40">
            <v>10</v>
          </cell>
          <cell r="DX40">
            <v>4</v>
          </cell>
          <cell r="DY40">
            <v>6</v>
          </cell>
        </row>
        <row r="41">
          <cell r="J41">
            <v>0</v>
          </cell>
          <cell r="K41">
            <v>104955000</v>
          </cell>
          <cell r="M41">
            <v>104955000</v>
          </cell>
          <cell r="DX41">
            <v>90696000</v>
          </cell>
          <cell r="DY41">
            <v>90696000</v>
          </cell>
        </row>
        <row r="42">
          <cell r="J42">
            <v>0</v>
          </cell>
          <cell r="K42">
            <v>0</v>
          </cell>
          <cell r="M42"/>
          <cell r="DX42"/>
          <cell r="DY42"/>
        </row>
        <row r="43">
          <cell r="J43">
            <v>0</v>
          </cell>
          <cell r="K43">
            <v>0</v>
          </cell>
          <cell r="M43"/>
          <cell r="DX43"/>
          <cell r="DY43"/>
        </row>
        <row r="44">
          <cell r="J44">
            <v>2</v>
          </cell>
          <cell r="K44">
            <v>10</v>
          </cell>
          <cell r="M44">
            <v>10</v>
          </cell>
          <cell r="DX44">
            <v>4</v>
          </cell>
          <cell r="DY44">
            <v>6</v>
          </cell>
        </row>
        <row r="45">
          <cell r="J45">
            <v>0</v>
          </cell>
          <cell r="K45">
            <v>104955000</v>
          </cell>
          <cell r="M45">
            <v>104955000</v>
          </cell>
          <cell r="DX45">
            <v>90696000</v>
          </cell>
          <cell r="DY45">
            <v>90696000</v>
          </cell>
        </row>
        <row r="46">
          <cell r="J46">
            <v>0.05</v>
          </cell>
          <cell r="K46">
            <v>0.5</v>
          </cell>
          <cell r="M46">
            <v>0.5</v>
          </cell>
          <cell r="O46">
            <v>0</v>
          </cell>
          <cell r="DX46">
            <v>0.1</v>
          </cell>
          <cell r="DY46">
            <v>0.15</v>
          </cell>
        </row>
        <row r="47">
          <cell r="J47">
            <v>0</v>
          </cell>
          <cell r="K47">
            <v>220180000</v>
          </cell>
          <cell r="M47">
            <v>220180000</v>
          </cell>
          <cell r="O47">
            <v>0</v>
          </cell>
          <cell r="DX47">
            <v>162068000</v>
          </cell>
          <cell r="DY47">
            <v>162068000</v>
          </cell>
        </row>
        <row r="48">
          <cell r="J48">
            <v>0</v>
          </cell>
          <cell r="K48">
            <v>0</v>
          </cell>
          <cell r="M48">
            <v>0</v>
          </cell>
          <cell r="O48">
            <v>0</v>
          </cell>
          <cell r="DX48"/>
          <cell r="DY48"/>
        </row>
        <row r="49">
          <cell r="J49">
            <v>0</v>
          </cell>
          <cell r="K49">
            <v>0</v>
          </cell>
          <cell r="M49">
            <v>0</v>
          </cell>
          <cell r="O49">
            <v>0</v>
          </cell>
          <cell r="DX49"/>
          <cell r="DY49"/>
        </row>
        <row r="50">
          <cell r="J50">
            <v>0.05</v>
          </cell>
          <cell r="K50">
            <v>0.5</v>
          </cell>
          <cell r="M50">
            <v>0.5</v>
          </cell>
          <cell r="O50">
            <v>0</v>
          </cell>
          <cell r="DX50">
            <v>0.1</v>
          </cell>
          <cell r="DY50">
            <v>0.15</v>
          </cell>
        </row>
        <row r="51">
          <cell r="J51">
            <v>0</v>
          </cell>
          <cell r="K51">
            <v>220180000</v>
          </cell>
          <cell r="M51">
            <v>220180000</v>
          </cell>
          <cell r="O51">
            <v>0</v>
          </cell>
          <cell r="DX51">
            <v>162068000</v>
          </cell>
          <cell r="DY51">
            <v>162068000</v>
          </cell>
        </row>
        <row r="52">
          <cell r="J52">
            <v>0</v>
          </cell>
          <cell r="K52">
            <v>0.5</v>
          </cell>
          <cell r="M52">
            <v>0.5</v>
          </cell>
          <cell r="DX52">
            <v>0</v>
          </cell>
          <cell r="DY52">
            <v>0</v>
          </cell>
        </row>
        <row r="53">
          <cell r="H53">
            <v>159600000</v>
          </cell>
          <cell r="I53">
            <v>159600000</v>
          </cell>
          <cell r="J53">
            <v>0</v>
          </cell>
          <cell r="K53">
            <v>152972000</v>
          </cell>
          <cell r="M53">
            <v>152972000</v>
          </cell>
          <cell r="DX53">
            <v>101484000</v>
          </cell>
          <cell r="DY53">
            <v>116067000</v>
          </cell>
        </row>
        <row r="54">
          <cell r="H54"/>
          <cell r="I54"/>
          <cell r="J54"/>
          <cell r="K54"/>
          <cell r="M54"/>
          <cell r="DX54"/>
          <cell r="DY54"/>
        </row>
        <row r="55">
          <cell r="H55"/>
          <cell r="I55"/>
          <cell r="J55"/>
          <cell r="K55"/>
          <cell r="M55"/>
          <cell r="DX55"/>
          <cell r="DY55"/>
        </row>
        <row r="56">
          <cell r="H56">
            <v>0.5</v>
          </cell>
          <cell r="I56">
            <v>0.5</v>
          </cell>
          <cell r="J56">
            <v>0</v>
          </cell>
          <cell r="K56">
            <v>0.5</v>
          </cell>
          <cell r="M56">
            <v>0.5</v>
          </cell>
          <cell r="DX56">
            <v>0</v>
          </cell>
          <cell r="DY56">
            <v>0</v>
          </cell>
        </row>
        <row r="57">
          <cell r="H57">
            <v>159600000</v>
          </cell>
          <cell r="I57">
            <v>159600000</v>
          </cell>
          <cell r="J57">
            <v>0</v>
          </cell>
          <cell r="K57">
            <v>152972000</v>
          </cell>
          <cell r="M57">
            <v>152972000</v>
          </cell>
          <cell r="DX57">
            <v>101484000</v>
          </cell>
          <cell r="DY57">
            <v>116067000</v>
          </cell>
        </row>
        <row r="58">
          <cell r="J58">
            <v>0</v>
          </cell>
          <cell r="K58">
            <v>1</v>
          </cell>
          <cell r="M58">
            <v>1</v>
          </cell>
          <cell r="DX58">
            <v>0</v>
          </cell>
          <cell r="DY58">
            <v>0</v>
          </cell>
        </row>
        <row r="59">
          <cell r="J59">
            <v>40000000</v>
          </cell>
          <cell r="K59">
            <v>400424000</v>
          </cell>
          <cell r="M59">
            <v>478424000</v>
          </cell>
          <cell r="DX59">
            <v>318184000</v>
          </cell>
          <cell r="DY59">
            <v>318184000</v>
          </cell>
        </row>
        <row r="60">
          <cell r="J60">
            <v>0</v>
          </cell>
          <cell r="K60">
            <v>0</v>
          </cell>
          <cell r="M60"/>
          <cell r="DX60"/>
          <cell r="DY60"/>
        </row>
        <row r="61">
          <cell r="J61">
            <v>0</v>
          </cell>
          <cell r="K61">
            <v>0</v>
          </cell>
          <cell r="M61"/>
          <cell r="DX61"/>
          <cell r="DY61"/>
        </row>
        <row r="62">
          <cell r="J62">
            <v>0</v>
          </cell>
          <cell r="K62">
            <v>1</v>
          </cell>
          <cell r="M62">
            <v>1</v>
          </cell>
          <cell r="DX62">
            <v>0</v>
          </cell>
          <cell r="DY62">
            <v>0</v>
          </cell>
        </row>
        <row r="63">
          <cell r="J63">
            <v>40000000</v>
          </cell>
          <cell r="K63">
            <v>400424000</v>
          </cell>
          <cell r="M63">
            <v>400424000</v>
          </cell>
          <cell r="DX63">
            <v>318184000</v>
          </cell>
          <cell r="DY63">
            <v>318184000</v>
          </cell>
        </row>
        <row r="64">
          <cell r="J64">
            <v>2</v>
          </cell>
          <cell r="K64">
            <v>12.5</v>
          </cell>
          <cell r="M64">
            <v>12.5</v>
          </cell>
          <cell r="DX64">
            <v>4.0999999999999996</v>
          </cell>
          <cell r="DY64">
            <v>6.2</v>
          </cell>
        </row>
        <row r="65">
          <cell r="J65">
            <v>27401143</v>
          </cell>
          <cell r="K65">
            <v>381900000</v>
          </cell>
          <cell r="M65">
            <v>303900000</v>
          </cell>
          <cell r="DX65">
            <v>102981143</v>
          </cell>
          <cell r="DY65">
            <v>119147442</v>
          </cell>
        </row>
        <row r="66">
          <cell r="J66">
            <v>0</v>
          </cell>
          <cell r="K66">
            <v>0</v>
          </cell>
          <cell r="M66"/>
          <cell r="DX66"/>
          <cell r="DY66"/>
        </row>
        <row r="67">
          <cell r="J67">
            <v>0</v>
          </cell>
          <cell r="K67">
            <v>0</v>
          </cell>
          <cell r="M67"/>
          <cell r="DX67"/>
          <cell r="DY67"/>
        </row>
        <row r="68">
          <cell r="J68">
            <v>2</v>
          </cell>
          <cell r="K68">
            <v>12.5</v>
          </cell>
          <cell r="M68">
            <v>12.5</v>
          </cell>
          <cell r="DX68">
            <v>4.0999999999999996</v>
          </cell>
          <cell r="DY68">
            <v>6.2</v>
          </cell>
        </row>
        <row r="69">
          <cell r="J69">
            <v>27401143</v>
          </cell>
          <cell r="K69">
            <v>381900000</v>
          </cell>
          <cell r="M69">
            <v>381900000</v>
          </cell>
          <cell r="DX69">
            <v>102981143</v>
          </cell>
          <cell r="DY69">
            <v>119147442</v>
          </cell>
        </row>
      </sheetData>
      <sheetData sheetId="2"/>
      <sheetData sheetId="3"/>
      <sheetData sheetId="4"/>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 val="RevLin Cierre PAA 7794"/>
    </sheetNames>
    <sheetDataSet>
      <sheetData sheetId="0"/>
      <sheetData sheetId="1"/>
      <sheetData sheetId="2"/>
      <sheetData sheetId="3">
        <row r="640">
          <cell r="W640">
            <v>5</v>
          </cell>
        </row>
      </sheetData>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D491"/>
  <sheetViews>
    <sheetView showGridLines="0" tabSelected="1" zoomScale="55" zoomScaleNormal="55" zoomScaleSheetLayoutView="70" zoomScalePageLayoutView="60" workbookViewId="0">
      <selection activeCell="EY13" sqref="EY13"/>
    </sheetView>
  </sheetViews>
  <sheetFormatPr baseColWidth="10" defaultColWidth="10.85546875" defaultRowHeight="15" x14ac:dyDescent="0.25"/>
  <cols>
    <col min="1" max="1" width="8.85546875" style="1" customWidth="1"/>
    <col min="2" max="2" width="9.140625" style="1" customWidth="1"/>
    <col min="3" max="3" width="8.85546875" style="1" customWidth="1"/>
    <col min="4" max="4" width="41.140625" style="1" customWidth="1"/>
    <col min="5" max="5" width="7.42578125" style="1" customWidth="1"/>
    <col min="6" max="6" width="30.7109375" style="1" customWidth="1"/>
    <col min="7" max="7" width="12.85546875" style="1" customWidth="1"/>
    <col min="8" max="8" width="25.140625" style="1" customWidth="1"/>
    <col min="9" max="9" width="16.7109375" style="519" customWidth="1"/>
    <col min="10" max="23" width="15.7109375" style="14" hidden="1" customWidth="1"/>
    <col min="24" max="24" width="14.28515625" style="14" hidden="1" customWidth="1"/>
    <col min="25" max="25" width="15" style="14" hidden="1" customWidth="1"/>
    <col min="26" max="26" width="16.5703125" style="14" hidden="1" customWidth="1"/>
    <col min="27" max="27" width="17.28515625" style="14" hidden="1" customWidth="1"/>
    <col min="28" max="28" width="15" style="14" hidden="1" customWidth="1"/>
    <col min="29" max="29" width="26.42578125" style="14" customWidth="1"/>
    <col min="30" max="30" width="15.7109375" style="14" customWidth="1"/>
    <col min="31" max="47" width="10.7109375" style="14" customWidth="1"/>
    <col min="48" max="48" width="15.5703125" style="11" customWidth="1"/>
    <col min="49" max="49" width="10.7109375" style="14" customWidth="1"/>
    <col min="50" max="50" width="15" style="488" customWidth="1"/>
    <col min="51" max="51" width="10.7109375" style="14" customWidth="1"/>
    <col min="52" max="52" width="16" style="14" customWidth="1"/>
    <col min="53" max="53" width="10.7109375" style="14" customWidth="1"/>
    <col min="54" max="54" width="18.42578125" style="507" customWidth="1"/>
    <col min="55" max="55" width="16" style="14" bestFit="1" customWidth="1"/>
    <col min="56" max="56" width="14.42578125" style="14" bestFit="1" customWidth="1"/>
    <col min="57" max="57" width="15" style="14" bestFit="1" customWidth="1"/>
    <col min="58" max="58" width="19.140625" style="14" customWidth="1"/>
    <col min="59" max="59" width="21" style="14" customWidth="1"/>
    <col min="60" max="60" width="15.5703125" style="14" customWidth="1"/>
    <col min="61" max="84" width="10.7109375" style="14" hidden="1" customWidth="1"/>
    <col min="85" max="85" width="15" style="14" hidden="1" customWidth="1"/>
    <col min="86" max="86" width="14.7109375" style="14" hidden="1" customWidth="1"/>
    <col min="87" max="87" width="15.42578125" style="14" hidden="1" customWidth="1"/>
    <col min="88" max="88" width="15" style="14" hidden="1" customWidth="1"/>
    <col min="89" max="89" width="15.42578125" style="14" hidden="1" customWidth="1"/>
    <col min="90" max="90" width="12.7109375" style="14" bestFit="1" customWidth="1"/>
    <col min="91" max="114" width="10.7109375" style="14" hidden="1" customWidth="1"/>
    <col min="115" max="115" width="15" style="14" hidden="1" customWidth="1"/>
    <col min="116" max="116" width="14.7109375" style="14" hidden="1" customWidth="1"/>
    <col min="117" max="117" width="15.42578125" style="14" hidden="1" customWidth="1"/>
    <col min="118" max="118" width="15" style="14" hidden="1" customWidth="1"/>
    <col min="119" max="119" width="15.42578125" style="14" hidden="1" customWidth="1"/>
    <col min="120" max="120" width="12.7109375" style="14" bestFit="1" customWidth="1"/>
    <col min="121" max="129" width="10.7109375" style="14" hidden="1" customWidth="1"/>
    <col min="130" max="149" width="15.42578125" style="14" hidden="1" customWidth="1"/>
    <col min="150" max="150" width="17" style="1" customWidth="1"/>
    <col min="151" max="151" width="16.42578125" style="1" customWidth="1"/>
    <col min="152" max="152" width="18.140625" style="1" customWidth="1"/>
    <col min="153" max="153" width="21.42578125" style="1" customWidth="1"/>
    <col min="154" max="154" width="18.42578125" style="1" customWidth="1"/>
    <col min="155" max="155" width="95.5703125" style="506" customWidth="1"/>
    <col min="156" max="156" width="11.28515625" style="506" customWidth="1"/>
    <col min="157" max="157" width="11.7109375" style="506" customWidth="1"/>
    <col min="158" max="158" width="45.140625" style="1" customWidth="1"/>
    <col min="159" max="159" width="35.5703125" style="1" customWidth="1"/>
    <col min="160" max="16384" width="10.85546875" style="1"/>
  </cols>
  <sheetData>
    <row r="1" spans="1:160" ht="15.75" thickBot="1" x14ac:dyDescent="0.3">
      <c r="C1" s="3"/>
      <c r="D1" s="3"/>
      <c r="E1" s="3"/>
      <c r="F1" s="3"/>
      <c r="G1" s="3"/>
      <c r="H1" s="3"/>
      <c r="I1" s="516"/>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W1" s="11"/>
      <c r="AY1" s="11"/>
      <c r="AZ1" s="11"/>
      <c r="BA1" s="488"/>
      <c r="BB1" s="488"/>
      <c r="BC1" s="488"/>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3"/>
      <c r="EU1" s="3"/>
      <c r="EV1" s="3"/>
      <c r="EW1" s="3"/>
      <c r="EY1" s="1"/>
      <c r="EZ1" s="1"/>
      <c r="FA1" s="1"/>
      <c r="FC1" s="3"/>
    </row>
    <row r="2" spans="1:160" s="16" customFormat="1" ht="37.5" x14ac:dyDescent="0.5">
      <c r="A2" s="693"/>
      <c r="B2" s="694"/>
      <c r="C2" s="694"/>
      <c r="D2" s="694"/>
      <c r="E2" s="694"/>
      <c r="F2" s="695"/>
      <c r="G2" s="702" t="s">
        <v>39</v>
      </c>
      <c r="H2" s="702"/>
      <c r="I2" s="702"/>
      <c r="J2" s="702"/>
      <c r="K2" s="702"/>
      <c r="L2" s="702"/>
      <c r="M2" s="702"/>
      <c r="N2" s="702"/>
      <c r="O2" s="702"/>
      <c r="P2" s="702"/>
      <c r="Q2" s="702"/>
      <c r="R2" s="702"/>
      <c r="S2" s="702"/>
      <c r="T2" s="702"/>
      <c r="U2" s="702"/>
      <c r="V2" s="702"/>
      <c r="W2" s="702"/>
      <c r="X2" s="702"/>
      <c r="Y2" s="702"/>
      <c r="Z2" s="702"/>
      <c r="AA2" s="702"/>
      <c r="AB2" s="702"/>
      <c r="AC2" s="702"/>
      <c r="AD2" s="702"/>
      <c r="AE2" s="702"/>
      <c r="AF2" s="702"/>
      <c r="AG2" s="702"/>
      <c r="AH2" s="702"/>
      <c r="AI2" s="702"/>
      <c r="AJ2" s="702"/>
      <c r="AK2" s="702"/>
      <c r="AL2" s="702"/>
      <c r="AM2" s="702"/>
      <c r="AN2" s="702"/>
      <c r="AO2" s="702"/>
      <c r="AP2" s="702"/>
      <c r="AQ2" s="702"/>
      <c r="AR2" s="702"/>
      <c r="AS2" s="702"/>
      <c r="AT2" s="702"/>
      <c r="AU2" s="702"/>
      <c r="AV2" s="702"/>
      <c r="AW2" s="702"/>
      <c r="AX2" s="702"/>
      <c r="AY2" s="702"/>
      <c r="AZ2" s="702"/>
      <c r="BA2" s="702"/>
      <c r="BB2" s="702"/>
      <c r="BC2" s="702"/>
      <c r="BD2" s="702"/>
      <c r="BE2" s="702"/>
      <c r="BF2" s="702"/>
      <c r="BG2" s="702"/>
      <c r="BH2" s="702"/>
      <c r="BI2" s="702"/>
      <c r="BJ2" s="702"/>
      <c r="BK2" s="702"/>
      <c r="BL2" s="702"/>
      <c r="BM2" s="702"/>
      <c r="BN2" s="702"/>
      <c r="BO2" s="702"/>
      <c r="BP2" s="702"/>
      <c r="BQ2" s="702"/>
      <c r="BR2" s="702"/>
      <c r="BS2" s="702"/>
      <c r="BT2" s="702"/>
      <c r="BU2" s="702"/>
      <c r="BV2" s="702"/>
      <c r="BW2" s="702"/>
      <c r="BX2" s="702"/>
      <c r="BY2" s="702"/>
      <c r="BZ2" s="702"/>
      <c r="CA2" s="702"/>
      <c r="CB2" s="702"/>
      <c r="CC2" s="702"/>
      <c r="CD2" s="702"/>
      <c r="CE2" s="702"/>
      <c r="CF2" s="702"/>
      <c r="CG2" s="702"/>
      <c r="CH2" s="702"/>
      <c r="CI2" s="702"/>
      <c r="CJ2" s="702"/>
      <c r="CK2" s="702"/>
      <c r="CL2" s="702"/>
      <c r="CM2" s="702"/>
      <c r="CN2" s="702"/>
      <c r="CO2" s="702"/>
      <c r="CP2" s="702"/>
      <c r="CQ2" s="702"/>
      <c r="CR2" s="702"/>
      <c r="CS2" s="702"/>
      <c r="CT2" s="702"/>
      <c r="CU2" s="702"/>
      <c r="CV2" s="702"/>
      <c r="CW2" s="702"/>
      <c r="CX2" s="702"/>
      <c r="CY2" s="702"/>
      <c r="CZ2" s="702"/>
      <c r="DA2" s="702"/>
      <c r="DB2" s="702"/>
      <c r="DC2" s="702"/>
      <c r="DD2" s="702"/>
      <c r="DE2" s="702"/>
      <c r="DF2" s="702"/>
      <c r="DG2" s="702"/>
      <c r="DH2" s="702"/>
      <c r="DI2" s="702"/>
      <c r="DJ2" s="702"/>
      <c r="DK2" s="702"/>
      <c r="DL2" s="702"/>
      <c r="DM2" s="702"/>
      <c r="DN2" s="702"/>
      <c r="DO2" s="702"/>
      <c r="DP2" s="702"/>
      <c r="DQ2" s="702"/>
      <c r="DR2" s="702"/>
      <c r="DS2" s="702"/>
      <c r="DT2" s="702"/>
      <c r="DU2" s="702"/>
      <c r="DV2" s="702"/>
      <c r="DW2" s="702"/>
      <c r="DX2" s="702"/>
      <c r="DY2" s="702"/>
      <c r="DZ2" s="702"/>
      <c r="EA2" s="702"/>
      <c r="EB2" s="702"/>
      <c r="EC2" s="702"/>
      <c r="ED2" s="702"/>
      <c r="EE2" s="702"/>
      <c r="EF2" s="702"/>
      <c r="EG2" s="702"/>
      <c r="EH2" s="702"/>
      <c r="EI2" s="702"/>
      <c r="EJ2" s="702"/>
      <c r="EK2" s="702"/>
      <c r="EL2" s="702"/>
      <c r="EM2" s="702"/>
      <c r="EN2" s="702"/>
      <c r="EO2" s="702"/>
      <c r="EP2" s="702"/>
      <c r="EQ2" s="702"/>
      <c r="ER2" s="702"/>
      <c r="ES2" s="702"/>
      <c r="ET2" s="702"/>
      <c r="EU2" s="702"/>
      <c r="EV2" s="702"/>
      <c r="EW2" s="702"/>
      <c r="EX2" s="702"/>
      <c r="EY2" s="702"/>
      <c r="EZ2" s="702"/>
      <c r="FA2" s="702"/>
      <c r="FB2" s="702"/>
      <c r="FC2" s="703"/>
    </row>
    <row r="3" spans="1:160" s="16" customFormat="1" ht="60" customHeight="1" thickBot="1" x14ac:dyDescent="0.65">
      <c r="A3" s="696"/>
      <c r="B3" s="697"/>
      <c r="C3" s="697"/>
      <c r="D3" s="697"/>
      <c r="E3" s="697"/>
      <c r="F3" s="698"/>
      <c r="G3" s="704" t="s">
        <v>266</v>
      </c>
      <c r="H3" s="704"/>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I3" s="704"/>
      <c r="AJ3" s="704"/>
      <c r="AK3" s="704"/>
      <c r="AL3" s="704"/>
      <c r="AM3" s="704"/>
      <c r="AN3" s="704"/>
      <c r="AO3" s="704"/>
      <c r="AP3" s="704"/>
      <c r="AQ3" s="704"/>
      <c r="AR3" s="704"/>
      <c r="AS3" s="704"/>
      <c r="AT3" s="704"/>
      <c r="AU3" s="704"/>
      <c r="AV3" s="704"/>
      <c r="AW3" s="704"/>
      <c r="AX3" s="704"/>
      <c r="AY3" s="704"/>
      <c r="AZ3" s="704"/>
      <c r="BA3" s="704"/>
      <c r="BB3" s="704"/>
      <c r="BC3" s="704"/>
      <c r="BD3" s="704"/>
      <c r="BE3" s="704"/>
      <c r="BF3" s="704"/>
      <c r="BG3" s="704"/>
      <c r="BH3" s="704"/>
      <c r="BI3" s="704"/>
      <c r="BJ3" s="704"/>
      <c r="BK3" s="704"/>
      <c r="BL3" s="704"/>
      <c r="BM3" s="704"/>
      <c r="BN3" s="704"/>
      <c r="BO3" s="704"/>
      <c r="BP3" s="704"/>
      <c r="BQ3" s="704"/>
      <c r="BR3" s="704"/>
      <c r="BS3" s="704"/>
      <c r="BT3" s="704"/>
      <c r="BU3" s="704"/>
      <c r="BV3" s="704"/>
      <c r="BW3" s="704"/>
      <c r="BX3" s="704"/>
      <c r="BY3" s="704"/>
      <c r="BZ3" s="704"/>
      <c r="CA3" s="704"/>
      <c r="CB3" s="704"/>
      <c r="CC3" s="704"/>
      <c r="CD3" s="704"/>
      <c r="CE3" s="704"/>
      <c r="CF3" s="704"/>
      <c r="CG3" s="704"/>
      <c r="CH3" s="704"/>
      <c r="CI3" s="704"/>
      <c r="CJ3" s="704"/>
      <c r="CK3" s="704"/>
      <c r="CL3" s="704"/>
      <c r="CM3" s="704"/>
      <c r="CN3" s="704"/>
      <c r="CO3" s="704"/>
      <c r="CP3" s="704"/>
      <c r="CQ3" s="704"/>
      <c r="CR3" s="704"/>
      <c r="CS3" s="704"/>
      <c r="CT3" s="704"/>
      <c r="CU3" s="704"/>
      <c r="CV3" s="704"/>
      <c r="CW3" s="704"/>
      <c r="CX3" s="704"/>
      <c r="CY3" s="704"/>
      <c r="CZ3" s="704"/>
      <c r="DA3" s="704"/>
      <c r="DB3" s="704"/>
      <c r="DC3" s="704"/>
      <c r="DD3" s="704"/>
      <c r="DE3" s="704"/>
      <c r="DF3" s="704"/>
      <c r="DG3" s="704"/>
      <c r="DH3" s="704"/>
      <c r="DI3" s="704"/>
      <c r="DJ3" s="704"/>
      <c r="DK3" s="704"/>
      <c r="DL3" s="704"/>
      <c r="DM3" s="704"/>
      <c r="DN3" s="704"/>
      <c r="DO3" s="704"/>
      <c r="DP3" s="704"/>
      <c r="DQ3" s="704"/>
      <c r="DR3" s="704"/>
      <c r="DS3" s="704"/>
      <c r="DT3" s="704"/>
      <c r="DU3" s="704"/>
      <c r="DV3" s="704"/>
      <c r="DW3" s="704"/>
      <c r="DX3" s="704"/>
      <c r="DY3" s="704"/>
      <c r="DZ3" s="704"/>
      <c r="EA3" s="704"/>
      <c r="EB3" s="704"/>
      <c r="EC3" s="704"/>
      <c r="ED3" s="704"/>
      <c r="EE3" s="704"/>
      <c r="EF3" s="704"/>
      <c r="EG3" s="704"/>
      <c r="EH3" s="704"/>
      <c r="EI3" s="704"/>
      <c r="EJ3" s="704"/>
      <c r="EK3" s="704"/>
      <c r="EL3" s="704"/>
      <c r="EM3" s="704"/>
      <c r="EN3" s="704"/>
      <c r="EO3" s="704"/>
      <c r="EP3" s="704"/>
      <c r="EQ3" s="704"/>
      <c r="ER3" s="704"/>
      <c r="ES3" s="704"/>
      <c r="ET3" s="704"/>
      <c r="EU3" s="704"/>
      <c r="EV3" s="704"/>
      <c r="EW3" s="704"/>
      <c r="EX3" s="704"/>
      <c r="EY3" s="704"/>
      <c r="EZ3" s="704"/>
      <c r="FA3" s="704"/>
      <c r="FB3" s="704"/>
      <c r="FC3" s="704"/>
    </row>
    <row r="4" spans="1:160" s="15" customFormat="1" ht="27" thickBot="1" x14ac:dyDescent="0.45">
      <c r="A4" s="699"/>
      <c r="B4" s="700"/>
      <c r="C4" s="700"/>
      <c r="D4" s="700"/>
      <c r="E4" s="700"/>
      <c r="F4" s="701"/>
      <c r="G4" s="705" t="s">
        <v>48</v>
      </c>
      <c r="H4" s="705"/>
      <c r="I4" s="705"/>
      <c r="J4" s="705"/>
      <c r="K4" s="705"/>
      <c r="L4" s="705"/>
      <c r="M4" s="705"/>
      <c r="N4" s="705"/>
      <c r="O4" s="705"/>
      <c r="P4" s="705"/>
      <c r="Q4" s="705"/>
      <c r="R4" s="705"/>
      <c r="S4" s="705"/>
      <c r="T4" s="705"/>
      <c r="U4" s="705"/>
      <c r="V4" s="705"/>
      <c r="W4" s="705"/>
      <c r="X4" s="705"/>
      <c r="Y4" s="705"/>
      <c r="Z4" s="705"/>
      <c r="AA4" s="705"/>
      <c r="AB4" s="705"/>
      <c r="AC4" s="705"/>
      <c r="AD4" s="705"/>
      <c r="AE4" s="705"/>
      <c r="AF4" s="705"/>
      <c r="AG4" s="705"/>
      <c r="AH4" s="705"/>
      <c r="AI4" s="705"/>
      <c r="AJ4" s="705"/>
      <c r="AK4" s="705"/>
      <c r="AL4" s="705"/>
      <c r="AM4" s="705"/>
      <c r="AN4" s="705"/>
      <c r="AO4" s="705"/>
      <c r="AP4" s="705"/>
      <c r="AQ4" s="705"/>
      <c r="AR4" s="705"/>
      <c r="AS4" s="705"/>
      <c r="AT4" s="705"/>
      <c r="AU4" s="705"/>
      <c r="AV4" s="705"/>
      <c r="AW4" s="705"/>
      <c r="AX4" s="705"/>
      <c r="AY4" s="705"/>
      <c r="AZ4" s="705"/>
      <c r="BA4" s="705"/>
      <c r="BB4" s="705"/>
      <c r="BC4" s="705"/>
      <c r="BD4" s="705"/>
      <c r="BE4" s="705"/>
      <c r="BF4" s="705"/>
      <c r="BG4" s="705"/>
      <c r="BH4" s="705"/>
      <c r="BI4" s="705"/>
      <c r="BJ4" s="705"/>
      <c r="BK4" s="705"/>
      <c r="BL4" s="705"/>
      <c r="BM4" s="705"/>
      <c r="BN4" s="705"/>
      <c r="BO4" s="705"/>
      <c r="BP4" s="705"/>
      <c r="BQ4" s="705"/>
      <c r="BR4" s="705"/>
      <c r="BS4" s="705"/>
      <c r="BT4" s="705"/>
      <c r="BU4" s="705"/>
      <c r="BV4" s="705"/>
      <c r="BW4" s="705"/>
      <c r="BX4" s="705"/>
      <c r="BY4" s="705"/>
      <c r="BZ4" s="705"/>
      <c r="CA4" s="705"/>
      <c r="CB4" s="705"/>
      <c r="CC4" s="705"/>
      <c r="CD4" s="705"/>
      <c r="CE4" s="705"/>
      <c r="CF4" s="705"/>
      <c r="CG4" s="705"/>
      <c r="CH4" s="705"/>
      <c r="CI4" s="705"/>
      <c r="CJ4" s="705"/>
      <c r="CK4" s="705"/>
      <c r="CL4" s="705"/>
      <c r="CM4" s="705"/>
      <c r="CN4" s="705"/>
      <c r="CO4" s="705"/>
      <c r="CP4" s="705"/>
      <c r="CQ4" s="705"/>
      <c r="CR4" s="705"/>
      <c r="CS4" s="705"/>
      <c r="CT4" s="705"/>
      <c r="CU4" s="705"/>
      <c r="CV4" s="705"/>
      <c r="CW4" s="705"/>
      <c r="CX4" s="705"/>
      <c r="CY4" s="705"/>
      <c r="CZ4" s="705"/>
      <c r="DA4" s="705"/>
      <c r="DB4" s="705"/>
      <c r="DC4" s="705"/>
      <c r="DD4" s="705"/>
      <c r="DE4" s="705"/>
      <c r="DF4" s="705"/>
      <c r="DG4" s="705"/>
      <c r="DH4" s="705"/>
      <c r="DI4" s="705"/>
      <c r="DJ4" s="705"/>
      <c r="DK4" s="705"/>
      <c r="DL4" s="705"/>
      <c r="DM4" s="705"/>
      <c r="DN4" s="705"/>
      <c r="DO4" s="705"/>
      <c r="DP4" s="705"/>
      <c r="DQ4" s="705"/>
      <c r="DR4" s="705"/>
      <c r="DS4" s="705"/>
      <c r="DT4" s="705"/>
      <c r="DU4" s="705"/>
      <c r="DV4" s="705"/>
      <c r="DW4" s="705"/>
      <c r="DX4" s="705"/>
      <c r="DY4" s="705"/>
      <c r="DZ4" s="705"/>
      <c r="EA4" s="705"/>
      <c r="EB4" s="705"/>
      <c r="EC4" s="705"/>
      <c r="ED4" s="705"/>
      <c r="EE4" s="705"/>
      <c r="EF4" s="705"/>
      <c r="EG4" s="705"/>
      <c r="EH4" s="705"/>
      <c r="EI4" s="705"/>
      <c r="EJ4" s="705"/>
      <c r="EK4" s="705"/>
      <c r="EL4" s="705"/>
      <c r="EM4" s="705"/>
      <c r="EN4" s="705"/>
      <c r="EO4" s="705"/>
      <c r="EP4" s="705"/>
      <c r="EQ4" s="705"/>
      <c r="ER4" s="705"/>
      <c r="ES4" s="705"/>
      <c r="ET4" s="706" t="s">
        <v>249</v>
      </c>
      <c r="EU4" s="707"/>
      <c r="EV4" s="707"/>
      <c r="EW4" s="707"/>
      <c r="EX4" s="707"/>
      <c r="EY4" s="707"/>
      <c r="EZ4" s="707"/>
      <c r="FA4" s="707"/>
      <c r="FB4" s="707"/>
      <c r="FC4" s="708"/>
    </row>
    <row r="5" spans="1:160" ht="40.5" customHeight="1" thickBot="1" x14ac:dyDescent="0.3">
      <c r="A5" s="672" t="s">
        <v>0</v>
      </c>
      <c r="B5" s="673"/>
      <c r="C5" s="673"/>
      <c r="D5" s="673"/>
      <c r="E5" s="673"/>
      <c r="F5" s="673"/>
      <c r="G5" s="675" t="str">
        <f>+INVERSIÓN!F4</f>
        <v>SUBDIRECCION DE ECOURBANISMO Y GESTIÓN AMBIENTAL EMPRESARIAL</v>
      </c>
      <c r="H5" s="676"/>
      <c r="I5" s="676"/>
      <c r="J5" s="676"/>
      <c r="K5" s="676"/>
      <c r="L5" s="676"/>
      <c r="M5" s="676"/>
      <c r="N5" s="676"/>
      <c r="O5" s="676"/>
      <c r="P5" s="676"/>
      <c r="Q5" s="676"/>
      <c r="R5" s="676"/>
      <c r="S5" s="676"/>
      <c r="T5" s="676"/>
      <c r="U5" s="676"/>
      <c r="V5" s="676"/>
      <c r="W5" s="676"/>
      <c r="X5" s="676"/>
      <c r="Y5" s="676"/>
      <c r="Z5" s="676"/>
      <c r="AA5" s="676"/>
      <c r="AB5" s="676"/>
      <c r="AC5" s="676"/>
      <c r="AD5" s="676"/>
      <c r="AE5" s="676"/>
      <c r="AF5" s="676"/>
      <c r="AG5" s="676"/>
      <c r="AH5" s="676"/>
      <c r="AI5" s="676"/>
      <c r="AJ5" s="676"/>
      <c r="AK5" s="676"/>
      <c r="AL5" s="676"/>
      <c r="AM5" s="676"/>
      <c r="AN5" s="676"/>
      <c r="AO5" s="676"/>
      <c r="AP5" s="676"/>
      <c r="AQ5" s="676"/>
      <c r="AR5" s="676"/>
      <c r="AS5" s="676"/>
      <c r="AT5" s="676"/>
      <c r="AU5" s="676"/>
      <c r="AV5" s="676"/>
      <c r="AW5" s="676"/>
      <c r="AX5" s="676"/>
      <c r="AY5" s="676"/>
      <c r="AZ5" s="676"/>
      <c r="BA5" s="676"/>
      <c r="BB5" s="676"/>
      <c r="BC5" s="676"/>
      <c r="BD5" s="676"/>
      <c r="BE5" s="676"/>
      <c r="BF5" s="676"/>
      <c r="BG5" s="676"/>
      <c r="BH5" s="676"/>
      <c r="BI5" s="676"/>
      <c r="BJ5" s="676"/>
      <c r="BK5" s="676"/>
      <c r="BL5" s="676"/>
      <c r="BM5" s="676"/>
      <c r="BN5" s="676"/>
      <c r="BO5" s="676"/>
      <c r="BP5" s="676"/>
      <c r="BQ5" s="676"/>
      <c r="BR5" s="676"/>
      <c r="BS5" s="676"/>
      <c r="BT5" s="676"/>
      <c r="BU5" s="676"/>
      <c r="BV5" s="676"/>
      <c r="BW5" s="676"/>
      <c r="BX5" s="676"/>
      <c r="BY5" s="676"/>
      <c r="BZ5" s="676"/>
      <c r="CA5" s="676"/>
      <c r="CB5" s="676"/>
      <c r="CC5" s="676"/>
      <c r="CD5" s="676"/>
      <c r="CE5" s="676"/>
      <c r="CF5" s="676"/>
      <c r="CG5" s="676"/>
      <c r="CH5" s="676"/>
      <c r="CI5" s="676"/>
      <c r="CJ5" s="676"/>
      <c r="CK5" s="676"/>
      <c r="CL5" s="676"/>
      <c r="CM5" s="676"/>
      <c r="CN5" s="676"/>
      <c r="CO5" s="676"/>
      <c r="CP5" s="676"/>
      <c r="CQ5" s="676"/>
      <c r="CR5" s="676"/>
      <c r="CS5" s="676"/>
      <c r="CT5" s="676"/>
      <c r="CU5" s="676"/>
      <c r="CV5" s="676"/>
      <c r="CW5" s="676"/>
      <c r="CX5" s="676"/>
      <c r="CY5" s="676"/>
      <c r="CZ5" s="676"/>
      <c r="DA5" s="676"/>
      <c r="DB5" s="676"/>
      <c r="DC5" s="676"/>
      <c r="DD5" s="676"/>
      <c r="DE5" s="676"/>
      <c r="DF5" s="676"/>
      <c r="DG5" s="676"/>
      <c r="DH5" s="676"/>
      <c r="DI5" s="676"/>
      <c r="DJ5" s="676"/>
      <c r="DK5" s="676"/>
      <c r="DL5" s="676"/>
      <c r="DM5" s="676"/>
      <c r="DN5" s="676"/>
      <c r="DO5" s="676"/>
      <c r="DP5" s="676"/>
      <c r="DQ5" s="676"/>
      <c r="DR5" s="676"/>
      <c r="DS5" s="676"/>
      <c r="DT5" s="676"/>
      <c r="DU5" s="676"/>
      <c r="DV5" s="676"/>
      <c r="DW5" s="676"/>
      <c r="DX5" s="676"/>
      <c r="DY5" s="676"/>
      <c r="DZ5" s="676"/>
      <c r="EA5" s="676"/>
      <c r="EB5" s="676"/>
      <c r="EC5" s="676"/>
      <c r="ED5" s="676"/>
      <c r="EE5" s="676"/>
      <c r="EF5" s="676"/>
      <c r="EG5" s="676"/>
      <c r="EH5" s="676"/>
      <c r="EI5" s="676"/>
      <c r="EJ5" s="676"/>
      <c r="EK5" s="676"/>
      <c r="EL5" s="676"/>
      <c r="EM5" s="676"/>
      <c r="EN5" s="676"/>
      <c r="EO5" s="676"/>
      <c r="EP5" s="676"/>
      <c r="EQ5" s="676"/>
      <c r="ER5" s="676"/>
      <c r="ES5" s="676"/>
      <c r="ET5" s="676"/>
      <c r="EU5" s="676"/>
      <c r="EV5" s="676"/>
      <c r="EW5" s="676"/>
      <c r="EX5" s="676"/>
      <c r="EY5" s="676"/>
      <c r="EZ5" s="676"/>
      <c r="FA5" s="676"/>
      <c r="FB5" s="676"/>
      <c r="FC5" s="677"/>
    </row>
    <row r="6" spans="1:160" ht="33" customHeight="1" thickBot="1" x14ac:dyDescent="0.3">
      <c r="A6" s="672" t="s">
        <v>2</v>
      </c>
      <c r="B6" s="673"/>
      <c r="C6" s="673"/>
      <c r="D6" s="673"/>
      <c r="E6" s="673"/>
      <c r="F6" s="673"/>
      <c r="G6" s="675" t="s">
        <v>738</v>
      </c>
      <c r="H6" s="676"/>
      <c r="I6" s="676"/>
      <c r="J6" s="676"/>
      <c r="K6" s="676"/>
      <c r="L6" s="676"/>
      <c r="M6" s="676"/>
      <c r="N6" s="676"/>
      <c r="O6" s="676"/>
      <c r="P6" s="676"/>
      <c r="Q6" s="676"/>
      <c r="R6" s="676"/>
      <c r="S6" s="676"/>
      <c r="T6" s="676"/>
      <c r="U6" s="676"/>
      <c r="V6" s="676"/>
      <c r="W6" s="676"/>
      <c r="X6" s="676"/>
      <c r="Y6" s="676"/>
      <c r="Z6" s="676"/>
      <c r="AA6" s="676"/>
      <c r="AB6" s="676"/>
      <c r="AC6" s="676"/>
      <c r="AD6" s="676"/>
      <c r="AE6" s="676"/>
      <c r="AF6" s="676"/>
      <c r="AG6" s="676"/>
      <c r="AH6" s="676"/>
      <c r="AI6" s="676"/>
      <c r="AJ6" s="676"/>
      <c r="AK6" s="676"/>
      <c r="AL6" s="676"/>
      <c r="AM6" s="676"/>
      <c r="AN6" s="676"/>
      <c r="AO6" s="676"/>
      <c r="AP6" s="676"/>
      <c r="AQ6" s="676"/>
      <c r="AR6" s="676"/>
      <c r="AS6" s="676"/>
      <c r="AT6" s="676"/>
      <c r="AU6" s="676"/>
      <c r="AV6" s="676"/>
      <c r="AW6" s="676"/>
      <c r="AX6" s="676"/>
      <c r="AY6" s="676"/>
      <c r="AZ6" s="676"/>
      <c r="BA6" s="676"/>
      <c r="BB6" s="676"/>
      <c r="BC6" s="676"/>
      <c r="BD6" s="676"/>
      <c r="BE6" s="676"/>
      <c r="BF6" s="676"/>
      <c r="BG6" s="676"/>
      <c r="BH6" s="676"/>
      <c r="BI6" s="676"/>
      <c r="BJ6" s="676"/>
      <c r="BK6" s="676"/>
      <c r="BL6" s="676"/>
      <c r="BM6" s="676"/>
      <c r="BN6" s="676"/>
      <c r="BO6" s="676"/>
      <c r="BP6" s="676"/>
      <c r="BQ6" s="676"/>
      <c r="BR6" s="676"/>
      <c r="BS6" s="676"/>
      <c r="BT6" s="676"/>
      <c r="BU6" s="676"/>
      <c r="BV6" s="676"/>
      <c r="BW6" s="676"/>
      <c r="BX6" s="676"/>
      <c r="BY6" s="676"/>
      <c r="BZ6" s="676"/>
      <c r="CA6" s="676"/>
      <c r="CB6" s="676"/>
      <c r="CC6" s="676"/>
      <c r="CD6" s="676"/>
      <c r="CE6" s="676"/>
      <c r="CF6" s="676"/>
      <c r="CG6" s="676"/>
      <c r="CH6" s="676"/>
      <c r="CI6" s="676"/>
      <c r="CJ6" s="676"/>
      <c r="CK6" s="676"/>
      <c r="CL6" s="676"/>
      <c r="CM6" s="676"/>
      <c r="CN6" s="676"/>
      <c r="CO6" s="676"/>
      <c r="CP6" s="676"/>
      <c r="CQ6" s="676"/>
      <c r="CR6" s="676"/>
      <c r="CS6" s="676"/>
      <c r="CT6" s="676"/>
      <c r="CU6" s="676"/>
      <c r="CV6" s="676"/>
      <c r="CW6" s="676"/>
      <c r="CX6" s="676"/>
      <c r="CY6" s="676"/>
      <c r="CZ6" s="676"/>
      <c r="DA6" s="676"/>
      <c r="DB6" s="676"/>
      <c r="DC6" s="676"/>
      <c r="DD6" s="676"/>
      <c r="DE6" s="676"/>
      <c r="DF6" s="676"/>
      <c r="DG6" s="676"/>
      <c r="DH6" s="676"/>
      <c r="DI6" s="676"/>
      <c r="DJ6" s="676"/>
      <c r="DK6" s="676"/>
      <c r="DL6" s="676"/>
      <c r="DM6" s="676"/>
      <c r="DN6" s="676"/>
      <c r="DO6" s="676"/>
      <c r="DP6" s="676"/>
      <c r="DQ6" s="676"/>
      <c r="DR6" s="676"/>
      <c r="DS6" s="676"/>
      <c r="DT6" s="676"/>
      <c r="DU6" s="676"/>
      <c r="DV6" s="676"/>
      <c r="DW6" s="676"/>
      <c r="DX6" s="676"/>
      <c r="DY6" s="676"/>
      <c r="DZ6" s="676"/>
      <c r="EA6" s="676"/>
      <c r="EB6" s="676"/>
      <c r="EC6" s="676"/>
      <c r="ED6" s="676"/>
      <c r="EE6" s="676"/>
      <c r="EF6" s="676"/>
      <c r="EG6" s="676"/>
      <c r="EH6" s="676"/>
      <c r="EI6" s="676"/>
      <c r="EJ6" s="676"/>
      <c r="EK6" s="676"/>
      <c r="EL6" s="676"/>
      <c r="EM6" s="676"/>
      <c r="EN6" s="676"/>
      <c r="EO6" s="676"/>
      <c r="EP6" s="676"/>
      <c r="EQ6" s="676"/>
      <c r="ER6" s="676"/>
      <c r="ES6" s="676"/>
      <c r="ET6" s="676"/>
      <c r="EU6" s="676"/>
      <c r="EV6" s="676"/>
      <c r="EW6" s="676"/>
      <c r="EX6" s="676"/>
      <c r="EY6" s="676"/>
      <c r="EZ6" s="676"/>
      <c r="FA6" s="676"/>
      <c r="FB6" s="676"/>
      <c r="FC6" s="677"/>
    </row>
    <row r="7" spans="1:160" ht="28.5" customHeight="1" thickBot="1" x14ac:dyDescent="0.3">
      <c r="A7" s="672" t="s">
        <v>56</v>
      </c>
      <c r="B7" s="673"/>
      <c r="C7" s="673"/>
      <c r="D7" s="673"/>
      <c r="E7" s="673"/>
      <c r="F7" s="673"/>
      <c r="G7" s="675" t="s">
        <v>739</v>
      </c>
      <c r="H7" s="676"/>
      <c r="I7" s="676"/>
      <c r="J7" s="676"/>
      <c r="K7" s="676"/>
      <c r="L7" s="676"/>
      <c r="M7" s="676"/>
      <c r="N7" s="676"/>
      <c r="O7" s="676"/>
      <c r="P7" s="676"/>
      <c r="Q7" s="676"/>
      <c r="R7" s="676"/>
      <c r="S7" s="676"/>
      <c r="T7" s="676"/>
      <c r="U7" s="676"/>
      <c r="V7" s="676"/>
      <c r="W7" s="676"/>
      <c r="X7" s="676"/>
      <c r="Y7" s="676"/>
      <c r="Z7" s="676"/>
      <c r="AA7" s="676"/>
      <c r="AB7" s="676"/>
      <c r="AC7" s="676"/>
      <c r="AD7" s="676"/>
      <c r="AE7" s="676"/>
      <c r="AF7" s="676"/>
      <c r="AG7" s="676"/>
      <c r="AH7" s="676"/>
      <c r="AI7" s="676"/>
      <c r="AJ7" s="676"/>
      <c r="AK7" s="676"/>
      <c r="AL7" s="676"/>
      <c r="AM7" s="676"/>
      <c r="AN7" s="676"/>
      <c r="AO7" s="676"/>
      <c r="AP7" s="676"/>
      <c r="AQ7" s="676"/>
      <c r="AR7" s="676"/>
      <c r="AS7" s="676"/>
      <c r="AT7" s="676"/>
      <c r="AU7" s="676"/>
      <c r="AV7" s="676"/>
      <c r="AW7" s="676"/>
      <c r="AX7" s="676"/>
      <c r="AY7" s="676"/>
      <c r="AZ7" s="676"/>
      <c r="BA7" s="676"/>
      <c r="BB7" s="676"/>
      <c r="BC7" s="676"/>
      <c r="BD7" s="676"/>
      <c r="BE7" s="676"/>
      <c r="BF7" s="676"/>
      <c r="BG7" s="676"/>
      <c r="BH7" s="676"/>
      <c r="BI7" s="676"/>
      <c r="BJ7" s="676"/>
      <c r="BK7" s="676"/>
      <c r="BL7" s="676"/>
      <c r="BM7" s="676"/>
      <c r="BN7" s="676"/>
      <c r="BO7" s="676"/>
      <c r="BP7" s="676"/>
      <c r="BQ7" s="676"/>
      <c r="BR7" s="676"/>
      <c r="BS7" s="676"/>
      <c r="BT7" s="676"/>
      <c r="BU7" s="676"/>
      <c r="BV7" s="676"/>
      <c r="BW7" s="676"/>
      <c r="BX7" s="676"/>
      <c r="BY7" s="676"/>
      <c r="BZ7" s="676"/>
      <c r="CA7" s="676"/>
      <c r="CB7" s="676"/>
      <c r="CC7" s="676"/>
      <c r="CD7" s="676"/>
      <c r="CE7" s="676"/>
      <c r="CF7" s="676"/>
      <c r="CG7" s="676"/>
      <c r="CH7" s="676"/>
      <c r="CI7" s="676"/>
      <c r="CJ7" s="676"/>
      <c r="CK7" s="676"/>
      <c r="CL7" s="676"/>
      <c r="CM7" s="676"/>
      <c r="CN7" s="676"/>
      <c r="CO7" s="676"/>
      <c r="CP7" s="676"/>
      <c r="CQ7" s="676"/>
      <c r="CR7" s="676"/>
      <c r="CS7" s="676"/>
      <c r="CT7" s="676"/>
      <c r="CU7" s="676"/>
      <c r="CV7" s="676"/>
      <c r="CW7" s="676"/>
      <c r="CX7" s="676"/>
      <c r="CY7" s="676"/>
      <c r="CZ7" s="676"/>
      <c r="DA7" s="676"/>
      <c r="DB7" s="676"/>
      <c r="DC7" s="676"/>
      <c r="DD7" s="676"/>
      <c r="DE7" s="676"/>
      <c r="DF7" s="676"/>
      <c r="DG7" s="676"/>
      <c r="DH7" s="676"/>
      <c r="DI7" s="676"/>
      <c r="DJ7" s="676"/>
      <c r="DK7" s="676"/>
      <c r="DL7" s="676"/>
      <c r="DM7" s="676"/>
      <c r="DN7" s="676"/>
      <c r="DO7" s="676"/>
      <c r="DP7" s="676"/>
      <c r="DQ7" s="676"/>
      <c r="DR7" s="676"/>
      <c r="DS7" s="676"/>
      <c r="DT7" s="676"/>
      <c r="DU7" s="676"/>
      <c r="DV7" s="676"/>
      <c r="DW7" s="676"/>
      <c r="DX7" s="676"/>
      <c r="DY7" s="676"/>
      <c r="DZ7" s="676"/>
      <c r="EA7" s="676"/>
      <c r="EB7" s="676"/>
      <c r="EC7" s="676"/>
      <c r="ED7" s="676"/>
      <c r="EE7" s="676"/>
      <c r="EF7" s="676"/>
      <c r="EG7" s="676"/>
      <c r="EH7" s="676"/>
      <c r="EI7" s="676"/>
      <c r="EJ7" s="676"/>
      <c r="EK7" s="676"/>
      <c r="EL7" s="676"/>
      <c r="EM7" s="676"/>
      <c r="EN7" s="676"/>
      <c r="EO7" s="676"/>
      <c r="EP7" s="676"/>
      <c r="EQ7" s="676"/>
      <c r="ER7" s="676"/>
      <c r="ES7" s="676"/>
      <c r="ET7" s="676"/>
      <c r="EU7" s="676"/>
      <c r="EV7" s="676"/>
      <c r="EW7" s="676"/>
      <c r="EX7" s="676"/>
      <c r="EY7" s="676"/>
      <c r="EZ7" s="676"/>
      <c r="FA7" s="676"/>
      <c r="FB7" s="676"/>
      <c r="FC7" s="677"/>
    </row>
    <row r="8" spans="1:160" ht="36" customHeight="1" thickBot="1" x14ac:dyDescent="0.3">
      <c r="A8" s="672" t="s">
        <v>1</v>
      </c>
      <c r="B8" s="673"/>
      <c r="C8" s="673"/>
      <c r="D8" s="673"/>
      <c r="E8" s="673"/>
      <c r="F8" s="673"/>
      <c r="G8" s="678" t="s">
        <v>740</v>
      </c>
      <c r="H8" s="679"/>
      <c r="I8" s="679"/>
      <c r="J8" s="679"/>
      <c r="K8" s="679"/>
      <c r="L8" s="679"/>
      <c r="M8" s="679"/>
      <c r="N8" s="679"/>
      <c r="O8" s="679"/>
      <c r="P8" s="679"/>
      <c r="Q8" s="679"/>
      <c r="R8" s="679"/>
      <c r="S8" s="679"/>
      <c r="T8" s="679"/>
      <c r="U8" s="679"/>
      <c r="V8" s="679"/>
      <c r="W8" s="679"/>
      <c r="X8" s="679"/>
      <c r="Y8" s="679"/>
      <c r="Z8" s="679"/>
      <c r="AA8" s="679"/>
      <c r="AB8" s="679"/>
      <c r="AC8" s="679"/>
      <c r="AD8" s="679"/>
      <c r="AE8" s="679"/>
      <c r="AF8" s="679"/>
      <c r="AG8" s="679"/>
      <c r="AH8" s="679"/>
      <c r="AI8" s="679"/>
      <c r="AJ8" s="679"/>
      <c r="AK8" s="679"/>
      <c r="AL8" s="679"/>
      <c r="AM8" s="679"/>
      <c r="AN8" s="679"/>
      <c r="AO8" s="679"/>
      <c r="AP8" s="679"/>
      <c r="AQ8" s="679"/>
      <c r="AR8" s="679"/>
      <c r="AS8" s="679"/>
      <c r="AT8" s="679"/>
      <c r="AU8" s="679"/>
      <c r="AV8" s="679"/>
      <c r="AW8" s="679"/>
      <c r="AX8" s="679"/>
      <c r="AY8" s="679"/>
      <c r="AZ8" s="679"/>
      <c r="BA8" s="679"/>
      <c r="BB8" s="679"/>
      <c r="BC8" s="679"/>
      <c r="BD8" s="679"/>
      <c r="BE8" s="679"/>
      <c r="BF8" s="679"/>
      <c r="BG8" s="679"/>
      <c r="BH8" s="679"/>
      <c r="BI8" s="679"/>
      <c r="BJ8" s="679"/>
      <c r="BK8" s="679"/>
      <c r="BL8" s="679"/>
      <c r="BM8" s="679"/>
      <c r="BN8" s="679"/>
      <c r="BO8" s="679"/>
      <c r="BP8" s="679"/>
      <c r="BQ8" s="679"/>
      <c r="BR8" s="679"/>
      <c r="BS8" s="679"/>
      <c r="BT8" s="679"/>
      <c r="BU8" s="679"/>
      <c r="BV8" s="679"/>
      <c r="BW8" s="679"/>
      <c r="BX8" s="679"/>
      <c r="BY8" s="679"/>
      <c r="BZ8" s="679"/>
      <c r="CA8" s="679"/>
      <c r="CB8" s="679"/>
      <c r="CC8" s="679"/>
      <c r="CD8" s="679"/>
      <c r="CE8" s="679"/>
      <c r="CF8" s="679"/>
      <c r="CG8" s="679"/>
      <c r="CH8" s="679"/>
      <c r="CI8" s="679"/>
      <c r="CJ8" s="679"/>
      <c r="CK8" s="679"/>
      <c r="CL8" s="679"/>
      <c r="CM8" s="679"/>
      <c r="CN8" s="679"/>
      <c r="CO8" s="679"/>
      <c r="CP8" s="679"/>
      <c r="CQ8" s="679"/>
      <c r="CR8" s="679"/>
      <c r="CS8" s="679"/>
      <c r="CT8" s="679"/>
      <c r="CU8" s="679"/>
      <c r="CV8" s="679"/>
      <c r="CW8" s="679"/>
      <c r="CX8" s="679"/>
      <c r="CY8" s="679"/>
      <c r="CZ8" s="679"/>
      <c r="DA8" s="679"/>
      <c r="DB8" s="679"/>
      <c r="DC8" s="679"/>
      <c r="DD8" s="679"/>
      <c r="DE8" s="679"/>
      <c r="DF8" s="679"/>
      <c r="DG8" s="679"/>
      <c r="DH8" s="679"/>
      <c r="DI8" s="679"/>
      <c r="DJ8" s="679"/>
      <c r="DK8" s="679"/>
      <c r="DL8" s="679"/>
      <c r="DM8" s="679"/>
      <c r="DN8" s="679"/>
      <c r="DO8" s="679"/>
      <c r="DP8" s="679"/>
      <c r="DQ8" s="679"/>
      <c r="DR8" s="679"/>
      <c r="DS8" s="679"/>
      <c r="DT8" s="679"/>
      <c r="DU8" s="679"/>
      <c r="DV8" s="679"/>
      <c r="DW8" s="679"/>
      <c r="DX8" s="679"/>
      <c r="DY8" s="679"/>
      <c r="DZ8" s="679"/>
      <c r="EA8" s="679"/>
      <c r="EB8" s="679"/>
      <c r="EC8" s="679"/>
      <c r="ED8" s="679"/>
      <c r="EE8" s="679"/>
      <c r="EF8" s="679"/>
      <c r="EG8" s="679"/>
      <c r="EH8" s="679"/>
      <c r="EI8" s="679"/>
      <c r="EJ8" s="679"/>
      <c r="EK8" s="679"/>
      <c r="EL8" s="679"/>
      <c r="EM8" s="679"/>
      <c r="EN8" s="679"/>
      <c r="EO8" s="679"/>
      <c r="EP8" s="679"/>
      <c r="EQ8" s="679"/>
      <c r="ER8" s="679"/>
      <c r="ES8" s="679"/>
      <c r="ET8" s="679"/>
      <c r="EU8" s="679"/>
      <c r="EV8" s="679"/>
      <c r="EW8" s="679"/>
      <c r="EX8" s="679"/>
      <c r="EY8" s="679"/>
      <c r="EZ8" s="679"/>
      <c r="FA8" s="679"/>
      <c r="FB8" s="679"/>
      <c r="FC8" s="680"/>
    </row>
    <row r="9" spans="1:160" ht="18.75" thickBot="1" x14ac:dyDescent="0.3">
      <c r="A9" s="34"/>
      <c r="B9" s="33"/>
      <c r="C9" s="33"/>
      <c r="D9" s="33"/>
      <c r="E9" s="33"/>
      <c r="F9" s="33"/>
      <c r="G9" s="33"/>
      <c r="H9" s="33"/>
      <c r="I9" s="517"/>
      <c r="J9" s="33"/>
      <c r="K9" s="33"/>
      <c r="L9" s="33"/>
      <c r="M9" s="33"/>
      <c r="N9" s="33"/>
      <c r="O9" s="33"/>
      <c r="P9" s="33"/>
      <c r="Q9" s="33"/>
      <c r="R9" s="33"/>
      <c r="S9" s="33"/>
      <c r="T9" s="33"/>
      <c r="U9" s="318"/>
      <c r="V9" s="33"/>
      <c r="W9" s="33"/>
      <c r="X9" s="33"/>
      <c r="Y9" s="318"/>
      <c r="Z9" s="33"/>
      <c r="AA9" s="33"/>
      <c r="AB9" s="33"/>
      <c r="AC9" s="33"/>
      <c r="AD9" s="33"/>
      <c r="AE9" s="33"/>
      <c r="AF9" s="33"/>
      <c r="AG9" s="33"/>
      <c r="AH9" s="33"/>
      <c r="AI9" s="33"/>
      <c r="AJ9" s="33"/>
      <c r="AK9" s="33"/>
      <c r="AL9" s="33"/>
      <c r="AM9" s="33"/>
      <c r="AN9" s="33"/>
      <c r="AO9" s="33"/>
      <c r="AP9" s="33"/>
      <c r="AQ9" s="33"/>
      <c r="AR9" s="33"/>
      <c r="AS9" s="33"/>
      <c r="AT9" s="33"/>
      <c r="AU9" s="33"/>
      <c r="AV9" s="48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c r="DO9" s="33"/>
      <c r="DP9" s="33"/>
      <c r="DQ9" s="33"/>
      <c r="DR9" s="33"/>
      <c r="DS9" s="33"/>
      <c r="DT9" s="33"/>
      <c r="DU9" s="33"/>
      <c r="DV9" s="33"/>
      <c r="DW9" s="33"/>
      <c r="DX9" s="33"/>
      <c r="DY9" s="33"/>
      <c r="DZ9" s="33"/>
      <c r="EA9" s="33"/>
      <c r="EB9" s="33"/>
      <c r="EC9" s="33"/>
      <c r="ED9" s="33"/>
      <c r="EE9" s="33"/>
      <c r="EF9" s="33"/>
      <c r="EG9" s="33"/>
      <c r="EH9" s="33"/>
      <c r="EI9" s="33"/>
      <c r="EJ9" s="33"/>
      <c r="EK9" s="33"/>
      <c r="EL9" s="33"/>
      <c r="EM9" s="33"/>
      <c r="EN9" s="33"/>
      <c r="EO9" s="33"/>
      <c r="EP9" s="33"/>
      <c r="EQ9" s="33"/>
      <c r="ER9" s="33"/>
      <c r="ES9" s="33"/>
      <c r="ET9" s="33"/>
      <c r="EU9" s="33"/>
      <c r="EV9" s="33"/>
      <c r="EW9" s="33"/>
      <c r="EX9" s="33"/>
      <c r="EY9" s="33"/>
      <c r="EZ9" s="33"/>
      <c r="FA9" s="33"/>
      <c r="FB9" s="33"/>
      <c r="FC9" s="33"/>
    </row>
    <row r="10" spans="1:160" s="2" customFormat="1" ht="36" customHeight="1" x14ac:dyDescent="0.2">
      <c r="A10" s="715" t="s">
        <v>71</v>
      </c>
      <c r="B10" s="692"/>
      <c r="C10" s="692"/>
      <c r="D10" s="692"/>
      <c r="E10" s="692"/>
      <c r="F10" s="692"/>
      <c r="G10" s="692"/>
      <c r="H10" s="692"/>
      <c r="I10" s="692"/>
      <c r="J10" s="692" t="s">
        <v>237</v>
      </c>
      <c r="K10" s="692"/>
      <c r="L10" s="692"/>
      <c r="M10" s="692"/>
      <c r="N10" s="692"/>
      <c r="O10" s="692"/>
      <c r="P10" s="692"/>
      <c r="Q10" s="692"/>
      <c r="R10" s="692"/>
      <c r="S10" s="692"/>
      <c r="T10" s="692"/>
      <c r="U10" s="692"/>
      <c r="V10" s="692"/>
      <c r="W10" s="692"/>
      <c r="X10" s="692"/>
      <c r="Y10" s="692"/>
      <c r="Z10" s="692"/>
      <c r="AA10" s="692"/>
      <c r="AB10" s="692"/>
      <c r="AC10" s="692"/>
      <c r="AD10" s="692"/>
      <c r="AE10" s="692"/>
      <c r="AF10" s="692"/>
      <c r="AG10" s="692"/>
      <c r="AH10" s="692"/>
      <c r="AI10" s="692"/>
      <c r="AJ10" s="692"/>
      <c r="AK10" s="692"/>
      <c r="AL10" s="692"/>
      <c r="AM10" s="692"/>
      <c r="AN10" s="692"/>
      <c r="AO10" s="692"/>
      <c r="AP10" s="692"/>
      <c r="AQ10" s="692"/>
      <c r="AR10" s="692"/>
      <c r="AS10" s="692"/>
      <c r="AT10" s="692"/>
      <c r="AU10" s="692"/>
      <c r="AV10" s="692"/>
      <c r="AW10" s="692"/>
      <c r="AX10" s="692"/>
      <c r="AY10" s="692"/>
      <c r="AZ10" s="692"/>
      <c r="BA10" s="692"/>
      <c r="BB10" s="692"/>
      <c r="BC10" s="692"/>
      <c r="BD10" s="692"/>
      <c r="BE10" s="692"/>
      <c r="BF10" s="692"/>
      <c r="BG10" s="692"/>
      <c r="BH10" s="692"/>
      <c r="BI10" s="692"/>
      <c r="BJ10" s="692"/>
      <c r="BK10" s="692"/>
      <c r="BL10" s="692"/>
      <c r="BM10" s="692"/>
      <c r="BN10" s="692"/>
      <c r="BO10" s="692"/>
      <c r="BP10" s="692"/>
      <c r="BQ10" s="692"/>
      <c r="BR10" s="692"/>
      <c r="BS10" s="692"/>
      <c r="BT10" s="692"/>
      <c r="BU10" s="692"/>
      <c r="BV10" s="692"/>
      <c r="BW10" s="692"/>
      <c r="BX10" s="692"/>
      <c r="BY10" s="692"/>
      <c r="BZ10" s="692"/>
      <c r="CA10" s="692"/>
      <c r="CB10" s="692"/>
      <c r="CC10" s="692"/>
      <c r="CD10" s="692"/>
      <c r="CE10" s="692"/>
      <c r="CF10" s="692"/>
      <c r="CG10" s="692"/>
      <c r="CH10" s="692"/>
      <c r="CI10" s="692"/>
      <c r="CJ10" s="692"/>
      <c r="CK10" s="692"/>
      <c r="CL10" s="692"/>
      <c r="CM10" s="692"/>
      <c r="CN10" s="692"/>
      <c r="CO10" s="692"/>
      <c r="CP10" s="692"/>
      <c r="CQ10" s="692"/>
      <c r="CR10" s="692"/>
      <c r="CS10" s="692"/>
      <c r="CT10" s="692"/>
      <c r="CU10" s="692"/>
      <c r="CV10" s="692"/>
      <c r="CW10" s="692"/>
      <c r="CX10" s="692"/>
      <c r="CY10" s="692"/>
      <c r="CZ10" s="692"/>
      <c r="DA10" s="692"/>
      <c r="DB10" s="692"/>
      <c r="DC10" s="692"/>
      <c r="DD10" s="692"/>
      <c r="DE10" s="692"/>
      <c r="DF10" s="692"/>
      <c r="DG10" s="692"/>
      <c r="DH10" s="692"/>
      <c r="DI10" s="692"/>
      <c r="DJ10" s="692"/>
      <c r="DK10" s="692"/>
      <c r="DL10" s="692"/>
      <c r="DM10" s="692"/>
      <c r="DN10" s="692"/>
      <c r="DO10" s="692"/>
      <c r="DP10" s="692"/>
      <c r="DQ10" s="692"/>
      <c r="DR10" s="692"/>
      <c r="DS10" s="692"/>
      <c r="DT10" s="692"/>
      <c r="DU10" s="692"/>
      <c r="DV10" s="692"/>
      <c r="DW10" s="692"/>
      <c r="DX10" s="692"/>
      <c r="DY10" s="692"/>
      <c r="DZ10" s="692"/>
      <c r="EA10" s="692"/>
      <c r="EB10" s="692"/>
      <c r="EC10" s="692"/>
      <c r="ED10" s="692"/>
      <c r="EE10" s="692"/>
      <c r="EF10" s="692"/>
      <c r="EG10" s="692"/>
      <c r="EH10" s="692"/>
      <c r="EI10" s="692"/>
      <c r="EJ10" s="692"/>
      <c r="EK10" s="692"/>
      <c r="EL10" s="692"/>
      <c r="EM10" s="692"/>
      <c r="EN10" s="692"/>
      <c r="EO10" s="692"/>
      <c r="EP10" s="692"/>
      <c r="EQ10" s="692"/>
      <c r="ER10" s="692"/>
      <c r="ES10" s="692"/>
      <c r="ET10" s="690" t="s">
        <v>229</v>
      </c>
      <c r="EU10" s="690" t="s">
        <v>230</v>
      </c>
      <c r="EV10" s="681" t="s">
        <v>231</v>
      </c>
      <c r="EW10" s="713" t="s">
        <v>261</v>
      </c>
      <c r="EX10" s="681" t="s">
        <v>255</v>
      </c>
      <c r="EY10" s="683" t="s">
        <v>256</v>
      </c>
      <c r="EZ10" s="683" t="s">
        <v>257</v>
      </c>
      <c r="FA10" s="683" t="s">
        <v>258</v>
      </c>
      <c r="FB10" s="683" t="s">
        <v>260</v>
      </c>
      <c r="FC10" s="685" t="s">
        <v>259</v>
      </c>
    </row>
    <row r="11" spans="1:160" s="2" customFormat="1" ht="24.75" customHeight="1" x14ac:dyDescent="0.2">
      <c r="A11" s="716" t="s">
        <v>81</v>
      </c>
      <c r="B11" s="717"/>
      <c r="C11" s="717"/>
      <c r="D11" s="717"/>
      <c r="E11" s="717"/>
      <c r="F11" s="717"/>
      <c r="G11" s="717"/>
      <c r="H11" s="717"/>
      <c r="I11" s="717"/>
      <c r="J11" s="689" t="s">
        <v>49</v>
      </c>
      <c r="K11" s="689"/>
      <c r="L11" s="689"/>
      <c r="M11" s="689"/>
      <c r="N11" s="689"/>
      <c r="O11" s="689"/>
      <c r="P11" s="689"/>
      <c r="Q11" s="689"/>
      <c r="R11" s="689"/>
      <c r="S11" s="689"/>
      <c r="T11" s="689"/>
      <c r="U11" s="689"/>
      <c r="V11" s="689"/>
      <c r="W11" s="689"/>
      <c r="X11" s="689"/>
      <c r="Y11" s="689"/>
      <c r="Z11" s="689"/>
      <c r="AA11" s="689"/>
      <c r="AB11" s="689"/>
      <c r="AC11" s="689"/>
      <c r="AD11" s="689" t="s">
        <v>50</v>
      </c>
      <c r="AE11" s="689"/>
      <c r="AF11" s="689"/>
      <c r="AG11" s="689"/>
      <c r="AH11" s="689"/>
      <c r="AI11" s="689"/>
      <c r="AJ11" s="689"/>
      <c r="AK11" s="689"/>
      <c r="AL11" s="689"/>
      <c r="AM11" s="689"/>
      <c r="AN11" s="689"/>
      <c r="AO11" s="689"/>
      <c r="AP11" s="689"/>
      <c r="AQ11" s="689"/>
      <c r="AR11" s="689"/>
      <c r="AS11" s="689"/>
      <c r="AT11" s="689"/>
      <c r="AU11" s="689"/>
      <c r="AV11" s="689"/>
      <c r="AW11" s="689"/>
      <c r="AX11" s="689"/>
      <c r="AY11" s="689"/>
      <c r="AZ11" s="689"/>
      <c r="BA11" s="689"/>
      <c r="BB11" s="689"/>
      <c r="BC11" s="689"/>
      <c r="BD11" s="689"/>
      <c r="BE11" s="689"/>
      <c r="BF11" s="689"/>
      <c r="BG11" s="689"/>
      <c r="BH11" s="689" t="s">
        <v>62</v>
      </c>
      <c r="BI11" s="689"/>
      <c r="BJ11" s="689"/>
      <c r="BK11" s="689"/>
      <c r="BL11" s="689"/>
      <c r="BM11" s="689"/>
      <c r="BN11" s="689"/>
      <c r="BO11" s="689"/>
      <c r="BP11" s="689"/>
      <c r="BQ11" s="689"/>
      <c r="BR11" s="689"/>
      <c r="BS11" s="689"/>
      <c r="BT11" s="689"/>
      <c r="BU11" s="689"/>
      <c r="BV11" s="689"/>
      <c r="BW11" s="689"/>
      <c r="BX11" s="689"/>
      <c r="BY11" s="689"/>
      <c r="BZ11" s="689"/>
      <c r="CA11" s="689"/>
      <c r="CB11" s="689"/>
      <c r="CC11" s="689"/>
      <c r="CD11" s="689"/>
      <c r="CE11" s="689"/>
      <c r="CF11" s="689"/>
      <c r="CG11" s="689"/>
      <c r="CH11" s="689"/>
      <c r="CI11" s="689"/>
      <c r="CJ11" s="689"/>
      <c r="CK11" s="689"/>
      <c r="CL11" s="689" t="s">
        <v>63</v>
      </c>
      <c r="CM11" s="689"/>
      <c r="CN11" s="689"/>
      <c r="CO11" s="689"/>
      <c r="CP11" s="689"/>
      <c r="CQ11" s="689"/>
      <c r="CR11" s="689"/>
      <c r="CS11" s="689"/>
      <c r="CT11" s="689"/>
      <c r="CU11" s="689"/>
      <c r="CV11" s="689"/>
      <c r="CW11" s="689"/>
      <c r="CX11" s="689"/>
      <c r="CY11" s="689"/>
      <c r="CZ11" s="689"/>
      <c r="DA11" s="689"/>
      <c r="DB11" s="689"/>
      <c r="DC11" s="689"/>
      <c r="DD11" s="689"/>
      <c r="DE11" s="689"/>
      <c r="DF11" s="689"/>
      <c r="DG11" s="689"/>
      <c r="DH11" s="689"/>
      <c r="DI11" s="689"/>
      <c r="DJ11" s="689"/>
      <c r="DK11" s="689"/>
      <c r="DL11" s="689"/>
      <c r="DM11" s="689"/>
      <c r="DN11" s="689"/>
      <c r="DO11" s="689"/>
      <c r="DP11" s="689" t="s">
        <v>64</v>
      </c>
      <c r="DQ11" s="689"/>
      <c r="DR11" s="689"/>
      <c r="DS11" s="689"/>
      <c r="DT11" s="689"/>
      <c r="DU11" s="689"/>
      <c r="DV11" s="689"/>
      <c r="DW11" s="689"/>
      <c r="DX11" s="689"/>
      <c r="DY11" s="689"/>
      <c r="DZ11" s="689"/>
      <c r="EA11" s="689"/>
      <c r="EB11" s="689"/>
      <c r="EC11" s="689"/>
      <c r="ED11" s="689"/>
      <c r="EE11" s="689"/>
      <c r="EF11" s="689"/>
      <c r="EG11" s="689"/>
      <c r="EH11" s="689"/>
      <c r="EI11" s="689"/>
      <c r="EJ11" s="689"/>
      <c r="EK11" s="689"/>
      <c r="EL11" s="689"/>
      <c r="EM11" s="689"/>
      <c r="EN11" s="689"/>
      <c r="EO11" s="689"/>
      <c r="EP11" s="689"/>
      <c r="EQ11" s="689"/>
      <c r="ER11" s="689"/>
      <c r="ES11" s="689"/>
      <c r="ET11" s="691"/>
      <c r="EU11" s="691"/>
      <c r="EV11" s="682"/>
      <c r="EW11" s="714"/>
      <c r="EX11" s="682"/>
      <c r="EY11" s="684"/>
      <c r="EZ11" s="684"/>
      <c r="FA11" s="684"/>
      <c r="FB11" s="684"/>
      <c r="FC11" s="686"/>
    </row>
    <row r="12" spans="1:160" s="2" customFormat="1" ht="45" customHeight="1" thickBot="1" x14ac:dyDescent="0.25">
      <c r="A12" s="1499" t="s">
        <v>72</v>
      </c>
      <c r="B12" s="1500" t="s">
        <v>73</v>
      </c>
      <c r="C12" s="1500" t="s">
        <v>74</v>
      </c>
      <c r="D12" s="1500" t="s">
        <v>75</v>
      </c>
      <c r="E12" s="1500" t="s">
        <v>76</v>
      </c>
      <c r="F12" s="1500" t="s">
        <v>77</v>
      </c>
      <c r="G12" s="1500" t="s">
        <v>78</v>
      </c>
      <c r="H12" s="1500" t="s">
        <v>79</v>
      </c>
      <c r="I12" s="1501" t="s">
        <v>80</v>
      </c>
      <c r="J12" s="1502" t="s">
        <v>246</v>
      </c>
      <c r="K12" s="1503" t="s">
        <v>217</v>
      </c>
      <c r="L12" s="1504" t="s">
        <v>227</v>
      </c>
      <c r="M12" s="1503" t="s">
        <v>218</v>
      </c>
      <c r="N12" s="1504" t="s">
        <v>58</v>
      </c>
      <c r="O12" s="1503" t="s">
        <v>219</v>
      </c>
      <c r="P12" s="1504" t="s">
        <v>59</v>
      </c>
      <c r="Q12" s="1503" t="s">
        <v>220</v>
      </c>
      <c r="R12" s="1504" t="s">
        <v>60</v>
      </c>
      <c r="S12" s="1503" t="s">
        <v>221</v>
      </c>
      <c r="T12" s="1504" t="s">
        <v>61</v>
      </c>
      <c r="U12" s="1503" t="s">
        <v>222</v>
      </c>
      <c r="V12" s="1504" t="s">
        <v>51</v>
      </c>
      <c r="W12" s="1503" t="s">
        <v>223</v>
      </c>
      <c r="X12" s="1504" t="s">
        <v>228</v>
      </c>
      <c r="Y12" s="1505" t="s">
        <v>226</v>
      </c>
      <c r="Z12" s="1506" t="s">
        <v>262</v>
      </c>
      <c r="AA12" s="666" t="s">
        <v>263</v>
      </c>
      <c r="AB12" s="1507" t="s">
        <v>264</v>
      </c>
      <c r="AC12" s="666" t="s">
        <v>265</v>
      </c>
      <c r="AD12" s="1502" t="s">
        <v>246</v>
      </c>
      <c r="AE12" s="1503" t="s">
        <v>212</v>
      </c>
      <c r="AF12" s="1504" t="s">
        <v>52</v>
      </c>
      <c r="AG12" s="1503" t="s">
        <v>213</v>
      </c>
      <c r="AH12" s="1504" t="s">
        <v>53</v>
      </c>
      <c r="AI12" s="1503" t="s">
        <v>214</v>
      </c>
      <c r="AJ12" s="1504" t="s">
        <v>54</v>
      </c>
      <c r="AK12" s="1503" t="s">
        <v>215</v>
      </c>
      <c r="AL12" s="1504" t="s">
        <v>55</v>
      </c>
      <c r="AM12" s="1503" t="s">
        <v>216</v>
      </c>
      <c r="AN12" s="1504" t="s">
        <v>57</v>
      </c>
      <c r="AO12" s="1503" t="s">
        <v>217</v>
      </c>
      <c r="AP12" s="1504" t="s">
        <v>227</v>
      </c>
      <c r="AQ12" s="1503" t="s">
        <v>218</v>
      </c>
      <c r="AR12" s="1504" t="s">
        <v>58</v>
      </c>
      <c r="AS12" s="1503" t="s">
        <v>219</v>
      </c>
      <c r="AT12" s="1504" t="s">
        <v>59</v>
      </c>
      <c r="AU12" s="1503" t="s">
        <v>220</v>
      </c>
      <c r="AV12" s="1504" t="s">
        <v>60</v>
      </c>
      <c r="AW12" s="1503" t="s">
        <v>221</v>
      </c>
      <c r="AX12" s="1504" t="s">
        <v>61</v>
      </c>
      <c r="AY12" s="1503" t="s">
        <v>222</v>
      </c>
      <c r="AZ12" s="1504" t="s">
        <v>51</v>
      </c>
      <c r="BA12" s="1503" t="s">
        <v>223</v>
      </c>
      <c r="BB12" s="1504" t="s">
        <v>228</v>
      </c>
      <c r="BC12" s="1505" t="s">
        <v>226</v>
      </c>
      <c r="BD12" s="1506" t="s">
        <v>253</v>
      </c>
      <c r="BE12" s="666" t="s">
        <v>252</v>
      </c>
      <c r="BF12" s="1507" t="s">
        <v>251</v>
      </c>
      <c r="BG12" s="666" t="s">
        <v>250</v>
      </c>
      <c r="BH12" s="1502" t="s">
        <v>246</v>
      </c>
      <c r="BI12" s="1503" t="s">
        <v>212</v>
      </c>
      <c r="BJ12" s="1504" t="s">
        <v>52</v>
      </c>
      <c r="BK12" s="1503" t="s">
        <v>213</v>
      </c>
      <c r="BL12" s="1504" t="s">
        <v>53</v>
      </c>
      <c r="BM12" s="1503" t="s">
        <v>214</v>
      </c>
      <c r="BN12" s="1504" t="s">
        <v>54</v>
      </c>
      <c r="BO12" s="1503" t="s">
        <v>215</v>
      </c>
      <c r="BP12" s="1504" t="s">
        <v>55</v>
      </c>
      <c r="BQ12" s="1503" t="s">
        <v>216</v>
      </c>
      <c r="BR12" s="1504" t="s">
        <v>57</v>
      </c>
      <c r="BS12" s="1503" t="s">
        <v>217</v>
      </c>
      <c r="BT12" s="1504" t="s">
        <v>227</v>
      </c>
      <c r="BU12" s="1503" t="s">
        <v>218</v>
      </c>
      <c r="BV12" s="1504" t="s">
        <v>58</v>
      </c>
      <c r="BW12" s="1503" t="s">
        <v>219</v>
      </c>
      <c r="BX12" s="1504" t="s">
        <v>59</v>
      </c>
      <c r="BY12" s="1503" t="s">
        <v>220</v>
      </c>
      <c r="BZ12" s="1504" t="s">
        <v>60</v>
      </c>
      <c r="CA12" s="1503" t="s">
        <v>221</v>
      </c>
      <c r="CB12" s="1504" t="s">
        <v>61</v>
      </c>
      <c r="CC12" s="1503" t="s">
        <v>222</v>
      </c>
      <c r="CD12" s="1504" t="s">
        <v>51</v>
      </c>
      <c r="CE12" s="1503" t="s">
        <v>223</v>
      </c>
      <c r="CF12" s="1504" t="s">
        <v>228</v>
      </c>
      <c r="CG12" s="1505" t="s">
        <v>226</v>
      </c>
      <c r="CH12" s="1507" t="s">
        <v>232</v>
      </c>
      <c r="CI12" s="666" t="s">
        <v>233</v>
      </c>
      <c r="CJ12" s="1507" t="s">
        <v>234</v>
      </c>
      <c r="CK12" s="666" t="s">
        <v>235</v>
      </c>
      <c r="CL12" s="1502" t="s">
        <v>246</v>
      </c>
      <c r="CM12" s="1503" t="s">
        <v>212</v>
      </c>
      <c r="CN12" s="1504" t="s">
        <v>52</v>
      </c>
      <c r="CO12" s="1503" t="s">
        <v>213</v>
      </c>
      <c r="CP12" s="1504" t="s">
        <v>53</v>
      </c>
      <c r="CQ12" s="1503" t="s">
        <v>214</v>
      </c>
      <c r="CR12" s="1504" t="s">
        <v>54</v>
      </c>
      <c r="CS12" s="1503" t="s">
        <v>215</v>
      </c>
      <c r="CT12" s="1504" t="s">
        <v>55</v>
      </c>
      <c r="CU12" s="1503" t="s">
        <v>216</v>
      </c>
      <c r="CV12" s="1504" t="s">
        <v>57</v>
      </c>
      <c r="CW12" s="1503" t="s">
        <v>217</v>
      </c>
      <c r="CX12" s="1504" t="s">
        <v>227</v>
      </c>
      <c r="CY12" s="1503" t="s">
        <v>218</v>
      </c>
      <c r="CZ12" s="1504" t="s">
        <v>58</v>
      </c>
      <c r="DA12" s="1503" t="s">
        <v>219</v>
      </c>
      <c r="DB12" s="1504" t="s">
        <v>59</v>
      </c>
      <c r="DC12" s="1503" t="s">
        <v>220</v>
      </c>
      <c r="DD12" s="1504" t="s">
        <v>60</v>
      </c>
      <c r="DE12" s="1503" t="s">
        <v>221</v>
      </c>
      <c r="DF12" s="1504" t="s">
        <v>61</v>
      </c>
      <c r="DG12" s="1503" t="s">
        <v>222</v>
      </c>
      <c r="DH12" s="1504" t="s">
        <v>51</v>
      </c>
      <c r="DI12" s="1503" t="s">
        <v>223</v>
      </c>
      <c r="DJ12" s="1504" t="s">
        <v>228</v>
      </c>
      <c r="DK12" s="1505" t="s">
        <v>226</v>
      </c>
      <c r="DL12" s="1506" t="s">
        <v>238</v>
      </c>
      <c r="DM12" s="666" t="s">
        <v>239</v>
      </c>
      <c r="DN12" s="1506" t="s">
        <v>240</v>
      </c>
      <c r="DO12" s="666" t="s">
        <v>241</v>
      </c>
      <c r="DP12" s="1502" t="s">
        <v>246</v>
      </c>
      <c r="DQ12" s="1503" t="s">
        <v>212</v>
      </c>
      <c r="DR12" s="1504" t="s">
        <v>52</v>
      </c>
      <c r="DS12" s="1503" t="s">
        <v>213</v>
      </c>
      <c r="DT12" s="1504" t="s">
        <v>53</v>
      </c>
      <c r="DU12" s="1503" t="s">
        <v>214</v>
      </c>
      <c r="DV12" s="1504" t="s">
        <v>54</v>
      </c>
      <c r="DW12" s="1503" t="s">
        <v>215</v>
      </c>
      <c r="DX12" s="1504" t="s">
        <v>55</v>
      </c>
      <c r="DY12" s="1503" t="s">
        <v>216</v>
      </c>
      <c r="DZ12" s="1504" t="s">
        <v>57</v>
      </c>
      <c r="EA12" s="1503" t="s">
        <v>217</v>
      </c>
      <c r="EB12" s="1504" t="s">
        <v>227</v>
      </c>
      <c r="EC12" s="1503" t="s">
        <v>218</v>
      </c>
      <c r="ED12" s="1504" t="s">
        <v>58</v>
      </c>
      <c r="EE12" s="1503" t="s">
        <v>219</v>
      </c>
      <c r="EF12" s="1504" t="s">
        <v>59</v>
      </c>
      <c r="EG12" s="1503" t="s">
        <v>220</v>
      </c>
      <c r="EH12" s="1504" t="s">
        <v>60</v>
      </c>
      <c r="EI12" s="1503" t="s">
        <v>221</v>
      </c>
      <c r="EJ12" s="1504" t="s">
        <v>61</v>
      </c>
      <c r="EK12" s="1503" t="s">
        <v>222</v>
      </c>
      <c r="EL12" s="1504" t="s">
        <v>51</v>
      </c>
      <c r="EM12" s="1503" t="s">
        <v>223</v>
      </c>
      <c r="EN12" s="1504" t="s">
        <v>228</v>
      </c>
      <c r="EO12" s="1505" t="s">
        <v>226</v>
      </c>
      <c r="EP12" s="1506" t="s">
        <v>242</v>
      </c>
      <c r="EQ12" s="666" t="s">
        <v>243</v>
      </c>
      <c r="ER12" s="1506" t="s">
        <v>244</v>
      </c>
      <c r="ES12" s="666" t="s">
        <v>245</v>
      </c>
      <c r="ET12" s="1508"/>
      <c r="EU12" s="1508"/>
      <c r="EV12" s="1509"/>
      <c r="EW12" s="1510"/>
      <c r="EX12" s="1509"/>
      <c r="EY12" s="892"/>
      <c r="EZ12" s="892"/>
      <c r="FA12" s="892"/>
      <c r="FB12" s="892"/>
      <c r="FC12" s="1511"/>
    </row>
    <row r="13" spans="1:160" s="30" customFormat="1" ht="194.25" customHeight="1" x14ac:dyDescent="0.2">
      <c r="A13" s="1512">
        <v>2</v>
      </c>
      <c r="B13" s="1513">
        <v>27</v>
      </c>
      <c r="C13" s="1514">
        <v>198</v>
      </c>
      <c r="D13" s="1515" t="s">
        <v>273</v>
      </c>
      <c r="E13" s="1514">
        <v>212</v>
      </c>
      <c r="F13" s="1516" t="s">
        <v>274</v>
      </c>
      <c r="G13" s="1517" t="s">
        <v>275</v>
      </c>
      <c r="H13" s="1517" t="s">
        <v>276</v>
      </c>
      <c r="I13" s="1518">
        <v>1</v>
      </c>
      <c r="J13" s="1519">
        <f>AB13</f>
        <v>0.15</v>
      </c>
      <c r="K13" s="1520"/>
      <c r="L13" s="1520"/>
      <c r="M13" s="1520">
        <v>0.03</v>
      </c>
      <c r="N13" s="1520">
        <v>0.03</v>
      </c>
      <c r="O13" s="1520">
        <v>0.05</v>
      </c>
      <c r="P13" s="1520">
        <v>0.05</v>
      </c>
      <c r="Q13" s="1520">
        <v>0.08</v>
      </c>
      <c r="R13" s="1520">
        <v>0.08</v>
      </c>
      <c r="S13" s="1520">
        <v>0.1</v>
      </c>
      <c r="T13" s="1520">
        <v>0.1</v>
      </c>
      <c r="U13" s="1520">
        <v>0.13</v>
      </c>
      <c r="V13" s="1520">
        <v>0.13</v>
      </c>
      <c r="W13" s="1521">
        <v>0.15</v>
      </c>
      <c r="X13" s="1522">
        <v>0.15</v>
      </c>
      <c r="Y13" s="1522">
        <v>0.15</v>
      </c>
      <c r="Z13" s="1523">
        <f>+X13/Y13</f>
        <v>1</v>
      </c>
      <c r="AA13" s="1522">
        <v>0.15</v>
      </c>
      <c r="AB13" s="1522">
        <v>0.15</v>
      </c>
      <c r="AC13" s="1522">
        <f>X13</f>
        <v>0.15</v>
      </c>
      <c r="AD13" s="1524">
        <v>0.25</v>
      </c>
      <c r="AE13" s="1524">
        <v>0.02</v>
      </c>
      <c r="AF13" s="1524">
        <v>0.02</v>
      </c>
      <c r="AG13" s="1524">
        <v>0.02</v>
      </c>
      <c r="AH13" s="1524">
        <v>0.02</v>
      </c>
      <c r="AI13" s="1524">
        <v>0.02</v>
      </c>
      <c r="AJ13" s="1524">
        <v>0.02</v>
      </c>
      <c r="AK13" s="1524">
        <v>0.02</v>
      </c>
      <c r="AL13" s="1524">
        <v>0.02</v>
      </c>
      <c r="AM13" s="1525">
        <v>0.02</v>
      </c>
      <c r="AN13" s="1525">
        <v>0.02</v>
      </c>
      <c r="AO13" s="1526">
        <v>0.02</v>
      </c>
      <c r="AP13" s="1526">
        <v>0.02</v>
      </c>
      <c r="AQ13" s="1526">
        <v>0.02</v>
      </c>
      <c r="AR13" s="1526">
        <v>0.02</v>
      </c>
      <c r="AS13" s="1526">
        <v>0.02</v>
      </c>
      <c r="AT13" s="1526">
        <v>0.02</v>
      </c>
      <c r="AU13" s="1526">
        <v>0.02</v>
      </c>
      <c r="AV13" s="1521">
        <v>0.02</v>
      </c>
      <c r="AW13" s="1521">
        <v>0.02</v>
      </c>
      <c r="AX13" s="1521">
        <v>0.02</v>
      </c>
      <c r="AY13" s="1521">
        <v>0.03</v>
      </c>
      <c r="AZ13" s="1521">
        <v>0.03</v>
      </c>
      <c r="BA13" s="1521">
        <v>0.02</v>
      </c>
      <c r="BB13" s="1527">
        <v>0.02</v>
      </c>
      <c r="BC13" s="1528">
        <f>BA13+AY13+AW13+AU13+AQ13+AS13+AO13+AM13+AK13+AI13+AG13+AE13</f>
        <v>0.24999999999999994</v>
      </c>
      <c r="BD13" s="1528">
        <f>AE13+AG13+AI13+AK13+AM13+AO13+AQ13+AS13+AU13+AW13+AY13+BA13</f>
        <v>0.24999999999999997</v>
      </c>
      <c r="BE13" s="1528">
        <f>AF13+AH13+AJ13+AL13+AN13+AP13+AR13+AT13+AV13+AX13+AZ13+BB13</f>
        <v>0.24999999999999997</v>
      </c>
      <c r="BF13" s="1528">
        <f>AE13+AG13+AI13+AK13+AM13+AO13+AQ13+AS13+AU13+AW13+AY13+BA13</f>
        <v>0.24999999999999997</v>
      </c>
      <c r="BG13" s="1529">
        <f>AF13+AH13+AJ13+AL13+AN13+AP13+AR13+AT13+AV13+AX13+AZ13+BB13</f>
        <v>0.24999999999999997</v>
      </c>
      <c r="BH13" s="1530">
        <v>0.25</v>
      </c>
      <c r="BI13" s="1531"/>
      <c r="BJ13" s="1531"/>
      <c r="BK13" s="1531"/>
      <c r="BL13" s="1532"/>
      <c r="BM13" s="1531"/>
      <c r="BN13" s="1531"/>
      <c r="BO13" s="1531"/>
      <c r="BP13" s="1531"/>
      <c r="BQ13" s="1531"/>
      <c r="BR13" s="1531"/>
      <c r="BS13" s="1531"/>
      <c r="BT13" s="1531"/>
      <c r="BU13" s="1531"/>
      <c r="BV13" s="1531"/>
      <c r="BW13" s="1531"/>
      <c r="BX13" s="1531"/>
      <c r="BY13" s="1531"/>
      <c r="BZ13" s="1531"/>
      <c r="CA13" s="1531"/>
      <c r="CB13" s="1531"/>
      <c r="CC13" s="1531"/>
      <c r="CD13" s="1531"/>
      <c r="CE13" s="1531"/>
      <c r="CF13" s="1531"/>
      <c r="CG13" s="1531"/>
      <c r="CH13" s="1531"/>
      <c r="CI13" s="1531"/>
      <c r="CJ13" s="1531"/>
      <c r="CK13" s="1531"/>
      <c r="CL13" s="1528">
        <v>0.25</v>
      </c>
      <c r="CM13" s="1533"/>
      <c r="CN13" s="1533"/>
      <c r="CO13" s="1533"/>
      <c r="CP13" s="1533"/>
      <c r="CQ13" s="1533"/>
      <c r="CR13" s="1533"/>
      <c r="CS13" s="1533"/>
      <c r="CT13" s="1533"/>
      <c r="CU13" s="1533"/>
      <c r="CV13" s="1533"/>
      <c r="CW13" s="1533"/>
      <c r="CX13" s="1533"/>
      <c r="CY13" s="1533"/>
      <c r="CZ13" s="1533"/>
      <c r="DA13" s="1533"/>
      <c r="DB13" s="1533"/>
      <c r="DC13" s="1533"/>
      <c r="DD13" s="1533"/>
      <c r="DE13" s="1533"/>
      <c r="DF13" s="1533"/>
      <c r="DG13" s="1533"/>
      <c r="DH13" s="1533"/>
      <c r="DI13" s="1533"/>
      <c r="DJ13" s="1533"/>
      <c r="DK13" s="1533"/>
      <c r="DL13" s="1533"/>
      <c r="DM13" s="1533"/>
      <c r="DN13" s="1533"/>
      <c r="DO13" s="1533"/>
      <c r="DP13" s="1528">
        <v>0.1</v>
      </c>
      <c r="DQ13" s="1533"/>
      <c r="DR13" s="1533"/>
      <c r="DS13" s="1533"/>
      <c r="DT13" s="1533"/>
      <c r="DU13" s="1533"/>
      <c r="DV13" s="1533"/>
      <c r="DW13" s="1533"/>
      <c r="DX13" s="1533"/>
      <c r="DY13" s="1533"/>
      <c r="DZ13" s="1533"/>
      <c r="EA13" s="1533"/>
      <c r="EB13" s="1533"/>
      <c r="EC13" s="1533"/>
      <c r="ED13" s="1533"/>
      <c r="EE13" s="1533"/>
      <c r="EF13" s="1533"/>
      <c r="EG13" s="1533"/>
      <c r="EH13" s="1533"/>
      <c r="EI13" s="1533"/>
      <c r="EJ13" s="1533"/>
      <c r="EK13" s="1533"/>
      <c r="EL13" s="1533"/>
      <c r="EM13" s="1533"/>
      <c r="EN13" s="1533"/>
      <c r="EO13" s="1533"/>
      <c r="EP13" s="1533"/>
      <c r="EQ13" s="1533"/>
      <c r="ER13" s="1533"/>
      <c r="ES13" s="1533"/>
      <c r="ET13" s="1534">
        <f>AV13/AU13</f>
        <v>1</v>
      </c>
      <c r="EU13" s="1534">
        <f>BE13/BD13</f>
        <v>1</v>
      </c>
      <c r="EV13" s="1535">
        <f>BG13/BF13</f>
        <v>1</v>
      </c>
      <c r="EW13" s="1536">
        <f>(BE13+AC13)/(AB13+BD13)</f>
        <v>1</v>
      </c>
      <c r="EX13" s="1536">
        <f>(BE13+AC13)/I13</f>
        <v>0.39999999999999997</v>
      </c>
      <c r="EY13" s="1537" t="s">
        <v>1330</v>
      </c>
      <c r="EZ13" s="1538" t="s">
        <v>70</v>
      </c>
      <c r="FA13" s="1538" t="s">
        <v>70</v>
      </c>
      <c r="FB13" s="1539" t="s">
        <v>702</v>
      </c>
      <c r="FC13" s="1540" t="s">
        <v>703</v>
      </c>
    </row>
    <row r="14" spans="1:160" s="30" customFormat="1" ht="119.25" customHeight="1" x14ac:dyDescent="0.2">
      <c r="A14" s="709"/>
      <c r="B14" s="711"/>
      <c r="C14" s="663">
        <v>199</v>
      </c>
      <c r="D14" s="510" t="s">
        <v>277</v>
      </c>
      <c r="E14" s="663">
        <v>213</v>
      </c>
      <c r="F14" s="475" t="s">
        <v>278</v>
      </c>
      <c r="G14" s="462" t="s">
        <v>275</v>
      </c>
      <c r="H14" s="462" t="s">
        <v>276</v>
      </c>
      <c r="I14" s="431">
        <v>1</v>
      </c>
      <c r="J14" s="428">
        <f t="shared" ref="J14:J17" si="0">AB14</f>
        <v>0.05</v>
      </c>
      <c r="K14" s="429"/>
      <c r="L14" s="429"/>
      <c r="M14" s="429">
        <v>0</v>
      </c>
      <c r="N14" s="429">
        <v>0</v>
      </c>
      <c r="O14" s="429">
        <v>0.01</v>
      </c>
      <c r="P14" s="429">
        <v>0.01</v>
      </c>
      <c r="Q14" s="429">
        <v>0.02</v>
      </c>
      <c r="R14" s="429">
        <v>0.02</v>
      </c>
      <c r="S14" s="429">
        <v>0.03</v>
      </c>
      <c r="T14" s="429">
        <v>0.03</v>
      </c>
      <c r="U14" s="429">
        <v>0.04</v>
      </c>
      <c r="V14" s="429">
        <v>0.04</v>
      </c>
      <c r="W14" s="113">
        <v>0.05</v>
      </c>
      <c r="X14" s="319">
        <v>0.05</v>
      </c>
      <c r="Y14" s="319">
        <v>0.05</v>
      </c>
      <c r="Z14" s="320">
        <f t="shared" ref="Z14:Z17" si="1">+X14/Y14</f>
        <v>1</v>
      </c>
      <c r="AA14" s="319">
        <v>0.05</v>
      </c>
      <c r="AB14" s="319">
        <v>0.05</v>
      </c>
      <c r="AC14" s="319">
        <f t="shared" ref="AC14:AC17" si="2">X14</f>
        <v>0.05</v>
      </c>
      <c r="AD14" s="512">
        <v>0.3</v>
      </c>
      <c r="AE14" s="512">
        <v>0.01</v>
      </c>
      <c r="AF14" s="512">
        <v>0.01</v>
      </c>
      <c r="AG14" s="512">
        <v>0.06</v>
      </c>
      <c r="AH14" s="512">
        <v>0.06</v>
      </c>
      <c r="AI14" s="512">
        <v>0.01</v>
      </c>
      <c r="AJ14" s="512">
        <v>0.01</v>
      </c>
      <c r="AK14" s="512">
        <v>0.01</v>
      </c>
      <c r="AL14" s="512">
        <v>0.01</v>
      </c>
      <c r="AM14" s="512">
        <v>0.01</v>
      </c>
      <c r="AN14" s="512">
        <v>0.01</v>
      </c>
      <c r="AO14" s="430">
        <v>0.01</v>
      </c>
      <c r="AP14" s="430">
        <v>0.01</v>
      </c>
      <c r="AQ14" s="430">
        <v>0.1</v>
      </c>
      <c r="AR14" s="430">
        <v>0.1</v>
      </c>
      <c r="AS14" s="430">
        <v>0.01</v>
      </c>
      <c r="AT14" s="430">
        <v>0.01</v>
      </c>
      <c r="AU14" s="430">
        <v>0.01</v>
      </c>
      <c r="AV14" s="513">
        <v>0.01</v>
      </c>
      <c r="AW14" s="513">
        <v>0.05</v>
      </c>
      <c r="AX14" s="513">
        <v>0.05</v>
      </c>
      <c r="AY14" s="513">
        <v>0.01</v>
      </c>
      <c r="AZ14" s="513">
        <v>0.01</v>
      </c>
      <c r="BA14" s="513">
        <v>0.01</v>
      </c>
      <c r="BB14" s="1472">
        <v>0.01</v>
      </c>
      <c r="BC14" s="321">
        <f>BA14+AY14+AW14+AU14+AQ14+AS14+AO14+AM14+AK14+AI14+AG14+AE14</f>
        <v>0.30000000000000004</v>
      </c>
      <c r="BD14" s="321">
        <f t="shared" ref="BD14:BD17" si="3">AE14+AG14+AI14+AK14+AM14+AO14+AQ14+AS14+AU14+AW14+AY14+BA14</f>
        <v>0.3</v>
      </c>
      <c r="BE14" s="321">
        <f>AF14+AH14+AJ14+AL14+AN14+AP14+AR14+AT14+AV14+AX14+AZ14+BB14</f>
        <v>0.3</v>
      </c>
      <c r="BF14" s="321">
        <f t="shared" ref="BF14" si="4">AE14+AG14+AI14+AK14+AM14+AO14+AQ14+AS14+AU14+AW14+AY14+BA14</f>
        <v>0.3</v>
      </c>
      <c r="BG14" s="1488">
        <f>AF14+AH14+AJ14+AL14+AN14+AP14+AR14+AT14+AV14+AX14+AZ14+BB14</f>
        <v>0.3</v>
      </c>
      <c r="BH14" s="1489">
        <v>0.3</v>
      </c>
      <c r="BI14" s="1468"/>
      <c r="BJ14" s="1468"/>
      <c r="BK14" s="1468"/>
      <c r="BL14" s="1469"/>
      <c r="BM14" s="1468"/>
      <c r="BN14" s="1468"/>
      <c r="BO14" s="1468"/>
      <c r="BP14" s="1468"/>
      <c r="BQ14" s="1468"/>
      <c r="BR14" s="1468"/>
      <c r="BS14" s="1468"/>
      <c r="BT14" s="1468"/>
      <c r="BU14" s="1468"/>
      <c r="BV14" s="1468"/>
      <c r="BW14" s="1468"/>
      <c r="BX14" s="1468"/>
      <c r="BY14" s="1468"/>
      <c r="BZ14" s="1468"/>
      <c r="CA14" s="1468"/>
      <c r="CB14" s="1468"/>
      <c r="CC14" s="1468"/>
      <c r="CD14" s="1468"/>
      <c r="CE14" s="1468"/>
      <c r="CF14" s="1468"/>
      <c r="CG14" s="1468"/>
      <c r="CH14" s="1468"/>
      <c r="CI14" s="1468"/>
      <c r="CJ14" s="1468"/>
      <c r="CK14" s="1468"/>
      <c r="CL14" s="321">
        <v>0.3</v>
      </c>
      <c r="CM14" s="323"/>
      <c r="CN14" s="323"/>
      <c r="CO14" s="323"/>
      <c r="CP14" s="323"/>
      <c r="CQ14" s="323"/>
      <c r="CR14" s="323"/>
      <c r="CS14" s="323"/>
      <c r="CT14" s="323"/>
      <c r="CU14" s="323"/>
      <c r="CV14" s="323"/>
      <c r="CW14" s="323"/>
      <c r="CX14" s="323"/>
      <c r="CY14" s="323"/>
      <c r="CZ14" s="323"/>
      <c r="DA14" s="323"/>
      <c r="DB14" s="323"/>
      <c r="DC14" s="323"/>
      <c r="DD14" s="323"/>
      <c r="DE14" s="323"/>
      <c r="DF14" s="323"/>
      <c r="DG14" s="323"/>
      <c r="DH14" s="323"/>
      <c r="DI14" s="323"/>
      <c r="DJ14" s="323"/>
      <c r="DK14" s="323"/>
      <c r="DL14" s="323"/>
      <c r="DM14" s="323"/>
      <c r="DN14" s="323"/>
      <c r="DO14" s="323"/>
      <c r="DP14" s="321">
        <v>0.05</v>
      </c>
      <c r="DQ14" s="323"/>
      <c r="DR14" s="323"/>
      <c r="DS14" s="323"/>
      <c r="DT14" s="323"/>
      <c r="DU14" s="323"/>
      <c r="DV14" s="323"/>
      <c r="DW14" s="323"/>
      <c r="DX14" s="323"/>
      <c r="DY14" s="323"/>
      <c r="DZ14" s="323"/>
      <c r="EA14" s="323"/>
      <c r="EB14" s="323"/>
      <c r="EC14" s="323"/>
      <c r="ED14" s="323"/>
      <c r="EE14" s="323"/>
      <c r="EF14" s="323"/>
      <c r="EG14" s="323"/>
      <c r="EH14" s="323"/>
      <c r="EI14" s="323"/>
      <c r="EJ14" s="323"/>
      <c r="EK14" s="323"/>
      <c r="EL14" s="323"/>
      <c r="EM14" s="323"/>
      <c r="EN14" s="323"/>
      <c r="EO14" s="323"/>
      <c r="EP14" s="323"/>
      <c r="EQ14" s="323"/>
      <c r="ER14" s="323"/>
      <c r="ES14" s="323"/>
      <c r="ET14" s="1490">
        <f t="shared" ref="ET14:ET17" si="5">AV14/AU14</f>
        <v>1</v>
      </c>
      <c r="EU14" s="1490">
        <f>BE14/BD14</f>
        <v>1</v>
      </c>
      <c r="EV14" s="1491">
        <f>BG14/BF14</f>
        <v>1</v>
      </c>
      <c r="EW14" s="1492">
        <f>(BE14+AC14)/(AB14+BD14)</f>
        <v>1</v>
      </c>
      <c r="EX14" s="1492">
        <f>(BE14+AC14)/I14</f>
        <v>0.35</v>
      </c>
      <c r="EY14" s="1470" t="s">
        <v>1194</v>
      </c>
      <c r="EZ14" s="1471" t="s">
        <v>70</v>
      </c>
      <c r="FA14" s="1471" t="s">
        <v>70</v>
      </c>
      <c r="FB14" s="322" t="s">
        <v>661</v>
      </c>
      <c r="FC14" s="327" t="s">
        <v>662</v>
      </c>
    </row>
    <row r="15" spans="1:160" s="30" customFormat="1" ht="158.25" customHeight="1" x14ac:dyDescent="0.2">
      <c r="A15" s="709"/>
      <c r="B15" s="711"/>
      <c r="C15" s="674">
        <v>200</v>
      </c>
      <c r="D15" s="1473" t="s">
        <v>279</v>
      </c>
      <c r="E15" s="663">
        <v>214</v>
      </c>
      <c r="F15" s="475" t="s">
        <v>280</v>
      </c>
      <c r="G15" s="462" t="s">
        <v>281</v>
      </c>
      <c r="H15" s="462" t="s">
        <v>276</v>
      </c>
      <c r="I15" s="431">
        <v>600</v>
      </c>
      <c r="J15" s="428">
        <f t="shared" si="0"/>
        <v>66</v>
      </c>
      <c r="K15" s="432"/>
      <c r="L15" s="432"/>
      <c r="M15" s="432">
        <v>11</v>
      </c>
      <c r="N15" s="432">
        <v>11</v>
      </c>
      <c r="O15" s="432">
        <v>22</v>
      </c>
      <c r="P15" s="432">
        <v>22</v>
      </c>
      <c r="Q15" s="432">
        <v>33</v>
      </c>
      <c r="R15" s="432">
        <v>33</v>
      </c>
      <c r="S15" s="432">
        <v>44</v>
      </c>
      <c r="T15" s="432">
        <v>44</v>
      </c>
      <c r="U15" s="432">
        <v>55</v>
      </c>
      <c r="V15" s="432">
        <v>55</v>
      </c>
      <c r="W15" s="113">
        <v>66</v>
      </c>
      <c r="X15" s="319">
        <v>66</v>
      </c>
      <c r="Y15" s="319">
        <v>66</v>
      </c>
      <c r="Z15" s="320">
        <f t="shared" si="1"/>
        <v>1</v>
      </c>
      <c r="AA15" s="319">
        <v>66</v>
      </c>
      <c r="AB15" s="319">
        <v>66</v>
      </c>
      <c r="AC15" s="319">
        <f t="shared" si="2"/>
        <v>66</v>
      </c>
      <c r="AD15" s="427">
        <v>109</v>
      </c>
      <c r="AE15" s="427">
        <v>5</v>
      </c>
      <c r="AF15" s="427">
        <v>5</v>
      </c>
      <c r="AG15" s="427">
        <v>8</v>
      </c>
      <c r="AH15" s="427">
        <v>8</v>
      </c>
      <c r="AI15" s="427">
        <v>10</v>
      </c>
      <c r="AJ15" s="427">
        <v>10</v>
      </c>
      <c r="AK15" s="427">
        <v>10</v>
      </c>
      <c r="AL15" s="427">
        <v>10</v>
      </c>
      <c r="AM15" s="427">
        <v>10</v>
      </c>
      <c r="AN15" s="514">
        <v>10</v>
      </c>
      <c r="AO15" s="514">
        <v>10</v>
      </c>
      <c r="AP15" s="514">
        <v>10</v>
      </c>
      <c r="AQ15" s="514">
        <v>10</v>
      </c>
      <c r="AR15" s="515">
        <v>10</v>
      </c>
      <c r="AS15" s="514">
        <v>10</v>
      </c>
      <c r="AT15" s="514">
        <v>10</v>
      </c>
      <c r="AU15" s="514">
        <v>10</v>
      </c>
      <c r="AV15" s="113">
        <v>10</v>
      </c>
      <c r="AW15" s="113">
        <v>10</v>
      </c>
      <c r="AX15" s="113">
        <v>10</v>
      </c>
      <c r="AY15" s="113">
        <v>10</v>
      </c>
      <c r="AZ15" s="113">
        <v>10</v>
      </c>
      <c r="BA15" s="113">
        <v>6</v>
      </c>
      <c r="BB15" s="1467">
        <v>10</v>
      </c>
      <c r="BC15" s="1468">
        <f>BA15+AY15+AW15+AU15+AQ15+AS15+AO15+AM15+AK15+AI15+AG15+AE15</f>
        <v>109</v>
      </c>
      <c r="BD15" s="321">
        <f t="shared" si="3"/>
        <v>109</v>
      </c>
      <c r="BE15" s="321">
        <f>AF15+AH15+AJ15+AL15+AN15+AP15+AR15+AT15+AV15+AX15+AZ15+BB15</f>
        <v>113</v>
      </c>
      <c r="BF15" s="321">
        <v>113</v>
      </c>
      <c r="BG15" s="1488">
        <f>AF15+AH15+AJ15+AL15+AN15+AP15+AR15+AT15+AV15+AX15+AZ15+BB15</f>
        <v>113</v>
      </c>
      <c r="BH15" s="1493">
        <v>150</v>
      </c>
      <c r="BI15" s="323"/>
      <c r="BJ15" s="323"/>
      <c r="BK15" s="323"/>
      <c r="BL15" s="323"/>
      <c r="BM15" s="323"/>
      <c r="BN15" s="323"/>
      <c r="BO15" s="323"/>
      <c r="BP15" s="323"/>
      <c r="BQ15" s="323"/>
      <c r="BR15" s="323"/>
      <c r="BS15" s="323"/>
      <c r="BT15" s="323"/>
      <c r="BU15" s="323"/>
      <c r="BV15" s="323"/>
      <c r="BW15" s="323"/>
      <c r="BX15" s="323"/>
      <c r="BY15" s="323"/>
      <c r="BZ15" s="323"/>
      <c r="CA15" s="323"/>
      <c r="CB15" s="323"/>
      <c r="CC15" s="323"/>
      <c r="CD15" s="323"/>
      <c r="CE15" s="323"/>
      <c r="CF15" s="323"/>
      <c r="CG15" s="323"/>
      <c r="CH15" s="323"/>
      <c r="CI15" s="323"/>
      <c r="CJ15" s="1474"/>
      <c r="CK15" s="323"/>
      <c r="CL15" s="323">
        <v>190</v>
      </c>
      <c r="CM15" s="323"/>
      <c r="CN15" s="323"/>
      <c r="CO15" s="323"/>
      <c r="CP15" s="323"/>
      <c r="CQ15" s="323"/>
      <c r="CR15" s="323"/>
      <c r="CS15" s="323"/>
      <c r="CT15" s="323"/>
      <c r="CU15" s="323"/>
      <c r="CV15" s="323"/>
      <c r="CW15" s="323"/>
      <c r="CX15" s="323"/>
      <c r="CY15" s="323"/>
      <c r="CZ15" s="323"/>
      <c r="DA15" s="323"/>
      <c r="DB15" s="323"/>
      <c r="DC15" s="323"/>
      <c r="DD15" s="323"/>
      <c r="DE15" s="323"/>
      <c r="DF15" s="323"/>
      <c r="DG15" s="323"/>
      <c r="DH15" s="323"/>
      <c r="DI15" s="323"/>
      <c r="DJ15" s="323"/>
      <c r="DK15" s="323"/>
      <c r="DL15" s="323"/>
      <c r="DM15" s="323"/>
      <c r="DN15" s="323"/>
      <c r="DO15" s="323"/>
      <c r="DP15" s="321">
        <v>81</v>
      </c>
      <c r="DQ15" s="321"/>
      <c r="DR15" s="321"/>
      <c r="DS15" s="321"/>
      <c r="DT15" s="321"/>
      <c r="DU15" s="321"/>
      <c r="DV15" s="321"/>
      <c r="DW15" s="321"/>
      <c r="DX15" s="321"/>
      <c r="DY15" s="321"/>
      <c r="DZ15" s="321"/>
      <c r="EA15" s="321"/>
      <c r="EB15" s="321"/>
      <c r="EC15" s="321"/>
      <c r="ED15" s="321"/>
      <c r="EE15" s="321"/>
      <c r="EF15" s="321"/>
      <c r="EG15" s="321"/>
      <c r="EH15" s="321"/>
      <c r="EI15" s="323"/>
      <c r="EJ15" s="323"/>
      <c r="EK15" s="323"/>
      <c r="EL15" s="323"/>
      <c r="EM15" s="323"/>
      <c r="EN15" s="323"/>
      <c r="EO15" s="323"/>
      <c r="EP15" s="323"/>
      <c r="EQ15" s="323"/>
      <c r="ER15" s="323"/>
      <c r="ES15" s="323"/>
      <c r="ET15" s="1490">
        <f t="shared" si="5"/>
        <v>1</v>
      </c>
      <c r="EU15" s="1490">
        <f>BE15/BD15</f>
        <v>1.036697247706422</v>
      </c>
      <c r="EV15" s="1491">
        <f>BG15/BF15</f>
        <v>1</v>
      </c>
      <c r="EW15" s="1492">
        <f>(BE15+AC15)/(AB15+BD15)</f>
        <v>1.0228571428571429</v>
      </c>
      <c r="EX15" s="1492">
        <f>(BE15+AC15)/I15</f>
        <v>0.29833333333333334</v>
      </c>
      <c r="EY15" s="1470" t="s">
        <v>1078</v>
      </c>
      <c r="EZ15" s="1471" t="s">
        <v>70</v>
      </c>
      <c r="FA15" s="1471" t="s">
        <v>70</v>
      </c>
      <c r="FB15" s="324" t="s">
        <v>663</v>
      </c>
      <c r="FC15" s="328" t="s">
        <v>664</v>
      </c>
    </row>
    <row r="16" spans="1:160" s="64" customFormat="1" ht="87" customHeight="1" thickBot="1" x14ac:dyDescent="0.25">
      <c r="A16" s="709"/>
      <c r="B16" s="711"/>
      <c r="C16" s="674"/>
      <c r="D16" s="1473"/>
      <c r="E16" s="663">
        <v>215</v>
      </c>
      <c r="F16" s="475" t="s">
        <v>282</v>
      </c>
      <c r="G16" s="462" t="s">
        <v>281</v>
      </c>
      <c r="H16" s="462" t="s">
        <v>276</v>
      </c>
      <c r="I16" s="431">
        <v>400</v>
      </c>
      <c r="J16" s="428">
        <f t="shared" si="0"/>
        <v>20</v>
      </c>
      <c r="K16" s="432"/>
      <c r="L16" s="432"/>
      <c r="M16" s="432">
        <v>0</v>
      </c>
      <c r="N16" s="432">
        <v>0</v>
      </c>
      <c r="O16" s="432">
        <v>0</v>
      </c>
      <c r="P16" s="432">
        <v>0</v>
      </c>
      <c r="Q16" s="432">
        <v>2</v>
      </c>
      <c r="R16" s="432">
        <v>2</v>
      </c>
      <c r="S16" s="432">
        <v>6</v>
      </c>
      <c r="T16" s="432">
        <v>6</v>
      </c>
      <c r="U16" s="432">
        <v>12</v>
      </c>
      <c r="V16" s="432">
        <v>12</v>
      </c>
      <c r="W16" s="112">
        <v>20</v>
      </c>
      <c r="X16" s="325">
        <v>20</v>
      </c>
      <c r="Y16" s="325">
        <v>20</v>
      </c>
      <c r="Z16" s="320">
        <f t="shared" si="1"/>
        <v>1</v>
      </c>
      <c r="AA16" s="325">
        <v>20</v>
      </c>
      <c r="AB16" s="325">
        <v>20</v>
      </c>
      <c r="AC16" s="319">
        <f t="shared" si="2"/>
        <v>20</v>
      </c>
      <c r="AD16" s="427">
        <v>77</v>
      </c>
      <c r="AE16" s="427">
        <v>5</v>
      </c>
      <c r="AF16" s="427">
        <v>5</v>
      </c>
      <c r="AG16" s="427">
        <v>6</v>
      </c>
      <c r="AH16" s="427">
        <v>6</v>
      </c>
      <c r="AI16" s="427">
        <v>7</v>
      </c>
      <c r="AJ16" s="427">
        <v>7</v>
      </c>
      <c r="AK16" s="427">
        <v>7</v>
      </c>
      <c r="AL16" s="427">
        <v>7</v>
      </c>
      <c r="AM16" s="433">
        <v>7</v>
      </c>
      <c r="AN16" s="433">
        <v>7</v>
      </c>
      <c r="AO16" s="433">
        <v>7</v>
      </c>
      <c r="AP16" s="433">
        <v>7</v>
      </c>
      <c r="AQ16" s="433">
        <v>7</v>
      </c>
      <c r="AR16" s="476">
        <v>7</v>
      </c>
      <c r="AS16" s="433">
        <v>7</v>
      </c>
      <c r="AT16" s="433">
        <v>7</v>
      </c>
      <c r="AU16" s="433">
        <v>7</v>
      </c>
      <c r="AV16" s="326">
        <v>7</v>
      </c>
      <c r="AW16" s="326">
        <v>6</v>
      </c>
      <c r="AX16" s="326">
        <v>7</v>
      </c>
      <c r="AY16" s="326">
        <v>6</v>
      </c>
      <c r="AZ16" s="326">
        <v>5</v>
      </c>
      <c r="BA16" s="326">
        <v>5</v>
      </c>
      <c r="BB16" s="1475">
        <v>6</v>
      </c>
      <c r="BC16" s="1468">
        <f>BA16+AY16+AW16+AU16+AQ16+AS16+AO16+AM16+AK16+AI16+AG16+AE16</f>
        <v>77</v>
      </c>
      <c r="BD16" s="321">
        <f t="shared" si="3"/>
        <v>77</v>
      </c>
      <c r="BE16" s="321">
        <f>AF16+AH16+AJ16+AL16+AN16+AP16+AR16+AT16+AV16+AX16+AZ16+BB16</f>
        <v>78</v>
      </c>
      <c r="BF16" s="321">
        <v>78</v>
      </c>
      <c r="BG16" s="1488">
        <f>AF16+AH16+AJ16+AL16+AN16+AP16+AR16+AT16+AV16+AX16+AZ16+BB16</f>
        <v>78</v>
      </c>
      <c r="BH16" s="434">
        <v>100</v>
      </c>
      <c r="BI16" s="434"/>
      <c r="BJ16" s="434"/>
      <c r="BK16" s="434"/>
      <c r="BL16" s="434"/>
      <c r="BM16" s="434"/>
      <c r="BN16" s="434"/>
      <c r="BO16" s="434"/>
      <c r="BP16" s="434"/>
      <c r="BQ16" s="434"/>
      <c r="BR16" s="434"/>
      <c r="BS16" s="434"/>
      <c r="BT16" s="434"/>
      <c r="BU16" s="434"/>
      <c r="BV16" s="434"/>
      <c r="BW16" s="434"/>
      <c r="BX16" s="434"/>
      <c r="BY16" s="434"/>
      <c r="BZ16" s="434"/>
      <c r="CA16" s="434"/>
      <c r="CB16" s="434"/>
      <c r="CC16" s="434"/>
      <c r="CD16" s="434"/>
      <c r="CE16" s="434"/>
      <c r="CF16" s="434"/>
      <c r="CG16" s="323"/>
      <c r="CH16" s="323"/>
      <c r="CI16" s="323"/>
      <c r="CJ16" s="1474"/>
      <c r="CK16" s="323"/>
      <c r="CL16" s="434">
        <v>141</v>
      </c>
      <c r="CM16" s="434"/>
      <c r="CN16" s="434"/>
      <c r="CO16" s="434"/>
      <c r="CP16" s="434"/>
      <c r="CQ16" s="434"/>
      <c r="CR16" s="434"/>
      <c r="CS16" s="434"/>
      <c r="CT16" s="434"/>
      <c r="CU16" s="434"/>
      <c r="CV16" s="434"/>
      <c r="CW16" s="434"/>
      <c r="CX16" s="434"/>
      <c r="CY16" s="434"/>
      <c r="CZ16" s="434"/>
      <c r="DA16" s="434"/>
      <c r="DB16" s="434"/>
      <c r="DC16" s="434"/>
      <c r="DD16" s="434"/>
      <c r="DE16" s="434"/>
      <c r="DF16" s="434"/>
      <c r="DG16" s="434"/>
      <c r="DH16" s="434"/>
      <c r="DI16" s="434"/>
      <c r="DJ16" s="434"/>
      <c r="DK16" s="434"/>
      <c r="DL16" s="434"/>
      <c r="DM16" s="434"/>
      <c r="DN16" s="434"/>
      <c r="DO16" s="434"/>
      <c r="DP16" s="434">
        <v>61</v>
      </c>
      <c r="DQ16" s="434"/>
      <c r="DR16" s="434"/>
      <c r="DS16" s="434"/>
      <c r="DT16" s="434"/>
      <c r="DU16" s="434"/>
      <c r="DV16" s="434"/>
      <c r="DW16" s="434"/>
      <c r="DX16" s="434"/>
      <c r="DY16" s="434"/>
      <c r="DZ16" s="434"/>
      <c r="EA16" s="434"/>
      <c r="EB16" s="434"/>
      <c r="EC16" s="434"/>
      <c r="ED16" s="434"/>
      <c r="EE16" s="434"/>
      <c r="EF16" s="434"/>
      <c r="EG16" s="434"/>
      <c r="EH16" s="434"/>
      <c r="EI16" s="434"/>
      <c r="EJ16" s="434"/>
      <c r="EK16" s="434"/>
      <c r="EL16" s="434"/>
      <c r="EM16" s="434"/>
      <c r="EN16" s="434"/>
      <c r="EO16" s="434"/>
      <c r="EP16" s="434"/>
      <c r="EQ16" s="434"/>
      <c r="ER16" s="434"/>
      <c r="ES16" s="434"/>
      <c r="ET16" s="1490">
        <f t="shared" si="5"/>
        <v>1</v>
      </c>
      <c r="EU16" s="1490">
        <f>BE16/BD16</f>
        <v>1.0129870129870129</v>
      </c>
      <c r="EV16" s="1491">
        <f>BG16/BF16</f>
        <v>1</v>
      </c>
      <c r="EW16" s="1492">
        <f>(BE16+AC16)/(AB16+BD16)</f>
        <v>1.0103092783505154</v>
      </c>
      <c r="EX16" s="1492">
        <f>(BE16+AC16)/I16</f>
        <v>0.245</v>
      </c>
      <c r="EY16" s="1476" t="s">
        <v>1079</v>
      </c>
      <c r="EZ16" s="1471" t="s">
        <v>70</v>
      </c>
      <c r="FA16" s="1471" t="s">
        <v>70</v>
      </c>
      <c r="FB16" s="324" t="s">
        <v>665</v>
      </c>
      <c r="FC16" s="329" t="s">
        <v>664</v>
      </c>
      <c r="FD16" s="30"/>
    </row>
    <row r="17" spans="1:159" s="30" customFormat="1" ht="124.5" customHeight="1" thickBot="1" x14ac:dyDescent="0.25">
      <c r="A17" s="710"/>
      <c r="B17" s="712"/>
      <c r="C17" s="511">
        <v>201</v>
      </c>
      <c r="D17" s="1477" t="s">
        <v>283</v>
      </c>
      <c r="E17" s="511">
        <v>216</v>
      </c>
      <c r="F17" s="463" t="s">
        <v>284</v>
      </c>
      <c r="G17" s="435" t="s">
        <v>285</v>
      </c>
      <c r="H17" s="435" t="s">
        <v>276</v>
      </c>
      <c r="I17" s="436">
        <v>20000</v>
      </c>
      <c r="J17" s="478">
        <f t="shared" si="0"/>
        <v>2500</v>
      </c>
      <c r="K17" s="437"/>
      <c r="L17" s="437"/>
      <c r="M17" s="437">
        <v>0</v>
      </c>
      <c r="N17" s="437">
        <v>0</v>
      </c>
      <c r="O17" s="437">
        <v>741</v>
      </c>
      <c r="P17" s="437">
        <v>741</v>
      </c>
      <c r="Q17" s="437">
        <v>1257</v>
      </c>
      <c r="R17" s="437">
        <v>1257</v>
      </c>
      <c r="S17" s="437">
        <v>1908</v>
      </c>
      <c r="T17" s="437">
        <v>1908</v>
      </c>
      <c r="U17" s="437">
        <v>2210</v>
      </c>
      <c r="V17" s="437">
        <v>2210</v>
      </c>
      <c r="W17" s="330">
        <v>2500</v>
      </c>
      <c r="X17" s="331">
        <v>2500</v>
      </c>
      <c r="Y17" s="331">
        <v>2500</v>
      </c>
      <c r="Z17" s="332">
        <f t="shared" si="1"/>
        <v>1</v>
      </c>
      <c r="AA17" s="331">
        <v>2500</v>
      </c>
      <c r="AB17" s="331">
        <v>2500</v>
      </c>
      <c r="AC17" s="331">
        <f t="shared" si="2"/>
        <v>2500</v>
      </c>
      <c r="AD17" s="464">
        <v>3500</v>
      </c>
      <c r="AE17" s="464">
        <v>246</v>
      </c>
      <c r="AF17" s="464">
        <v>246</v>
      </c>
      <c r="AG17" s="464">
        <v>301</v>
      </c>
      <c r="AH17" s="464">
        <v>301</v>
      </c>
      <c r="AI17" s="464">
        <v>296</v>
      </c>
      <c r="AJ17" s="464">
        <v>296</v>
      </c>
      <c r="AK17" s="464">
        <v>300</v>
      </c>
      <c r="AL17" s="464">
        <v>300</v>
      </c>
      <c r="AM17" s="464">
        <v>320</v>
      </c>
      <c r="AN17" s="438">
        <v>320</v>
      </c>
      <c r="AO17" s="438">
        <v>297</v>
      </c>
      <c r="AP17" s="438">
        <v>297</v>
      </c>
      <c r="AQ17" s="438">
        <v>290</v>
      </c>
      <c r="AR17" s="477">
        <v>293</v>
      </c>
      <c r="AS17" s="438">
        <v>290</v>
      </c>
      <c r="AT17" s="438">
        <v>311</v>
      </c>
      <c r="AU17" s="438">
        <v>290</v>
      </c>
      <c r="AV17" s="1478">
        <v>295</v>
      </c>
      <c r="AW17" s="438">
        <v>290</v>
      </c>
      <c r="AX17" s="1478">
        <v>292</v>
      </c>
      <c r="AY17" s="438">
        <v>290</v>
      </c>
      <c r="AZ17" s="1478">
        <v>291</v>
      </c>
      <c r="BA17" s="438">
        <v>290</v>
      </c>
      <c r="BB17" s="1479">
        <v>298</v>
      </c>
      <c r="BC17" s="1494">
        <f>BA17+AY17+AW17+AU17+AQ17+AS17+AO17+AM17+AK17+AI17+AG17+AE17</f>
        <v>3500</v>
      </c>
      <c r="BD17" s="1483">
        <f t="shared" si="3"/>
        <v>3500</v>
      </c>
      <c r="BE17" s="1483">
        <f>AF17+AH17+AJ17+AL17+AN17+AP17+AR17+AT17+AV17+AX17+AZ17+BB17</f>
        <v>3540</v>
      </c>
      <c r="BF17" s="1482">
        <v>3540</v>
      </c>
      <c r="BG17" s="1495">
        <f>AF17+AH17+AJ17+AL17+AN17+AP17+AR17+AT17+AV17+AX17+AZ17+BB17</f>
        <v>3540</v>
      </c>
      <c r="BH17" s="1481">
        <v>5000</v>
      </c>
      <c r="BI17" s="1480"/>
      <c r="BJ17" s="1480"/>
      <c r="BK17" s="333"/>
      <c r="BL17" s="333"/>
      <c r="BM17" s="333"/>
      <c r="BN17" s="333"/>
      <c r="BO17" s="333"/>
      <c r="BP17" s="333"/>
      <c r="BQ17" s="333"/>
      <c r="BR17" s="333"/>
      <c r="BS17" s="333"/>
      <c r="BT17" s="333"/>
      <c r="BU17" s="333"/>
      <c r="BV17" s="333"/>
      <c r="BW17" s="333"/>
      <c r="BX17" s="333"/>
      <c r="BY17" s="333"/>
      <c r="BZ17" s="333"/>
      <c r="CA17" s="333"/>
      <c r="CB17" s="333"/>
      <c r="CC17" s="333"/>
      <c r="CD17" s="333"/>
      <c r="CE17" s="1480"/>
      <c r="CF17" s="1481"/>
      <c r="CG17" s="1482"/>
      <c r="CH17" s="1482"/>
      <c r="CI17" s="1483"/>
      <c r="CJ17" s="1484"/>
      <c r="CK17" s="1483"/>
      <c r="CL17" s="333">
        <v>5960</v>
      </c>
      <c r="CM17" s="333"/>
      <c r="CN17" s="333"/>
      <c r="CO17" s="333"/>
      <c r="CP17" s="333"/>
      <c r="CQ17" s="333"/>
      <c r="CR17" s="333"/>
      <c r="CS17" s="333"/>
      <c r="CT17" s="333"/>
      <c r="CU17" s="333"/>
      <c r="CV17" s="333"/>
      <c r="CW17" s="333"/>
      <c r="CX17" s="333"/>
      <c r="CY17" s="333"/>
      <c r="CZ17" s="333"/>
      <c r="DA17" s="333"/>
      <c r="DB17" s="333"/>
      <c r="DC17" s="333"/>
      <c r="DD17" s="333"/>
      <c r="DE17" s="333"/>
      <c r="DF17" s="333"/>
      <c r="DG17" s="333"/>
      <c r="DH17" s="333"/>
      <c r="DI17" s="333"/>
      <c r="DJ17" s="333"/>
      <c r="DK17" s="333"/>
      <c r="DL17" s="333"/>
      <c r="DM17" s="333"/>
      <c r="DN17" s="333"/>
      <c r="DO17" s="333"/>
      <c r="DP17" s="333">
        <v>3000</v>
      </c>
      <c r="DQ17" s="333"/>
      <c r="DR17" s="333"/>
      <c r="DS17" s="333"/>
      <c r="DT17" s="333"/>
      <c r="DU17" s="333"/>
      <c r="DV17" s="333"/>
      <c r="DW17" s="333"/>
      <c r="DX17" s="333"/>
      <c r="DY17" s="333"/>
      <c r="DZ17" s="333"/>
      <c r="EA17" s="333"/>
      <c r="EB17" s="333"/>
      <c r="EC17" s="333"/>
      <c r="ED17" s="333"/>
      <c r="EE17" s="333"/>
      <c r="EF17" s="333"/>
      <c r="EG17" s="333"/>
      <c r="EH17" s="333"/>
      <c r="EI17" s="333"/>
      <c r="EJ17" s="333"/>
      <c r="EK17" s="333"/>
      <c r="EL17" s="333"/>
      <c r="EM17" s="333"/>
      <c r="EN17" s="333"/>
      <c r="EO17" s="333"/>
      <c r="EP17" s="333"/>
      <c r="EQ17" s="333"/>
      <c r="ER17" s="333"/>
      <c r="ES17" s="333"/>
      <c r="ET17" s="1496">
        <f t="shared" si="5"/>
        <v>1.0172413793103448</v>
      </c>
      <c r="EU17" s="1496">
        <f>BE17/BD17</f>
        <v>1.0114285714285713</v>
      </c>
      <c r="EV17" s="1497">
        <f>BG17/BF17</f>
        <v>1</v>
      </c>
      <c r="EW17" s="1498">
        <f>(BE17+AC17)/(AB17+BD17)</f>
        <v>1.0066666666666666</v>
      </c>
      <c r="EX17" s="1498">
        <f>(BE17+AC17)/I17</f>
        <v>0.30199999999999999</v>
      </c>
      <c r="EY17" s="1476" t="s">
        <v>1077</v>
      </c>
      <c r="EZ17" s="1485" t="s">
        <v>70</v>
      </c>
      <c r="FA17" s="1485" t="s">
        <v>70</v>
      </c>
      <c r="FB17" s="334" t="s">
        <v>623</v>
      </c>
      <c r="FC17" s="335" t="s">
        <v>666</v>
      </c>
    </row>
    <row r="18" spans="1:159" s="31" customFormat="1" ht="29.25" customHeight="1" x14ac:dyDescent="0.25">
      <c r="A18" s="76"/>
      <c r="B18" s="76"/>
      <c r="C18" s="77"/>
      <c r="D18" s="78"/>
      <c r="E18" s="79"/>
      <c r="F18" s="80"/>
      <c r="G18" s="81"/>
      <c r="H18" s="82"/>
      <c r="I18" s="79"/>
      <c r="J18" s="77"/>
      <c r="K18" s="77"/>
      <c r="L18" s="77"/>
      <c r="M18" s="77"/>
      <c r="N18" s="77"/>
      <c r="O18" s="77"/>
      <c r="P18" s="77"/>
      <c r="Q18" s="77"/>
      <c r="R18" s="77"/>
      <c r="S18" s="77"/>
      <c r="T18" s="77"/>
      <c r="U18" s="77"/>
      <c r="V18" s="83"/>
      <c r="W18" s="77"/>
      <c r="X18" s="83"/>
      <c r="Y18" s="77"/>
      <c r="Z18" s="77"/>
      <c r="AA18" s="77"/>
      <c r="AB18" s="77"/>
      <c r="AC18" s="83"/>
      <c r="AD18" s="77"/>
      <c r="AE18" s="77"/>
      <c r="AF18" s="77"/>
      <c r="AG18" s="77"/>
      <c r="AH18" s="77"/>
      <c r="AI18" s="77"/>
      <c r="AJ18" s="77"/>
      <c r="AK18" s="77"/>
      <c r="AL18" s="77"/>
      <c r="AM18" s="77"/>
      <c r="AN18" s="77"/>
      <c r="AO18" s="77"/>
      <c r="AP18" s="77"/>
      <c r="AQ18" s="77"/>
      <c r="AR18" s="77"/>
      <c r="AS18" s="77"/>
      <c r="AT18" s="77"/>
      <c r="AU18" s="77"/>
      <c r="AV18" s="484"/>
      <c r="AW18" s="77"/>
      <c r="AX18" s="77"/>
      <c r="AY18" s="77"/>
      <c r="AZ18" s="77"/>
      <c r="BA18" s="77"/>
      <c r="BB18" s="77"/>
      <c r="BC18" s="87"/>
      <c r="BD18" s="87"/>
      <c r="BE18" s="87"/>
      <c r="BF18" s="87"/>
      <c r="BG18" s="83"/>
      <c r="BH18" s="88"/>
      <c r="BI18" s="83"/>
      <c r="BJ18" s="83"/>
      <c r="BK18" s="83"/>
      <c r="BL18" s="83"/>
      <c r="BM18" s="83"/>
      <c r="BN18" s="83"/>
      <c r="BO18" s="83"/>
      <c r="BP18" s="83"/>
      <c r="BQ18" s="83"/>
      <c r="BR18" s="83"/>
      <c r="BS18" s="83"/>
      <c r="BT18" s="83"/>
      <c r="BU18" s="83"/>
      <c r="BV18" s="83"/>
      <c r="BW18" s="83"/>
      <c r="BX18" s="83"/>
      <c r="BY18" s="83"/>
      <c r="BZ18" s="83"/>
      <c r="CA18" s="83"/>
      <c r="CB18" s="83"/>
      <c r="CC18" s="83"/>
      <c r="CD18" s="83"/>
      <c r="CE18" s="83"/>
      <c r="CF18" s="83"/>
      <c r="CG18" s="83"/>
      <c r="CH18" s="83"/>
      <c r="CI18" s="83"/>
      <c r="CJ18" s="83"/>
      <c r="CK18" s="83"/>
      <c r="CL18" s="84"/>
      <c r="CM18" s="77"/>
      <c r="CN18" s="77"/>
      <c r="CO18" s="77"/>
      <c r="CP18" s="77"/>
      <c r="CQ18" s="77"/>
      <c r="CR18" s="77"/>
      <c r="CS18" s="77"/>
      <c r="CT18" s="77"/>
      <c r="CU18" s="77"/>
      <c r="CV18" s="77"/>
      <c r="CW18" s="77"/>
      <c r="CX18" s="77"/>
      <c r="CY18" s="77"/>
      <c r="CZ18" s="77"/>
      <c r="DA18" s="77"/>
      <c r="DB18" s="77"/>
      <c r="DC18" s="77"/>
      <c r="DD18" s="77"/>
      <c r="DE18" s="77"/>
      <c r="DF18" s="77"/>
      <c r="DG18" s="77"/>
      <c r="DH18" s="77"/>
      <c r="DI18" s="77"/>
      <c r="DJ18" s="77"/>
      <c r="DK18" s="77"/>
      <c r="DL18" s="77"/>
      <c r="DM18" s="77"/>
      <c r="DN18" s="77"/>
      <c r="DO18" s="77"/>
      <c r="DP18" s="84"/>
      <c r="DQ18" s="77"/>
      <c r="DR18" s="77"/>
      <c r="DS18" s="77"/>
      <c r="DT18" s="77"/>
      <c r="DU18" s="77"/>
      <c r="DV18" s="77"/>
      <c r="DW18" s="77"/>
      <c r="DX18" s="77"/>
      <c r="DY18" s="77"/>
      <c r="DZ18" s="77"/>
      <c r="EA18" s="77"/>
      <c r="EB18" s="77"/>
      <c r="EC18" s="77"/>
      <c r="ED18" s="77"/>
      <c r="EE18" s="77"/>
      <c r="EF18" s="77"/>
      <c r="EG18" s="77"/>
      <c r="EH18" s="77"/>
      <c r="EI18" s="77"/>
      <c r="EJ18" s="77"/>
      <c r="EK18" s="77"/>
      <c r="EL18" s="77"/>
      <c r="EM18" s="77"/>
      <c r="EN18" s="77"/>
      <c r="EO18" s="77"/>
      <c r="EP18" s="77"/>
      <c r="EQ18" s="77"/>
      <c r="ER18" s="77"/>
      <c r="ES18" s="77"/>
      <c r="ET18" s="89"/>
      <c r="EU18" s="89"/>
      <c r="EV18" s="90"/>
      <c r="EW18" s="91"/>
      <c r="EX18" s="91"/>
      <c r="EY18" s="1486"/>
      <c r="EZ18" s="1487"/>
      <c r="FA18" s="1487"/>
      <c r="FB18" s="85"/>
      <c r="FC18" s="86"/>
    </row>
    <row r="19" spans="1:159" ht="26.25" x14ac:dyDescent="0.4">
      <c r="D19" s="18" t="s">
        <v>35</v>
      </c>
      <c r="E19"/>
      <c r="F19"/>
      <c r="G19"/>
      <c r="H19"/>
      <c r="I19" s="518"/>
      <c r="J19" s="479"/>
      <c r="K19" s="479"/>
      <c r="L19" s="479"/>
      <c r="M19" s="479"/>
      <c r="N19" s="479"/>
      <c r="O19" s="479"/>
      <c r="P19" s="479"/>
      <c r="Q19" s="479"/>
      <c r="R19" s="479"/>
      <c r="S19" s="479"/>
      <c r="Y19" s="70"/>
      <c r="Z19" s="67"/>
      <c r="AA19" s="69"/>
      <c r="AC19" s="67"/>
      <c r="AV19" s="485"/>
      <c r="AW19" s="73"/>
      <c r="AX19" s="73"/>
      <c r="AY19" s="73"/>
      <c r="AZ19" s="73"/>
      <c r="BA19" s="73"/>
      <c r="BB19" s="73"/>
      <c r="BC19" s="73"/>
      <c r="BD19" s="73"/>
      <c r="BE19" s="73"/>
      <c r="BF19" s="73"/>
      <c r="BG19" s="73"/>
      <c r="EY19" s="1"/>
      <c r="EZ19" s="1"/>
      <c r="FA19" s="1"/>
    </row>
    <row r="20" spans="1:159" customFormat="1" ht="44.25" customHeight="1" x14ac:dyDescent="0.25">
      <c r="D20" s="480" t="s">
        <v>36</v>
      </c>
      <c r="E20" s="687" t="s">
        <v>37</v>
      </c>
      <c r="F20" s="687"/>
      <c r="G20" s="687"/>
      <c r="H20" s="687"/>
      <c r="I20" s="687"/>
      <c r="J20" s="687"/>
      <c r="K20" s="688" t="s">
        <v>38</v>
      </c>
      <c r="L20" s="688"/>
      <c r="M20" s="688"/>
      <c r="N20" s="688"/>
      <c r="O20" s="688"/>
      <c r="P20" s="688"/>
      <c r="Q20" s="688"/>
      <c r="R20" s="688"/>
      <c r="S20" s="688"/>
      <c r="T20" s="32"/>
      <c r="U20" s="62"/>
      <c r="V20" s="32"/>
      <c r="W20" s="32"/>
      <c r="X20" s="32"/>
      <c r="Y20" s="65"/>
      <c r="Z20" s="68"/>
      <c r="AA20" s="32"/>
      <c r="AB20" s="32"/>
      <c r="AC20" s="32"/>
      <c r="AD20" s="72"/>
      <c r="AE20" s="32"/>
      <c r="AF20" s="75"/>
      <c r="AG20" s="75"/>
      <c r="AH20" s="75"/>
      <c r="AI20" s="75"/>
      <c r="AJ20" s="92"/>
      <c r="AK20" s="92"/>
      <c r="AL20" s="92"/>
      <c r="AM20" s="92"/>
      <c r="AN20" s="92"/>
      <c r="AO20" s="92"/>
      <c r="AP20" s="92"/>
      <c r="AQ20" s="92"/>
      <c r="AR20" s="92"/>
      <c r="AS20" s="92"/>
      <c r="AT20" s="92"/>
      <c r="AU20" s="92"/>
      <c r="AV20" s="11"/>
      <c r="AW20" s="75"/>
      <c r="AX20" s="488"/>
      <c r="AY20" s="75"/>
      <c r="AZ20" s="75"/>
      <c r="BA20" s="75"/>
      <c r="BB20" s="488"/>
      <c r="BC20" s="75"/>
      <c r="BD20" s="75"/>
      <c r="BE20" s="75"/>
      <c r="BF20" s="75"/>
      <c r="BG20" s="75"/>
      <c r="BH20" s="32"/>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32"/>
      <c r="CM20" s="74"/>
      <c r="CN20" s="74"/>
      <c r="CO20" s="74"/>
      <c r="CP20" s="74"/>
      <c r="CQ20" s="74"/>
      <c r="CR20" s="74"/>
      <c r="CS20" s="74"/>
      <c r="CT20" s="74"/>
      <c r="CU20" s="74"/>
      <c r="CV20" s="74"/>
      <c r="CW20" s="32"/>
      <c r="CX20" s="32"/>
      <c r="CY20" s="32"/>
      <c r="CZ20" s="32"/>
      <c r="DA20" s="32"/>
      <c r="DB20" s="32"/>
      <c r="DC20" s="32"/>
      <c r="DD20" s="32"/>
      <c r="DE20" s="32"/>
      <c r="DF20" s="32"/>
      <c r="DG20" s="32"/>
      <c r="DH20" s="32"/>
      <c r="DI20" s="32"/>
      <c r="DJ20" s="32"/>
      <c r="DK20" s="32"/>
      <c r="DL20" s="32"/>
      <c r="DM20" s="32"/>
      <c r="DN20" s="32"/>
      <c r="DO20" s="32"/>
      <c r="DP20" s="32"/>
      <c r="DQ20" s="74"/>
      <c r="DR20" s="74"/>
      <c r="DS20" s="74"/>
      <c r="DT20" s="74"/>
      <c r="DU20" s="74"/>
      <c r="DV20" s="74"/>
      <c r="DW20" s="74"/>
      <c r="DX20" s="74"/>
      <c r="DY20" s="74"/>
      <c r="DZ20" s="74"/>
      <c r="EA20" s="74"/>
      <c r="EB20" s="74"/>
      <c r="EC20" s="74"/>
      <c r="ED20" s="74"/>
      <c r="EE20" s="74"/>
      <c r="EF20" s="74"/>
      <c r="EG20" s="32"/>
      <c r="EH20" s="32"/>
      <c r="EI20" s="32"/>
      <c r="EJ20" s="32"/>
      <c r="EK20" s="32"/>
      <c r="EL20" s="32"/>
      <c r="EM20" s="32"/>
      <c r="EN20" s="32"/>
      <c r="EO20" s="32"/>
      <c r="EP20" s="32"/>
      <c r="EQ20" s="32"/>
      <c r="ER20" s="32"/>
      <c r="ES20" s="32"/>
      <c r="EY20" s="1"/>
      <c r="EZ20" s="1"/>
      <c r="FA20" s="1"/>
      <c r="FB20" s="71"/>
    </row>
    <row r="21" spans="1:159" customFormat="1" ht="22.5" customHeight="1" x14ac:dyDescent="0.25">
      <c r="D21" s="59">
        <v>13</v>
      </c>
      <c r="E21" s="670" t="s">
        <v>82</v>
      </c>
      <c r="F21" s="670"/>
      <c r="G21" s="670"/>
      <c r="H21" s="670"/>
      <c r="I21" s="670"/>
      <c r="J21" s="670"/>
      <c r="K21" s="671" t="s">
        <v>83</v>
      </c>
      <c r="L21" s="671"/>
      <c r="M21" s="671"/>
      <c r="N21" s="671"/>
      <c r="O21" s="671"/>
      <c r="P21" s="671"/>
      <c r="Q21" s="671"/>
      <c r="R21" s="671"/>
      <c r="S21" s="671"/>
      <c r="T21" s="32"/>
      <c r="U21" s="62"/>
      <c r="V21" s="32"/>
      <c r="W21" s="32"/>
      <c r="X21" s="32"/>
      <c r="Y21" s="668"/>
      <c r="Z21" s="669"/>
      <c r="AA21" s="669"/>
      <c r="AB21" s="669"/>
      <c r="AC21" s="669"/>
      <c r="AD21" s="669"/>
      <c r="AE21" s="669"/>
      <c r="AF21" s="669"/>
      <c r="AG21" s="669"/>
      <c r="AH21" s="669"/>
      <c r="AI21" s="669"/>
      <c r="AJ21" s="669"/>
      <c r="AK21" s="669"/>
      <c r="AL21" s="669"/>
      <c r="AM21" s="669"/>
      <c r="AN21" s="669"/>
      <c r="AO21" s="669"/>
      <c r="AP21" s="669"/>
      <c r="AQ21" s="669"/>
      <c r="AR21" s="669"/>
      <c r="AS21" s="669"/>
      <c r="AT21" s="669"/>
      <c r="AU21" s="669"/>
      <c r="AV21" s="669"/>
      <c r="AW21" s="669"/>
      <c r="AX21" s="669"/>
      <c r="AY21" s="669"/>
      <c r="AZ21" s="669"/>
      <c r="BA21" s="669"/>
      <c r="BB21" s="669"/>
      <c r="BC21" s="669"/>
      <c r="BD21" s="669"/>
      <c r="BE21" s="669"/>
      <c r="BF21" s="669"/>
      <c r="BG21" s="669"/>
      <c r="BH21" s="32"/>
      <c r="BI21" s="74"/>
      <c r="BJ21" s="74"/>
      <c r="BK21" s="74"/>
      <c r="BL21" s="74"/>
      <c r="BM21" s="74"/>
      <c r="BN21" s="74"/>
      <c r="BO21" s="74"/>
      <c r="BP21" s="74"/>
      <c r="BQ21" s="74"/>
      <c r="BR21" s="74"/>
      <c r="BS21" s="74"/>
      <c r="BT21" s="74"/>
      <c r="BU21" s="74"/>
      <c r="BV21" s="74"/>
      <c r="BW21" s="74"/>
      <c r="BX21" s="74"/>
      <c r="BY21" s="74"/>
      <c r="BZ21" s="74"/>
      <c r="CA21" s="74"/>
      <c r="CB21" s="74"/>
      <c r="CC21" s="74"/>
      <c r="CD21" s="74"/>
      <c r="CE21" s="74"/>
      <c r="CF21" s="74"/>
      <c r="CG21" s="74"/>
      <c r="CH21" s="74"/>
      <c r="CI21" s="74"/>
      <c r="CJ21" s="74"/>
      <c r="CK21" s="74"/>
      <c r="CL21" s="32"/>
      <c r="CM21" s="74"/>
      <c r="CN21" s="74"/>
      <c r="CO21" s="74"/>
      <c r="CP21" s="74"/>
      <c r="CQ21" s="74"/>
      <c r="CR21" s="74"/>
      <c r="CS21" s="74"/>
      <c r="CT21" s="74"/>
      <c r="CU21" s="74"/>
      <c r="CV21" s="74"/>
      <c r="CW21" s="32"/>
      <c r="CX21" s="32"/>
      <c r="CY21" s="32"/>
      <c r="CZ21" s="32"/>
      <c r="DA21" s="32"/>
      <c r="DB21" s="32"/>
      <c r="DC21" s="32"/>
      <c r="DD21" s="32"/>
      <c r="DE21" s="32"/>
      <c r="DF21" s="32"/>
      <c r="DG21" s="32"/>
      <c r="DH21" s="32"/>
      <c r="DI21" s="32"/>
      <c r="DJ21" s="32"/>
      <c r="DK21" s="32"/>
      <c r="DL21" s="32"/>
      <c r="DM21" s="32"/>
      <c r="DN21" s="32"/>
      <c r="DO21" s="32"/>
      <c r="DP21" s="32"/>
      <c r="DQ21" s="74"/>
      <c r="DR21" s="74"/>
      <c r="DS21" s="74"/>
      <c r="DT21" s="74"/>
      <c r="DU21" s="74"/>
      <c r="DV21" s="74"/>
      <c r="DW21" s="74"/>
      <c r="DX21" s="74"/>
      <c r="DY21" s="74"/>
      <c r="DZ21" s="74"/>
      <c r="EA21" s="74"/>
      <c r="EB21" s="74"/>
      <c r="EC21" s="74"/>
      <c r="ED21" s="74"/>
      <c r="EE21" s="74"/>
      <c r="EF21" s="74"/>
      <c r="EG21" s="32"/>
      <c r="EH21" s="32"/>
      <c r="EI21" s="32"/>
      <c r="EJ21" s="32"/>
      <c r="EK21" s="32"/>
      <c r="EL21" s="32"/>
      <c r="EM21" s="32"/>
      <c r="EN21" s="32"/>
      <c r="EO21" s="32"/>
      <c r="EP21" s="32"/>
      <c r="EQ21" s="32"/>
      <c r="ER21" s="32"/>
      <c r="ES21" s="32"/>
      <c r="EY21" s="1"/>
      <c r="EZ21" s="1"/>
      <c r="FA21" s="1"/>
    </row>
    <row r="22" spans="1:159" customFormat="1" ht="26.25" customHeight="1" x14ac:dyDescent="0.25">
      <c r="D22" s="59">
        <v>14</v>
      </c>
      <c r="E22" s="670" t="s">
        <v>983</v>
      </c>
      <c r="F22" s="670"/>
      <c r="G22" s="670"/>
      <c r="H22" s="670"/>
      <c r="I22" s="670"/>
      <c r="J22" s="670"/>
      <c r="K22" s="671" t="s">
        <v>876</v>
      </c>
      <c r="L22" s="671"/>
      <c r="M22" s="671"/>
      <c r="N22" s="671"/>
      <c r="O22" s="671"/>
      <c r="P22" s="671"/>
      <c r="Q22" s="671"/>
      <c r="R22" s="671"/>
      <c r="S22" s="671"/>
      <c r="T22" s="32"/>
      <c r="U22" s="62"/>
      <c r="V22" s="32"/>
      <c r="W22" s="32"/>
      <c r="X22" s="32"/>
      <c r="Y22" s="65"/>
      <c r="Z22" s="32"/>
      <c r="AA22" s="32"/>
      <c r="AB22" s="32"/>
      <c r="AC22" s="32"/>
      <c r="AD22" s="72"/>
      <c r="AE22" s="32"/>
      <c r="AF22" s="75"/>
      <c r="AG22" s="75"/>
      <c r="AH22" s="75"/>
      <c r="AI22" s="75"/>
      <c r="AJ22" s="92"/>
      <c r="AK22" s="92"/>
      <c r="AL22" s="92"/>
      <c r="AM22" s="92"/>
      <c r="AN22" s="92"/>
      <c r="AO22" s="92"/>
      <c r="AP22" s="92"/>
      <c r="AQ22" s="92"/>
      <c r="AR22" s="92"/>
      <c r="AS22" s="92"/>
      <c r="AT22" s="92"/>
      <c r="AU22" s="92"/>
      <c r="AV22" s="11"/>
      <c r="AW22" s="75"/>
      <c r="AX22" s="488"/>
      <c r="AY22" s="75"/>
      <c r="AZ22" s="75"/>
      <c r="BA22" s="75"/>
      <c r="BB22" s="488"/>
      <c r="BC22" s="75"/>
      <c r="BD22" s="75"/>
      <c r="BE22" s="75"/>
      <c r="BF22" s="75"/>
      <c r="BG22" s="75"/>
      <c r="BH22" s="32"/>
      <c r="BI22" s="74"/>
      <c r="BJ22" s="74"/>
      <c r="BK22" s="74"/>
      <c r="BL22" s="74"/>
      <c r="BM22" s="74"/>
      <c r="BN22" s="74"/>
      <c r="BO22" s="74"/>
      <c r="BP22" s="74"/>
      <c r="BQ22" s="74"/>
      <c r="BR22" s="74"/>
      <c r="BS22" s="74"/>
      <c r="BT22" s="74"/>
      <c r="BU22" s="74"/>
      <c r="BV22" s="74"/>
      <c r="BW22" s="74"/>
      <c r="BX22" s="74"/>
      <c r="BY22" s="74"/>
      <c r="BZ22" s="74"/>
      <c r="CA22" s="74"/>
      <c r="CB22" s="74"/>
      <c r="CC22" s="74"/>
      <c r="CD22" s="74"/>
      <c r="CE22" s="74"/>
      <c r="CF22" s="74"/>
      <c r="CG22" s="74"/>
      <c r="CH22" s="74"/>
      <c r="CI22" s="74"/>
      <c r="CJ22" s="74"/>
      <c r="CK22" s="74"/>
      <c r="CL22" s="32"/>
      <c r="CM22" s="74"/>
      <c r="CN22" s="74"/>
      <c r="CO22" s="74"/>
      <c r="CP22" s="74"/>
      <c r="CQ22" s="74"/>
      <c r="CR22" s="74"/>
      <c r="CS22" s="74"/>
      <c r="CT22" s="74"/>
      <c r="CU22" s="74"/>
      <c r="CV22" s="74"/>
      <c r="CW22" s="32"/>
      <c r="CX22" s="32"/>
      <c r="CY22" s="32"/>
      <c r="CZ22" s="32"/>
      <c r="DA22" s="32"/>
      <c r="DB22" s="32"/>
      <c r="DC22" s="32"/>
      <c r="DD22" s="32"/>
      <c r="DE22" s="32"/>
      <c r="DF22" s="32"/>
      <c r="DG22" s="32"/>
      <c r="DH22" s="32"/>
      <c r="DI22" s="32"/>
      <c r="DJ22" s="32"/>
      <c r="DK22" s="32"/>
      <c r="DL22" s="32"/>
      <c r="DM22" s="32"/>
      <c r="DN22" s="32"/>
      <c r="DO22" s="32"/>
      <c r="DP22" s="32"/>
      <c r="DQ22" s="74"/>
      <c r="DR22" s="74"/>
      <c r="DS22" s="74"/>
      <c r="DT22" s="74"/>
      <c r="DU22" s="74"/>
      <c r="DV22" s="74"/>
      <c r="DW22" s="74"/>
      <c r="DX22" s="74"/>
      <c r="DY22" s="74"/>
      <c r="DZ22" s="74"/>
      <c r="EA22" s="74"/>
      <c r="EB22" s="74"/>
      <c r="EC22" s="74"/>
      <c r="ED22" s="74"/>
      <c r="EE22" s="74"/>
      <c r="EF22" s="74"/>
      <c r="EG22" s="32"/>
      <c r="EH22" s="32"/>
      <c r="EI22" s="32"/>
      <c r="EJ22" s="32"/>
      <c r="EK22" s="32"/>
      <c r="EL22" s="32"/>
      <c r="EM22" s="32"/>
      <c r="EN22" s="32"/>
      <c r="EO22" s="32"/>
      <c r="EP22" s="32"/>
      <c r="EQ22" s="32"/>
      <c r="ER22" s="32"/>
      <c r="ES22" s="32"/>
      <c r="EY22" s="1"/>
      <c r="EZ22" s="1"/>
      <c r="FA22" s="1"/>
    </row>
    <row r="23" spans="1:159" x14ac:dyDescent="0.25">
      <c r="BB23" s="488"/>
      <c r="EY23" s="1"/>
      <c r="EZ23" s="1"/>
      <c r="FA23" s="1"/>
    </row>
    <row r="24" spans="1:159" x14ac:dyDescent="0.25">
      <c r="AV24" s="482"/>
      <c r="AW24" s="67"/>
      <c r="AX24" s="67"/>
      <c r="AY24" s="67"/>
      <c r="AZ24" s="67"/>
      <c r="BA24" s="67"/>
      <c r="BB24" s="67"/>
      <c r="BC24" s="67"/>
      <c r="BD24" s="67"/>
      <c r="BE24" s="67"/>
      <c r="BF24" s="67"/>
      <c r="BG24" s="67"/>
      <c r="EY24" s="1"/>
      <c r="EZ24" s="1"/>
      <c r="FA24" s="1"/>
    </row>
    <row r="25" spans="1:159" x14ac:dyDescent="0.25">
      <c r="BB25" s="488"/>
      <c r="EY25" s="1"/>
      <c r="EZ25" s="1"/>
      <c r="FA25" s="1"/>
    </row>
    <row r="26" spans="1:159" x14ac:dyDescent="0.25">
      <c r="BB26" s="488"/>
      <c r="EY26" s="1"/>
      <c r="EZ26" s="1"/>
      <c r="FA26" s="1"/>
    </row>
    <row r="27" spans="1:159" x14ac:dyDescent="0.25">
      <c r="BB27" s="488"/>
      <c r="EY27" s="1"/>
      <c r="EZ27" s="1"/>
      <c r="FA27" s="1"/>
    </row>
    <row r="28" spans="1:159" x14ac:dyDescent="0.25">
      <c r="AC28" s="73"/>
      <c r="BB28" s="488"/>
      <c r="EY28" s="1"/>
      <c r="EZ28" s="1"/>
      <c r="FA28" s="1"/>
    </row>
    <row r="29" spans="1:159" x14ac:dyDescent="0.25">
      <c r="BB29" s="488"/>
      <c r="EY29" s="1"/>
      <c r="EZ29" s="1"/>
      <c r="FA29" s="1"/>
    </row>
    <row r="30" spans="1:159" x14ac:dyDescent="0.25">
      <c r="BB30" s="488"/>
      <c r="EY30" s="1"/>
      <c r="EZ30" s="1"/>
      <c r="FA30" s="1"/>
    </row>
    <row r="31" spans="1:159" x14ac:dyDescent="0.25">
      <c r="BB31" s="488"/>
      <c r="EY31" s="1"/>
      <c r="EZ31" s="1"/>
      <c r="FA31" s="1"/>
    </row>
    <row r="32" spans="1:159" x14ac:dyDescent="0.25">
      <c r="BB32" s="488"/>
      <c r="EY32" s="1"/>
      <c r="EZ32" s="1"/>
      <c r="FA32" s="1"/>
    </row>
    <row r="33" spans="54:157" x14ac:dyDescent="0.25">
      <c r="BB33" s="488"/>
      <c r="EY33" s="1"/>
      <c r="EZ33" s="1"/>
      <c r="FA33" s="1"/>
    </row>
    <row r="34" spans="54:157" x14ac:dyDescent="0.25">
      <c r="BB34" s="488"/>
      <c r="EY34" s="1"/>
      <c r="EZ34" s="1"/>
      <c r="FA34" s="1"/>
    </row>
    <row r="35" spans="54:157" x14ac:dyDescent="0.25">
      <c r="BB35" s="488"/>
      <c r="EY35" s="1"/>
      <c r="EZ35" s="1"/>
      <c r="FA35" s="1"/>
    </row>
    <row r="36" spans="54:157" x14ac:dyDescent="0.25">
      <c r="BB36" s="488"/>
      <c r="EY36" s="1"/>
      <c r="EZ36" s="1"/>
      <c r="FA36" s="1"/>
    </row>
    <row r="37" spans="54:157" x14ac:dyDescent="0.25">
      <c r="BB37" s="488"/>
      <c r="EY37" s="1"/>
      <c r="EZ37" s="1"/>
      <c r="FA37" s="1"/>
    </row>
    <row r="38" spans="54:157" x14ac:dyDescent="0.25">
      <c r="BB38" s="488"/>
      <c r="EY38" s="1"/>
      <c r="EZ38" s="1"/>
      <c r="FA38" s="1"/>
    </row>
    <row r="39" spans="54:157" x14ac:dyDescent="0.25">
      <c r="BB39" s="488"/>
      <c r="EY39" s="1"/>
      <c r="EZ39" s="1"/>
      <c r="FA39" s="1"/>
    </row>
    <row r="40" spans="54:157" x14ac:dyDescent="0.25">
      <c r="BB40" s="488"/>
      <c r="EY40" s="1"/>
      <c r="EZ40" s="1"/>
      <c r="FA40" s="1"/>
    </row>
    <row r="41" spans="54:157" x14ac:dyDescent="0.25">
      <c r="BB41" s="488"/>
      <c r="EY41" s="1"/>
      <c r="EZ41" s="1"/>
      <c r="FA41" s="1"/>
    </row>
    <row r="42" spans="54:157" x14ac:dyDescent="0.25">
      <c r="BB42" s="488"/>
      <c r="EY42" s="1"/>
      <c r="EZ42" s="1"/>
      <c r="FA42" s="1"/>
    </row>
    <row r="43" spans="54:157" x14ac:dyDescent="0.25">
      <c r="BB43" s="488"/>
      <c r="EY43" s="1"/>
      <c r="EZ43" s="1"/>
      <c r="FA43" s="1"/>
    </row>
    <row r="44" spans="54:157" x14ac:dyDescent="0.25">
      <c r="BB44" s="488"/>
      <c r="EY44" s="1"/>
      <c r="EZ44" s="1"/>
      <c r="FA44" s="1"/>
    </row>
    <row r="45" spans="54:157" x14ac:dyDescent="0.25">
      <c r="BB45" s="488"/>
      <c r="EY45" s="1"/>
      <c r="EZ45" s="1"/>
      <c r="FA45" s="1"/>
    </row>
    <row r="46" spans="54:157" x14ac:dyDescent="0.25">
      <c r="BB46" s="488"/>
      <c r="EY46" s="1"/>
      <c r="EZ46" s="1"/>
      <c r="FA46" s="1"/>
    </row>
    <row r="47" spans="54:157" x14ac:dyDescent="0.25">
      <c r="BB47" s="488"/>
      <c r="EY47" s="1"/>
      <c r="EZ47" s="1"/>
      <c r="FA47" s="1"/>
    </row>
    <row r="48" spans="54:157" x14ac:dyDescent="0.25">
      <c r="BB48" s="488"/>
      <c r="EY48" s="1"/>
      <c r="EZ48" s="1"/>
      <c r="FA48" s="1"/>
    </row>
    <row r="49" spans="54:157" x14ac:dyDescent="0.25">
      <c r="BB49" s="488"/>
      <c r="EY49" s="1"/>
      <c r="EZ49" s="1"/>
      <c r="FA49" s="1"/>
    </row>
    <row r="50" spans="54:157" x14ac:dyDescent="0.25">
      <c r="BB50" s="488"/>
      <c r="EY50" s="1"/>
      <c r="EZ50" s="1"/>
      <c r="FA50" s="1"/>
    </row>
    <row r="51" spans="54:157" x14ac:dyDescent="0.25">
      <c r="BB51" s="488"/>
      <c r="EY51" s="1"/>
      <c r="EZ51" s="1"/>
      <c r="FA51" s="1"/>
    </row>
    <row r="52" spans="54:157" x14ac:dyDescent="0.25">
      <c r="BB52" s="488"/>
      <c r="EY52" s="1"/>
      <c r="EZ52" s="1"/>
      <c r="FA52" s="1"/>
    </row>
    <row r="53" spans="54:157" x14ac:dyDescent="0.25">
      <c r="BB53" s="488"/>
      <c r="EY53" s="1"/>
      <c r="EZ53" s="1"/>
      <c r="FA53" s="1"/>
    </row>
    <row r="54" spans="54:157" x14ac:dyDescent="0.25">
      <c r="BB54" s="488"/>
      <c r="EY54" s="1"/>
      <c r="EZ54" s="1"/>
      <c r="FA54" s="1"/>
    </row>
    <row r="55" spans="54:157" x14ac:dyDescent="0.25">
      <c r="BB55" s="488"/>
      <c r="EY55" s="1"/>
      <c r="EZ55" s="1"/>
      <c r="FA55" s="1"/>
    </row>
    <row r="56" spans="54:157" x14ac:dyDescent="0.25">
      <c r="BB56" s="488"/>
      <c r="EY56" s="1"/>
      <c r="EZ56" s="1"/>
      <c r="FA56" s="1"/>
    </row>
    <row r="57" spans="54:157" x14ac:dyDescent="0.25">
      <c r="BB57" s="488"/>
      <c r="EY57" s="1"/>
      <c r="EZ57" s="1"/>
      <c r="FA57" s="1"/>
    </row>
    <row r="58" spans="54:157" x14ac:dyDescent="0.25">
      <c r="BB58" s="488"/>
      <c r="EY58" s="1"/>
      <c r="EZ58" s="1"/>
      <c r="FA58" s="1"/>
    </row>
    <row r="59" spans="54:157" x14ac:dyDescent="0.25">
      <c r="BB59" s="488"/>
      <c r="EY59" s="1"/>
      <c r="EZ59" s="1"/>
      <c r="FA59" s="1"/>
    </row>
    <row r="60" spans="54:157" x14ac:dyDescent="0.25">
      <c r="BB60" s="488"/>
      <c r="EY60" s="1"/>
      <c r="EZ60" s="1"/>
      <c r="FA60" s="1"/>
    </row>
    <row r="61" spans="54:157" x14ac:dyDescent="0.25">
      <c r="BB61" s="488"/>
      <c r="EY61" s="1"/>
      <c r="EZ61" s="1"/>
      <c r="FA61" s="1"/>
    </row>
    <row r="62" spans="54:157" x14ac:dyDescent="0.25">
      <c r="BB62" s="488"/>
      <c r="EY62" s="1"/>
      <c r="EZ62" s="1"/>
      <c r="FA62" s="1"/>
    </row>
    <row r="63" spans="54:157" x14ac:dyDescent="0.25">
      <c r="BB63" s="488"/>
      <c r="EY63" s="1"/>
      <c r="EZ63" s="1"/>
      <c r="FA63" s="1"/>
    </row>
    <row r="64" spans="54:157" x14ac:dyDescent="0.25">
      <c r="BB64" s="488"/>
      <c r="EY64" s="1"/>
      <c r="EZ64" s="1"/>
      <c r="FA64" s="1"/>
    </row>
    <row r="65" spans="54:157" x14ac:dyDescent="0.25">
      <c r="BB65" s="488"/>
      <c r="EY65" s="1"/>
      <c r="EZ65" s="1"/>
      <c r="FA65" s="1"/>
    </row>
    <row r="66" spans="54:157" x14ac:dyDescent="0.25">
      <c r="BB66" s="488"/>
      <c r="EY66" s="1"/>
      <c r="EZ66" s="1"/>
      <c r="FA66" s="1"/>
    </row>
    <row r="67" spans="54:157" x14ac:dyDescent="0.25">
      <c r="BB67" s="488"/>
      <c r="EY67" s="1"/>
      <c r="EZ67" s="1"/>
      <c r="FA67" s="1"/>
    </row>
    <row r="68" spans="54:157" x14ac:dyDescent="0.25">
      <c r="BB68" s="488"/>
      <c r="EY68" s="1"/>
      <c r="EZ68" s="1"/>
      <c r="FA68" s="1"/>
    </row>
    <row r="69" spans="54:157" x14ac:dyDescent="0.25">
      <c r="BB69" s="488"/>
      <c r="EY69" s="1"/>
      <c r="EZ69" s="1"/>
      <c r="FA69" s="1"/>
    </row>
    <row r="70" spans="54:157" x14ac:dyDescent="0.25">
      <c r="BB70" s="488"/>
      <c r="EY70" s="1"/>
      <c r="EZ70" s="1"/>
      <c r="FA70" s="1"/>
    </row>
    <row r="71" spans="54:157" x14ac:dyDescent="0.25">
      <c r="BB71" s="488"/>
      <c r="EY71" s="1"/>
      <c r="EZ71" s="1"/>
      <c r="FA71" s="1"/>
    </row>
    <row r="72" spans="54:157" x14ac:dyDescent="0.25">
      <c r="BB72" s="488"/>
      <c r="EY72" s="1"/>
      <c r="EZ72" s="1"/>
      <c r="FA72" s="1"/>
    </row>
    <row r="73" spans="54:157" x14ac:dyDescent="0.25">
      <c r="BB73" s="488"/>
      <c r="EY73" s="1"/>
      <c r="EZ73" s="1"/>
      <c r="FA73" s="1"/>
    </row>
    <row r="74" spans="54:157" x14ac:dyDescent="0.25">
      <c r="BB74" s="488"/>
      <c r="EY74" s="1"/>
      <c r="EZ74" s="1"/>
      <c r="FA74" s="1"/>
    </row>
    <row r="75" spans="54:157" x14ac:dyDescent="0.25">
      <c r="BB75" s="488"/>
      <c r="EY75" s="1"/>
      <c r="EZ75" s="1"/>
      <c r="FA75" s="1"/>
    </row>
    <row r="76" spans="54:157" x14ac:dyDescent="0.25">
      <c r="BB76" s="488"/>
      <c r="EY76" s="1"/>
      <c r="EZ76" s="1"/>
      <c r="FA76" s="1"/>
    </row>
    <row r="77" spans="54:157" x14ac:dyDescent="0.25">
      <c r="BB77" s="488"/>
      <c r="EY77" s="1"/>
      <c r="EZ77" s="1"/>
      <c r="FA77" s="1"/>
    </row>
    <row r="78" spans="54:157" x14ac:dyDescent="0.25">
      <c r="BB78" s="488"/>
      <c r="EY78" s="1"/>
      <c r="EZ78" s="1"/>
      <c r="FA78" s="1"/>
    </row>
    <row r="79" spans="54:157" x14ac:dyDescent="0.25">
      <c r="BB79" s="488"/>
      <c r="EY79" s="1"/>
      <c r="EZ79" s="1"/>
      <c r="FA79" s="1"/>
    </row>
    <row r="80" spans="54:157" x14ac:dyDescent="0.25">
      <c r="BB80" s="488"/>
      <c r="EY80" s="1"/>
      <c r="EZ80" s="1"/>
      <c r="FA80" s="1"/>
    </row>
    <row r="81" spans="54:157" x14ac:dyDescent="0.25">
      <c r="BB81" s="488"/>
      <c r="EY81" s="1"/>
      <c r="EZ81" s="1"/>
      <c r="FA81" s="1"/>
    </row>
    <row r="82" spans="54:157" x14ac:dyDescent="0.25">
      <c r="BB82" s="488"/>
      <c r="EY82" s="1"/>
      <c r="EZ82" s="1"/>
      <c r="FA82" s="1"/>
    </row>
    <row r="83" spans="54:157" x14ac:dyDescent="0.25">
      <c r="BB83" s="488"/>
      <c r="EY83" s="1"/>
      <c r="EZ83" s="1"/>
      <c r="FA83" s="1"/>
    </row>
    <row r="84" spans="54:157" x14ac:dyDescent="0.25">
      <c r="BB84" s="488"/>
      <c r="EY84" s="1"/>
      <c r="EZ84" s="1"/>
      <c r="FA84" s="1"/>
    </row>
    <row r="85" spans="54:157" x14ac:dyDescent="0.25">
      <c r="BB85" s="488"/>
      <c r="EY85" s="1"/>
      <c r="EZ85" s="1"/>
      <c r="FA85" s="1"/>
    </row>
    <row r="86" spans="54:157" x14ac:dyDescent="0.25">
      <c r="BB86" s="488"/>
      <c r="EY86" s="1"/>
      <c r="EZ86" s="1"/>
      <c r="FA86" s="1"/>
    </row>
    <row r="87" spans="54:157" x14ac:dyDescent="0.25">
      <c r="BB87" s="488"/>
      <c r="EY87" s="1"/>
      <c r="EZ87" s="1"/>
      <c r="FA87" s="1"/>
    </row>
    <row r="88" spans="54:157" x14ac:dyDescent="0.25">
      <c r="BB88" s="488"/>
      <c r="EY88" s="1"/>
      <c r="EZ88" s="1"/>
      <c r="FA88" s="1"/>
    </row>
    <row r="89" spans="54:157" x14ac:dyDescent="0.25">
      <c r="BB89" s="488"/>
      <c r="EY89" s="1"/>
      <c r="EZ89" s="1"/>
      <c r="FA89" s="1"/>
    </row>
    <row r="90" spans="54:157" x14ac:dyDescent="0.25">
      <c r="BB90" s="488"/>
      <c r="EY90" s="1"/>
      <c r="EZ90" s="1"/>
      <c r="FA90" s="1"/>
    </row>
    <row r="91" spans="54:157" x14ac:dyDescent="0.25">
      <c r="BB91" s="488"/>
      <c r="EY91" s="1"/>
      <c r="EZ91" s="1"/>
      <c r="FA91" s="1"/>
    </row>
    <row r="92" spans="54:157" x14ac:dyDescent="0.25">
      <c r="BB92" s="488"/>
      <c r="EY92" s="1"/>
      <c r="EZ92" s="1"/>
      <c r="FA92" s="1"/>
    </row>
    <row r="93" spans="54:157" x14ac:dyDescent="0.25">
      <c r="BB93" s="488"/>
      <c r="EY93" s="1"/>
      <c r="EZ93" s="1"/>
      <c r="FA93" s="1"/>
    </row>
    <row r="94" spans="54:157" x14ac:dyDescent="0.25">
      <c r="BB94" s="488"/>
      <c r="EY94" s="1"/>
      <c r="EZ94" s="1"/>
      <c r="FA94" s="1"/>
    </row>
    <row r="95" spans="54:157" x14ac:dyDescent="0.25">
      <c r="BB95" s="488"/>
      <c r="EY95" s="1"/>
      <c r="EZ95" s="1"/>
      <c r="FA95" s="1"/>
    </row>
    <row r="96" spans="54:157" x14ac:dyDescent="0.25">
      <c r="BB96" s="488"/>
      <c r="EY96" s="1"/>
      <c r="EZ96" s="1"/>
      <c r="FA96" s="1"/>
    </row>
    <row r="97" spans="54:157" x14ac:dyDescent="0.25">
      <c r="BB97" s="488"/>
      <c r="EY97" s="1"/>
      <c r="EZ97" s="1"/>
      <c r="FA97" s="1"/>
    </row>
    <row r="98" spans="54:157" x14ac:dyDescent="0.25">
      <c r="BB98" s="488"/>
      <c r="EY98" s="1"/>
      <c r="EZ98" s="1"/>
      <c r="FA98" s="1"/>
    </row>
    <row r="99" spans="54:157" x14ac:dyDescent="0.25">
      <c r="BB99" s="488"/>
      <c r="EY99" s="1"/>
      <c r="EZ99" s="1"/>
      <c r="FA99" s="1"/>
    </row>
    <row r="100" spans="54:157" x14ac:dyDescent="0.25">
      <c r="BB100" s="488"/>
      <c r="EY100" s="1"/>
      <c r="EZ100" s="1"/>
      <c r="FA100" s="1"/>
    </row>
    <row r="101" spans="54:157" x14ac:dyDescent="0.25">
      <c r="BB101" s="488"/>
      <c r="EY101" s="1"/>
      <c r="EZ101" s="1"/>
      <c r="FA101" s="1"/>
    </row>
    <row r="102" spans="54:157" x14ac:dyDescent="0.25">
      <c r="BB102" s="488"/>
      <c r="EY102" s="1"/>
      <c r="EZ102" s="1"/>
      <c r="FA102" s="1"/>
    </row>
    <row r="103" spans="54:157" x14ac:dyDescent="0.25">
      <c r="BB103" s="488"/>
      <c r="EY103" s="1"/>
      <c r="EZ103" s="1"/>
      <c r="FA103" s="1"/>
    </row>
    <row r="104" spans="54:157" x14ac:dyDescent="0.25">
      <c r="BB104" s="488"/>
      <c r="EY104" s="1"/>
      <c r="EZ104" s="1"/>
      <c r="FA104" s="1"/>
    </row>
    <row r="105" spans="54:157" x14ac:dyDescent="0.25">
      <c r="BB105" s="488"/>
      <c r="EY105" s="1"/>
      <c r="EZ105" s="1"/>
      <c r="FA105" s="1"/>
    </row>
    <row r="106" spans="54:157" x14ac:dyDescent="0.25">
      <c r="BB106" s="488"/>
      <c r="EY106" s="1"/>
      <c r="EZ106" s="1"/>
      <c r="FA106" s="1"/>
    </row>
    <row r="107" spans="54:157" x14ac:dyDescent="0.25">
      <c r="BB107" s="488"/>
      <c r="EY107" s="1"/>
      <c r="EZ107" s="1"/>
      <c r="FA107" s="1"/>
    </row>
    <row r="108" spans="54:157" x14ac:dyDescent="0.25">
      <c r="BB108" s="488"/>
      <c r="EY108" s="1"/>
      <c r="EZ108" s="1"/>
      <c r="FA108" s="1"/>
    </row>
    <row r="109" spans="54:157" x14ac:dyDescent="0.25">
      <c r="BB109" s="488"/>
      <c r="EY109" s="1"/>
      <c r="EZ109" s="1"/>
      <c r="FA109" s="1"/>
    </row>
    <row r="110" spans="54:157" x14ac:dyDescent="0.25">
      <c r="BB110" s="488"/>
      <c r="EY110" s="1"/>
      <c r="EZ110" s="1"/>
      <c r="FA110" s="1"/>
    </row>
    <row r="111" spans="54:157" x14ac:dyDescent="0.25">
      <c r="BB111" s="488"/>
      <c r="EY111" s="1"/>
      <c r="EZ111" s="1"/>
      <c r="FA111" s="1"/>
    </row>
    <row r="112" spans="54:157" x14ac:dyDescent="0.25">
      <c r="BB112" s="488"/>
      <c r="EY112" s="1"/>
      <c r="EZ112" s="1"/>
      <c r="FA112" s="1"/>
    </row>
    <row r="113" spans="54:157" x14ac:dyDescent="0.25">
      <c r="BB113" s="488"/>
      <c r="EY113" s="1"/>
      <c r="EZ113" s="1"/>
      <c r="FA113" s="1"/>
    </row>
    <row r="114" spans="54:157" x14ac:dyDescent="0.25">
      <c r="BB114" s="488"/>
      <c r="EY114" s="1"/>
      <c r="EZ114" s="1"/>
      <c r="FA114" s="1"/>
    </row>
    <row r="115" spans="54:157" x14ac:dyDescent="0.25">
      <c r="BB115" s="488"/>
      <c r="EY115" s="1"/>
      <c r="EZ115" s="1"/>
      <c r="FA115" s="1"/>
    </row>
    <row r="116" spans="54:157" x14ac:dyDescent="0.25">
      <c r="BB116" s="488"/>
      <c r="EY116" s="1"/>
      <c r="EZ116" s="1"/>
      <c r="FA116" s="1"/>
    </row>
    <row r="117" spans="54:157" x14ac:dyDescent="0.25">
      <c r="BB117" s="488"/>
      <c r="EY117" s="1"/>
      <c r="EZ117" s="1"/>
      <c r="FA117" s="1"/>
    </row>
    <row r="118" spans="54:157" x14ac:dyDescent="0.25">
      <c r="BB118" s="488"/>
      <c r="EY118" s="1"/>
      <c r="EZ118" s="1"/>
      <c r="FA118" s="1"/>
    </row>
    <row r="119" spans="54:157" x14ac:dyDescent="0.25">
      <c r="BB119" s="488"/>
      <c r="EY119" s="1"/>
      <c r="EZ119" s="1"/>
      <c r="FA119" s="1"/>
    </row>
    <row r="120" spans="54:157" x14ac:dyDescent="0.25">
      <c r="BB120" s="488"/>
      <c r="EY120" s="1"/>
      <c r="EZ120" s="1"/>
      <c r="FA120" s="1"/>
    </row>
    <row r="121" spans="54:157" x14ac:dyDescent="0.25">
      <c r="BB121" s="488"/>
      <c r="EY121" s="1"/>
      <c r="EZ121" s="1"/>
      <c r="FA121" s="1"/>
    </row>
    <row r="122" spans="54:157" x14ac:dyDescent="0.25">
      <c r="BB122" s="488"/>
      <c r="EY122" s="1"/>
      <c r="EZ122" s="1"/>
      <c r="FA122" s="1"/>
    </row>
    <row r="123" spans="54:157" x14ac:dyDescent="0.25">
      <c r="BB123" s="488"/>
      <c r="EY123" s="1"/>
      <c r="EZ123" s="1"/>
      <c r="FA123" s="1"/>
    </row>
    <row r="124" spans="54:157" x14ac:dyDescent="0.25">
      <c r="BB124" s="488"/>
      <c r="EY124" s="1"/>
      <c r="EZ124" s="1"/>
      <c r="FA124" s="1"/>
    </row>
    <row r="125" spans="54:157" x14ac:dyDescent="0.25">
      <c r="BB125" s="488"/>
      <c r="EY125" s="1"/>
      <c r="EZ125" s="1"/>
      <c r="FA125" s="1"/>
    </row>
    <row r="126" spans="54:157" x14ac:dyDescent="0.25">
      <c r="BB126" s="488"/>
      <c r="EY126" s="1"/>
      <c r="EZ126" s="1"/>
      <c r="FA126" s="1"/>
    </row>
    <row r="127" spans="54:157" x14ac:dyDescent="0.25">
      <c r="BB127" s="488"/>
      <c r="EY127" s="1"/>
      <c r="EZ127" s="1"/>
      <c r="FA127" s="1"/>
    </row>
    <row r="128" spans="54:157" x14ac:dyDescent="0.25">
      <c r="BB128" s="488"/>
      <c r="EY128" s="1"/>
      <c r="EZ128" s="1"/>
      <c r="FA128" s="1"/>
    </row>
    <row r="129" spans="54:157" x14ac:dyDescent="0.25">
      <c r="BB129" s="488"/>
      <c r="EY129" s="1"/>
      <c r="EZ129" s="1"/>
      <c r="FA129" s="1"/>
    </row>
    <row r="130" spans="54:157" x14ac:dyDescent="0.25">
      <c r="BB130" s="488"/>
      <c r="EY130" s="1"/>
      <c r="EZ130" s="1"/>
      <c r="FA130" s="1"/>
    </row>
    <row r="131" spans="54:157" x14ac:dyDescent="0.25">
      <c r="BB131" s="488"/>
      <c r="EY131" s="1"/>
      <c r="EZ131" s="1"/>
      <c r="FA131" s="1"/>
    </row>
    <row r="132" spans="54:157" x14ac:dyDescent="0.25">
      <c r="BB132" s="488"/>
      <c r="EY132" s="1"/>
      <c r="EZ132" s="1"/>
      <c r="FA132" s="1"/>
    </row>
    <row r="133" spans="54:157" x14ac:dyDescent="0.25">
      <c r="BB133" s="488"/>
      <c r="EY133" s="1"/>
      <c r="EZ133" s="1"/>
      <c r="FA133" s="1"/>
    </row>
    <row r="134" spans="54:157" x14ac:dyDescent="0.25">
      <c r="BB134" s="488"/>
      <c r="EY134" s="1"/>
      <c r="EZ134" s="1"/>
      <c r="FA134" s="1"/>
    </row>
    <row r="135" spans="54:157" x14ac:dyDescent="0.25">
      <c r="BB135" s="488"/>
      <c r="EY135" s="1"/>
      <c r="EZ135" s="1"/>
      <c r="FA135" s="1"/>
    </row>
    <row r="136" spans="54:157" x14ac:dyDescent="0.25">
      <c r="BB136" s="488"/>
      <c r="EY136" s="1"/>
      <c r="EZ136" s="1"/>
      <c r="FA136" s="1"/>
    </row>
    <row r="137" spans="54:157" x14ac:dyDescent="0.25">
      <c r="BB137" s="488"/>
      <c r="EY137" s="1"/>
      <c r="EZ137" s="1"/>
      <c r="FA137" s="1"/>
    </row>
    <row r="138" spans="54:157" x14ac:dyDescent="0.25">
      <c r="BB138" s="488"/>
      <c r="EY138" s="1"/>
      <c r="EZ138" s="1"/>
      <c r="FA138" s="1"/>
    </row>
    <row r="139" spans="54:157" x14ac:dyDescent="0.25">
      <c r="BB139" s="488"/>
      <c r="EY139" s="1"/>
      <c r="EZ139" s="1"/>
      <c r="FA139" s="1"/>
    </row>
    <row r="140" spans="54:157" x14ac:dyDescent="0.25">
      <c r="BB140" s="488"/>
      <c r="EY140" s="1"/>
      <c r="EZ140" s="1"/>
      <c r="FA140" s="1"/>
    </row>
    <row r="141" spans="54:157" x14ac:dyDescent="0.25">
      <c r="BB141" s="488"/>
      <c r="EY141" s="1"/>
      <c r="EZ141" s="1"/>
      <c r="FA141" s="1"/>
    </row>
    <row r="142" spans="54:157" x14ac:dyDescent="0.25">
      <c r="BB142" s="488"/>
      <c r="EY142" s="1"/>
      <c r="EZ142" s="1"/>
      <c r="FA142" s="1"/>
    </row>
    <row r="143" spans="54:157" x14ac:dyDescent="0.25">
      <c r="BB143" s="488"/>
      <c r="EY143" s="1"/>
      <c r="EZ143" s="1"/>
      <c r="FA143" s="1"/>
    </row>
    <row r="144" spans="54:157" x14ac:dyDescent="0.25">
      <c r="BB144" s="488"/>
      <c r="EY144" s="1"/>
      <c r="EZ144" s="1"/>
      <c r="FA144" s="1"/>
    </row>
    <row r="145" spans="54:157" x14ac:dyDescent="0.25">
      <c r="BB145" s="488"/>
      <c r="EY145" s="1"/>
      <c r="EZ145" s="1"/>
      <c r="FA145" s="1"/>
    </row>
    <row r="146" spans="54:157" x14ac:dyDescent="0.25">
      <c r="BB146" s="488"/>
      <c r="EY146" s="1"/>
      <c r="EZ146" s="1"/>
      <c r="FA146" s="1"/>
    </row>
    <row r="147" spans="54:157" x14ac:dyDescent="0.25">
      <c r="BB147" s="488"/>
      <c r="EY147" s="1"/>
      <c r="EZ147" s="1"/>
      <c r="FA147" s="1"/>
    </row>
    <row r="148" spans="54:157" x14ac:dyDescent="0.25">
      <c r="BB148" s="488"/>
      <c r="EY148" s="1"/>
      <c r="EZ148" s="1"/>
      <c r="FA148" s="1"/>
    </row>
    <row r="149" spans="54:157" x14ac:dyDescent="0.25">
      <c r="BB149" s="488"/>
      <c r="EY149" s="1"/>
      <c r="EZ149" s="1"/>
      <c r="FA149" s="1"/>
    </row>
    <row r="150" spans="54:157" x14ac:dyDescent="0.25">
      <c r="BB150" s="488"/>
      <c r="EY150" s="1"/>
      <c r="EZ150" s="1"/>
      <c r="FA150" s="1"/>
    </row>
    <row r="151" spans="54:157" x14ac:dyDescent="0.25">
      <c r="BB151" s="488"/>
      <c r="EY151" s="1"/>
      <c r="EZ151" s="1"/>
      <c r="FA151" s="1"/>
    </row>
    <row r="152" spans="54:157" x14ac:dyDescent="0.25">
      <c r="BB152" s="488"/>
      <c r="EY152" s="1"/>
      <c r="EZ152" s="1"/>
      <c r="FA152" s="1"/>
    </row>
    <row r="153" spans="54:157" x14ac:dyDescent="0.25">
      <c r="BB153" s="488"/>
      <c r="EY153" s="1"/>
      <c r="EZ153" s="1"/>
      <c r="FA153" s="1"/>
    </row>
    <row r="154" spans="54:157" x14ac:dyDescent="0.25">
      <c r="BB154" s="488"/>
      <c r="EY154" s="1"/>
      <c r="EZ154" s="1"/>
      <c r="FA154" s="1"/>
    </row>
    <row r="155" spans="54:157" x14ac:dyDescent="0.25">
      <c r="BB155" s="488"/>
      <c r="EY155" s="1"/>
      <c r="EZ155" s="1"/>
      <c r="FA155" s="1"/>
    </row>
    <row r="156" spans="54:157" x14ac:dyDescent="0.25">
      <c r="BB156" s="488"/>
      <c r="EY156" s="1"/>
      <c r="EZ156" s="1"/>
      <c r="FA156" s="1"/>
    </row>
    <row r="157" spans="54:157" x14ac:dyDescent="0.25">
      <c r="BB157" s="488"/>
      <c r="EY157" s="1"/>
      <c r="EZ157" s="1"/>
      <c r="FA157" s="1"/>
    </row>
    <row r="158" spans="54:157" x14ac:dyDescent="0.25">
      <c r="BB158" s="488"/>
      <c r="EY158" s="1"/>
      <c r="EZ158" s="1"/>
      <c r="FA158" s="1"/>
    </row>
    <row r="159" spans="54:157" x14ac:dyDescent="0.25">
      <c r="BB159" s="488"/>
      <c r="EY159" s="1"/>
      <c r="EZ159" s="1"/>
      <c r="FA159" s="1"/>
    </row>
    <row r="160" spans="54:157" x14ac:dyDescent="0.25">
      <c r="BB160" s="488"/>
      <c r="EY160" s="1"/>
      <c r="EZ160" s="1"/>
      <c r="FA160" s="1"/>
    </row>
    <row r="161" spans="54:157" x14ac:dyDescent="0.25">
      <c r="BB161" s="488"/>
      <c r="EY161" s="1"/>
      <c r="EZ161" s="1"/>
      <c r="FA161" s="1"/>
    </row>
    <row r="162" spans="54:157" x14ac:dyDescent="0.25">
      <c r="BB162" s="488"/>
      <c r="EY162" s="1"/>
      <c r="EZ162" s="1"/>
      <c r="FA162" s="1"/>
    </row>
    <row r="163" spans="54:157" x14ac:dyDescent="0.25">
      <c r="BB163" s="488"/>
      <c r="EY163" s="1"/>
      <c r="EZ163" s="1"/>
      <c r="FA163" s="1"/>
    </row>
    <row r="164" spans="54:157" x14ac:dyDescent="0.25">
      <c r="BB164" s="488"/>
      <c r="EY164" s="1"/>
      <c r="EZ164" s="1"/>
      <c r="FA164" s="1"/>
    </row>
    <row r="165" spans="54:157" x14ac:dyDescent="0.25">
      <c r="BB165" s="488"/>
      <c r="EY165" s="1"/>
      <c r="EZ165" s="1"/>
      <c r="FA165" s="1"/>
    </row>
    <row r="166" spans="54:157" x14ac:dyDescent="0.25">
      <c r="BB166" s="488"/>
      <c r="EY166" s="1"/>
      <c r="EZ166" s="1"/>
      <c r="FA166" s="1"/>
    </row>
    <row r="167" spans="54:157" x14ac:dyDescent="0.25">
      <c r="BB167" s="488"/>
      <c r="EY167" s="1"/>
      <c r="EZ167" s="1"/>
      <c r="FA167" s="1"/>
    </row>
    <row r="168" spans="54:157" x14ac:dyDescent="0.25">
      <c r="BB168" s="488"/>
      <c r="EY168" s="1"/>
      <c r="EZ168" s="1"/>
      <c r="FA168" s="1"/>
    </row>
    <row r="169" spans="54:157" x14ac:dyDescent="0.25">
      <c r="BB169" s="488"/>
      <c r="EY169" s="1"/>
      <c r="EZ169" s="1"/>
      <c r="FA169" s="1"/>
    </row>
    <row r="170" spans="54:157" x14ac:dyDescent="0.25">
      <c r="BB170" s="488"/>
      <c r="EY170" s="1"/>
      <c r="EZ170" s="1"/>
      <c r="FA170" s="1"/>
    </row>
    <row r="171" spans="54:157" x14ac:dyDescent="0.25">
      <c r="BB171" s="488"/>
      <c r="EY171" s="1"/>
      <c r="EZ171" s="1"/>
      <c r="FA171" s="1"/>
    </row>
    <row r="172" spans="54:157" x14ac:dyDescent="0.25">
      <c r="BB172" s="488"/>
      <c r="EY172" s="1"/>
      <c r="EZ172" s="1"/>
      <c r="FA172" s="1"/>
    </row>
    <row r="173" spans="54:157" x14ac:dyDescent="0.25">
      <c r="BB173" s="488"/>
      <c r="EY173" s="1"/>
      <c r="EZ173" s="1"/>
      <c r="FA173" s="1"/>
    </row>
    <row r="174" spans="54:157" x14ac:dyDescent="0.25">
      <c r="BB174" s="488"/>
      <c r="EY174" s="1"/>
      <c r="EZ174" s="1"/>
      <c r="FA174" s="1"/>
    </row>
    <row r="175" spans="54:157" x14ac:dyDescent="0.25">
      <c r="BB175" s="488"/>
      <c r="EY175" s="1"/>
      <c r="EZ175" s="1"/>
      <c r="FA175" s="1"/>
    </row>
    <row r="176" spans="54:157" x14ac:dyDescent="0.25">
      <c r="BB176" s="488"/>
      <c r="EY176" s="1"/>
      <c r="EZ176" s="1"/>
      <c r="FA176" s="1"/>
    </row>
    <row r="177" spans="54:157" x14ac:dyDescent="0.25">
      <c r="BB177" s="488"/>
      <c r="EY177" s="1"/>
      <c r="EZ177" s="1"/>
      <c r="FA177" s="1"/>
    </row>
    <row r="178" spans="54:157" x14ac:dyDescent="0.25">
      <c r="BB178" s="488"/>
      <c r="EY178" s="1"/>
      <c r="EZ178" s="1"/>
      <c r="FA178" s="1"/>
    </row>
    <row r="179" spans="54:157" x14ac:dyDescent="0.25">
      <c r="BB179" s="488"/>
      <c r="EY179" s="1"/>
      <c r="EZ179" s="1"/>
      <c r="FA179" s="1"/>
    </row>
    <row r="180" spans="54:157" x14ac:dyDescent="0.25">
      <c r="BB180" s="488"/>
      <c r="EY180" s="1"/>
      <c r="EZ180" s="1"/>
      <c r="FA180" s="1"/>
    </row>
    <row r="181" spans="54:157" x14ac:dyDescent="0.25">
      <c r="BB181" s="488"/>
      <c r="EY181" s="1"/>
      <c r="EZ181" s="1"/>
      <c r="FA181" s="1"/>
    </row>
    <row r="182" spans="54:157" x14ac:dyDescent="0.25">
      <c r="BB182" s="488"/>
      <c r="EY182" s="1"/>
      <c r="EZ182" s="1"/>
      <c r="FA182" s="1"/>
    </row>
    <row r="183" spans="54:157" x14ac:dyDescent="0.25">
      <c r="BB183" s="488"/>
      <c r="EY183" s="1"/>
      <c r="EZ183" s="1"/>
      <c r="FA183" s="1"/>
    </row>
    <row r="184" spans="54:157" x14ac:dyDescent="0.25">
      <c r="BB184" s="488"/>
      <c r="EY184" s="1"/>
      <c r="EZ184" s="1"/>
      <c r="FA184" s="1"/>
    </row>
    <row r="185" spans="54:157" x14ac:dyDescent="0.25">
      <c r="BB185" s="488"/>
      <c r="EY185" s="1"/>
      <c r="EZ185" s="1"/>
      <c r="FA185" s="1"/>
    </row>
    <row r="186" spans="54:157" x14ac:dyDescent="0.25">
      <c r="BB186" s="488"/>
      <c r="EY186" s="1"/>
      <c r="EZ186" s="1"/>
      <c r="FA186" s="1"/>
    </row>
    <row r="187" spans="54:157" x14ac:dyDescent="0.25">
      <c r="BB187" s="488"/>
      <c r="EY187" s="1"/>
      <c r="EZ187" s="1"/>
      <c r="FA187" s="1"/>
    </row>
    <row r="188" spans="54:157" x14ac:dyDescent="0.25">
      <c r="BB188" s="488"/>
      <c r="EY188" s="1"/>
      <c r="EZ188" s="1"/>
      <c r="FA188" s="1"/>
    </row>
    <row r="189" spans="54:157" x14ac:dyDescent="0.25">
      <c r="BB189" s="488"/>
      <c r="EY189" s="1"/>
      <c r="EZ189" s="1"/>
      <c r="FA189" s="1"/>
    </row>
    <row r="190" spans="54:157" x14ac:dyDescent="0.25">
      <c r="BB190" s="488"/>
      <c r="EY190" s="1"/>
      <c r="EZ190" s="1"/>
      <c r="FA190" s="1"/>
    </row>
    <row r="191" spans="54:157" x14ac:dyDescent="0.25">
      <c r="BB191" s="488"/>
      <c r="EY191" s="1"/>
      <c r="EZ191" s="1"/>
      <c r="FA191" s="1"/>
    </row>
    <row r="192" spans="54:157" x14ac:dyDescent="0.25">
      <c r="BB192" s="488"/>
      <c r="EY192" s="1"/>
      <c r="EZ192" s="1"/>
      <c r="FA192" s="1"/>
    </row>
    <row r="193" spans="54:157" x14ac:dyDescent="0.25">
      <c r="BB193" s="488"/>
      <c r="EY193" s="1"/>
      <c r="EZ193" s="1"/>
      <c r="FA193" s="1"/>
    </row>
    <row r="194" spans="54:157" x14ac:dyDescent="0.25">
      <c r="BB194" s="488"/>
      <c r="EY194" s="1"/>
      <c r="EZ194" s="1"/>
      <c r="FA194" s="1"/>
    </row>
    <row r="195" spans="54:157" x14ac:dyDescent="0.25">
      <c r="BB195" s="488"/>
      <c r="EY195" s="1"/>
      <c r="EZ195" s="1"/>
      <c r="FA195" s="1"/>
    </row>
    <row r="196" spans="54:157" x14ac:dyDescent="0.25">
      <c r="BB196" s="488"/>
      <c r="EY196" s="1"/>
      <c r="EZ196" s="1"/>
      <c r="FA196" s="1"/>
    </row>
    <row r="197" spans="54:157" x14ac:dyDescent="0.25">
      <c r="BB197" s="488"/>
      <c r="EY197" s="1"/>
      <c r="EZ197" s="1"/>
      <c r="FA197" s="1"/>
    </row>
    <row r="198" spans="54:157" x14ac:dyDescent="0.25">
      <c r="BB198" s="488"/>
      <c r="EY198" s="1"/>
      <c r="EZ198" s="1"/>
      <c r="FA198" s="1"/>
    </row>
    <row r="199" spans="54:157" x14ac:dyDescent="0.25">
      <c r="BB199" s="488"/>
      <c r="EY199" s="1"/>
      <c r="EZ199" s="1"/>
      <c r="FA199" s="1"/>
    </row>
    <row r="200" spans="54:157" x14ac:dyDescent="0.25">
      <c r="BB200" s="488"/>
      <c r="EY200" s="1"/>
      <c r="EZ200" s="1"/>
      <c r="FA200" s="1"/>
    </row>
    <row r="201" spans="54:157" x14ac:dyDescent="0.25">
      <c r="BB201" s="488"/>
      <c r="EY201" s="1"/>
      <c r="EZ201" s="1"/>
      <c r="FA201" s="1"/>
    </row>
    <row r="202" spans="54:157" x14ac:dyDescent="0.25">
      <c r="BB202" s="488"/>
      <c r="EY202" s="1"/>
      <c r="EZ202" s="1"/>
      <c r="FA202" s="1"/>
    </row>
    <row r="203" spans="54:157" x14ac:dyDescent="0.25">
      <c r="BB203" s="488"/>
      <c r="EY203" s="1"/>
      <c r="EZ203" s="1"/>
      <c r="FA203" s="1"/>
    </row>
    <row r="204" spans="54:157" x14ac:dyDescent="0.25">
      <c r="BB204" s="488"/>
      <c r="EY204" s="1"/>
      <c r="EZ204" s="1"/>
      <c r="FA204" s="1"/>
    </row>
    <row r="205" spans="54:157" x14ac:dyDescent="0.25">
      <c r="BB205" s="488"/>
      <c r="EY205" s="1"/>
      <c r="EZ205" s="1"/>
      <c r="FA205" s="1"/>
    </row>
    <row r="206" spans="54:157" x14ac:dyDescent="0.25">
      <c r="BB206" s="488"/>
      <c r="EY206" s="1"/>
      <c r="EZ206" s="1"/>
      <c r="FA206" s="1"/>
    </row>
    <row r="207" spans="54:157" x14ac:dyDescent="0.25">
      <c r="BB207" s="488"/>
      <c r="EY207" s="1"/>
      <c r="EZ207" s="1"/>
      <c r="FA207" s="1"/>
    </row>
    <row r="208" spans="54:157" x14ac:dyDescent="0.25">
      <c r="BB208" s="488"/>
      <c r="EY208" s="1"/>
      <c r="EZ208" s="1"/>
      <c r="FA208" s="1"/>
    </row>
    <row r="209" spans="54:157" x14ac:dyDescent="0.25">
      <c r="BB209" s="488"/>
      <c r="EY209" s="1"/>
      <c r="EZ209" s="1"/>
      <c r="FA209" s="1"/>
    </row>
    <row r="210" spans="54:157" x14ac:dyDescent="0.25">
      <c r="BB210" s="488"/>
      <c r="EY210" s="1"/>
      <c r="EZ210" s="1"/>
      <c r="FA210" s="1"/>
    </row>
    <row r="211" spans="54:157" x14ac:dyDescent="0.25">
      <c r="BB211" s="488"/>
      <c r="EY211" s="1"/>
      <c r="EZ211" s="1"/>
      <c r="FA211" s="1"/>
    </row>
    <row r="212" spans="54:157" x14ac:dyDescent="0.25">
      <c r="BB212" s="488"/>
      <c r="EY212" s="1"/>
      <c r="EZ212" s="1"/>
      <c r="FA212" s="1"/>
    </row>
    <row r="213" spans="54:157" x14ac:dyDescent="0.25">
      <c r="BB213" s="488"/>
      <c r="EY213" s="1"/>
      <c r="EZ213" s="1"/>
      <c r="FA213" s="1"/>
    </row>
    <row r="214" spans="54:157" x14ac:dyDescent="0.25">
      <c r="BB214" s="488"/>
      <c r="EY214" s="1"/>
      <c r="EZ214" s="1"/>
      <c r="FA214" s="1"/>
    </row>
    <row r="215" spans="54:157" x14ac:dyDescent="0.25">
      <c r="BB215" s="488"/>
      <c r="EY215" s="1"/>
      <c r="EZ215" s="1"/>
      <c r="FA215" s="1"/>
    </row>
    <row r="216" spans="54:157" x14ac:dyDescent="0.25">
      <c r="BB216" s="488"/>
      <c r="EY216" s="1"/>
      <c r="EZ216" s="1"/>
      <c r="FA216" s="1"/>
    </row>
    <row r="217" spans="54:157" x14ac:dyDescent="0.25">
      <c r="BB217" s="488"/>
      <c r="EY217" s="1"/>
      <c r="EZ217" s="1"/>
      <c r="FA217" s="1"/>
    </row>
    <row r="218" spans="54:157" x14ac:dyDescent="0.25">
      <c r="BB218" s="488"/>
      <c r="EY218" s="1"/>
      <c r="EZ218" s="1"/>
      <c r="FA218" s="1"/>
    </row>
    <row r="219" spans="54:157" x14ac:dyDescent="0.25">
      <c r="BB219" s="488"/>
      <c r="EY219" s="1"/>
      <c r="EZ219" s="1"/>
      <c r="FA219" s="1"/>
    </row>
    <row r="220" spans="54:157" x14ac:dyDescent="0.25">
      <c r="BB220" s="488"/>
      <c r="EY220" s="1"/>
      <c r="EZ220" s="1"/>
      <c r="FA220" s="1"/>
    </row>
    <row r="221" spans="54:157" x14ac:dyDescent="0.25">
      <c r="BB221" s="488"/>
      <c r="EY221" s="1"/>
      <c r="EZ221" s="1"/>
      <c r="FA221" s="1"/>
    </row>
    <row r="222" spans="54:157" x14ac:dyDescent="0.25">
      <c r="BB222" s="488"/>
      <c r="EY222" s="1"/>
      <c r="EZ222" s="1"/>
      <c r="FA222" s="1"/>
    </row>
    <row r="223" spans="54:157" x14ac:dyDescent="0.25">
      <c r="BB223" s="488"/>
      <c r="EY223" s="1"/>
      <c r="EZ223" s="1"/>
      <c r="FA223" s="1"/>
    </row>
    <row r="224" spans="54:157" x14ac:dyDescent="0.25">
      <c r="BB224" s="488"/>
      <c r="EY224" s="1"/>
      <c r="EZ224" s="1"/>
      <c r="FA224" s="1"/>
    </row>
    <row r="225" spans="54:157" x14ac:dyDescent="0.25">
      <c r="BB225" s="488"/>
      <c r="EY225" s="1"/>
      <c r="EZ225" s="1"/>
      <c r="FA225" s="1"/>
    </row>
    <row r="226" spans="54:157" x14ac:dyDescent="0.25">
      <c r="BB226" s="488"/>
      <c r="EY226" s="1"/>
      <c r="EZ226" s="1"/>
      <c r="FA226" s="1"/>
    </row>
    <row r="227" spans="54:157" x14ac:dyDescent="0.25">
      <c r="BB227" s="488"/>
      <c r="EY227" s="1"/>
      <c r="EZ227" s="1"/>
      <c r="FA227" s="1"/>
    </row>
    <row r="228" spans="54:157" x14ac:dyDescent="0.25">
      <c r="BB228" s="488"/>
      <c r="EY228" s="1"/>
      <c r="EZ228" s="1"/>
      <c r="FA228" s="1"/>
    </row>
    <row r="229" spans="54:157" x14ac:dyDescent="0.25">
      <c r="BB229" s="488"/>
      <c r="EY229" s="1"/>
      <c r="EZ229" s="1"/>
      <c r="FA229" s="1"/>
    </row>
    <row r="230" spans="54:157" x14ac:dyDescent="0.25">
      <c r="BB230" s="488"/>
      <c r="EY230" s="1"/>
      <c r="EZ230" s="1"/>
      <c r="FA230" s="1"/>
    </row>
    <row r="231" spans="54:157" x14ac:dyDescent="0.25">
      <c r="BB231" s="488"/>
      <c r="EY231" s="1"/>
      <c r="EZ231" s="1"/>
      <c r="FA231" s="1"/>
    </row>
    <row r="232" spans="54:157" x14ac:dyDescent="0.25">
      <c r="BB232" s="488"/>
      <c r="EY232" s="1"/>
      <c r="EZ232" s="1"/>
      <c r="FA232" s="1"/>
    </row>
    <row r="233" spans="54:157" x14ac:dyDescent="0.25">
      <c r="BB233" s="488"/>
      <c r="EY233" s="1"/>
      <c r="EZ233" s="1"/>
      <c r="FA233" s="1"/>
    </row>
    <row r="234" spans="54:157" x14ac:dyDescent="0.25">
      <c r="BB234" s="488"/>
      <c r="EY234" s="1"/>
      <c r="EZ234" s="1"/>
      <c r="FA234" s="1"/>
    </row>
    <row r="235" spans="54:157" x14ac:dyDescent="0.25">
      <c r="BB235" s="488"/>
      <c r="EY235" s="1"/>
      <c r="EZ235" s="1"/>
      <c r="FA235" s="1"/>
    </row>
    <row r="236" spans="54:157" x14ac:dyDescent="0.25">
      <c r="BB236" s="488"/>
      <c r="EY236" s="1"/>
      <c r="EZ236" s="1"/>
      <c r="FA236" s="1"/>
    </row>
    <row r="237" spans="54:157" x14ac:dyDescent="0.25">
      <c r="BB237" s="488"/>
      <c r="EY237" s="1"/>
      <c r="EZ237" s="1"/>
      <c r="FA237" s="1"/>
    </row>
    <row r="238" spans="54:157" x14ac:dyDescent="0.25">
      <c r="BB238" s="488"/>
      <c r="EY238" s="1"/>
      <c r="EZ238" s="1"/>
      <c r="FA238" s="1"/>
    </row>
    <row r="239" spans="54:157" x14ac:dyDescent="0.25">
      <c r="BB239" s="488"/>
      <c r="EY239" s="1"/>
      <c r="EZ239" s="1"/>
      <c r="FA239" s="1"/>
    </row>
    <row r="240" spans="54:157" x14ac:dyDescent="0.25">
      <c r="BB240" s="488"/>
      <c r="EY240" s="1"/>
      <c r="EZ240" s="1"/>
      <c r="FA240" s="1"/>
    </row>
    <row r="241" spans="54:157" x14ac:dyDescent="0.25">
      <c r="BB241" s="488"/>
      <c r="EY241" s="1"/>
      <c r="EZ241" s="1"/>
      <c r="FA241" s="1"/>
    </row>
    <row r="242" spans="54:157" x14ac:dyDescent="0.25">
      <c r="BB242" s="488"/>
      <c r="EY242" s="1"/>
      <c r="EZ242" s="1"/>
      <c r="FA242" s="1"/>
    </row>
    <row r="243" spans="54:157" x14ac:dyDescent="0.25">
      <c r="BB243" s="488"/>
      <c r="EY243" s="1"/>
      <c r="EZ243" s="1"/>
      <c r="FA243" s="1"/>
    </row>
    <row r="244" spans="54:157" x14ac:dyDescent="0.25">
      <c r="BB244" s="488"/>
      <c r="EY244" s="1"/>
      <c r="EZ244" s="1"/>
      <c r="FA244" s="1"/>
    </row>
    <row r="245" spans="54:157" x14ac:dyDescent="0.25">
      <c r="BB245" s="488"/>
      <c r="EY245" s="1"/>
      <c r="EZ245" s="1"/>
      <c r="FA245" s="1"/>
    </row>
    <row r="246" spans="54:157" x14ac:dyDescent="0.25">
      <c r="BB246" s="488"/>
      <c r="EY246" s="1"/>
      <c r="EZ246" s="1"/>
      <c r="FA246" s="1"/>
    </row>
    <row r="247" spans="54:157" x14ac:dyDescent="0.25">
      <c r="BB247" s="488"/>
      <c r="EY247" s="1"/>
      <c r="EZ247" s="1"/>
      <c r="FA247" s="1"/>
    </row>
    <row r="248" spans="54:157" x14ac:dyDescent="0.25">
      <c r="BB248" s="488"/>
      <c r="EY248" s="1"/>
      <c r="EZ248" s="1"/>
      <c r="FA248" s="1"/>
    </row>
    <row r="249" spans="54:157" x14ac:dyDescent="0.25">
      <c r="BB249" s="488"/>
      <c r="EY249" s="1"/>
      <c r="EZ249" s="1"/>
      <c r="FA249" s="1"/>
    </row>
    <row r="250" spans="54:157" x14ac:dyDescent="0.25">
      <c r="BB250" s="488"/>
      <c r="EY250" s="1"/>
      <c r="EZ250" s="1"/>
      <c r="FA250" s="1"/>
    </row>
    <row r="251" spans="54:157" x14ac:dyDescent="0.25">
      <c r="BB251" s="488"/>
      <c r="EY251" s="1"/>
      <c r="EZ251" s="1"/>
      <c r="FA251" s="1"/>
    </row>
    <row r="252" spans="54:157" x14ac:dyDescent="0.25">
      <c r="BB252" s="488"/>
      <c r="EY252" s="1"/>
      <c r="EZ252" s="1"/>
      <c r="FA252" s="1"/>
    </row>
    <row r="253" spans="54:157" x14ac:dyDescent="0.25">
      <c r="BB253" s="488"/>
      <c r="EY253" s="1"/>
      <c r="EZ253" s="1"/>
      <c r="FA253" s="1"/>
    </row>
    <row r="254" spans="54:157" x14ac:dyDescent="0.25">
      <c r="BB254" s="488"/>
      <c r="EY254" s="1"/>
      <c r="EZ254" s="1"/>
      <c r="FA254" s="1"/>
    </row>
    <row r="255" spans="54:157" x14ac:dyDescent="0.25">
      <c r="BB255" s="488"/>
      <c r="EY255" s="1"/>
      <c r="EZ255" s="1"/>
      <c r="FA255" s="1"/>
    </row>
    <row r="256" spans="54:157" x14ac:dyDescent="0.25">
      <c r="BB256" s="488"/>
      <c r="EY256" s="1"/>
      <c r="EZ256" s="1"/>
      <c r="FA256" s="1"/>
    </row>
    <row r="257" spans="54:157" x14ac:dyDescent="0.25">
      <c r="BB257" s="488"/>
      <c r="EY257" s="1"/>
      <c r="EZ257" s="1"/>
      <c r="FA257" s="1"/>
    </row>
    <row r="258" spans="54:157" x14ac:dyDescent="0.25">
      <c r="BB258" s="488"/>
      <c r="EY258" s="1"/>
      <c r="EZ258" s="1"/>
      <c r="FA258" s="1"/>
    </row>
    <row r="259" spans="54:157" x14ac:dyDescent="0.25">
      <c r="BB259" s="488"/>
      <c r="EY259" s="1"/>
      <c r="EZ259" s="1"/>
      <c r="FA259" s="1"/>
    </row>
    <row r="260" spans="54:157" x14ac:dyDescent="0.25">
      <c r="BB260" s="488"/>
      <c r="EY260" s="1"/>
      <c r="EZ260" s="1"/>
      <c r="FA260" s="1"/>
    </row>
    <row r="261" spans="54:157" x14ac:dyDescent="0.25">
      <c r="BB261" s="488"/>
      <c r="EY261" s="1"/>
      <c r="EZ261" s="1"/>
      <c r="FA261" s="1"/>
    </row>
    <row r="262" spans="54:157" x14ac:dyDescent="0.25">
      <c r="BB262" s="488"/>
      <c r="EY262" s="1"/>
      <c r="EZ262" s="1"/>
      <c r="FA262" s="1"/>
    </row>
    <row r="263" spans="54:157" x14ac:dyDescent="0.25">
      <c r="BB263" s="488"/>
      <c r="EY263" s="1"/>
      <c r="EZ263" s="1"/>
      <c r="FA263" s="1"/>
    </row>
    <row r="264" spans="54:157" x14ac:dyDescent="0.25">
      <c r="BB264" s="488"/>
      <c r="EY264" s="1"/>
      <c r="EZ264" s="1"/>
      <c r="FA264" s="1"/>
    </row>
    <row r="265" spans="54:157" x14ac:dyDescent="0.25">
      <c r="BB265" s="488"/>
      <c r="EY265" s="1"/>
      <c r="EZ265" s="1"/>
      <c r="FA265" s="1"/>
    </row>
    <row r="266" spans="54:157" x14ac:dyDescent="0.25">
      <c r="BB266" s="488"/>
      <c r="EY266" s="1"/>
      <c r="EZ266" s="1"/>
      <c r="FA266" s="1"/>
    </row>
    <row r="267" spans="54:157" x14ac:dyDescent="0.25">
      <c r="BB267" s="488"/>
      <c r="EY267" s="1"/>
      <c r="EZ267" s="1"/>
      <c r="FA267" s="1"/>
    </row>
    <row r="268" spans="54:157" x14ac:dyDescent="0.25">
      <c r="BB268" s="488"/>
      <c r="EY268" s="1"/>
      <c r="EZ268" s="1"/>
      <c r="FA268" s="1"/>
    </row>
    <row r="269" spans="54:157" x14ac:dyDescent="0.25">
      <c r="BB269" s="488"/>
      <c r="EY269" s="1"/>
      <c r="EZ269" s="1"/>
      <c r="FA269" s="1"/>
    </row>
    <row r="270" spans="54:157" x14ac:dyDescent="0.25">
      <c r="BB270" s="488"/>
      <c r="EY270" s="1"/>
      <c r="EZ270" s="1"/>
      <c r="FA270" s="1"/>
    </row>
    <row r="271" spans="54:157" x14ac:dyDescent="0.25">
      <c r="BB271" s="488"/>
      <c r="EY271" s="1"/>
      <c r="EZ271" s="1"/>
      <c r="FA271" s="1"/>
    </row>
    <row r="272" spans="54:157" x14ac:dyDescent="0.25">
      <c r="BB272" s="488"/>
      <c r="EY272" s="1"/>
      <c r="EZ272" s="1"/>
      <c r="FA272" s="1"/>
    </row>
    <row r="273" spans="54:157" x14ac:dyDescent="0.25">
      <c r="BB273" s="488"/>
      <c r="EY273" s="1"/>
      <c r="EZ273" s="1"/>
      <c r="FA273" s="1"/>
    </row>
    <row r="274" spans="54:157" x14ac:dyDescent="0.25">
      <c r="BB274" s="488"/>
      <c r="EY274" s="1"/>
      <c r="EZ274" s="1"/>
      <c r="FA274" s="1"/>
    </row>
    <row r="275" spans="54:157" x14ac:dyDescent="0.25">
      <c r="BB275" s="488"/>
      <c r="EY275" s="1"/>
      <c r="EZ275" s="1"/>
      <c r="FA275" s="1"/>
    </row>
    <row r="276" spans="54:157" x14ac:dyDescent="0.25">
      <c r="BB276" s="488"/>
      <c r="EY276" s="1"/>
      <c r="EZ276" s="1"/>
      <c r="FA276" s="1"/>
    </row>
    <row r="277" spans="54:157" x14ac:dyDescent="0.25">
      <c r="BB277" s="488"/>
      <c r="EY277" s="1"/>
      <c r="EZ277" s="1"/>
      <c r="FA277" s="1"/>
    </row>
    <row r="278" spans="54:157" x14ac:dyDescent="0.25">
      <c r="BB278" s="488"/>
      <c r="EY278" s="1"/>
      <c r="EZ278" s="1"/>
      <c r="FA278" s="1"/>
    </row>
    <row r="279" spans="54:157" x14ac:dyDescent="0.25">
      <c r="BB279" s="488"/>
      <c r="EY279" s="1"/>
      <c r="EZ279" s="1"/>
      <c r="FA279" s="1"/>
    </row>
    <row r="280" spans="54:157" x14ac:dyDescent="0.25">
      <c r="BB280" s="488"/>
      <c r="EY280" s="1"/>
      <c r="EZ280" s="1"/>
      <c r="FA280" s="1"/>
    </row>
    <row r="281" spans="54:157" x14ac:dyDescent="0.25">
      <c r="BB281" s="488"/>
      <c r="EY281" s="1"/>
      <c r="EZ281" s="1"/>
      <c r="FA281" s="1"/>
    </row>
    <row r="282" spans="54:157" x14ac:dyDescent="0.25">
      <c r="BB282" s="488"/>
      <c r="EY282" s="1"/>
      <c r="EZ282" s="1"/>
      <c r="FA282" s="1"/>
    </row>
    <row r="283" spans="54:157" x14ac:dyDescent="0.25">
      <c r="BB283" s="488"/>
      <c r="EY283" s="1"/>
      <c r="EZ283" s="1"/>
      <c r="FA283" s="1"/>
    </row>
    <row r="284" spans="54:157" x14ac:dyDescent="0.25">
      <c r="BB284" s="488"/>
      <c r="EY284" s="1"/>
      <c r="EZ284" s="1"/>
      <c r="FA284" s="1"/>
    </row>
    <row r="285" spans="54:157" x14ac:dyDescent="0.25">
      <c r="BB285" s="488"/>
      <c r="EY285" s="1"/>
      <c r="EZ285" s="1"/>
      <c r="FA285" s="1"/>
    </row>
    <row r="286" spans="54:157" x14ac:dyDescent="0.25">
      <c r="BB286" s="488"/>
      <c r="EY286" s="1"/>
      <c r="EZ286" s="1"/>
      <c r="FA286" s="1"/>
    </row>
    <row r="287" spans="54:157" x14ac:dyDescent="0.25">
      <c r="BB287" s="488"/>
      <c r="EY287" s="1"/>
      <c r="EZ287" s="1"/>
      <c r="FA287" s="1"/>
    </row>
    <row r="288" spans="54:157" x14ac:dyDescent="0.25">
      <c r="BB288" s="488"/>
      <c r="EY288" s="1"/>
      <c r="EZ288" s="1"/>
      <c r="FA288" s="1"/>
    </row>
    <row r="289" spans="54:157" x14ac:dyDescent="0.25">
      <c r="BB289" s="488"/>
      <c r="EY289" s="1"/>
      <c r="EZ289" s="1"/>
      <c r="FA289" s="1"/>
    </row>
    <row r="290" spans="54:157" x14ac:dyDescent="0.25">
      <c r="BB290" s="488"/>
      <c r="EY290" s="1"/>
      <c r="EZ290" s="1"/>
      <c r="FA290" s="1"/>
    </row>
    <row r="291" spans="54:157" x14ac:dyDescent="0.25">
      <c r="BB291" s="488"/>
      <c r="EY291" s="1"/>
      <c r="EZ291" s="1"/>
      <c r="FA291" s="1"/>
    </row>
    <row r="292" spans="54:157" x14ac:dyDescent="0.25">
      <c r="BB292" s="488"/>
      <c r="EY292" s="1"/>
      <c r="EZ292" s="1"/>
      <c r="FA292" s="1"/>
    </row>
    <row r="293" spans="54:157" x14ac:dyDescent="0.25">
      <c r="BB293" s="488"/>
      <c r="EY293" s="1"/>
      <c r="EZ293" s="1"/>
      <c r="FA293" s="1"/>
    </row>
    <row r="294" spans="54:157" x14ac:dyDescent="0.25">
      <c r="BB294" s="488"/>
      <c r="EY294" s="1"/>
      <c r="EZ294" s="1"/>
      <c r="FA294" s="1"/>
    </row>
    <row r="295" spans="54:157" x14ac:dyDescent="0.25">
      <c r="BB295" s="488"/>
      <c r="EY295" s="1"/>
      <c r="EZ295" s="1"/>
      <c r="FA295" s="1"/>
    </row>
    <row r="296" spans="54:157" x14ac:dyDescent="0.25">
      <c r="BB296" s="488"/>
      <c r="EY296" s="1"/>
      <c r="EZ296" s="1"/>
      <c r="FA296" s="1"/>
    </row>
    <row r="297" spans="54:157" x14ac:dyDescent="0.25">
      <c r="BB297" s="488"/>
      <c r="EY297" s="1"/>
      <c r="EZ297" s="1"/>
      <c r="FA297" s="1"/>
    </row>
    <row r="298" spans="54:157" x14ac:dyDescent="0.25">
      <c r="BB298" s="488"/>
      <c r="EY298" s="1"/>
      <c r="EZ298" s="1"/>
      <c r="FA298" s="1"/>
    </row>
    <row r="299" spans="54:157" x14ac:dyDescent="0.25">
      <c r="BB299" s="488"/>
      <c r="EY299" s="1"/>
      <c r="EZ299" s="1"/>
      <c r="FA299" s="1"/>
    </row>
    <row r="300" spans="54:157" x14ac:dyDescent="0.25">
      <c r="BB300" s="488"/>
      <c r="EY300" s="1"/>
      <c r="EZ300" s="1"/>
      <c r="FA300" s="1"/>
    </row>
    <row r="301" spans="54:157" x14ac:dyDescent="0.25">
      <c r="BB301" s="488"/>
      <c r="EY301" s="1"/>
      <c r="EZ301" s="1"/>
      <c r="FA301" s="1"/>
    </row>
    <row r="302" spans="54:157" x14ac:dyDescent="0.25">
      <c r="BB302" s="488"/>
      <c r="EY302" s="1"/>
      <c r="EZ302" s="1"/>
      <c r="FA302" s="1"/>
    </row>
    <row r="303" spans="54:157" x14ac:dyDescent="0.25">
      <c r="BB303" s="488"/>
      <c r="EY303" s="1"/>
      <c r="EZ303" s="1"/>
      <c r="FA303" s="1"/>
    </row>
    <row r="304" spans="54:157" x14ac:dyDescent="0.25">
      <c r="BB304" s="488"/>
      <c r="EY304" s="1"/>
      <c r="EZ304" s="1"/>
      <c r="FA304" s="1"/>
    </row>
    <row r="305" spans="54:157" x14ac:dyDescent="0.25">
      <c r="BB305" s="488"/>
      <c r="EY305" s="1"/>
      <c r="EZ305" s="1"/>
      <c r="FA305" s="1"/>
    </row>
    <row r="306" spans="54:157" x14ac:dyDescent="0.25">
      <c r="BB306" s="488"/>
      <c r="EY306" s="1"/>
      <c r="EZ306" s="1"/>
      <c r="FA306" s="1"/>
    </row>
    <row r="307" spans="54:157" x14ac:dyDescent="0.25">
      <c r="BB307" s="488"/>
      <c r="EY307" s="1"/>
      <c r="EZ307" s="1"/>
      <c r="FA307" s="1"/>
    </row>
    <row r="308" spans="54:157" x14ac:dyDescent="0.25">
      <c r="BB308" s="488"/>
      <c r="EY308" s="1"/>
      <c r="EZ308" s="1"/>
      <c r="FA308" s="1"/>
    </row>
    <row r="309" spans="54:157" x14ac:dyDescent="0.25">
      <c r="BB309" s="488"/>
      <c r="EY309" s="1"/>
      <c r="EZ309" s="1"/>
      <c r="FA309" s="1"/>
    </row>
    <row r="310" spans="54:157" x14ac:dyDescent="0.25">
      <c r="BB310" s="488"/>
      <c r="EY310" s="1"/>
      <c r="EZ310" s="1"/>
      <c r="FA310" s="1"/>
    </row>
    <row r="311" spans="54:157" x14ac:dyDescent="0.25">
      <c r="BB311" s="488"/>
      <c r="EY311" s="1"/>
      <c r="EZ311" s="1"/>
      <c r="FA311" s="1"/>
    </row>
    <row r="312" spans="54:157" x14ac:dyDescent="0.25">
      <c r="BB312" s="488"/>
      <c r="EY312" s="1"/>
      <c r="EZ312" s="1"/>
      <c r="FA312" s="1"/>
    </row>
    <row r="313" spans="54:157" x14ac:dyDescent="0.25">
      <c r="BB313" s="488"/>
      <c r="EY313" s="1"/>
      <c r="EZ313" s="1"/>
      <c r="FA313" s="1"/>
    </row>
    <row r="314" spans="54:157" x14ac:dyDescent="0.25">
      <c r="BB314" s="488"/>
      <c r="EY314" s="1"/>
      <c r="EZ314" s="1"/>
      <c r="FA314" s="1"/>
    </row>
    <row r="315" spans="54:157" x14ac:dyDescent="0.25">
      <c r="BB315" s="488"/>
      <c r="EY315" s="1"/>
      <c r="EZ315" s="1"/>
      <c r="FA315" s="1"/>
    </row>
    <row r="316" spans="54:157" x14ac:dyDescent="0.25">
      <c r="BB316" s="488"/>
      <c r="EY316" s="1"/>
      <c r="EZ316" s="1"/>
      <c r="FA316" s="1"/>
    </row>
    <row r="317" spans="54:157" x14ac:dyDescent="0.25">
      <c r="BB317" s="488"/>
      <c r="EY317" s="1"/>
      <c r="EZ317" s="1"/>
      <c r="FA317" s="1"/>
    </row>
    <row r="318" spans="54:157" x14ac:dyDescent="0.25">
      <c r="BB318" s="488"/>
      <c r="EY318" s="1"/>
      <c r="EZ318" s="1"/>
      <c r="FA318" s="1"/>
    </row>
    <row r="319" spans="54:157" x14ac:dyDescent="0.25">
      <c r="BB319" s="488"/>
      <c r="EY319" s="1"/>
      <c r="EZ319" s="1"/>
      <c r="FA319" s="1"/>
    </row>
    <row r="320" spans="54:157" x14ac:dyDescent="0.25">
      <c r="BB320" s="488"/>
      <c r="EY320" s="1"/>
      <c r="EZ320" s="1"/>
      <c r="FA320" s="1"/>
    </row>
    <row r="321" spans="54:157" x14ac:dyDescent="0.25">
      <c r="BB321" s="488"/>
      <c r="EY321" s="1"/>
      <c r="EZ321" s="1"/>
      <c r="FA321" s="1"/>
    </row>
    <row r="322" spans="54:157" x14ac:dyDescent="0.25">
      <c r="BB322" s="488"/>
      <c r="EY322" s="1"/>
      <c r="EZ322" s="1"/>
      <c r="FA322" s="1"/>
    </row>
    <row r="323" spans="54:157" x14ac:dyDescent="0.25">
      <c r="BB323" s="488"/>
      <c r="EY323" s="1"/>
      <c r="EZ323" s="1"/>
      <c r="FA323" s="1"/>
    </row>
    <row r="324" spans="54:157" x14ac:dyDescent="0.25">
      <c r="BB324" s="488"/>
      <c r="EY324" s="1"/>
      <c r="EZ324" s="1"/>
      <c r="FA324" s="1"/>
    </row>
    <row r="325" spans="54:157" x14ac:dyDescent="0.25">
      <c r="BB325" s="488"/>
      <c r="EY325" s="1"/>
      <c r="EZ325" s="1"/>
      <c r="FA325" s="1"/>
    </row>
    <row r="326" spans="54:157" x14ac:dyDescent="0.25">
      <c r="BB326" s="488"/>
      <c r="EY326" s="1"/>
      <c r="EZ326" s="1"/>
      <c r="FA326" s="1"/>
    </row>
    <row r="327" spans="54:157" x14ac:dyDescent="0.25">
      <c r="BB327" s="488"/>
      <c r="EY327" s="1"/>
      <c r="EZ327" s="1"/>
      <c r="FA327" s="1"/>
    </row>
    <row r="328" spans="54:157" x14ac:dyDescent="0.25">
      <c r="BB328" s="488"/>
      <c r="EY328" s="1"/>
      <c r="EZ328" s="1"/>
      <c r="FA328" s="1"/>
    </row>
    <row r="329" spans="54:157" x14ac:dyDescent="0.25">
      <c r="BB329" s="488"/>
      <c r="EY329" s="1"/>
      <c r="EZ329" s="1"/>
      <c r="FA329" s="1"/>
    </row>
    <row r="330" spans="54:157" x14ac:dyDescent="0.25">
      <c r="BB330" s="488"/>
      <c r="EY330" s="1"/>
      <c r="EZ330" s="1"/>
      <c r="FA330" s="1"/>
    </row>
    <row r="331" spans="54:157" x14ac:dyDescent="0.25">
      <c r="BB331" s="488"/>
      <c r="EY331" s="1"/>
      <c r="EZ331" s="1"/>
      <c r="FA331" s="1"/>
    </row>
    <row r="332" spans="54:157" x14ac:dyDescent="0.25">
      <c r="BB332" s="488"/>
      <c r="EY332" s="1"/>
      <c r="EZ332" s="1"/>
      <c r="FA332" s="1"/>
    </row>
    <row r="333" spans="54:157" x14ac:dyDescent="0.25">
      <c r="BB333" s="488"/>
      <c r="EY333" s="1"/>
      <c r="EZ333" s="1"/>
      <c r="FA333" s="1"/>
    </row>
    <row r="334" spans="54:157" x14ac:dyDescent="0.25">
      <c r="BB334" s="488"/>
      <c r="EY334" s="1"/>
      <c r="EZ334" s="1"/>
      <c r="FA334" s="1"/>
    </row>
    <row r="335" spans="54:157" x14ac:dyDescent="0.25">
      <c r="BB335" s="488"/>
      <c r="EY335" s="1"/>
      <c r="EZ335" s="1"/>
      <c r="FA335" s="1"/>
    </row>
    <row r="336" spans="54:157" x14ac:dyDescent="0.25">
      <c r="BB336" s="488"/>
      <c r="EY336" s="1"/>
      <c r="EZ336" s="1"/>
      <c r="FA336" s="1"/>
    </row>
    <row r="337" spans="54:157" x14ac:dyDescent="0.25">
      <c r="BB337" s="488"/>
      <c r="EY337" s="1"/>
      <c r="EZ337" s="1"/>
      <c r="FA337" s="1"/>
    </row>
    <row r="338" spans="54:157" x14ac:dyDescent="0.25">
      <c r="BB338" s="488"/>
      <c r="EY338" s="1"/>
      <c r="EZ338" s="1"/>
      <c r="FA338" s="1"/>
    </row>
    <row r="339" spans="54:157" x14ac:dyDescent="0.25">
      <c r="BB339" s="488"/>
      <c r="EY339" s="1"/>
      <c r="EZ339" s="1"/>
      <c r="FA339" s="1"/>
    </row>
    <row r="340" spans="54:157" x14ac:dyDescent="0.25">
      <c r="BB340" s="488"/>
      <c r="EY340" s="1"/>
      <c r="EZ340" s="1"/>
      <c r="FA340" s="1"/>
    </row>
    <row r="341" spans="54:157" x14ac:dyDescent="0.25">
      <c r="BB341" s="488"/>
      <c r="EY341" s="1"/>
      <c r="EZ341" s="1"/>
      <c r="FA341" s="1"/>
    </row>
    <row r="342" spans="54:157" x14ac:dyDescent="0.25">
      <c r="BB342" s="488"/>
      <c r="EY342" s="1"/>
      <c r="EZ342" s="1"/>
      <c r="FA342" s="1"/>
    </row>
    <row r="343" spans="54:157" x14ac:dyDescent="0.25">
      <c r="BB343" s="488"/>
      <c r="EY343" s="1"/>
      <c r="EZ343" s="1"/>
      <c r="FA343" s="1"/>
    </row>
    <row r="344" spans="54:157" x14ac:dyDescent="0.25">
      <c r="BB344" s="488"/>
      <c r="EY344" s="1"/>
      <c r="EZ344" s="1"/>
      <c r="FA344" s="1"/>
    </row>
    <row r="345" spans="54:157" x14ac:dyDescent="0.25">
      <c r="BB345" s="488"/>
      <c r="EY345" s="1"/>
      <c r="EZ345" s="1"/>
      <c r="FA345" s="1"/>
    </row>
    <row r="346" spans="54:157" x14ac:dyDescent="0.25">
      <c r="BB346" s="488"/>
      <c r="EY346" s="1"/>
      <c r="EZ346" s="1"/>
      <c r="FA346" s="1"/>
    </row>
    <row r="347" spans="54:157" x14ac:dyDescent="0.25">
      <c r="BB347" s="488"/>
      <c r="EY347" s="1"/>
      <c r="EZ347" s="1"/>
      <c r="FA347" s="1"/>
    </row>
    <row r="348" spans="54:157" x14ac:dyDescent="0.25">
      <c r="BB348" s="488"/>
      <c r="EY348" s="1"/>
      <c r="EZ348" s="1"/>
      <c r="FA348" s="1"/>
    </row>
    <row r="349" spans="54:157" x14ac:dyDescent="0.25">
      <c r="BB349" s="488"/>
      <c r="EY349" s="1"/>
      <c r="EZ349" s="1"/>
      <c r="FA349" s="1"/>
    </row>
    <row r="350" spans="54:157" x14ac:dyDescent="0.25">
      <c r="BB350" s="488"/>
      <c r="EY350" s="1"/>
      <c r="EZ350" s="1"/>
      <c r="FA350" s="1"/>
    </row>
    <row r="351" spans="54:157" x14ac:dyDescent="0.25">
      <c r="BB351" s="488"/>
      <c r="EY351" s="1"/>
      <c r="EZ351" s="1"/>
      <c r="FA351" s="1"/>
    </row>
    <row r="352" spans="54:157" x14ac:dyDescent="0.25">
      <c r="BB352" s="488"/>
      <c r="EY352" s="1"/>
      <c r="EZ352" s="1"/>
      <c r="FA352" s="1"/>
    </row>
    <row r="353" spans="54:157" x14ac:dyDescent="0.25">
      <c r="BB353" s="488"/>
      <c r="EY353" s="1"/>
      <c r="EZ353" s="1"/>
      <c r="FA353" s="1"/>
    </row>
    <row r="354" spans="54:157" x14ac:dyDescent="0.25">
      <c r="BB354" s="488"/>
      <c r="EY354" s="1"/>
      <c r="EZ354" s="1"/>
      <c r="FA354" s="1"/>
    </row>
    <row r="355" spans="54:157" x14ac:dyDescent="0.25">
      <c r="BB355" s="488"/>
      <c r="EY355" s="1"/>
      <c r="EZ355" s="1"/>
      <c r="FA355" s="1"/>
    </row>
    <row r="356" spans="54:157" x14ac:dyDescent="0.25">
      <c r="BB356" s="488"/>
      <c r="EY356" s="1"/>
      <c r="EZ356" s="1"/>
      <c r="FA356" s="1"/>
    </row>
    <row r="357" spans="54:157" x14ac:dyDescent="0.25">
      <c r="BB357" s="488"/>
      <c r="EY357" s="1"/>
      <c r="EZ357" s="1"/>
      <c r="FA357" s="1"/>
    </row>
    <row r="358" spans="54:157" x14ac:dyDescent="0.25">
      <c r="BB358" s="488"/>
      <c r="EY358" s="1"/>
      <c r="EZ358" s="1"/>
      <c r="FA358" s="1"/>
    </row>
    <row r="359" spans="54:157" x14ac:dyDescent="0.25">
      <c r="BB359" s="488"/>
      <c r="EY359" s="1"/>
      <c r="EZ359" s="1"/>
      <c r="FA359" s="1"/>
    </row>
    <row r="360" spans="54:157" x14ac:dyDescent="0.25">
      <c r="BB360" s="488"/>
      <c r="EY360" s="1"/>
      <c r="EZ360" s="1"/>
      <c r="FA360" s="1"/>
    </row>
    <row r="361" spans="54:157" x14ac:dyDescent="0.25">
      <c r="BB361" s="488"/>
      <c r="EY361" s="1"/>
      <c r="EZ361" s="1"/>
      <c r="FA361" s="1"/>
    </row>
    <row r="362" spans="54:157" x14ac:dyDescent="0.25">
      <c r="BB362" s="488"/>
      <c r="EY362" s="1"/>
      <c r="EZ362" s="1"/>
      <c r="FA362" s="1"/>
    </row>
    <row r="363" spans="54:157" x14ac:dyDescent="0.25">
      <c r="BB363" s="488"/>
      <c r="EY363" s="1"/>
      <c r="EZ363" s="1"/>
      <c r="FA363" s="1"/>
    </row>
    <row r="364" spans="54:157" x14ac:dyDescent="0.25">
      <c r="BB364" s="488"/>
      <c r="EY364" s="1"/>
      <c r="EZ364" s="1"/>
      <c r="FA364" s="1"/>
    </row>
    <row r="365" spans="54:157" x14ac:dyDescent="0.25">
      <c r="BB365" s="488"/>
      <c r="EY365" s="1"/>
      <c r="EZ365" s="1"/>
      <c r="FA365" s="1"/>
    </row>
    <row r="366" spans="54:157" x14ac:dyDescent="0.25">
      <c r="BB366" s="488"/>
      <c r="EY366" s="1"/>
      <c r="EZ366" s="1"/>
      <c r="FA366" s="1"/>
    </row>
    <row r="367" spans="54:157" x14ac:dyDescent="0.25">
      <c r="BB367" s="488"/>
      <c r="EY367" s="1"/>
      <c r="EZ367" s="1"/>
      <c r="FA367" s="1"/>
    </row>
    <row r="368" spans="54:157" x14ac:dyDescent="0.25">
      <c r="BB368" s="488"/>
      <c r="EY368" s="1"/>
      <c r="EZ368" s="1"/>
      <c r="FA368" s="1"/>
    </row>
    <row r="369" spans="54:157" x14ac:dyDescent="0.25">
      <c r="BB369" s="488"/>
      <c r="EY369" s="1"/>
      <c r="EZ369" s="1"/>
      <c r="FA369" s="1"/>
    </row>
    <row r="370" spans="54:157" x14ac:dyDescent="0.25">
      <c r="BB370" s="488"/>
      <c r="EY370" s="1"/>
      <c r="EZ370" s="1"/>
      <c r="FA370" s="1"/>
    </row>
    <row r="371" spans="54:157" x14ac:dyDescent="0.25">
      <c r="BB371" s="488"/>
      <c r="EY371" s="1"/>
      <c r="EZ371" s="1"/>
      <c r="FA371" s="1"/>
    </row>
    <row r="372" spans="54:157" x14ac:dyDescent="0.25">
      <c r="BB372" s="488"/>
      <c r="EY372" s="1"/>
      <c r="EZ372" s="1"/>
      <c r="FA372" s="1"/>
    </row>
    <row r="373" spans="54:157" x14ac:dyDescent="0.25">
      <c r="BB373" s="488"/>
      <c r="EY373" s="1"/>
      <c r="EZ373" s="1"/>
      <c r="FA373" s="1"/>
    </row>
    <row r="374" spans="54:157" x14ac:dyDescent="0.25">
      <c r="BB374" s="488"/>
      <c r="EY374" s="1"/>
      <c r="EZ374" s="1"/>
      <c r="FA374" s="1"/>
    </row>
    <row r="375" spans="54:157" x14ac:dyDescent="0.25">
      <c r="BB375" s="488"/>
      <c r="EY375" s="1"/>
      <c r="EZ375" s="1"/>
      <c r="FA375" s="1"/>
    </row>
    <row r="376" spans="54:157" x14ac:dyDescent="0.25">
      <c r="BB376" s="488"/>
      <c r="EY376" s="1"/>
      <c r="EZ376" s="1"/>
      <c r="FA376" s="1"/>
    </row>
    <row r="377" spans="54:157" x14ac:dyDescent="0.25">
      <c r="BB377" s="488"/>
      <c r="EY377" s="1"/>
      <c r="EZ377" s="1"/>
      <c r="FA377" s="1"/>
    </row>
    <row r="378" spans="54:157" x14ac:dyDescent="0.25">
      <c r="BB378" s="488"/>
      <c r="EY378" s="1"/>
      <c r="EZ378" s="1"/>
      <c r="FA378" s="1"/>
    </row>
    <row r="379" spans="54:157" x14ac:dyDescent="0.25">
      <c r="BB379" s="488"/>
      <c r="EY379" s="1"/>
      <c r="EZ379" s="1"/>
      <c r="FA379" s="1"/>
    </row>
    <row r="380" spans="54:157" x14ac:dyDescent="0.25">
      <c r="BB380" s="488"/>
      <c r="EY380" s="1"/>
      <c r="EZ380" s="1"/>
      <c r="FA380" s="1"/>
    </row>
    <row r="381" spans="54:157" x14ac:dyDescent="0.25">
      <c r="BB381" s="488"/>
      <c r="EY381" s="1"/>
      <c r="EZ381" s="1"/>
      <c r="FA381" s="1"/>
    </row>
    <row r="382" spans="54:157" x14ac:dyDescent="0.25">
      <c r="BB382" s="488"/>
      <c r="EY382" s="1"/>
      <c r="EZ382" s="1"/>
      <c r="FA382" s="1"/>
    </row>
    <row r="383" spans="54:157" x14ac:dyDescent="0.25">
      <c r="BB383" s="488"/>
      <c r="EY383" s="1"/>
      <c r="EZ383" s="1"/>
      <c r="FA383" s="1"/>
    </row>
    <row r="384" spans="54:157" x14ac:dyDescent="0.25">
      <c r="BB384" s="488"/>
      <c r="EY384" s="1"/>
      <c r="EZ384" s="1"/>
      <c r="FA384" s="1"/>
    </row>
    <row r="385" spans="54:157" x14ac:dyDescent="0.25">
      <c r="BB385" s="488"/>
      <c r="EY385" s="1"/>
      <c r="EZ385" s="1"/>
      <c r="FA385" s="1"/>
    </row>
    <row r="386" spans="54:157" x14ac:dyDescent="0.25">
      <c r="BB386" s="488"/>
      <c r="EY386" s="1"/>
      <c r="EZ386" s="1"/>
      <c r="FA386" s="1"/>
    </row>
    <row r="387" spans="54:157" x14ac:dyDescent="0.25">
      <c r="BB387" s="488"/>
      <c r="EY387" s="1"/>
      <c r="EZ387" s="1"/>
      <c r="FA387" s="1"/>
    </row>
    <row r="388" spans="54:157" x14ac:dyDescent="0.25">
      <c r="BB388" s="488"/>
      <c r="EY388" s="1"/>
      <c r="EZ388" s="1"/>
      <c r="FA388" s="1"/>
    </row>
    <row r="389" spans="54:157" x14ac:dyDescent="0.25">
      <c r="BB389" s="488"/>
      <c r="EY389" s="1"/>
      <c r="EZ389" s="1"/>
      <c r="FA389" s="1"/>
    </row>
    <row r="390" spans="54:157" x14ac:dyDescent="0.25">
      <c r="BB390" s="488"/>
      <c r="EY390" s="1"/>
      <c r="EZ390" s="1"/>
      <c r="FA390" s="1"/>
    </row>
    <row r="391" spans="54:157" x14ac:dyDescent="0.25">
      <c r="BB391" s="488"/>
      <c r="EY391" s="1"/>
      <c r="EZ391" s="1"/>
      <c r="FA391" s="1"/>
    </row>
    <row r="392" spans="54:157" x14ac:dyDescent="0.25">
      <c r="BB392" s="488"/>
      <c r="EY392" s="1"/>
      <c r="EZ392" s="1"/>
      <c r="FA392" s="1"/>
    </row>
    <row r="393" spans="54:157" x14ac:dyDescent="0.25">
      <c r="BB393" s="488"/>
      <c r="EY393" s="1"/>
      <c r="EZ393" s="1"/>
      <c r="FA393" s="1"/>
    </row>
    <row r="394" spans="54:157" x14ac:dyDescent="0.25">
      <c r="BB394" s="488"/>
      <c r="EY394" s="1"/>
      <c r="EZ394" s="1"/>
      <c r="FA394" s="1"/>
    </row>
    <row r="395" spans="54:157" x14ac:dyDescent="0.25">
      <c r="BB395" s="488"/>
      <c r="EY395" s="1"/>
      <c r="EZ395" s="1"/>
      <c r="FA395" s="1"/>
    </row>
    <row r="396" spans="54:157" x14ac:dyDescent="0.25">
      <c r="BB396" s="488"/>
      <c r="EY396" s="1"/>
      <c r="EZ396" s="1"/>
      <c r="FA396" s="1"/>
    </row>
    <row r="397" spans="54:157" x14ac:dyDescent="0.25">
      <c r="BB397" s="488"/>
      <c r="EY397" s="1"/>
      <c r="EZ397" s="1"/>
      <c r="FA397" s="1"/>
    </row>
    <row r="398" spans="54:157" x14ac:dyDescent="0.25">
      <c r="BB398" s="488"/>
      <c r="EY398" s="1"/>
      <c r="EZ398" s="1"/>
      <c r="FA398" s="1"/>
    </row>
    <row r="399" spans="54:157" x14ac:dyDescent="0.25">
      <c r="BB399" s="488"/>
      <c r="EY399" s="1"/>
      <c r="EZ399" s="1"/>
      <c r="FA399" s="1"/>
    </row>
    <row r="400" spans="54:157" x14ac:dyDescent="0.25">
      <c r="BB400" s="488"/>
      <c r="EY400" s="1"/>
      <c r="EZ400" s="1"/>
      <c r="FA400" s="1"/>
    </row>
    <row r="401" spans="54:157" x14ac:dyDescent="0.25">
      <c r="BB401" s="488"/>
      <c r="EY401" s="1"/>
      <c r="EZ401" s="1"/>
      <c r="FA401" s="1"/>
    </row>
    <row r="402" spans="54:157" x14ac:dyDescent="0.25">
      <c r="BB402" s="488"/>
      <c r="EY402" s="1"/>
      <c r="EZ402" s="1"/>
      <c r="FA402" s="1"/>
    </row>
    <row r="403" spans="54:157" x14ac:dyDescent="0.25">
      <c r="BB403" s="488"/>
      <c r="EY403" s="1"/>
      <c r="EZ403" s="1"/>
      <c r="FA403" s="1"/>
    </row>
    <row r="404" spans="54:157" x14ac:dyDescent="0.25">
      <c r="BB404" s="488"/>
      <c r="EY404" s="1"/>
      <c r="EZ404" s="1"/>
      <c r="FA404" s="1"/>
    </row>
    <row r="405" spans="54:157" x14ac:dyDescent="0.25">
      <c r="BB405" s="488"/>
      <c r="EY405" s="1"/>
      <c r="EZ405" s="1"/>
      <c r="FA405" s="1"/>
    </row>
    <row r="406" spans="54:157" x14ac:dyDescent="0.25">
      <c r="BB406" s="488"/>
      <c r="EY406" s="1"/>
      <c r="EZ406" s="1"/>
      <c r="FA406" s="1"/>
    </row>
    <row r="407" spans="54:157" x14ac:dyDescent="0.25">
      <c r="BB407" s="488"/>
      <c r="EY407" s="1"/>
      <c r="EZ407" s="1"/>
      <c r="FA407" s="1"/>
    </row>
    <row r="408" spans="54:157" x14ac:dyDescent="0.25">
      <c r="BB408" s="488"/>
      <c r="EY408" s="1"/>
      <c r="EZ408" s="1"/>
      <c r="FA408" s="1"/>
    </row>
    <row r="409" spans="54:157" x14ac:dyDescent="0.25">
      <c r="BB409" s="488"/>
      <c r="EY409" s="1"/>
      <c r="EZ409" s="1"/>
      <c r="FA409" s="1"/>
    </row>
    <row r="410" spans="54:157" x14ac:dyDescent="0.25">
      <c r="BB410" s="488"/>
      <c r="EY410" s="1"/>
      <c r="EZ410" s="1"/>
      <c r="FA410" s="1"/>
    </row>
    <row r="411" spans="54:157" x14ac:dyDescent="0.25">
      <c r="BB411" s="488"/>
      <c r="EY411" s="1"/>
      <c r="EZ411" s="1"/>
      <c r="FA411" s="1"/>
    </row>
    <row r="412" spans="54:157" x14ac:dyDescent="0.25">
      <c r="BB412" s="488"/>
      <c r="EY412" s="1"/>
      <c r="EZ412" s="1"/>
      <c r="FA412" s="1"/>
    </row>
    <row r="413" spans="54:157" x14ac:dyDescent="0.25">
      <c r="BB413" s="488"/>
      <c r="EY413" s="1"/>
      <c r="EZ413" s="1"/>
      <c r="FA413" s="1"/>
    </row>
    <row r="414" spans="54:157" x14ac:dyDescent="0.25">
      <c r="BB414" s="488"/>
      <c r="EY414" s="1"/>
      <c r="EZ414" s="1"/>
      <c r="FA414" s="1"/>
    </row>
    <row r="415" spans="54:157" x14ac:dyDescent="0.25">
      <c r="BB415" s="488"/>
      <c r="EY415" s="1"/>
      <c r="EZ415" s="1"/>
      <c r="FA415" s="1"/>
    </row>
    <row r="416" spans="54:157" x14ac:dyDescent="0.25">
      <c r="BB416" s="488"/>
      <c r="EY416" s="1"/>
      <c r="EZ416" s="1"/>
      <c r="FA416" s="1"/>
    </row>
    <row r="417" spans="54:157" x14ac:dyDescent="0.25">
      <c r="BB417" s="488"/>
      <c r="EY417" s="1"/>
      <c r="EZ417" s="1"/>
      <c r="FA417" s="1"/>
    </row>
    <row r="418" spans="54:157" x14ac:dyDescent="0.25">
      <c r="BB418" s="488"/>
      <c r="EY418" s="1"/>
      <c r="EZ418" s="1"/>
      <c r="FA418" s="1"/>
    </row>
    <row r="419" spans="54:157" x14ac:dyDescent="0.25">
      <c r="BB419" s="488"/>
      <c r="EY419" s="1"/>
      <c r="EZ419" s="1"/>
      <c r="FA419" s="1"/>
    </row>
    <row r="420" spans="54:157" x14ac:dyDescent="0.25">
      <c r="BB420" s="488"/>
      <c r="EY420" s="1"/>
      <c r="EZ420" s="1"/>
      <c r="FA420" s="1"/>
    </row>
    <row r="421" spans="54:157" x14ac:dyDescent="0.25">
      <c r="BB421" s="488"/>
      <c r="EY421" s="1"/>
      <c r="EZ421" s="1"/>
      <c r="FA421" s="1"/>
    </row>
    <row r="422" spans="54:157" x14ac:dyDescent="0.25">
      <c r="BB422" s="488"/>
      <c r="EY422" s="1"/>
      <c r="EZ422" s="1"/>
      <c r="FA422" s="1"/>
    </row>
    <row r="423" spans="54:157" x14ac:dyDescent="0.25">
      <c r="BB423" s="488"/>
      <c r="EY423" s="1"/>
      <c r="EZ423" s="1"/>
      <c r="FA423" s="1"/>
    </row>
    <row r="424" spans="54:157" x14ac:dyDescent="0.25">
      <c r="BB424" s="488"/>
      <c r="EY424" s="1"/>
      <c r="EZ424" s="1"/>
      <c r="FA424" s="1"/>
    </row>
    <row r="425" spans="54:157" x14ac:dyDescent="0.25">
      <c r="BB425" s="488"/>
      <c r="EY425" s="1"/>
      <c r="EZ425" s="1"/>
      <c r="FA425" s="1"/>
    </row>
    <row r="426" spans="54:157" x14ac:dyDescent="0.25">
      <c r="BB426" s="488"/>
      <c r="EY426" s="1"/>
      <c r="EZ426" s="1"/>
      <c r="FA426" s="1"/>
    </row>
    <row r="427" spans="54:157" x14ac:dyDescent="0.25">
      <c r="BB427" s="488"/>
      <c r="EY427" s="1"/>
      <c r="EZ427" s="1"/>
      <c r="FA427" s="1"/>
    </row>
    <row r="428" spans="54:157" x14ac:dyDescent="0.25">
      <c r="BB428" s="488"/>
      <c r="EY428" s="1"/>
      <c r="EZ428" s="1"/>
      <c r="FA428" s="1"/>
    </row>
    <row r="429" spans="54:157" x14ac:dyDescent="0.25">
      <c r="BB429" s="488"/>
      <c r="EY429" s="1"/>
      <c r="EZ429" s="1"/>
      <c r="FA429" s="1"/>
    </row>
    <row r="430" spans="54:157" x14ac:dyDescent="0.25">
      <c r="BB430" s="488"/>
      <c r="EY430" s="1"/>
      <c r="EZ430" s="1"/>
      <c r="FA430" s="1"/>
    </row>
    <row r="431" spans="54:157" x14ac:dyDescent="0.25">
      <c r="BB431" s="488"/>
      <c r="EY431" s="1"/>
      <c r="EZ431" s="1"/>
      <c r="FA431" s="1"/>
    </row>
    <row r="432" spans="54:157" x14ac:dyDescent="0.25">
      <c r="BB432" s="488"/>
      <c r="EY432" s="1"/>
      <c r="EZ432" s="1"/>
      <c r="FA432" s="1"/>
    </row>
    <row r="433" spans="54:157" x14ac:dyDescent="0.25">
      <c r="BB433" s="488"/>
      <c r="EY433" s="1"/>
      <c r="EZ433" s="1"/>
      <c r="FA433" s="1"/>
    </row>
    <row r="434" spans="54:157" x14ac:dyDescent="0.25">
      <c r="BB434" s="488"/>
      <c r="EY434" s="1"/>
      <c r="EZ434" s="1"/>
      <c r="FA434" s="1"/>
    </row>
    <row r="435" spans="54:157" x14ac:dyDescent="0.25">
      <c r="BB435" s="488"/>
      <c r="EY435" s="1"/>
      <c r="EZ435" s="1"/>
      <c r="FA435" s="1"/>
    </row>
    <row r="436" spans="54:157" x14ac:dyDescent="0.25">
      <c r="BB436" s="488"/>
      <c r="EY436" s="1"/>
      <c r="EZ436" s="1"/>
      <c r="FA436" s="1"/>
    </row>
    <row r="437" spans="54:157" x14ac:dyDescent="0.25">
      <c r="BB437" s="488"/>
      <c r="EY437" s="1"/>
      <c r="EZ437" s="1"/>
      <c r="FA437" s="1"/>
    </row>
    <row r="438" spans="54:157" x14ac:dyDescent="0.25">
      <c r="BB438" s="488"/>
      <c r="EY438" s="1"/>
      <c r="EZ438" s="1"/>
      <c r="FA438" s="1"/>
    </row>
    <row r="439" spans="54:157" x14ac:dyDescent="0.25">
      <c r="BB439" s="488"/>
      <c r="EY439" s="1"/>
      <c r="EZ439" s="1"/>
      <c r="FA439" s="1"/>
    </row>
    <row r="440" spans="54:157" x14ac:dyDescent="0.25">
      <c r="BB440" s="488"/>
      <c r="EY440" s="1"/>
      <c r="EZ440" s="1"/>
      <c r="FA440" s="1"/>
    </row>
    <row r="441" spans="54:157" x14ac:dyDescent="0.25">
      <c r="BB441" s="488"/>
      <c r="EY441" s="1"/>
      <c r="EZ441" s="1"/>
      <c r="FA441" s="1"/>
    </row>
    <row r="442" spans="54:157" x14ac:dyDescent="0.25">
      <c r="BB442" s="488"/>
      <c r="EY442" s="1"/>
      <c r="EZ442" s="1"/>
      <c r="FA442" s="1"/>
    </row>
    <row r="443" spans="54:157" x14ac:dyDescent="0.25">
      <c r="BB443" s="488"/>
      <c r="EY443" s="1"/>
      <c r="EZ443" s="1"/>
      <c r="FA443" s="1"/>
    </row>
    <row r="444" spans="54:157" x14ac:dyDescent="0.25">
      <c r="BB444" s="488"/>
      <c r="EY444" s="1"/>
      <c r="EZ444" s="1"/>
      <c r="FA444" s="1"/>
    </row>
    <row r="445" spans="54:157" x14ac:dyDescent="0.25">
      <c r="BB445" s="488"/>
      <c r="EY445" s="1"/>
      <c r="EZ445" s="1"/>
      <c r="FA445" s="1"/>
    </row>
    <row r="446" spans="54:157" x14ac:dyDescent="0.25">
      <c r="BB446" s="488"/>
      <c r="EY446" s="1"/>
      <c r="EZ446" s="1"/>
      <c r="FA446" s="1"/>
    </row>
    <row r="447" spans="54:157" x14ac:dyDescent="0.25">
      <c r="BB447" s="488"/>
      <c r="EY447" s="1"/>
      <c r="EZ447" s="1"/>
      <c r="FA447" s="1"/>
    </row>
    <row r="448" spans="54:157" x14ac:dyDescent="0.25">
      <c r="BB448" s="488"/>
      <c r="EY448" s="1"/>
      <c r="EZ448" s="1"/>
      <c r="FA448" s="1"/>
    </row>
    <row r="449" spans="54:157" x14ac:dyDescent="0.25">
      <c r="BB449" s="488"/>
      <c r="EY449" s="1"/>
      <c r="EZ449" s="1"/>
      <c r="FA449" s="1"/>
    </row>
    <row r="450" spans="54:157" x14ac:dyDescent="0.25">
      <c r="BB450" s="488"/>
      <c r="EY450" s="1"/>
      <c r="EZ450" s="1"/>
      <c r="FA450" s="1"/>
    </row>
    <row r="451" spans="54:157" x14ac:dyDescent="0.25">
      <c r="BB451" s="488"/>
      <c r="EY451" s="1"/>
      <c r="EZ451" s="1"/>
      <c r="FA451" s="1"/>
    </row>
    <row r="452" spans="54:157" x14ac:dyDescent="0.25">
      <c r="BB452" s="488"/>
      <c r="EY452" s="1"/>
      <c r="EZ452" s="1"/>
      <c r="FA452" s="1"/>
    </row>
    <row r="453" spans="54:157" x14ac:dyDescent="0.25">
      <c r="BB453" s="488"/>
      <c r="EY453" s="1"/>
      <c r="EZ453" s="1"/>
      <c r="FA453" s="1"/>
    </row>
    <row r="454" spans="54:157" x14ac:dyDescent="0.25">
      <c r="BB454" s="488"/>
      <c r="EY454" s="1"/>
      <c r="EZ454" s="1"/>
      <c r="FA454" s="1"/>
    </row>
    <row r="455" spans="54:157" x14ac:dyDescent="0.25">
      <c r="BB455" s="488"/>
      <c r="EY455" s="1"/>
      <c r="EZ455" s="1"/>
      <c r="FA455" s="1"/>
    </row>
    <row r="456" spans="54:157" x14ac:dyDescent="0.25">
      <c r="BB456" s="488"/>
      <c r="EY456" s="1"/>
      <c r="EZ456" s="1"/>
      <c r="FA456" s="1"/>
    </row>
    <row r="457" spans="54:157" x14ac:dyDescent="0.25">
      <c r="BB457" s="488"/>
      <c r="EY457" s="1"/>
      <c r="EZ457" s="1"/>
      <c r="FA457" s="1"/>
    </row>
    <row r="458" spans="54:157" x14ac:dyDescent="0.25">
      <c r="BB458" s="488"/>
      <c r="EY458" s="1"/>
      <c r="EZ458" s="1"/>
      <c r="FA458" s="1"/>
    </row>
    <row r="459" spans="54:157" x14ac:dyDescent="0.25">
      <c r="BB459" s="488"/>
      <c r="EY459" s="1"/>
      <c r="EZ459" s="1"/>
      <c r="FA459" s="1"/>
    </row>
    <row r="460" spans="54:157" x14ac:dyDescent="0.25">
      <c r="BB460" s="488"/>
      <c r="EY460" s="1"/>
      <c r="EZ460" s="1"/>
      <c r="FA460" s="1"/>
    </row>
    <row r="461" spans="54:157" x14ac:dyDescent="0.25">
      <c r="BB461" s="488"/>
      <c r="EY461" s="1"/>
      <c r="EZ461" s="1"/>
      <c r="FA461" s="1"/>
    </row>
    <row r="462" spans="54:157" x14ac:dyDescent="0.25">
      <c r="BB462" s="488"/>
      <c r="EY462" s="1"/>
      <c r="EZ462" s="1"/>
      <c r="FA462" s="1"/>
    </row>
    <row r="463" spans="54:157" x14ac:dyDescent="0.25">
      <c r="BB463" s="488"/>
      <c r="EY463" s="1"/>
      <c r="EZ463" s="1"/>
      <c r="FA463" s="1"/>
    </row>
    <row r="464" spans="54:157" x14ac:dyDescent="0.25">
      <c r="BB464" s="488"/>
      <c r="EY464" s="1"/>
      <c r="EZ464" s="1"/>
      <c r="FA464" s="1"/>
    </row>
    <row r="465" spans="54:157" x14ac:dyDescent="0.25">
      <c r="BB465" s="488"/>
      <c r="EY465" s="1"/>
      <c r="EZ465" s="1"/>
      <c r="FA465" s="1"/>
    </row>
    <row r="466" spans="54:157" x14ac:dyDescent="0.25">
      <c r="BB466" s="488"/>
      <c r="EY466" s="1"/>
      <c r="EZ466" s="1"/>
      <c r="FA466" s="1"/>
    </row>
    <row r="467" spans="54:157" x14ac:dyDescent="0.25">
      <c r="BB467" s="488"/>
      <c r="EY467" s="1"/>
      <c r="EZ467" s="1"/>
      <c r="FA467" s="1"/>
    </row>
    <row r="468" spans="54:157" x14ac:dyDescent="0.25">
      <c r="BB468" s="488"/>
      <c r="EY468" s="1"/>
      <c r="EZ468" s="1"/>
      <c r="FA468" s="1"/>
    </row>
    <row r="469" spans="54:157" x14ac:dyDescent="0.25">
      <c r="BB469" s="488"/>
      <c r="EY469" s="1"/>
      <c r="EZ469" s="1"/>
      <c r="FA469" s="1"/>
    </row>
    <row r="470" spans="54:157" x14ac:dyDescent="0.25">
      <c r="BB470" s="488"/>
      <c r="EY470" s="1"/>
      <c r="EZ470" s="1"/>
      <c r="FA470" s="1"/>
    </row>
    <row r="471" spans="54:157" x14ac:dyDescent="0.25">
      <c r="BB471" s="488"/>
      <c r="EY471" s="1"/>
      <c r="EZ471" s="1"/>
      <c r="FA471" s="1"/>
    </row>
    <row r="472" spans="54:157" x14ac:dyDescent="0.25">
      <c r="BB472" s="488"/>
      <c r="EY472" s="1"/>
      <c r="EZ472" s="1"/>
      <c r="FA472" s="1"/>
    </row>
    <row r="473" spans="54:157" x14ac:dyDescent="0.25">
      <c r="BB473" s="488"/>
      <c r="EY473" s="1"/>
      <c r="EZ473" s="1"/>
      <c r="FA473" s="1"/>
    </row>
    <row r="474" spans="54:157" x14ac:dyDescent="0.25">
      <c r="BB474" s="488"/>
      <c r="EY474" s="1"/>
      <c r="EZ474" s="1"/>
      <c r="FA474" s="1"/>
    </row>
    <row r="475" spans="54:157" x14ac:dyDescent="0.25">
      <c r="BB475" s="488"/>
      <c r="EY475" s="1"/>
      <c r="EZ475" s="1"/>
      <c r="FA475" s="1"/>
    </row>
    <row r="476" spans="54:157" x14ac:dyDescent="0.25">
      <c r="BB476" s="488"/>
      <c r="EY476" s="1"/>
      <c r="EZ476" s="1"/>
      <c r="FA476" s="1"/>
    </row>
    <row r="477" spans="54:157" x14ac:dyDescent="0.25">
      <c r="BB477" s="488"/>
      <c r="EY477" s="1"/>
      <c r="EZ477" s="1"/>
      <c r="FA477" s="1"/>
    </row>
    <row r="478" spans="54:157" x14ac:dyDescent="0.25">
      <c r="BB478" s="488"/>
      <c r="EY478" s="1"/>
      <c r="EZ478" s="1"/>
      <c r="FA478" s="1"/>
    </row>
    <row r="479" spans="54:157" x14ac:dyDescent="0.25">
      <c r="BB479" s="488"/>
      <c r="EY479" s="1"/>
      <c r="EZ479" s="1"/>
      <c r="FA479" s="1"/>
    </row>
    <row r="480" spans="54:157" x14ac:dyDescent="0.25">
      <c r="BB480" s="488"/>
      <c r="EY480" s="1"/>
      <c r="EZ480" s="1"/>
      <c r="FA480" s="1"/>
    </row>
    <row r="481" spans="54:157" x14ac:dyDescent="0.25">
      <c r="BB481" s="488"/>
      <c r="EY481" s="1"/>
      <c r="EZ481" s="1"/>
      <c r="FA481" s="1"/>
    </row>
    <row r="482" spans="54:157" x14ac:dyDescent="0.25">
      <c r="BB482" s="488"/>
    </row>
    <row r="483" spans="54:157" x14ac:dyDescent="0.25">
      <c r="BB483" s="488"/>
    </row>
    <row r="484" spans="54:157" x14ac:dyDescent="0.25">
      <c r="BB484" s="488"/>
    </row>
    <row r="485" spans="54:157" x14ac:dyDescent="0.25">
      <c r="BB485" s="488"/>
    </row>
    <row r="486" spans="54:157" x14ac:dyDescent="0.25">
      <c r="BB486" s="488"/>
    </row>
    <row r="487" spans="54:157" x14ac:dyDescent="0.25">
      <c r="BB487" s="488"/>
    </row>
    <row r="488" spans="54:157" x14ac:dyDescent="0.25">
      <c r="BB488" s="488"/>
    </row>
    <row r="489" spans="54:157" x14ac:dyDescent="0.25">
      <c r="BB489" s="488"/>
    </row>
    <row r="490" spans="54:157" x14ac:dyDescent="0.25">
      <c r="BB490" s="488"/>
    </row>
    <row r="491" spans="54:157" x14ac:dyDescent="0.25">
      <c r="BB491" s="488"/>
    </row>
  </sheetData>
  <mergeCells count="42">
    <mergeCell ref="A13:A17"/>
    <mergeCell ref="B13:B17"/>
    <mergeCell ref="EW10:EW12"/>
    <mergeCell ref="A10:I10"/>
    <mergeCell ref="A11:I11"/>
    <mergeCell ref="D15:D16"/>
    <mergeCell ref="A2:F4"/>
    <mergeCell ref="G2:FC2"/>
    <mergeCell ref="G3:FC3"/>
    <mergeCell ref="G4:ES4"/>
    <mergeCell ref="ET4:FC4"/>
    <mergeCell ref="E20:J20"/>
    <mergeCell ref="K20:S20"/>
    <mergeCell ref="DP11:ES11"/>
    <mergeCell ref="ET10:ET12"/>
    <mergeCell ref="EU10:EU12"/>
    <mergeCell ref="J11:AC11"/>
    <mergeCell ref="AD11:BG11"/>
    <mergeCell ref="BH11:CK11"/>
    <mergeCell ref="CL11:DO11"/>
    <mergeCell ref="J10:ES10"/>
    <mergeCell ref="A8:F8"/>
    <mergeCell ref="C15:C16"/>
    <mergeCell ref="G5:FC5"/>
    <mergeCell ref="G6:FC6"/>
    <mergeCell ref="G7:FC7"/>
    <mergeCell ref="G8:FC8"/>
    <mergeCell ref="EV10:EV12"/>
    <mergeCell ref="EX10:EX12"/>
    <mergeCell ref="FA10:FA12"/>
    <mergeCell ref="FB10:FB12"/>
    <mergeCell ref="FC10:FC12"/>
    <mergeCell ref="EY10:EY12"/>
    <mergeCell ref="EZ10:EZ12"/>
    <mergeCell ref="A5:F5"/>
    <mergeCell ref="A6:F6"/>
    <mergeCell ref="A7:F7"/>
    <mergeCell ref="Y21:BG21"/>
    <mergeCell ref="E21:J21"/>
    <mergeCell ref="K21:S21"/>
    <mergeCell ref="E22:J22"/>
    <mergeCell ref="K22:S22"/>
  </mergeCells>
  <phoneticPr fontId="8" type="noConversion"/>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B695"/>
  <sheetViews>
    <sheetView showGridLines="0" zoomScale="66" zoomScaleNormal="66" zoomScaleSheetLayoutView="40" zoomScalePageLayoutView="73" workbookViewId="0">
      <selection activeCell="G10" sqref="G10:FA82"/>
    </sheetView>
  </sheetViews>
  <sheetFormatPr baseColWidth="10" defaultColWidth="10.85546875" defaultRowHeight="19.149999999999999" customHeight="1" x14ac:dyDescent="0.25"/>
  <cols>
    <col min="1" max="1" width="10.5703125" style="522" customWidth="1"/>
    <col min="2" max="2" width="12.42578125" style="522" customWidth="1"/>
    <col min="3" max="3" width="18.42578125" style="522" customWidth="1"/>
    <col min="4" max="4" width="13.140625" style="547" customWidth="1"/>
    <col min="5" max="5" width="12" style="547" customWidth="1"/>
    <col min="6" max="6" width="11.85546875" style="548" customWidth="1"/>
    <col min="7" max="7" width="25.140625" style="528" customWidth="1"/>
    <col min="8" max="8" width="27.7109375" style="528" hidden="1" customWidth="1"/>
    <col min="9" max="10" width="15.7109375" style="528" hidden="1" customWidth="1"/>
    <col min="11" max="20" width="22.5703125" style="528" hidden="1" customWidth="1"/>
    <col min="21" max="21" width="18.42578125" style="528" hidden="1" customWidth="1"/>
    <col min="22" max="22" width="20.7109375" style="528" hidden="1" customWidth="1"/>
    <col min="23" max="23" width="21.7109375" style="528" hidden="1" customWidth="1"/>
    <col min="24" max="24" width="20.5703125" style="528" hidden="1" customWidth="1"/>
    <col min="25" max="25" width="22.28515625" style="528" hidden="1" customWidth="1"/>
    <col min="26" max="26" width="12.28515625" style="528" hidden="1" customWidth="1"/>
    <col min="27" max="27" width="24.140625" style="528" customWidth="1"/>
    <col min="28" max="28" width="22.85546875" style="528" customWidth="1"/>
    <col min="29" max="30" width="23.7109375" style="528" customWidth="1"/>
    <col min="31" max="32" width="25.85546875" style="528" customWidth="1"/>
    <col min="33" max="34" width="26.28515625" style="528" customWidth="1"/>
    <col min="35" max="36" width="24.28515625" style="528" customWidth="1"/>
    <col min="37" max="37" width="21.7109375" style="528" customWidth="1"/>
    <col min="38" max="38" width="22.5703125" style="528" customWidth="1"/>
    <col min="39" max="39" width="27.85546875" style="528" customWidth="1"/>
    <col min="40" max="40" width="26.85546875" style="574" customWidth="1"/>
    <col min="41" max="41" width="28.7109375" style="528" customWidth="1"/>
    <col min="42" max="42" width="27.140625" style="592" customWidth="1"/>
    <col min="43" max="43" width="24" style="528" customWidth="1"/>
    <col min="44" max="44" width="22.28515625" style="528" customWidth="1"/>
    <col min="45" max="45" width="22.140625" style="528" customWidth="1"/>
    <col min="46" max="46" width="22.5703125" style="526" customWidth="1"/>
    <col min="47" max="47" width="21.140625" style="528" customWidth="1"/>
    <col min="48" max="48" width="22.85546875" style="528" customWidth="1"/>
    <col min="49" max="49" width="24" style="528" customWidth="1"/>
    <col min="50" max="50" width="21.85546875" style="526" customWidth="1"/>
    <col min="51" max="51" width="23.28515625" style="528" customWidth="1"/>
    <col min="52" max="52" width="21.7109375" style="529" customWidth="1"/>
    <col min="53" max="53" width="21.28515625" style="528" customWidth="1"/>
    <col min="54" max="54" width="19.7109375" style="528" customWidth="1"/>
    <col min="55" max="55" width="20.7109375" style="528" customWidth="1"/>
    <col min="56" max="56" width="21.85546875" style="528" customWidth="1"/>
    <col min="57" max="57" width="20.28515625" style="528" customWidth="1"/>
    <col min="58" max="58" width="23.5703125" style="528" customWidth="1"/>
    <col min="59" max="83" width="15.7109375" style="528" hidden="1" customWidth="1"/>
    <col min="84" max="84" width="18.85546875" style="528" hidden="1" customWidth="1"/>
    <col min="85" max="85" width="21" style="528" hidden="1" customWidth="1"/>
    <col min="86" max="86" width="20.140625" style="528" hidden="1" customWidth="1"/>
    <col min="87" max="87" width="0.28515625" style="528" hidden="1" customWidth="1"/>
    <col min="88" max="88" width="23.42578125" style="528" customWidth="1"/>
    <col min="89" max="117" width="15.7109375" style="528" hidden="1" customWidth="1"/>
    <col min="118" max="118" width="24" style="528" customWidth="1"/>
    <col min="119" max="147" width="15.7109375" style="528" hidden="1" customWidth="1"/>
    <col min="148" max="148" width="15" style="554" customWidth="1"/>
    <col min="149" max="149" width="13.28515625" style="554" customWidth="1"/>
    <col min="150" max="150" width="12.85546875" style="522" customWidth="1"/>
    <col min="151" max="151" width="15.7109375" style="522" customWidth="1"/>
    <col min="152" max="152" width="11.28515625" style="522" customWidth="1"/>
    <col min="153" max="153" width="67.7109375" style="531" customWidth="1"/>
    <col min="154" max="155" width="8.42578125" style="531" customWidth="1"/>
    <col min="156" max="156" width="42.140625" style="522" customWidth="1"/>
    <col min="157" max="157" width="30.28515625" style="522" customWidth="1"/>
    <col min="158" max="158" width="11.85546875" style="522" customWidth="1"/>
    <col min="159" max="160" width="10.85546875" style="522" customWidth="1"/>
    <col min="161" max="16384" width="10.85546875" style="522"/>
  </cols>
  <sheetData>
    <row r="1" spans="1:158" s="520" customFormat="1" ht="42" customHeight="1" x14ac:dyDescent="0.4">
      <c r="A1" s="735"/>
      <c r="B1" s="736"/>
      <c r="C1" s="736"/>
      <c r="D1" s="736"/>
      <c r="E1" s="737"/>
      <c r="F1" s="748" t="s">
        <v>39</v>
      </c>
      <c r="G1" s="748"/>
      <c r="H1" s="748"/>
      <c r="I1" s="748"/>
      <c r="J1" s="748"/>
      <c r="K1" s="748"/>
      <c r="L1" s="748"/>
      <c r="M1" s="748"/>
      <c r="N1" s="748"/>
      <c r="O1" s="748"/>
      <c r="P1" s="748"/>
      <c r="Q1" s="748"/>
      <c r="R1" s="748"/>
      <c r="S1" s="748"/>
      <c r="T1" s="748"/>
      <c r="U1" s="748"/>
      <c r="V1" s="748"/>
      <c r="W1" s="748"/>
      <c r="X1" s="748"/>
      <c r="Y1" s="748"/>
      <c r="Z1" s="748"/>
      <c r="AA1" s="748"/>
      <c r="AB1" s="748"/>
      <c r="AC1" s="748"/>
      <c r="AD1" s="748"/>
      <c r="AE1" s="748"/>
      <c r="AF1" s="748"/>
      <c r="AG1" s="748"/>
      <c r="AH1" s="748"/>
      <c r="AI1" s="748"/>
      <c r="AJ1" s="748"/>
      <c r="AK1" s="748"/>
      <c r="AL1" s="748"/>
      <c r="AM1" s="748"/>
      <c r="AN1" s="748"/>
      <c r="AO1" s="748"/>
      <c r="AP1" s="748"/>
      <c r="AQ1" s="748"/>
      <c r="AR1" s="748"/>
      <c r="AS1" s="748"/>
      <c r="AT1" s="748"/>
      <c r="AU1" s="748"/>
      <c r="AV1" s="749"/>
      <c r="AW1" s="748"/>
      <c r="AX1" s="748"/>
      <c r="AY1" s="748"/>
      <c r="AZ1" s="748"/>
      <c r="BA1" s="748"/>
      <c r="BB1" s="748"/>
      <c r="BC1" s="748"/>
      <c r="BD1" s="748"/>
      <c r="BE1" s="748"/>
      <c r="BF1" s="748"/>
      <c r="BG1" s="748"/>
      <c r="BH1" s="748"/>
      <c r="BI1" s="748"/>
      <c r="BJ1" s="748"/>
      <c r="BK1" s="748"/>
      <c r="BL1" s="748"/>
      <c r="BM1" s="748"/>
      <c r="BN1" s="748"/>
      <c r="BO1" s="748"/>
      <c r="BP1" s="748"/>
      <c r="BQ1" s="748"/>
      <c r="BR1" s="748"/>
      <c r="BS1" s="748"/>
      <c r="BT1" s="748"/>
      <c r="BU1" s="748"/>
      <c r="BV1" s="748"/>
      <c r="BW1" s="748"/>
      <c r="BX1" s="748"/>
      <c r="BY1" s="748"/>
      <c r="BZ1" s="748"/>
      <c r="CA1" s="748"/>
      <c r="CB1" s="748"/>
      <c r="CC1" s="748"/>
      <c r="CD1" s="748"/>
      <c r="CE1" s="748"/>
      <c r="CF1" s="748"/>
      <c r="CG1" s="748"/>
      <c r="CH1" s="748"/>
      <c r="CI1" s="748"/>
      <c r="CJ1" s="748"/>
      <c r="CK1" s="748"/>
      <c r="CL1" s="748"/>
      <c r="CM1" s="748"/>
      <c r="CN1" s="748"/>
      <c r="CO1" s="748"/>
      <c r="CP1" s="748"/>
      <c r="CQ1" s="748"/>
      <c r="CR1" s="748"/>
      <c r="CS1" s="748"/>
      <c r="CT1" s="748"/>
      <c r="CU1" s="748"/>
      <c r="CV1" s="748"/>
      <c r="CW1" s="748"/>
      <c r="CX1" s="748"/>
      <c r="CY1" s="748"/>
      <c r="CZ1" s="748"/>
      <c r="DA1" s="748"/>
      <c r="DB1" s="748"/>
      <c r="DC1" s="748"/>
      <c r="DD1" s="748"/>
      <c r="DE1" s="748"/>
      <c r="DF1" s="748"/>
      <c r="DG1" s="748"/>
      <c r="DH1" s="748"/>
      <c r="DI1" s="748"/>
      <c r="DJ1" s="748"/>
      <c r="DK1" s="748"/>
      <c r="DL1" s="748"/>
      <c r="DM1" s="748"/>
      <c r="DN1" s="748"/>
      <c r="DO1" s="748"/>
      <c r="DP1" s="748"/>
      <c r="DQ1" s="748"/>
      <c r="DR1" s="748"/>
      <c r="DS1" s="748"/>
      <c r="DT1" s="748"/>
      <c r="DU1" s="748"/>
      <c r="DV1" s="748"/>
      <c r="DW1" s="748"/>
      <c r="DX1" s="748"/>
      <c r="DY1" s="748"/>
      <c r="DZ1" s="748"/>
      <c r="EA1" s="748"/>
      <c r="EB1" s="748"/>
      <c r="EC1" s="748"/>
      <c r="ED1" s="748"/>
      <c r="EE1" s="748"/>
      <c r="EF1" s="748"/>
      <c r="EG1" s="748"/>
      <c r="EH1" s="748"/>
      <c r="EI1" s="748"/>
      <c r="EJ1" s="748"/>
      <c r="EK1" s="748"/>
      <c r="EL1" s="748"/>
      <c r="EM1" s="748"/>
      <c r="EN1" s="748"/>
      <c r="EO1" s="748"/>
      <c r="EP1" s="748"/>
      <c r="EQ1" s="748"/>
      <c r="ER1" s="748"/>
      <c r="ES1" s="748"/>
      <c r="ET1" s="748"/>
      <c r="EU1" s="748"/>
      <c r="EV1" s="748"/>
      <c r="EW1" s="748"/>
      <c r="EX1" s="748"/>
      <c r="EY1" s="748"/>
      <c r="EZ1" s="748"/>
      <c r="FA1" s="750"/>
    </row>
    <row r="2" spans="1:158" s="520" customFormat="1" ht="33" customHeight="1" thickBot="1" x14ac:dyDescent="0.45">
      <c r="A2" s="738"/>
      <c r="B2" s="739"/>
      <c r="C2" s="739"/>
      <c r="D2" s="739"/>
      <c r="E2" s="740"/>
      <c r="F2" s="751" t="s">
        <v>267</v>
      </c>
      <c r="G2" s="751"/>
      <c r="H2" s="751"/>
      <c r="I2" s="751"/>
      <c r="J2" s="751"/>
      <c r="K2" s="751"/>
      <c r="L2" s="751"/>
      <c r="M2" s="751"/>
      <c r="N2" s="751"/>
      <c r="O2" s="751"/>
      <c r="P2" s="751"/>
      <c r="Q2" s="751"/>
      <c r="R2" s="751"/>
      <c r="S2" s="751"/>
      <c r="T2" s="751"/>
      <c r="U2" s="751"/>
      <c r="V2" s="751"/>
      <c r="W2" s="751"/>
      <c r="X2" s="751"/>
      <c r="Y2" s="751"/>
      <c r="Z2" s="751"/>
      <c r="AA2" s="751"/>
      <c r="AB2" s="751"/>
      <c r="AC2" s="751"/>
      <c r="AD2" s="751"/>
      <c r="AE2" s="751"/>
      <c r="AF2" s="751"/>
      <c r="AG2" s="751"/>
      <c r="AH2" s="751"/>
      <c r="AI2" s="751"/>
      <c r="AJ2" s="751"/>
      <c r="AK2" s="751"/>
      <c r="AL2" s="751"/>
      <c r="AM2" s="751"/>
      <c r="AN2" s="751"/>
      <c r="AO2" s="751"/>
      <c r="AP2" s="751"/>
      <c r="AQ2" s="751"/>
      <c r="AR2" s="751"/>
      <c r="AS2" s="751"/>
      <c r="AT2" s="751"/>
      <c r="AU2" s="751"/>
      <c r="AV2" s="752"/>
      <c r="AW2" s="751"/>
      <c r="AX2" s="751"/>
      <c r="AY2" s="751"/>
      <c r="AZ2" s="751"/>
      <c r="BA2" s="751"/>
      <c r="BB2" s="751"/>
      <c r="BC2" s="751"/>
      <c r="BD2" s="751"/>
      <c r="BE2" s="751"/>
      <c r="BF2" s="751"/>
      <c r="BG2" s="751"/>
      <c r="BH2" s="751"/>
      <c r="BI2" s="751"/>
      <c r="BJ2" s="751"/>
      <c r="BK2" s="751"/>
      <c r="BL2" s="751"/>
      <c r="BM2" s="751"/>
      <c r="BN2" s="751"/>
      <c r="BO2" s="751"/>
      <c r="BP2" s="751"/>
      <c r="BQ2" s="751"/>
      <c r="BR2" s="751"/>
      <c r="BS2" s="751"/>
      <c r="BT2" s="751"/>
      <c r="BU2" s="751"/>
      <c r="BV2" s="751"/>
      <c r="BW2" s="751"/>
      <c r="BX2" s="751"/>
      <c r="BY2" s="751"/>
      <c r="BZ2" s="751"/>
      <c r="CA2" s="751"/>
      <c r="CB2" s="751"/>
      <c r="CC2" s="751"/>
      <c r="CD2" s="751"/>
      <c r="CE2" s="751"/>
      <c r="CF2" s="751"/>
      <c r="CG2" s="751"/>
      <c r="CH2" s="751"/>
      <c r="CI2" s="751"/>
      <c r="CJ2" s="751"/>
      <c r="CK2" s="751"/>
      <c r="CL2" s="751"/>
      <c r="CM2" s="751"/>
      <c r="CN2" s="751"/>
      <c r="CO2" s="751"/>
      <c r="CP2" s="751"/>
      <c r="CQ2" s="751"/>
      <c r="CR2" s="751"/>
      <c r="CS2" s="751"/>
      <c r="CT2" s="751"/>
      <c r="CU2" s="751"/>
      <c r="CV2" s="751"/>
      <c r="CW2" s="751"/>
      <c r="CX2" s="751"/>
      <c r="CY2" s="751"/>
      <c r="CZ2" s="751"/>
      <c r="DA2" s="751"/>
      <c r="DB2" s="751"/>
      <c r="DC2" s="751"/>
      <c r="DD2" s="751"/>
      <c r="DE2" s="751"/>
      <c r="DF2" s="751"/>
      <c r="DG2" s="751"/>
      <c r="DH2" s="751"/>
      <c r="DI2" s="751"/>
      <c r="DJ2" s="751"/>
      <c r="DK2" s="751"/>
      <c r="DL2" s="751"/>
      <c r="DM2" s="751"/>
      <c r="DN2" s="751"/>
      <c r="DO2" s="751"/>
      <c r="DP2" s="751"/>
      <c r="DQ2" s="751"/>
      <c r="DR2" s="751"/>
      <c r="DS2" s="751"/>
      <c r="DT2" s="751"/>
      <c r="DU2" s="751"/>
      <c r="DV2" s="751"/>
      <c r="DW2" s="751"/>
      <c r="DX2" s="751"/>
      <c r="DY2" s="751"/>
      <c r="DZ2" s="751"/>
      <c r="EA2" s="751"/>
      <c r="EB2" s="751"/>
      <c r="EC2" s="751"/>
      <c r="ED2" s="751"/>
      <c r="EE2" s="751"/>
      <c r="EF2" s="751"/>
      <c r="EG2" s="751"/>
      <c r="EH2" s="751"/>
      <c r="EI2" s="751"/>
      <c r="EJ2" s="751"/>
      <c r="EK2" s="751"/>
      <c r="EL2" s="751"/>
      <c r="EM2" s="751"/>
      <c r="EN2" s="751"/>
      <c r="EO2" s="751"/>
      <c r="EP2" s="751"/>
      <c r="EQ2" s="751"/>
      <c r="ER2" s="753"/>
      <c r="ES2" s="753"/>
      <c r="ET2" s="753"/>
      <c r="EU2" s="753"/>
      <c r="EV2" s="753"/>
      <c r="EW2" s="753"/>
      <c r="EX2" s="753"/>
      <c r="EY2" s="753"/>
      <c r="EZ2" s="753"/>
      <c r="FA2" s="754"/>
    </row>
    <row r="3" spans="1:158" s="521" customFormat="1" ht="19.149999999999999" customHeight="1" thickBot="1" x14ac:dyDescent="0.4">
      <c r="A3" s="741"/>
      <c r="B3" s="742"/>
      <c r="C3" s="742"/>
      <c r="D3" s="742"/>
      <c r="E3" s="743"/>
      <c r="F3" s="755" t="s">
        <v>48</v>
      </c>
      <c r="G3" s="756"/>
      <c r="H3" s="756"/>
      <c r="I3" s="756"/>
      <c r="J3" s="756"/>
      <c r="K3" s="756"/>
      <c r="L3" s="756"/>
      <c r="M3" s="756"/>
      <c r="N3" s="756"/>
      <c r="O3" s="756"/>
      <c r="P3" s="756"/>
      <c r="Q3" s="756"/>
      <c r="R3" s="756"/>
      <c r="S3" s="756"/>
      <c r="T3" s="756"/>
      <c r="U3" s="756"/>
      <c r="V3" s="756"/>
      <c r="W3" s="756"/>
      <c r="X3" s="756"/>
      <c r="Y3" s="756"/>
      <c r="Z3" s="756"/>
      <c r="AA3" s="756"/>
      <c r="AB3" s="756"/>
      <c r="AC3" s="756"/>
      <c r="AD3" s="756"/>
      <c r="AE3" s="756"/>
      <c r="AF3" s="756"/>
      <c r="AG3" s="756"/>
      <c r="AH3" s="756"/>
      <c r="AI3" s="756"/>
      <c r="AJ3" s="756"/>
      <c r="AK3" s="756"/>
      <c r="AL3" s="756"/>
      <c r="AM3" s="756"/>
      <c r="AN3" s="756"/>
      <c r="AO3" s="756"/>
      <c r="AP3" s="756"/>
      <c r="AQ3" s="756"/>
      <c r="AR3" s="756"/>
      <c r="AS3" s="756"/>
      <c r="AT3" s="756"/>
      <c r="AU3" s="756"/>
      <c r="AV3" s="756"/>
      <c r="AW3" s="756"/>
      <c r="AX3" s="756"/>
      <c r="AY3" s="756"/>
      <c r="AZ3" s="756"/>
      <c r="BA3" s="756"/>
      <c r="BB3" s="756"/>
      <c r="BC3" s="756"/>
      <c r="BD3" s="756"/>
      <c r="BE3" s="756"/>
      <c r="BF3" s="756"/>
      <c r="BG3" s="756"/>
      <c r="BH3" s="756"/>
      <c r="BI3" s="756"/>
      <c r="BJ3" s="756"/>
      <c r="BK3" s="756"/>
      <c r="BL3" s="756"/>
      <c r="BM3" s="756"/>
      <c r="BN3" s="756"/>
      <c r="BO3" s="756"/>
      <c r="BP3" s="756"/>
      <c r="BQ3" s="756"/>
      <c r="BR3" s="756"/>
      <c r="BS3" s="756"/>
      <c r="BT3" s="756"/>
      <c r="BU3" s="756"/>
      <c r="BV3" s="756"/>
      <c r="BW3" s="756"/>
      <c r="BX3" s="756"/>
      <c r="BY3" s="756"/>
      <c r="BZ3" s="756"/>
      <c r="CA3" s="756"/>
      <c r="CB3" s="756"/>
      <c r="CC3" s="756"/>
      <c r="CD3" s="756"/>
      <c r="CE3" s="756"/>
      <c r="CF3" s="756"/>
      <c r="CG3" s="756"/>
      <c r="CH3" s="756"/>
      <c r="CI3" s="756"/>
      <c r="CJ3" s="756"/>
      <c r="CK3" s="756"/>
      <c r="CL3" s="756"/>
      <c r="CM3" s="756"/>
      <c r="CN3" s="756"/>
      <c r="CO3" s="756"/>
      <c r="CP3" s="756"/>
      <c r="CQ3" s="756"/>
      <c r="CR3" s="756"/>
      <c r="CS3" s="756"/>
      <c r="CT3" s="756"/>
      <c r="CU3" s="756"/>
      <c r="CV3" s="756"/>
      <c r="CW3" s="756"/>
      <c r="CX3" s="756"/>
      <c r="CY3" s="756"/>
      <c r="CZ3" s="756"/>
      <c r="DA3" s="756"/>
      <c r="DB3" s="756"/>
      <c r="DC3" s="756"/>
      <c r="DD3" s="756"/>
      <c r="DE3" s="756"/>
      <c r="DF3" s="756"/>
      <c r="DG3" s="756"/>
      <c r="DH3" s="756"/>
      <c r="DI3" s="756"/>
      <c r="DJ3" s="756"/>
      <c r="DK3" s="756"/>
      <c r="DL3" s="756"/>
      <c r="DM3" s="756"/>
      <c r="DN3" s="756"/>
      <c r="DO3" s="756"/>
      <c r="DP3" s="756"/>
      <c r="DQ3" s="756"/>
      <c r="DR3" s="756"/>
      <c r="DS3" s="756"/>
      <c r="DT3" s="756"/>
      <c r="DU3" s="756"/>
      <c r="DV3" s="756"/>
      <c r="DW3" s="756"/>
      <c r="DX3" s="756"/>
      <c r="DY3" s="756"/>
      <c r="DZ3" s="756"/>
      <c r="EA3" s="756"/>
      <c r="EB3" s="756"/>
      <c r="EC3" s="756"/>
      <c r="ED3" s="756"/>
      <c r="EE3" s="756"/>
      <c r="EF3" s="756"/>
      <c r="EG3" s="756"/>
      <c r="EH3" s="756"/>
      <c r="EI3" s="756"/>
      <c r="EJ3" s="756"/>
      <c r="EK3" s="756"/>
      <c r="EL3" s="756"/>
      <c r="EM3" s="756"/>
      <c r="EN3" s="756"/>
      <c r="EO3" s="756"/>
      <c r="EP3" s="756"/>
      <c r="EQ3" s="756"/>
      <c r="ER3" s="756" t="s">
        <v>248</v>
      </c>
      <c r="ES3" s="756"/>
      <c r="ET3" s="756"/>
      <c r="EU3" s="756"/>
      <c r="EV3" s="756"/>
      <c r="EW3" s="756"/>
      <c r="EX3" s="756"/>
      <c r="EY3" s="756"/>
      <c r="EZ3" s="756"/>
      <c r="FA3" s="759"/>
    </row>
    <row r="4" spans="1:158" ht="40.5" customHeight="1" thickBot="1" x14ac:dyDescent="0.25">
      <c r="A4" s="744" t="s">
        <v>0</v>
      </c>
      <c r="B4" s="745"/>
      <c r="C4" s="745"/>
      <c r="D4" s="745"/>
      <c r="E4" s="746"/>
      <c r="F4" s="766" t="s">
        <v>300</v>
      </c>
      <c r="G4" s="767"/>
      <c r="H4" s="767"/>
      <c r="I4" s="767"/>
      <c r="J4" s="767"/>
      <c r="K4" s="767"/>
      <c r="L4" s="767"/>
      <c r="M4" s="767"/>
      <c r="N4" s="767"/>
      <c r="O4" s="767"/>
      <c r="P4" s="767"/>
      <c r="Q4" s="767"/>
      <c r="R4" s="767"/>
      <c r="S4" s="767"/>
      <c r="T4" s="767"/>
      <c r="U4" s="767"/>
      <c r="V4" s="767"/>
      <c r="W4" s="767"/>
      <c r="X4" s="767"/>
      <c r="Y4" s="767"/>
      <c r="Z4" s="767"/>
      <c r="AA4" s="767"/>
      <c r="AB4" s="767"/>
      <c r="AC4" s="767"/>
      <c r="AD4" s="767"/>
      <c r="AE4" s="767"/>
      <c r="AF4" s="767"/>
      <c r="AG4" s="767"/>
      <c r="AH4" s="767"/>
      <c r="AI4" s="767"/>
      <c r="AJ4" s="767"/>
      <c r="AK4" s="767"/>
      <c r="AL4" s="767"/>
      <c r="AM4" s="767"/>
      <c r="AN4" s="767"/>
      <c r="AO4" s="767"/>
      <c r="AP4" s="767"/>
      <c r="AQ4" s="767"/>
      <c r="AR4" s="767"/>
      <c r="AS4" s="767"/>
      <c r="AT4" s="767"/>
      <c r="AU4" s="767"/>
      <c r="AV4" s="761"/>
      <c r="AW4" s="767"/>
      <c r="AX4" s="767"/>
      <c r="AY4" s="767"/>
      <c r="AZ4" s="767"/>
      <c r="BA4" s="767"/>
      <c r="BB4" s="767"/>
      <c r="BC4" s="767"/>
      <c r="BD4" s="767"/>
      <c r="BE4" s="767"/>
      <c r="BF4" s="767"/>
      <c r="BG4" s="767"/>
      <c r="BH4" s="767"/>
      <c r="BI4" s="767"/>
      <c r="BJ4" s="768"/>
      <c r="BK4" s="763" t="s">
        <v>300</v>
      </c>
      <c r="BL4" s="764"/>
      <c r="BM4" s="764"/>
      <c r="BN4" s="764"/>
      <c r="BO4" s="764"/>
      <c r="BP4" s="764"/>
      <c r="BQ4" s="764"/>
      <c r="BR4" s="764"/>
      <c r="BS4" s="764"/>
      <c r="BT4" s="764"/>
      <c r="BU4" s="764"/>
      <c r="BV4" s="764"/>
      <c r="BW4" s="764"/>
      <c r="BX4" s="764"/>
      <c r="BY4" s="764"/>
      <c r="BZ4" s="764"/>
      <c r="CA4" s="764"/>
      <c r="CB4" s="764"/>
      <c r="CC4" s="765"/>
      <c r="CD4" s="763"/>
      <c r="CE4" s="764"/>
      <c r="CF4" s="764"/>
      <c r="CG4" s="764"/>
      <c r="CH4" s="764"/>
      <c r="CI4" s="764"/>
      <c r="CJ4" s="764"/>
      <c r="CK4" s="764"/>
      <c r="CL4" s="764"/>
      <c r="CM4" s="764"/>
      <c r="CN4" s="764"/>
      <c r="CO4" s="764"/>
      <c r="CP4" s="764"/>
      <c r="CQ4" s="764"/>
      <c r="CR4" s="764"/>
      <c r="CS4" s="764"/>
      <c r="CT4" s="764"/>
      <c r="CU4" s="764"/>
      <c r="CV4" s="765"/>
      <c r="CW4" s="763"/>
      <c r="CX4" s="764"/>
      <c r="CY4" s="764"/>
      <c r="CZ4" s="764"/>
      <c r="DA4" s="764"/>
      <c r="DB4" s="764"/>
      <c r="DC4" s="764"/>
      <c r="DD4" s="764"/>
      <c r="DE4" s="764"/>
      <c r="DF4" s="764"/>
      <c r="DG4" s="764"/>
      <c r="DH4" s="764"/>
      <c r="DI4" s="764"/>
      <c r="DJ4" s="764"/>
      <c r="DK4" s="764"/>
      <c r="DL4" s="764"/>
      <c r="DM4" s="764"/>
      <c r="DN4" s="764"/>
      <c r="DO4" s="765"/>
      <c r="DP4" s="763" t="s">
        <v>300</v>
      </c>
      <c r="DQ4" s="764"/>
      <c r="DR4" s="764"/>
      <c r="DS4" s="764"/>
      <c r="DT4" s="764"/>
      <c r="DU4" s="764"/>
      <c r="DV4" s="764"/>
      <c r="DW4" s="764"/>
      <c r="DX4" s="764"/>
      <c r="DY4" s="764"/>
      <c r="DZ4" s="764"/>
      <c r="EA4" s="764"/>
      <c r="EB4" s="764"/>
      <c r="EC4" s="764"/>
      <c r="ED4" s="764"/>
      <c r="EE4" s="764"/>
      <c r="EF4" s="764"/>
      <c r="EG4" s="764"/>
      <c r="EH4" s="765"/>
      <c r="EI4" s="763"/>
      <c r="EJ4" s="764"/>
      <c r="EK4" s="764"/>
      <c r="EL4" s="764"/>
      <c r="EM4" s="764"/>
      <c r="EN4" s="764"/>
      <c r="EO4" s="764"/>
      <c r="EP4" s="764"/>
      <c r="EQ4" s="764"/>
      <c r="ER4" s="764"/>
      <c r="ES4" s="764"/>
      <c r="ET4" s="764"/>
      <c r="EU4" s="764"/>
      <c r="EV4" s="764"/>
      <c r="EW4" s="764"/>
      <c r="EX4" s="764"/>
      <c r="EY4" s="764"/>
      <c r="EZ4" s="764"/>
      <c r="FA4" s="765"/>
    </row>
    <row r="5" spans="1:158" ht="48.6" customHeight="1" thickBot="1" x14ac:dyDescent="0.25">
      <c r="A5" s="744" t="s">
        <v>2</v>
      </c>
      <c r="B5" s="745"/>
      <c r="C5" s="745"/>
      <c r="D5" s="745"/>
      <c r="E5" s="746"/>
      <c r="F5" s="760" t="str">
        <f>+GESTIÓN!G6</f>
        <v>Proyecto 7794 - Fortalecimiento de la gestión ambiental sectorial, el ecourbanismo y cambio climático en el D.C.</v>
      </c>
      <c r="G5" s="761"/>
      <c r="H5" s="761"/>
      <c r="I5" s="761"/>
      <c r="J5" s="761"/>
      <c r="K5" s="761"/>
      <c r="L5" s="761"/>
      <c r="M5" s="761"/>
      <c r="N5" s="761"/>
      <c r="O5" s="761"/>
      <c r="P5" s="761"/>
      <c r="Q5" s="761"/>
      <c r="R5" s="761"/>
      <c r="S5" s="761"/>
      <c r="T5" s="761"/>
      <c r="U5" s="761"/>
      <c r="V5" s="761"/>
      <c r="W5" s="761"/>
      <c r="X5" s="761"/>
      <c r="Y5" s="761"/>
      <c r="Z5" s="761"/>
      <c r="AA5" s="761"/>
      <c r="AB5" s="761"/>
      <c r="AC5" s="761"/>
      <c r="AD5" s="761"/>
      <c r="AE5" s="761"/>
      <c r="AF5" s="761"/>
      <c r="AG5" s="761"/>
      <c r="AH5" s="761"/>
      <c r="AI5" s="761"/>
      <c r="AJ5" s="761"/>
      <c r="AK5" s="761"/>
      <c r="AL5" s="761"/>
      <c r="AM5" s="761"/>
      <c r="AN5" s="761"/>
      <c r="AO5" s="761"/>
      <c r="AP5" s="761"/>
      <c r="AQ5" s="761"/>
      <c r="AR5" s="761"/>
      <c r="AS5" s="761"/>
      <c r="AT5" s="761"/>
      <c r="AU5" s="761"/>
      <c r="AV5" s="761"/>
      <c r="AW5" s="761"/>
      <c r="AX5" s="761"/>
      <c r="AY5" s="761"/>
      <c r="AZ5" s="761"/>
      <c r="BA5" s="761"/>
      <c r="BB5" s="761"/>
      <c r="BC5" s="761"/>
      <c r="BD5" s="761"/>
      <c r="BE5" s="761"/>
      <c r="BF5" s="761"/>
      <c r="BG5" s="761"/>
      <c r="BH5" s="761"/>
      <c r="BI5" s="761"/>
      <c r="BJ5" s="761"/>
      <c r="BK5" s="761"/>
      <c r="BL5" s="761"/>
      <c r="BM5" s="761"/>
      <c r="BN5" s="761"/>
      <c r="BO5" s="761"/>
      <c r="BP5" s="761"/>
      <c r="BQ5" s="761"/>
      <c r="BR5" s="761"/>
      <c r="BS5" s="761"/>
      <c r="BT5" s="761"/>
      <c r="BU5" s="761"/>
      <c r="BV5" s="761"/>
      <c r="BW5" s="761"/>
      <c r="BX5" s="761"/>
      <c r="BY5" s="761"/>
      <c r="BZ5" s="761"/>
      <c r="CA5" s="761"/>
      <c r="CB5" s="761"/>
      <c r="CC5" s="761"/>
      <c r="CD5" s="761"/>
      <c r="CE5" s="761"/>
      <c r="CF5" s="761"/>
      <c r="CG5" s="761"/>
      <c r="CH5" s="761"/>
      <c r="CI5" s="761"/>
      <c r="CJ5" s="761"/>
      <c r="CK5" s="761"/>
      <c r="CL5" s="761"/>
      <c r="CM5" s="761"/>
      <c r="CN5" s="761"/>
      <c r="CO5" s="761"/>
      <c r="CP5" s="761"/>
      <c r="CQ5" s="761"/>
      <c r="CR5" s="761"/>
      <c r="CS5" s="761"/>
      <c r="CT5" s="761"/>
      <c r="CU5" s="761"/>
      <c r="CV5" s="761"/>
      <c r="CW5" s="761"/>
      <c r="CX5" s="761"/>
      <c r="CY5" s="761"/>
      <c r="CZ5" s="761"/>
      <c r="DA5" s="761"/>
      <c r="DB5" s="761"/>
      <c r="DC5" s="761"/>
      <c r="DD5" s="761"/>
      <c r="DE5" s="761"/>
      <c r="DF5" s="761"/>
      <c r="DG5" s="761"/>
      <c r="DH5" s="761"/>
      <c r="DI5" s="761"/>
      <c r="DJ5" s="761"/>
      <c r="DK5" s="761"/>
      <c r="DL5" s="761"/>
      <c r="DM5" s="761"/>
      <c r="DN5" s="761"/>
      <c r="DO5" s="761"/>
      <c r="DP5" s="761"/>
      <c r="DQ5" s="761"/>
      <c r="DR5" s="761"/>
      <c r="DS5" s="761"/>
      <c r="DT5" s="761"/>
      <c r="DU5" s="761"/>
      <c r="DV5" s="761"/>
      <c r="DW5" s="761"/>
      <c r="DX5" s="761"/>
      <c r="DY5" s="761"/>
      <c r="DZ5" s="761"/>
      <c r="EA5" s="761"/>
      <c r="EB5" s="761"/>
      <c r="EC5" s="761"/>
      <c r="ED5" s="761"/>
      <c r="EE5" s="761"/>
      <c r="EF5" s="761"/>
      <c r="EG5" s="761"/>
      <c r="EH5" s="761"/>
      <c r="EI5" s="761"/>
      <c r="EJ5" s="761"/>
      <c r="EK5" s="761"/>
      <c r="EL5" s="761"/>
      <c r="EM5" s="761"/>
      <c r="EN5" s="761"/>
      <c r="EO5" s="761"/>
      <c r="EP5" s="761"/>
      <c r="EQ5" s="761"/>
      <c r="ER5" s="761"/>
      <c r="ES5" s="761"/>
      <c r="ET5" s="761"/>
      <c r="EU5" s="761"/>
      <c r="EV5" s="761"/>
      <c r="EW5" s="761"/>
      <c r="EX5" s="761"/>
      <c r="EY5" s="761"/>
      <c r="EZ5" s="761"/>
      <c r="FA5" s="762"/>
    </row>
    <row r="6" spans="1:158" ht="19.149999999999999" customHeight="1" x14ac:dyDescent="0.25">
      <c r="A6" s="523"/>
      <c r="B6" s="523"/>
      <c r="C6" s="523"/>
      <c r="D6" s="524"/>
      <c r="E6" s="524"/>
      <c r="F6" s="525"/>
      <c r="G6" s="526"/>
      <c r="H6" s="526"/>
      <c r="I6" s="526"/>
      <c r="J6" s="526"/>
      <c r="K6" s="526"/>
      <c r="L6" s="526"/>
      <c r="M6" s="526"/>
      <c r="N6" s="526"/>
      <c r="O6" s="526"/>
      <c r="P6" s="526"/>
      <c r="Q6" s="526"/>
      <c r="R6" s="526"/>
      <c r="S6" s="526"/>
      <c r="T6" s="526"/>
      <c r="U6" s="526"/>
      <c r="V6" s="526"/>
      <c r="W6" s="526"/>
      <c r="X6" s="526"/>
      <c r="Y6" s="526"/>
      <c r="Z6" s="526"/>
      <c r="AA6" s="526"/>
      <c r="AB6" s="526"/>
      <c r="AC6" s="526"/>
      <c r="AD6" s="526"/>
      <c r="AE6" s="526"/>
      <c r="AF6" s="526"/>
      <c r="AG6" s="526"/>
      <c r="AH6" s="526"/>
      <c r="AI6" s="526"/>
      <c r="AJ6" s="526"/>
      <c r="AK6" s="526"/>
      <c r="AL6" s="526"/>
      <c r="AM6" s="526"/>
      <c r="AN6" s="527"/>
      <c r="AO6" s="526"/>
      <c r="AP6" s="528"/>
      <c r="AQ6" s="526"/>
      <c r="AR6" s="526"/>
      <c r="AS6" s="526"/>
      <c r="AU6" s="526"/>
      <c r="AW6" s="526"/>
      <c r="AY6" s="526"/>
      <c r="AZ6" s="528"/>
      <c r="BA6" s="526"/>
      <c r="BB6" s="526"/>
      <c r="BC6" s="526"/>
      <c r="BD6" s="526"/>
      <c r="BE6" s="526"/>
      <c r="BF6" s="526"/>
      <c r="BG6" s="526"/>
      <c r="BH6" s="526"/>
      <c r="BI6" s="526"/>
      <c r="BJ6" s="526"/>
      <c r="BK6" s="526"/>
      <c r="BL6" s="526"/>
      <c r="BM6" s="526"/>
      <c r="BN6" s="526"/>
      <c r="BO6" s="526"/>
      <c r="BP6" s="526"/>
      <c r="BQ6" s="526"/>
      <c r="BR6" s="526"/>
      <c r="BS6" s="526"/>
      <c r="BT6" s="526"/>
      <c r="BU6" s="526"/>
      <c r="BV6" s="526"/>
      <c r="BW6" s="526"/>
      <c r="BX6" s="526"/>
      <c r="BY6" s="526"/>
      <c r="BZ6" s="526"/>
      <c r="CA6" s="526"/>
      <c r="CB6" s="526"/>
      <c r="CC6" s="526"/>
      <c r="CD6" s="526"/>
      <c r="CE6" s="526"/>
      <c r="CF6" s="526"/>
      <c r="CG6" s="526"/>
      <c r="CH6" s="526"/>
      <c r="CI6" s="526"/>
      <c r="CJ6" s="526"/>
      <c r="CK6" s="526"/>
      <c r="CL6" s="526"/>
      <c r="CM6" s="526"/>
      <c r="CN6" s="526"/>
      <c r="CO6" s="526"/>
      <c r="CP6" s="526"/>
      <c r="CQ6" s="526"/>
      <c r="CR6" s="526"/>
      <c r="CS6" s="526"/>
      <c r="CT6" s="526"/>
      <c r="CU6" s="526"/>
      <c r="CV6" s="526"/>
      <c r="CW6" s="526"/>
      <c r="CX6" s="526"/>
      <c r="CY6" s="526"/>
      <c r="CZ6" s="526"/>
      <c r="DA6" s="526"/>
      <c r="DB6" s="526"/>
      <c r="DC6" s="526"/>
      <c r="DD6" s="526"/>
      <c r="DE6" s="526"/>
      <c r="DF6" s="526"/>
      <c r="DG6" s="526"/>
      <c r="DH6" s="526"/>
      <c r="DI6" s="526"/>
      <c r="DJ6" s="526"/>
      <c r="DK6" s="526"/>
      <c r="DL6" s="526"/>
      <c r="DM6" s="526"/>
      <c r="DN6" s="526"/>
      <c r="DO6" s="526"/>
      <c r="DP6" s="526"/>
      <c r="DQ6" s="526"/>
      <c r="DR6" s="526"/>
      <c r="DS6" s="526"/>
      <c r="DT6" s="526"/>
      <c r="DU6" s="526"/>
      <c r="DV6" s="526"/>
      <c r="DW6" s="526"/>
      <c r="DX6" s="526"/>
      <c r="DY6" s="526"/>
      <c r="DZ6" s="526"/>
      <c r="EA6" s="526"/>
      <c r="EB6" s="526"/>
      <c r="EC6" s="526"/>
      <c r="ED6" s="526"/>
      <c r="EE6" s="526"/>
      <c r="EF6" s="526"/>
      <c r="EG6" s="526"/>
      <c r="EH6" s="526"/>
      <c r="EI6" s="526"/>
      <c r="EJ6" s="526"/>
      <c r="EK6" s="526"/>
      <c r="EL6" s="526"/>
      <c r="EM6" s="526"/>
      <c r="EN6" s="526"/>
      <c r="EO6" s="526"/>
      <c r="EP6" s="526"/>
      <c r="EQ6" s="526"/>
      <c r="ER6" s="530"/>
      <c r="ES6" s="530"/>
      <c r="ET6" s="523"/>
      <c r="EU6" s="523"/>
      <c r="EW6" s="522"/>
      <c r="EX6" s="522"/>
      <c r="EY6" s="522"/>
      <c r="FA6" s="523"/>
    </row>
    <row r="7" spans="1:158" s="532" customFormat="1" ht="19.149999999999999" customHeight="1" x14ac:dyDescent="0.25">
      <c r="A7" s="747" t="s">
        <v>91</v>
      </c>
      <c r="B7" s="747"/>
      <c r="C7" s="747"/>
      <c r="D7" s="747"/>
      <c r="E7" s="747"/>
      <c r="F7" s="747"/>
      <c r="G7" s="747"/>
      <c r="H7" s="757" t="s">
        <v>236</v>
      </c>
      <c r="I7" s="757"/>
      <c r="J7" s="757"/>
      <c r="K7" s="757"/>
      <c r="L7" s="757"/>
      <c r="M7" s="757"/>
      <c r="N7" s="757"/>
      <c r="O7" s="757"/>
      <c r="P7" s="757"/>
      <c r="Q7" s="757"/>
      <c r="R7" s="757"/>
      <c r="S7" s="757"/>
      <c r="T7" s="757"/>
      <c r="U7" s="757"/>
      <c r="V7" s="757"/>
      <c r="W7" s="757"/>
      <c r="X7" s="757"/>
      <c r="Y7" s="757"/>
      <c r="Z7" s="757"/>
      <c r="AA7" s="757"/>
      <c r="AB7" s="757"/>
      <c r="AC7" s="757"/>
      <c r="AD7" s="757"/>
      <c r="AE7" s="757"/>
      <c r="AF7" s="757"/>
      <c r="AG7" s="757"/>
      <c r="AH7" s="757"/>
      <c r="AI7" s="757"/>
      <c r="AJ7" s="757"/>
      <c r="AK7" s="757"/>
      <c r="AL7" s="757"/>
      <c r="AM7" s="757"/>
      <c r="AN7" s="757"/>
      <c r="AO7" s="757"/>
      <c r="AP7" s="757"/>
      <c r="AQ7" s="757"/>
      <c r="AR7" s="757"/>
      <c r="AS7" s="757"/>
      <c r="AT7" s="757"/>
      <c r="AU7" s="757"/>
      <c r="AV7" s="758"/>
      <c r="AW7" s="757"/>
      <c r="AX7" s="757"/>
      <c r="AY7" s="757"/>
      <c r="AZ7" s="757"/>
      <c r="BA7" s="757"/>
      <c r="BB7" s="757"/>
      <c r="BC7" s="757"/>
      <c r="BD7" s="757"/>
      <c r="BE7" s="757"/>
      <c r="BF7" s="757"/>
      <c r="BG7" s="757"/>
      <c r="BH7" s="757"/>
      <c r="BI7" s="757"/>
      <c r="BJ7" s="757"/>
      <c r="BK7" s="757"/>
      <c r="BL7" s="757"/>
      <c r="BM7" s="757"/>
      <c r="BN7" s="757"/>
      <c r="BO7" s="757"/>
      <c r="BP7" s="757"/>
      <c r="BQ7" s="757"/>
      <c r="BR7" s="757"/>
      <c r="BS7" s="757"/>
      <c r="BT7" s="757"/>
      <c r="BU7" s="757"/>
      <c r="BV7" s="757"/>
      <c r="BW7" s="757"/>
      <c r="BX7" s="757"/>
      <c r="BY7" s="757"/>
      <c r="BZ7" s="757"/>
      <c r="CA7" s="757"/>
      <c r="CB7" s="757"/>
      <c r="CC7" s="757"/>
      <c r="CD7" s="757"/>
      <c r="CE7" s="757"/>
      <c r="CF7" s="757"/>
      <c r="CG7" s="757"/>
      <c r="CH7" s="757"/>
      <c r="CI7" s="757"/>
      <c r="CJ7" s="757"/>
      <c r="CK7" s="757"/>
      <c r="CL7" s="757"/>
      <c r="CM7" s="757"/>
      <c r="CN7" s="757"/>
      <c r="CO7" s="757"/>
      <c r="CP7" s="757"/>
      <c r="CQ7" s="757"/>
      <c r="CR7" s="757"/>
      <c r="CS7" s="757"/>
      <c r="CT7" s="757"/>
      <c r="CU7" s="757"/>
      <c r="CV7" s="757"/>
      <c r="CW7" s="757"/>
      <c r="CX7" s="757"/>
      <c r="CY7" s="757"/>
      <c r="CZ7" s="757"/>
      <c r="DA7" s="757"/>
      <c r="DB7" s="757"/>
      <c r="DC7" s="757"/>
      <c r="DD7" s="757"/>
      <c r="DE7" s="757"/>
      <c r="DF7" s="757"/>
      <c r="DG7" s="757"/>
      <c r="DH7" s="757"/>
      <c r="DI7" s="757"/>
      <c r="DJ7" s="757"/>
      <c r="DK7" s="757"/>
      <c r="DL7" s="757"/>
      <c r="DM7" s="757"/>
      <c r="DN7" s="757"/>
      <c r="DO7" s="757"/>
      <c r="DP7" s="757"/>
      <c r="DQ7" s="757"/>
      <c r="DR7" s="757"/>
      <c r="DS7" s="757"/>
      <c r="DT7" s="757"/>
      <c r="DU7" s="757"/>
      <c r="DV7" s="757"/>
      <c r="DW7" s="757"/>
      <c r="DX7" s="757"/>
      <c r="DY7" s="757"/>
      <c r="DZ7" s="757"/>
      <c r="EA7" s="757"/>
      <c r="EB7" s="757"/>
      <c r="EC7" s="757"/>
      <c r="ED7" s="757"/>
      <c r="EE7" s="757"/>
      <c r="EF7" s="757"/>
      <c r="EG7" s="757"/>
      <c r="EH7" s="757"/>
      <c r="EI7" s="757"/>
      <c r="EJ7" s="757"/>
      <c r="EK7" s="757"/>
      <c r="EL7" s="757"/>
      <c r="EM7" s="757"/>
      <c r="EN7" s="757"/>
      <c r="EO7" s="757"/>
      <c r="EP7" s="757"/>
      <c r="EQ7" s="757"/>
      <c r="ER7" s="728" t="s">
        <v>229</v>
      </c>
      <c r="ES7" s="728" t="s">
        <v>230</v>
      </c>
      <c r="ET7" s="727" t="s">
        <v>231</v>
      </c>
      <c r="EU7" s="729" t="s">
        <v>254</v>
      </c>
      <c r="EV7" s="725" t="s">
        <v>255</v>
      </c>
      <c r="EW7" s="769" t="s">
        <v>256</v>
      </c>
      <c r="EX7" s="769" t="s">
        <v>257</v>
      </c>
      <c r="EY7" s="769" t="s">
        <v>258</v>
      </c>
      <c r="EZ7" s="769" t="s">
        <v>260</v>
      </c>
      <c r="FA7" s="769" t="s">
        <v>259</v>
      </c>
    </row>
    <row r="8" spans="1:158" s="532" customFormat="1" ht="19.149999999999999" customHeight="1" x14ac:dyDescent="0.25">
      <c r="A8" s="747"/>
      <c r="B8" s="747"/>
      <c r="C8" s="747"/>
      <c r="D8" s="747"/>
      <c r="E8" s="747"/>
      <c r="F8" s="747"/>
      <c r="G8" s="747"/>
      <c r="H8" s="726" t="s">
        <v>65</v>
      </c>
      <c r="I8" s="726"/>
      <c r="J8" s="726"/>
      <c r="K8" s="726"/>
      <c r="L8" s="726"/>
      <c r="M8" s="726"/>
      <c r="N8" s="726"/>
      <c r="O8" s="726"/>
      <c r="P8" s="726"/>
      <c r="Q8" s="726"/>
      <c r="R8" s="726"/>
      <c r="S8" s="726"/>
      <c r="T8" s="726"/>
      <c r="U8" s="726"/>
      <c r="V8" s="726"/>
      <c r="W8" s="726"/>
      <c r="X8" s="726"/>
      <c r="Y8" s="726"/>
      <c r="Z8" s="726"/>
      <c r="AA8" s="726"/>
      <c r="AB8" s="726" t="s">
        <v>268</v>
      </c>
      <c r="AC8" s="726"/>
      <c r="AD8" s="726"/>
      <c r="AE8" s="726"/>
      <c r="AF8" s="726"/>
      <c r="AG8" s="726"/>
      <c r="AH8" s="726"/>
      <c r="AI8" s="726"/>
      <c r="AJ8" s="726"/>
      <c r="AK8" s="726"/>
      <c r="AL8" s="726"/>
      <c r="AM8" s="726"/>
      <c r="AN8" s="726"/>
      <c r="AO8" s="726"/>
      <c r="AP8" s="726"/>
      <c r="AQ8" s="726"/>
      <c r="AR8" s="726"/>
      <c r="AS8" s="726"/>
      <c r="AT8" s="726"/>
      <c r="AU8" s="726"/>
      <c r="AV8" s="758"/>
      <c r="AW8" s="726"/>
      <c r="AX8" s="726"/>
      <c r="AY8" s="726"/>
      <c r="AZ8" s="726"/>
      <c r="BA8" s="726"/>
      <c r="BB8" s="726"/>
      <c r="BC8" s="726"/>
      <c r="BD8" s="726"/>
      <c r="BE8" s="726"/>
      <c r="BF8" s="726" t="s">
        <v>62</v>
      </c>
      <c r="BG8" s="726"/>
      <c r="BH8" s="726"/>
      <c r="BI8" s="726"/>
      <c r="BJ8" s="726"/>
      <c r="BK8" s="726"/>
      <c r="BL8" s="726"/>
      <c r="BM8" s="726"/>
      <c r="BN8" s="726"/>
      <c r="BO8" s="726"/>
      <c r="BP8" s="726"/>
      <c r="BQ8" s="726"/>
      <c r="BR8" s="726"/>
      <c r="BS8" s="726"/>
      <c r="BT8" s="726"/>
      <c r="BU8" s="726"/>
      <c r="BV8" s="726"/>
      <c r="BW8" s="726"/>
      <c r="BX8" s="726"/>
      <c r="BY8" s="726"/>
      <c r="BZ8" s="726"/>
      <c r="CA8" s="726"/>
      <c r="CB8" s="726"/>
      <c r="CC8" s="726"/>
      <c r="CD8" s="726"/>
      <c r="CE8" s="726"/>
      <c r="CF8" s="726"/>
      <c r="CG8" s="726"/>
      <c r="CH8" s="726"/>
      <c r="CI8" s="726"/>
      <c r="CJ8" s="726" t="s">
        <v>63</v>
      </c>
      <c r="CK8" s="726"/>
      <c r="CL8" s="726"/>
      <c r="CM8" s="726"/>
      <c r="CN8" s="726"/>
      <c r="CO8" s="726"/>
      <c r="CP8" s="726"/>
      <c r="CQ8" s="726"/>
      <c r="CR8" s="726"/>
      <c r="CS8" s="726"/>
      <c r="CT8" s="726"/>
      <c r="CU8" s="726"/>
      <c r="CV8" s="726"/>
      <c r="CW8" s="726"/>
      <c r="CX8" s="726"/>
      <c r="CY8" s="726"/>
      <c r="CZ8" s="726"/>
      <c r="DA8" s="726"/>
      <c r="DB8" s="726"/>
      <c r="DC8" s="726"/>
      <c r="DD8" s="726"/>
      <c r="DE8" s="726"/>
      <c r="DF8" s="726"/>
      <c r="DG8" s="726"/>
      <c r="DH8" s="726"/>
      <c r="DI8" s="726"/>
      <c r="DJ8" s="726"/>
      <c r="DK8" s="726"/>
      <c r="DL8" s="726"/>
      <c r="DM8" s="726"/>
      <c r="DN8" s="726" t="s">
        <v>64</v>
      </c>
      <c r="DO8" s="726"/>
      <c r="DP8" s="726"/>
      <c r="DQ8" s="726"/>
      <c r="DR8" s="726"/>
      <c r="DS8" s="726"/>
      <c r="DT8" s="726"/>
      <c r="DU8" s="726"/>
      <c r="DV8" s="726"/>
      <c r="DW8" s="726"/>
      <c r="DX8" s="726"/>
      <c r="DY8" s="726"/>
      <c r="DZ8" s="726"/>
      <c r="EA8" s="726"/>
      <c r="EB8" s="726"/>
      <c r="EC8" s="726"/>
      <c r="ED8" s="726"/>
      <c r="EE8" s="726"/>
      <c r="EF8" s="726"/>
      <c r="EG8" s="726"/>
      <c r="EH8" s="726"/>
      <c r="EI8" s="726"/>
      <c r="EJ8" s="726"/>
      <c r="EK8" s="726"/>
      <c r="EL8" s="726"/>
      <c r="EM8" s="726"/>
      <c r="EN8" s="726"/>
      <c r="EO8" s="726"/>
      <c r="EP8" s="726"/>
      <c r="EQ8" s="726"/>
      <c r="ER8" s="728"/>
      <c r="ES8" s="728"/>
      <c r="ET8" s="727"/>
      <c r="EU8" s="729"/>
      <c r="EV8" s="725"/>
      <c r="EW8" s="769"/>
      <c r="EX8" s="769"/>
      <c r="EY8" s="769"/>
      <c r="EZ8" s="769"/>
      <c r="FA8" s="769"/>
    </row>
    <row r="9" spans="1:158" s="532" customFormat="1" ht="67.5" customHeight="1" x14ac:dyDescent="0.25">
      <c r="A9" s="533" t="s">
        <v>84</v>
      </c>
      <c r="B9" s="533" t="s">
        <v>85</v>
      </c>
      <c r="C9" s="534" t="s">
        <v>86</v>
      </c>
      <c r="D9" s="534" t="s">
        <v>87</v>
      </c>
      <c r="E9" s="535" t="s">
        <v>88</v>
      </c>
      <c r="F9" s="536" t="s">
        <v>89</v>
      </c>
      <c r="G9" s="537" t="s">
        <v>90</v>
      </c>
      <c r="H9" s="538" t="s">
        <v>1213</v>
      </c>
      <c r="I9" s="539" t="s">
        <v>1214</v>
      </c>
      <c r="J9" s="533" t="s">
        <v>1215</v>
      </c>
      <c r="K9" s="539" t="s">
        <v>1216</v>
      </c>
      <c r="L9" s="533" t="s">
        <v>1217</v>
      </c>
      <c r="M9" s="539" t="s">
        <v>1218</v>
      </c>
      <c r="N9" s="533" t="s">
        <v>1219</v>
      </c>
      <c r="O9" s="539" t="s">
        <v>1220</v>
      </c>
      <c r="P9" s="533" t="s">
        <v>1221</v>
      </c>
      <c r="Q9" s="539" t="s">
        <v>1222</v>
      </c>
      <c r="R9" s="533" t="s">
        <v>1223</v>
      </c>
      <c r="S9" s="539" t="s">
        <v>1224</v>
      </c>
      <c r="T9" s="533" t="s">
        <v>1225</v>
      </c>
      <c r="U9" s="539" t="s">
        <v>1226</v>
      </c>
      <c r="V9" s="533" t="s">
        <v>1227</v>
      </c>
      <c r="W9" s="540" t="s">
        <v>226</v>
      </c>
      <c r="X9" s="541" t="s">
        <v>262</v>
      </c>
      <c r="Y9" s="535" t="s">
        <v>263</v>
      </c>
      <c r="Z9" s="542" t="s">
        <v>264</v>
      </c>
      <c r="AA9" s="535" t="s">
        <v>265</v>
      </c>
      <c r="AB9" s="538" t="s">
        <v>1213</v>
      </c>
      <c r="AC9" s="539" t="s">
        <v>1228</v>
      </c>
      <c r="AD9" s="533" t="s">
        <v>1229</v>
      </c>
      <c r="AE9" s="539" t="s">
        <v>1230</v>
      </c>
      <c r="AF9" s="533" t="s">
        <v>1231</v>
      </c>
      <c r="AG9" s="539" t="s">
        <v>1232</v>
      </c>
      <c r="AH9" s="533" t="s">
        <v>1233</v>
      </c>
      <c r="AI9" s="539" t="s">
        <v>1234</v>
      </c>
      <c r="AJ9" s="533" t="s">
        <v>1235</v>
      </c>
      <c r="AK9" s="539" t="s">
        <v>1236</v>
      </c>
      <c r="AL9" s="533" t="s">
        <v>1237</v>
      </c>
      <c r="AM9" s="539" t="s">
        <v>1214</v>
      </c>
      <c r="AN9" s="535" t="s">
        <v>835</v>
      </c>
      <c r="AO9" s="539" t="s">
        <v>1216</v>
      </c>
      <c r="AP9" s="535" t="s">
        <v>1238</v>
      </c>
      <c r="AQ9" s="539" t="s">
        <v>1218</v>
      </c>
      <c r="AR9" s="533" t="s">
        <v>1219</v>
      </c>
      <c r="AS9" s="539" t="s">
        <v>1220</v>
      </c>
      <c r="AT9" s="533" t="s">
        <v>1221</v>
      </c>
      <c r="AU9" s="539" t="s">
        <v>1222</v>
      </c>
      <c r="AV9" s="533" t="s">
        <v>1223</v>
      </c>
      <c r="AW9" s="539" t="s">
        <v>1224</v>
      </c>
      <c r="AX9" s="543" t="s">
        <v>1225</v>
      </c>
      <c r="AY9" s="539" t="s">
        <v>1226</v>
      </c>
      <c r="AZ9" s="533" t="s">
        <v>1227</v>
      </c>
      <c r="BA9" s="540" t="s">
        <v>226</v>
      </c>
      <c r="BB9" s="541" t="s">
        <v>253</v>
      </c>
      <c r="BC9" s="535" t="s">
        <v>252</v>
      </c>
      <c r="BD9" s="540" t="s">
        <v>251</v>
      </c>
      <c r="BE9" s="541" t="s">
        <v>250</v>
      </c>
      <c r="BF9" s="538" t="s">
        <v>1213</v>
      </c>
      <c r="BG9" s="544" t="s">
        <v>1239</v>
      </c>
      <c r="BH9" s="545" t="s">
        <v>1240</v>
      </c>
      <c r="BI9" s="544" t="s">
        <v>1241</v>
      </c>
      <c r="BJ9" s="545" t="s">
        <v>1242</v>
      </c>
      <c r="BK9" s="544" t="s">
        <v>1243</v>
      </c>
      <c r="BL9" s="545" t="s">
        <v>1244</v>
      </c>
      <c r="BM9" s="544" t="s">
        <v>1245</v>
      </c>
      <c r="BN9" s="545" t="s">
        <v>1246</v>
      </c>
      <c r="BO9" s="544" t="s">
        <v>1247</v>
      </c>
      <c r="BP9" s="545" t="s">
        <v>1248</v>
      </c>
      <c r="BQ9" s="544" t="s">
        <v>1249</v>
      </c>
      <c r="BR9" s="545" t="s">
        <v>1250</v>
      </c>
      <c r="BS9" s="544" t="s">
        <v>1251</v>
      </c>
      <c r="BT9" s="545" t="s">
        <v>1252</v>
      </c>
      <c r="BU9" s="544" t="s">
        <v>1253</v>
      </c>
      <c r="BV9" s="545" t="s">
        <v>1254</v>
      </c>
      <c r="BW9" s="544" t="s">
        <v>1255</v>
      </c>
      <c r="BX9" s="545" t="s">
        <v>1256</v>
      </c>
      <c r="BY9" s="544" t="s">
        <v>1257</v>
      </c>
      <c r="BZ9" s="545" t="s">
        <v>1258</v>
      </c>
      <c r="CA9" s="544" t="s">
        <v>1259</v>
      </c>
      <c r="CB9" s="545" t="s">
        <v>1260</v>
      </c>
      <c r="CC9" s="544" t="s">
        <v>1261</v>
      </c>
      <c r="CD9" s="545" t="s">
        <v>1262</v>
      </c>
      <c r="CE9" s="540" t="s">
        <v>226</v>
      </c>
      <c r="CF9" s="541" t="s">
        <v>232</v>
      </c>
      <c r="CG9" s="535" t="s">
        <v>233</v>
      </c>
      <c r="CH9" s="542" t="s">
        <v>234</v>
      </c>
      <c r="CI9" s="535" t="s">
        <v>235</v>
      </c>
      <c r="CJ9" s="538" t="s">
        <v>1213</v>
      </c>
      <c r="CK9" s="544" t="s">
        <v>1239</v>
      </c>
      <c r="CL9" s="545" t="s">
        <v>1240</v>
      </c>
      <c r="CM9" s="544" t="s">
        <v>1241</v>
      </c>
      <c r="CN9" s="545" t="s">
        <v>1242</v>
      </c>
      <c r="CO9" s="544" t="s">
        <v>1243</v>
      </c>
      <c r="CP9" s="545" t="s">
        <v>1244</v>
      </c>
      <c r="CQ9" s="544" t="s">
        <v>1263</v>
      </c>
      <c r="CR9" s="545" t="s">
        <v>1246</v>
      </c>
      <c r="CS9" s="544" t="s">
        <v>1247</v>
      </c>
      <c r="CT9" s="545" t="s">
        <v>1248</v>
      </c>
      <c r="CU9" s="544" t="s">
        <v>1249</v>
      </c>
      <c r="CV9" s="545" t="s">
        <v>1250</v>
      </c>
      <c r="CW9" s="544" t="s">
        <v>1251</v>
      </c>
      <c r="CX9" s="545" t="s">
        <v>1252</v>
      </c>
      <c r="CY9" s="544" t="s">
        <v>1253</v>
      </c>
      <c r="CZ9" s="545" t="s">
        <v>1254</v>
      </c>
      <c r="DA9" s="544" t="s">
        <v>1255</v>
      </c>
      <c r="DB9" s="545" t="s">
        <v>1256</v>
      </c>
      <c r="DC9" s="544" t="s">
        <v>1257</v>
      </c>
      <c r="DD9" s="545" t="s">
        <v>1258</v>
      </c>
      <c r="DE9" s="544" t="s">
        <v>1259</v>
      </c>
      <c r="DF9" s="545" t="s">
        <v>1260</v>
      </c>
      <c r="DG9" s="544" t="s">
        <v>1261</v>
      </c>
      <c r="DH9" s="545" t="s">
        <v>1262</v>
      </c>
      <c r="DI9" s="540" t="s">
        <v>226</v>
      </c>
      <c r="DJ9" s="541" t="s">
        <v>238</v>
      </c>
      <c r="DK9" s="535" t="s">
        <v>239</v>
      </c>
      <c r="DL9" s="541" t="s">
        <v>240</v>
      </c>
      <c r="DM9" s="535" t="s">
        <v>241</v>
      </c>
      <c r="DN9" s="538" t="s">
        <v>1213</v>
      </c>
      <c r="DO9" s="539" t="s">
        <v>1228</v>
      </c>
      <c r="DP9" s="533" t="s">
        <v>1229</v>
      </c>
      <c r="DQ9" s="539" t="s">
        <v>1230</v>
      </c>
      <c r="DR9" s="533" t="s">
        <v>1231</v>
      </c>
      <c r="DS9" s="539" t="s">
        <v>1232</v>
      </c>
      <c r="DT9" s="533" t="s">
        <v>1233</v>
      </c>
      <c r="DU9" s="539" t="s">
        <v>1234</v>
      </c>
      <c r="DV9" s="533" t="s">
        <v>1235</v>
      </c>
      <c r="DW9" s="539" t="s">
        <v>1236</v>
      </c>
      <c r="DX9" s="533" t="s">
        <v>1237</v>
      </c>
      <c r="DY9" s="539" t="s">
        <v>1214</v>
      </c>
      <c r="DZ9" s="533" t="s">
        <v>1215</v>
      </c>
      <c r="EA9" s="539" t="s">
        <v>1216</v>
      </c>
      <c r="EB9" s="533" t="s">
        <v>1217</v>
      </c>
      <c r="EC9" s="539" t="s">
        <v>1218</v>
      </c>
      <c r="ED9" s="533" t="s">
        <v>1219</v>
      </c>
      <c r="EE9" s="539" t="s">
        <v>1220</v>
      </c>
      <c r="EF9" s="533" t="s">
        <v>1221</v>
      </c>
      <c r="EG9" s="539" t="s">
        <v>1222</v>
      </c>
      <c r="EH9" s="533" t="s">
        <v>1223</v>
      </c>
      <c r="EI9" s="539" t="s">
        <v>1224</v>
      </c>
      <c r="EJ9" s="533" t="s">
        <v>1225</v>
      </c>
      <c r="EK9" s="539" t="s">
        <v>1226</v>
      </c>
      <c r="EL9" s="533" t="s">
        <v>1227</v>
      </c>
      <c r="EM9" s="540" t="s">
        <v>226</v>
      </c>
      <c r="EN9" s="541" t="s">
        <v>242</v>
      </c>
      <c r="EO9" s="535" t="s">
        <v>243</v>
      </c>
      <c r="EP9" s="541" t="s">
        <v>244</v>
      </c>
      <c r="EQ9" s="535" t="s">
        <v>245</v>
      </c>
      <c r="ER9" s="728"/>
      <c r="ES9" s="728"/>
      <c r="ET9" s="727"/>
      <c r="EU9" s="729"/>
      <c r="EV9" s="725"/>
      <c r="EW9" s="769"/>
      <c r="EX9" s="769"/>
      <c r="EY9" s="769"/>
      <c r="EZ9" s="769"/>
      <c r="FA9" s="769"/>
    </row>
    <row r="10" spans="1:158" s="603" customFormat="1" ht="19.149999999999999" customHeight="1" x14ac:dyDescent="0.25">
      <c r="A10" s="733" t="s">
        <v>286</v>
      </c>
      <c r="B10" s="733">
        <v>1</v>
      </c>
      <c r="C10" s="733" t="s">
        <v>287</v>
      </c>
      <c r="D10" s="733" t="s">
        <v>276</v>
      </c>
      <c r="E10" s="734">
        <v>200</v>
      </c>
      <c r="F10" s="593" t="s">
        <v>41</v>
      </c>
      <c r="G10" s="594">
        <v>600</v>
      </c>
      <c r="H10" s="594">
        <v>66</v>
      </c>
      <c r="I10" s="595"/>
      <c r="J10" s="596"/>
      <c r="K10" s="595">
        <v>66</v>
      </c>
      <c r="L10" s="597">
        <v>11</v>
      </c>
      <c r="M10" s="595">
        <v>66</v>
      </c>
      <c r="N10" s="597">
        <v>22</v>
      </c>
      <c r="O10" s="595">
        <v>66</v>
      </c>
      <c r="P10" s="597">
        <v>33</v>
      </c>
      <c r="Q10" s="595">
        <v>66</v>
      </c>
      <c r="R10" s="597">
        <v>44</v>
      </c>
      <c r="S10" s="597">
        <v>66</v>
      </c>
      <c r="T10" s="597">
        <v>55</v>
      </c>
      <c r="U10" s="597">
        <v>66</v>
      </c>
      <c r="V10" s="594">
        <v>66</v>
      </c>
      <c r="W10" s="598">
        <f>+H10</f>
        <v>66</v>
      </c>
      <c r="X10" s="598">
        <f>+H10</f>
        <v>66</v>
      </c>
      <c r="Y10" s="598">
        <f>+V10</f>
        <v>66</v>
      </c>
      <c r="Z10" s="598">
        <f>+U10</f>
        <v>66</v>
      </c>
      <c r="AA10" s="598">
        <f>+V10</f>
        <v>66</v>
      </c>
      <c r="AB10" s="594">
        <v>109</v>
      </c>
      <c r="AC10" s="594">
        <v>5</v>
      </c>
      <c r="AD10" s="594">
        <v>5</v>
      </c>
      <c r="AE10" s="594">
        <v>8</v>
      </c>
      <c r="AF10" s="594">
        <v>8</v>
      </c>
      <c r="AG10" s="594">
        <v>10</v>
      </c>
      <c r="AH10" s="594">
        <v>10</v>
      </c>
      <c r="AI10" s="594">
        <v>10</v>
      </c>
      <c r="AJ10" s="594">
        <v>10</v>
      </c>
      <c r="AK10" s="594">
        <v>10</v>
      </c>
      <c r="AL10" s="594">
        <v>10</v>
      </c>
      <c r="AM10" s="594">
        <v>10</v>
      </c>
      <c r="AN10" s="594">
        <v>10</v>
      </c>
      <c r="AO10" s="594">
        <v>10</v>
      </c>
      <c r="AP10" s="594">
        <v>10</v>
      </c>
      <c r="AQ10" s="594">
        <v>10</v>
      </c>
      <c r="AR10" s="594">
        <v>10</v>
      </c>
      <c r="AS10" s="594">
        <v>10</v>
      </c>
      <c r="AT10" s="594">
        <v>10</v>
      </c>
      <c r="AU10" s="594">
        <v>10</v>
      </c>
      <c r="AV10" s="594">
        <v>10</v>
      </c>
      <c r="AW10" s="594">
        <v>10</v>
      </c>
      <c r="AX10" s="594">
        <v>10</v>
      </c>
      <c r="AY10" s="594">
        <v>6</v>
      </c>
      <c r="AZ10" s="597">
        <v>10</v>
      </c>
      <c r="BA10" s="599">
        <f>AY10+AW10+AU10+AS10+AO10+AM10+AK10+AI10+AG10+AE10+AC10+AQ10</f>
        <v>109</v>
      </c>
      <c r="BB10" s="599">
        <f>AC10+AE10+AG10+AI10+AK10+AM10+AO10+AQ10+AS10+AU10+AW10+AY10</f>
        <v>109</v>
      </c>
      <c r="BC10" s="599">
        <f>+AN10+AD10+AF10+AH10+AJ10+AL10+AP10+AR10+AT10+AV10+AX10+AZ10</f>
        <v>113</v>
      </c>
      <c r="BD10" s="599">
        <v>113</v>
      </c>
      <c r="BE10" s="599">
        <f>AF10+AH10+AJ10+AL10+AD10+AN10+AP10+AR10+AT10+AV10+AX10+AZ10</f>
        <v>113</v>
      </c>
      <c r="BF10" s="594">
        <v>150</v>
      </c>
      <c r="BG10" s="599"/>
      <c r="BH10" s="599"/>
      <c r="BI10" s="599"/>
      <c r="BJ10" s="600"/>
      <c r="BK10" s="599"/>
      <c r="BL10" s="599"/>
      <c r="BM10" s="599"/>
      <c r="BN10" s="599"/>
      <c r="BO10" s="599"/>
      <c r="BP10" s="599"/>
      <c r="BQ10" s="599"/>
      <c r="BR10" s="599"/>
      <c r="BS10" s="599"/>
      <c r="BT10" s="599"/>
      <c r="BU10" s="599"/>
      <c r="BV10" s="599"/>
      <c r="BW10" s="599"/>
      <c r="BX10" s="599"/>
      <c r="BY10" s="599"/>
      <c r="BZ10" s="599"/>
      <c r="CA10" s="599"/>
      <c r="CB10" s="599"/>
      <c r="CC10" s="599"/>
      <c r="CD10" s="599"/>
      <c r="CE10" s="599"/>
      <c r="CF10" s="599"/>
      <c r="CG10" s="599"/>
      <c r="CH10" s="599"/>
      <c r="CI10" s="599"/>
      <c r="CJ10" s="594">
        <v>190</v>
      </c>
      <c r="CK10" s="594"/>
      <c r="CL10" s="594"/>
      <c r="CM10" s="594"/>
      <c r="CN10" s="594"/>
      <c r="CO10" s="594"/>
      <c r="CP10" s="594"/>
      <c r="CQ10" s="594"/>
      <c r="CR10" s="594"/>
      <c r="CS10" s="594"/>
      <c r="CT10" s="594"/>
      <c r="CU10" s="594"/>
      <c r="CV10" s="594"/>
      <c r="CW10" s="594"/>
      <c r="CX10" s="594"/>
      <c r="CY10" s="594"/>
      <c r="CZ10" s="594"/>
      <c r="DA10" s="594"/>
      <c r="DB10" s="594"/>
      <c r="DC10" s="594"/>
      <c r="DD10" s="594"/>
      <c r="DE10" s="594"/>
      <c r="DF10" s="594"/>
      <c r="DG10" s="594"/>
      <c r="DH10" s="594"/>
      <c r="DI10" s="599">
        <f>DG10+DE10+DC10+DA10+CW10+CU10+CS10+CQ10+CO10+CM10+CK10</f>
        <v>0</v>
      </c>
      <c r="DJ10" s="599">
        <f>CK10+CM10+CO10+CQ10</f>
        <v>0</v>
      </c>
      <c r="DK10" s="599">
        <f>CL10+CN10+CP10+CR10</f>
        <v>0</v>
      </c>
      <c r="DL10" s="599">
        <f>DI10+BK10</f>
        <v>0</v>
      </c>
      <c r="DM10" s="599">
        <f>DK10+BK10</f>
        <v>0</v>
      </c>
      <c r="DN10" s="594">
        <v>81</v>
      </c>
      <c r="DO10" s="594"/>
      <c r="DP10" s="594"/>
      <c r="DQ10" s="594"/>
      <c r="DR10" s="594"/>
      <c r="DS10" s="594"/>
      <c r="DT10" s="594"/>
      <c r="DU10" s="594"/>
      <c r="DV10" s="594"/>
      <c r="DW10" s="594"/>
      <c r="DX10" s="594"/>
      <c r="DY10" s="594"/>
      <c r="DZ10" s="594"/>
      <c r="EA10" s="594"/>
      <c r="EB10" s="594"/>
      <c r="EC10" s="594"/>
      <c r="ED10" s="594"/>
      <c r="EE10" s="594"/>
      <c r="EF10" s="594"/>
      <c r="EG10" s="594"/>
      <c r="EH10" s="594"/>
      <c r="EI10" s="594"/>
      <c r="EJ10" s="594"/>
      <c r="EK10" s="594"/>
      <c r="EL10" s="594"/>
      <c r="EM10" s="598">
        <f>EK10+EI10+EG10+EE10+EA10+DY10+DW10+DU10+DS10+DQ10+DO10</f>
        <v>0</v>
      </c>
      <c r="EN10" s="598">
        <f>DO10+DQ10+DS10+DU10</f>
        <v>0</v>
      </c>
      <c r="EO10" s="598">
        <f>DP10+DR10+DT10+DV10</f>
        <v>0</v>
      </c>
      <c r="EP10" s="598">
        <f>EM10+CO10</f>
        <v>0</v>
      </c>
      <c r="EQ10" s="598">
        <f>EO10+CO10</f>
        <v>0</v>
      </c>
      <c r="ER10" s="601">
        <f>AZ10/AY10</f>
        <v>1.6666666666666667</v>
      </c>
      <c r="ES10" s="601">
        <f>BC10/BB10</f>
        <v>1.036697247706422</v>
      </c>
      <c r="ET10" s="601">
        <f>BE10/BD10</f>
        <v>1</v>
      </c>
      <c r="EU10" s="602">
        <f>(BC10+AA10)/(Z10+BB10)</f>
        <v>1.0228571428571429</v>
      </c>
      <c r="EV10" s="601">
        <f>(BC10+AA10)/G10</f>
        <v>0.29833333333333334</v>
      </c>
      <c r="EW10" s="1354" t="s">
        <v>1082</v>
      </c>
      <c r="EX10" s="733" t="s">
        <v>70</v>
      </c>
      <c r="EY10" s="733" t="s">
        <v>70</v>
      </c>
      <c r="EZ10" s="733" t="s">
        <v>620</v>
      </c>
      <c r="FA10" s="733" t="s">
        <v>621</v>
      </c>
      <c r="FB10" s="770"/>
    </row>
    <row r="11" spans="1:158" s="611" customFormat="1" ht="19.149999999999999" customHeight="1" x14ac:dyDescent="0.2">
      <c r="A11" s="733"/>
      <c r="B11" s="733"/>
      <c r="C11" s="733"/>
      <c r="D11" s="733"/>
      <c r="E11" s="734"/>
      <c r="F11" s="604" t="s">
        <v>3</v>
      </c>
      <c r="G11" s="605">
        <f>AA11+BD11+BF11+CJ11+DN11</f>
        <v>3517237000</v>
      </c>
      <c r="H11" s="606">
        <v>370304000</v>
      </c>
      <c r="I11" s="605"/>
      <c r="J11" s="605"/>
      <c r="K11" s="605">
        <v>370304000</v>
      </c>
      <c r="L11" s="600">
        <v>140580000</v>
      </c>
      <c r="M11" s="605">
        <v>361860000</v>
      </c>
      <c r="N11" s="605">
        <v>262457000</v>
      </c>
      <c r="O11" s="605">
        <v>361860000</v>
      </c>
      <c r="P11" s="600">
        <v>262457000</v>
      </c>
      <c r="Q11" s="605">
        <v>384597000</v>
      </c>
      <c r="R11" s="600">
        <v>262457000</v>
      </c>
      <c r="S11" s="605">
        <v>384597000</v>
      </c>
      <c r="T11" s="605">
        <v>312457000</v>
      </c>
      <c r="U11" s="605">
        <v>384597000</v>
      </c>
      <c r="V11" s="600">
        <v>384597000</v>
      </c>
      <c r="W11" s="598">
        <f t="shared" ref="W11:W17" si="0">+H11</f>
        <v>370304000</v>
      </c>
      <c r="X11" s="598">
        <f t="shared" ref="X11:X17" si="1">+H11</f>
        <v>370304000</v>
      </c>
      <c r="Y11" s="598">
        <f t="shared" ref="Y11:Y17" si="2">+V11</f>
        <v>384597000</v>
      </c>
      <c r="Z11" s="598">
        <f t="shared" ref="Z11:Z17" si="3">+U11</f>
        <v>384597000</v>
      </c>
      <c r="AA11" s="598">
        <f t="shared" ref="AA11:AA17" si="4">+V11</f>
        <v>384597000</v>
      </c>
      <c r="AB11" s="600">
        <v>574654000</v>
      </c>
      <c r="AC11" s="600">
        <v>0</v>
      </c>
      <c r="AD11" s="600">
        <v>0</v>
      </c>
      <c r="AE11" s="600">
        <v>308440000</v>
      </c>
      <c r="AF11" s="600">
        <v>308440000</v>
      </c>
      <c r="AG11" s="600">
        <f>495849000-AF11</f>
        <v>187409000</v>
      </c>
      <c r="AH11" s="600">
        <v>187409000</v>
      </c>
      <c r="AI11" s="600">
        <f>495849000-AF11-AH11</f>
        <v>0</v>
      </c>
      <c r="AJ11" s="600">
        <v>0</v>
      </c>
      <c r="AK11" s="600">
        <v>0</v>
      </c>
      <c r="AL11" s="600">
        <v>0</v>
      </c>
      <c r="AM11" s="600">
        <v>8622572</v>
      </c>
      <c r="AN11" s="600">
        <v>60358000</v>
      </c>
      <c r="AO11" s="600">
        <v>8622572</v>
      </c>
      <c r="AP11" s="600">
        <v>0</v>
      </c>
      <c r="AQ11" s="612">
        <v>0</v>
      </c>
      <c r="AR11" s="607">
        <v>0</v>
      </c>
      <c r="AS11" s="607">
        <v>76578856</v>
      </c>
      <c r="AT11" s="607">
        <v>16491500</v>
      </c>
      <c r="AU11" s="607">
        <f>15666000</f>
        <v>15666000</v>
      </c>
      <c r="AV11" s="607">
        <v>0</v>
      </c>
      <c r="AW11" s="607">
        <v>0</v>
      </c>
      <c r="AX11" s="607">
        <v>11263000</v>
      </c>
      <c r="AY11" s="607">
        <v>0</v>
      </c>
      <c r="AZ11" s="600">
        <v>6961000</v>
      </c>
      <c r="BA11" s="599">
        <f>AY11+AW11+AU11+AS11+AO11+AM11+AK11+AI11+AG11+AE11+AC11+AQ11</f>
        <v>605339000</v>
      </c>
      <c r="BB11" s="599">
        <f t="shared" ref="BB11:BB14" si="5">AC11+AE11+AG11+AI11+AK11+AM11+AO11+AQ11+AS11+AU11+AW11+AY11</f>
        <v>605339000</v>
      </c>
      <c r="BC11" s="599">
        <f>+AN11+AD11+AF11+AH11+AJ11+AL11+AP11+AR11+AT11+AV11+AX11+AZ11</f>
        <v>590922500</v>
      </c>
      <c r="BD11" s="599">
        <f>BA11</f>
        <v>605339000</v>
      </c>
      <c r="BE11" s="599">
        <f t="shared" ref="BE11:BE74" si="6">AF11+AH11+AJ11+AL11+AD11+AN11+AP11+AR11+AT11+AV11+AX11+AZ11</f>
        <v>590922500</v>
      </c>
      <c r="BF11" s="600">
        <v>971277000</v>
      </c>
      <c r="BG11" s="609"/>
      <c r="BH11" s="609"/>
      <c r="BI11" s="609"/>
      <c r="BJ11" s="609"/>
      <c r="BK11" s="609"/>
      <c r="BL11" s="609"/>
      <c r="BM11" s="609"/>
      <c r="BN11" s="609"/>
      <c r="BO11" s="609"/>
      <c r="BP11" s="609"/>
      <c r="BQ11" s="609"/>
      <c r="BR11" s="609"/>
      <c r="BS11" s="609"/>
      <c r="BT11" s="609"/>
      <c r="BU11" s="609"/>
      <c r="BV11" s="609"/>
      <c r="BW11" s="609"/>
      <c r="BX11" s="609"/>
      <c r="BY11" s="609"/>
      <c r="BZ11" s="609"/>
      <c r="CA11" s="609"/>
      <c r="CB11" s="609"/>
      <c r="CC11" s="609"/>
      <c r="CD11" s="609"/>
      <c r="CE11" s="594"/>
      <c r="CF11" s="609"/>
      <c r="CG11" s="609"/>
      <c r="CH11" s="609"/>
      <c r="CI11" s="610"/>
      <c r="CJ11" s="600">
        <v>1019360000</v>
      </c>
      <c r="CK11" s="600"/>
      <c r="CL11" s="600"/>
      <c r="CM11" s="600"/>
      <c r="CN11" s="600"/>
      <c r="CO11" s="600"/>
      <c r="CP11" s="600"/>
      <c r="CQ11" s="600"/>
      <c r="CR11" s="600"/>
      <c r="CS11" s="600"/>
      <c r="CT11" s="600"/>
      <c r="CU11" s="600"/>
      <c r="CV11" s="600"/>
      <c r="CW11" s="600"/>
      <c r="CX11" s="600"/>
      <c r="CY11" s="600"/>
      <c r="CZ11" s="600"/>
      <c r="DA11" s="600"/>
      <c r="DB11" s="600"/>
      <c r="DC11" s="600"/>
      <c r="DD11" s="600"/>
      <c r="DE11" s="600"/>
      <c r="DF11" s="600"/>
      <c r="DG11" s="600"/>
      <c r="DH11" s="600"/>
      <c r="DI11" s="594">
        <f>DG11+DE11+DC11+DA11+CY11+CW11+CU11+CS11+CQ11+CO11+CM11+CK11</f>
        <v>0</v>
      </c>
      <c r="DJ11" s="609">
        <f>CK11+CM11+CO11+CQ11</f>
        <v>0</v>
      </c>
      <c r="DK11" s="609">
        <f>CL11+CN11+CP11+CR11</f>
        <v>0</v>
      </c>
      <c r="DL11" s="609">
        <f>CK11+CM11+CO11+CQ11+CS11+CU11+CW11+CY11+DA11+DE11+DG11</f>
        <v>0</v>
      </c>
      <c r="DM11" s="610">
        <f>CL11+CN11+CP11+CR11</f>
        <v>0</v>
      </c>
      <c r="DN11" s="600">
        <v>536664000</v>
      </c>
      <c r="DO11" s="600"/>
      <c r="DP11" s="600"/>
      <c r="DQ11" s="600"/>
      <c r="DR11" s="600"/>
      <c r="DS11" s="600"/>
      <c r="DT11" s="600"/>
      <c r="DU11" s="600"/>
      <c r="DV11" s="600"/>
      <c r="DW11" s="600"/>
      <c r="DX11" s="600"/>
      <c r="DY11" s="600"/>
      <c r="DZ11" s="600"/>
      <c r="EA11" s="600"/>
      <c r="EB11" s="600"/>
      <c r="EC11" s="600"/>
      <c r="ED11" s="600"/>
      <c r="EE11" s="600"/>
      <c r="EF11" s="600"/>
      <c r="EG11" s="600"/>
      <c r="EH11" s="600"/>
      <c r="EI11" s="600"/>
      <c r="EJ11" s="600"/>
      <c r="EK11" s="600"/>
      <c r="EL11" s="600"/>
      <c r="EM11" s="608">
        <f>EK11+EI11+EG11+EE11+EC11+EA11+DY11+DW11+DU11+DS11+DQ11+DO11</f>
        <v>0</v>
      </c>
      <c r="EN11" s="609">
        <f>DO11+DQ11+DS11+DU11</f>
        <v>0</v>
      </c>
      <c r="EO11" s="609">
        <f>DP11+DR11+DT11+DV11</f>
        <v>0</v>
      </c>
      <c r="EP11" s="609">
        <f>DO11+DQ11+DS11+DU11+DW11+DY11+EA11+EC11+EE11+EI11+EK11</f>
        <v>0</v>
      </c>
      <c r="EQ11" s="610">
        <f>DP11+DR11+DT11+DV11</f>
        <v>0</v>
      </c>
      <c r="ER11" s="601">
        <f>AV11/AU11</f>
        <v>0</v>
      </c>
      <c r="ES11" s="601">
        <f>BC11/BB11</f>
        <v>0.97618441897845665</v>
      </c>
      <c r="ET11" s="601">
        <f>BE11/BD11</f>
        <v>0.97618441897845665</v>
      </c>
      <c r="EU11" s="602">
        <f>(BC11+AA11)/(Z11+BB11)</f>
        <v>0.98543693733736326</v>
      </c>
      <c r="EV11" s="601">
        <f>(BC11+AA11)/G11</f>
        <v>0.27735392866616609</v>
      </c>
      <c r="EW11" s="1354"/>
      <c r="EX11" s="733"/>
      <c r="EY11" s="733"/>
      <c r="EZ11" s="733"/>
      <c r="FA11" s="733"/>
      <c r="FB11" s="770"/>
    </row>
    <row r="12" spans="1:158" s="611" customFormat="1" ht="19.149999999999999" customHeight="1" x14ac:dyDescent="0.2">
      <c r="A12" s="733"/>
      <c r="B12" s="733"/>
      <c r="C12" s="733"/>
      <c r="D12" s="733"/>
      <c r="E12" s="734"/>
      <c r="F12" s="546" t="s">
        <v>224</v>
      </c>
      <c r="G12" s="605"/>
      <c r="H12" s="606"/>
      <c r="I12" s="605"/>
      <c r="J12" s="605"/>
      <c r="K12" s="605"/>
      <c r="L12" s="600"/>
      <c r="M12" s="605"/>
      <c r="N12" s="605"/>
      <c r="O12" s="605"/>
      <c r="P12" s="600"/>
      <c r="Q12" s="605"/>
      <c r="R12" s="600"/>
      <c r="S12" s="605"/>
      <c r="T12" s="605"/>
      <c r="U12" s="605"/>
      <c r="V12" s="600"/>
      <c r="W12" s="598">
        <f t="shared" si="0"/>
        <v>0</v>
      </c>
      <c r="X12" s="598">
        <f t="shared" si="1"/>
        <v>0</v>
      </c>
      <c r="Y12" s="598">
        <f t="shared" si="2"/>
        <v>0</v>
      </c>
      <c r="Z12" s="598">
        <f t="shared" si="3"/>
        <v>0</v>
      </c>
      <c r="AA12" s="598">
        <f t="shared" si="4"/>
        <v>0</v>
      </c>
      <c r="AB12" s="600"/>
      <c r="AC12" s="600"/>
      <c r="AD12" s="600"/>
      <c r="AE12" s="600"/>
      <c r="AF12" s="600"/>
      <c r="AG12" s="600">
        <v>12993393</v>
      </c>
      <c r="AH12" s="600">
        <v>12993393</v>
      </c>
      <c r="AI12" s="600">
        <f>53643627-AH12</f>
        <v>40650234</v>
      </c>
      <c r="AJ12" s="600">
        <v>40650234</v>
      </c>
      <c r="AK12" s="600">
        <v>65525280</v>
      </c>
      <c r="AL12" s="600">
        <v>65525280</v>
      </c>
      <c r="AM12" s="600">
        <v>61997237</v>
      </c>
      <c r="AN12" s="600">
        <v>54622860</v>
      </c>
      <c r="AO12" s="600">
        <v>58997237</v>
      </c>
      <c r="AP12" s="612">
        <v>51317000</v>
      </c>
      <c r="AQ12" s="607">
        <v>58997237</v>
      </c>
      <c r="AR12" s="600">
        <v>51317000</v>
      </c>
      <c r="AS12" s="600">
        <v>58997225</v>
      </c>
      <c r="AT12" s="600">
        <v>51317000</v>
      </c>
      <c r="AU12" s="600">
        <v>63829963</v>
      </c>
      <c r="AV12" s="612">
        <v>51317000</v>
      </c>
      <c r="AW12" s="600">
        <v>51988050</v>
      </c>
      <c r="AX12" s="612">
        <v>51317000</v>
      </c>
      <c r="AY12" s="600">
        <v>51988050</v>
      </c>
      <c r="AZ12" s="600">
        <v>96653000</v>
      </c>
      <c r="BA12" s="599">
        <f t="shared" ref="BA12:BA15" si="7">AY12+AW12+AU12+AS12+AO12+AM12+AK12+AI12+AG12+AE12+AC12+AQ12</f>
        <v>525963906</v>
      </c>
      <c r="BB12" s="599">
        <f t="shared" si="5"/>
        <v>525963906</v>
      </c>
      <c r="BC12" s="599">
        <f>+AN12+AD12+AF12+AH12+AJ12+AL12+AP12+AR12+AT12+AV12+AX12+AZ12</f>
        <v>527029767</v>
      </c>
      <c r="BD12" s="599">
        <f>BA12</f>
        <v>525963906</v>
      </c>
      <c r="BE12" s="599">
        <f>AF12+AH12+AJ12+AL12+AD12+AN12+AP12+AR12+AT12+AV12+AX12+AZ12</f>
        <v>527029767</v>
      </c>
      <c r="BF12" s="600"/>
      <c r="BG12" s="609"/>
      <c r="BH12" s="609"/>
      <c r="BI12" s="609"/>
      <c r="BJ12" s="609"/>
      <c r="BK12" s="609"/>
      <c r="BL12" s="609"/>
      <c r="BM12" s="609"/>
      <c r="BN12" s="609"/>
      <c r="BO12" s="609"/>
      <c r="BP12" s="609"/>
      <c r="BQ12" s="609"/>
      <c r="BR12" s="609"/>
      <c r="BS12" s="609"/>
      <c r="BT12" s="609"/>
      <c r="BU12" s="609"/>
      <c r="BV12" s="609"/>
      <c r="BW12" s="609"/>
      <c r="BX12" s="609"/>
      <c r="BY12" s="609"/>
      <c r="BZ12" s="609"/>
      <c r="CA12" s="609"/>
      <c r="CB12" s="609"/>
      <c r="CC12" s="609"/>
      <c r="CD12" s="609"/>
      <c r="CE12" s="594"/>
      <c r="CF12" s="609"/>
      <c r="CG12" s="609"/>
      <c r="CH12" s="609"/>
      <c r="CI12" s="610"/>
      <c r="CJ12" s="600"/>
      <c r="CK12" s="600"/>
      <c r="CL12" s="600"/>
      <c r="CM12" s="600"/>
      <c r="CN12" s="600"/>
      <c r="CO12" s="600"/>
      <c r="CP12" s="600"/>
      <c r="CQ12" s="600"/>
      <c r="CR12" s="600"/>
      <c r="CS12" s="600"/>
      <c r="CT12" s="600"/>
      <c r="CU12" s="600"/>
      <c r="CV12" s="600"/>
      <c r="CW12" s="600"/>
      <c r="CX12" s="600"/>
      <c r="CY12" s="600"/>
      <c r="CZ12" s="600"/>
      <c r="DA12" s="600"/>
      <c r="DB12" s="600"/>
      <c r="DC12" s="600"/>
      <c r="DD12" s="600"/>
      <c r="DE12" s="600"/>
      <c r="DF12" s="600"/>
      <c r="DG12" s="600"/>
      <c r="DH12" s="600"/>
      <c r="DI12" s="594">
        <f>DE12+DC12+DA12+CY12+CW12+CU12+CS12+CQ12+CO12+CM12+CK12+DG12</f>
        <v>0</v>
      </c>
      <c r="DJ12" s="609">
        <f>+CK12+CM12+CO12+CQ12</f>
        <v>0</v>
      </c>
      <c r="DK12" s="609">
        <f>CL12+CN12+CP12+CR12</f>
        <v>0</v>
      </c>
      <c r="DL12" s="609">
        <f>CM12+CO12+CQ12+CS12+CU12+CW12+CY12+DA12+DC12+DE12+DG12</f>
        <v>0</v>
      </c>
      <c r="DM12" s="610">
        <f>CL12+CN12+CP12+CR12</f>
        <v>0</v>
      </c>
      <c r="DN12" s="600"/>
      <c r="DO12" s="600"/>
      <c r="DP12" s="600"/>
      <c r="DQ12" s="600"/>
      <c r="DR12" s="600"/>
      <c r="DS12" s="600"/>
      <c r="DT12" s="600"/>
      <c r="DU12" s="600"/>
      <c r="DV12" s="600"/>
      <c r="DW12" s="600"/>
      <c r="DX12" s="600"/>
      <c r="DY12" s="600"/>
      <c r="DZ12" s="600"/>
      <c r="EA12" s="600"/>
      <c r="EB12" s="600"/>
      <c r="EC12" s="600"/>
      <c r="ED12" s="600"/>
      <c r="EE12" s="600"/>
      <c r="EF12" s="600"/>
      <c r="EG12" s="600"/>
      <c r="EH12" s="600"/>
      <c r="EI12" s="600"/>
      <c r="EJ12" s="600"/>
      <c r="EK12" s="600"/>
      <c r="EL12" s="600"/>
      <c r="EM12" s="608">
        <f>EI12+EG12+EE12+EC12+EA12+DY12+DW12+DU12+DS12+DQ12+DO12+EK12</f>
        <v>0</v>
      </c>
      <c r="EN12" s="609">
        <f>+DO12+DQ12+DS12+DU12</f>
        <v>0</v>
      </c>
      <c r="EO12" s="609">
        <f>DP12+DR12+DT12+DV12</f>
        <v>0</v>
      </c>
      <c r="EP12" s="609">
        <f>DQ12+DS12+DU12+DW12+DY12+EA12+EC12+EE12+EG12+EI12+EK12</f>
        <v>0</v>
      </c>
      <c r="EQ12" s="610">
        <f>DP12+DR12+DT12+DV12</f>
        <v>0</v>
      </c>
      <c r="ER12" s="601">
        <f t="shared" ref="ER12:ER74" si="8">AV12/AU12</f>
        <v>0.80396411948413626</v>
      </c>
      <c r="ES12" s="601">
        <f t="shared" ref="ES12:ES37" si="9">BC12/BB12</f>
        <v>1.0020264907683609</v>
      </c>
      <c r="ET12" s="601">
        <f t="shared" ref="ET12:ET37" si="10">BE12/BD12</f>
        <v>1.0020264907683609</v>
      </c>
      <c r="EU12" s="602" t="s">
        <v>225</v>
      </c>
      <c r="EV12" s="602" t="s">
        <v>225</v>
      </c>
      <c r="EW12" s="1354"/>
      <c r="EX12" s="733"/>
      <c r="EY12" s="733"/>
      <c r="EZ12" s="733"/>
      <c r="FA12" s="733"/>
      <c r="FB12" s="770"/>
    </row>
    <row r="13" spans="1:158" s="603" customFormat="1" ht="19.149999999999999" customHeight="1" x14ac:dyDescent="0.2">
      <c r="A13" s="733"/>
      <c r="B13" s="733"/>
      <c r="C13" s="733"/>
      <c r="D13" s="733"/>
      <c r="E13" s="734"/>
      <c r="F13" s="593" t="s">
        <v>42</v>
      </c>
      <c r="G13" s="613"/>
      <c r="H13" s="614"/>
      <c r="I13" s="615"/>
      <c r="J13" s="615"/>
      <c r="K13" s="615"/>
      <c r="L13" s="615"/>
      <c r="M13" s="615"/>
      <c r="N13" s="615"/>
      <c r="O13" s="615"/>
      <c r="P13" s="615"/>
      <c r="Q13" s="615"/>
      <c r="R13" s="594"/>
      <c r="S13" s="615"/>
      <c r="T13" s="615"/>
      <c r="U13" s="615"/>
      <c r="V13" s="616"/>
      <c r="W13" s="598">
        <f t="shared" si="0"/>
        <v>0</v>
      </c>
      <c r="X13" s="598">
        <f t="shared" si="1"/>
        <v>0</v>
      </c>
      <c r="Y13" s="598">
        <f t="shared" si="2"/>
        <v>0</v>
      </c>
      <c r="Z13" s="598">
        <f t="shared" si="3"/>
        <v>0</v>
      </c>
      <c r="AA13" s="598">
        <f t="shared" si="4"/>
        <v>0</v>
      </c>
      <c r="AB13" s="613"/>
      <c r="AC13" s="613"/>
      <c r="AD13" s="613"/>
      <c r="AE13" s="613"/>
      <c r="AF13" s="613"/>
      <c r="AG13" s="613"/>
      <c r="AH13" s="613"/>
      <c r="AI13" s="613"/>
      <c r="AJ13" s="613"/>
      <c r="AK13" s="615"/>
      <c r="AL13" s="615"/>
      <c r="AM13" s="615"/>
      <c r="AN13" s="615"/>
      <c r="AO13" s="615"/>
      <c r="AP13" s="615"/>
      <c r="AQ13" s="615"/>
      <c r="AR13" s="615"/>
      <c r="AS13" s="615"/>
      <c r="AT13" s="615"/>
      <c r="AU13" s="615"/>
      <c r="AV13" s="615"/>
      <c r="AW13" s="615"/>
      <c r="AX13" s="615"/>
      <c r="AY13" s="616"/>
      <c r="AZ13" s="615"/>
      <c r="BA13" s="599">
        <f t="shared" si="7"/>
        <v>0</v>
      </c>
      <c r="BB13" s="599">
        <f t="shared" si="5"/>
        <v>0</v>
      </c>
      <c r="BC13" s="599">
        <f t="shared" ref="BC13:BC73" si="11">+AN13+AD13+AF13+AH13+AJ13+AL13+AP13+AR13+AT13+AV13+AX13+AZ13</f>
        <v>0</v>
      </c>
      <c r="BD13" s="599">
        <f t="shared" ref="BD13:BD15" si="12">BA13</f>
        <v>0</v>
      </c>
      <c r="BE13" s="599">
        <f t="shared" si="6"/>
        <v>0</v>
      </c>
      <c r="BF13" s="616"/>
      <c r="BG13" s="615"/>
      <c r="BH13" s="616"/>
      <c r="BI13" s="615"/>
      <c r="BJ13" s="616"/>
      <c r="BK13" s="615"/>
      <c r="BL13" s="616"/>
      <c r="BM13" s="615"/>
      <c r="BN13" s="616"/>
      <c r="BO13" s="615"/>
      <c r="BP13" s="616"/>
      <c r="BQ13" s="615"/>
      <c r="BR13" s="616"/>
      <c r="BS13" s="615"/>
      <c r="BT13" s="616"/>
      <c r="BU13" s="615"/>
      <c r="BV13" s="616"/>
      <c r="BW13" s="615"/>
      <c r="BX13" s="616"/>
      <c r="BY13" s="615"/>
      <c r="BZ13" s="616"/>
      <c r="CA13" s="615"/>
      <c r="CB13" s="616"/>
      <c r="CC13" s="633"/>
      <c r="CD13" s="616"/>
      <c r="CE13" s="616"/>
      <c r="CF13" s="617"/>
      <c r="CG13" s="617"/>
      <c r="CH13" s="617"/>
      <c r="CI13" s="618"/>
      <c r="CJ13" s="615"/>
      <c r="CK13" s="615"/>
      <c r="CL13" s="615"/>
      <c r="CM13" s="615"/>
      <c r="CN13" s="615"/>
      <c r="CO13" s="615"/>
      <c r="CP13" s="615"/>
      <c r="CQ13" s="615"/>
      <c r="CR13" s="615"/>
      <c r="CS13" s="615"/>
      <c r="CT13" s="615"/>
      <c r="CU13" s="615"/>
      <c r="CV13" s="615"/>
      <c r="CW13" s="615"/>
      <c r="CX13" s="615"/>
      <c r="CY13" s="615"/>
      <c r="CZ13" s="615"/>
      <c r="DA13" s="615"/>
      <c r="DB13" s="615"/>
      <c r="DC13" s="615"/>
      <c r="DD13" s="615"/>
      <c r="DE13" s="615"/>
      <c r="DF13" s="615"/>
      <c r="DG13" s="615"/>
      <c r="DH13" s="615"/>
      <c r="DI13" s="616"/>
      <c r="DJ13" s="617">
        <f>CK13+CM13+CO13+CQ13</f>
        <v>0</v>
      </c>
      <c r="DK13" s="617">
        <f>CL13+CN13+CP13+CR13</f>
        <v>0</v>
      </c>
      <c r="DL13" s="617">
        <f>CM13+CO13+CQ13+CS13+CU13+CW13+CY13+DA13+DC13+DE13+DG13</f>
        <v>0</v>
      </c>
      <c r="DM13" s="618">
        <v>0</v>
      </c>
      <c r="DN13" s="616"/>
      <c r="DO13" s="616"/>
      <c r="DP13" s="616"/>
      <c r="DQ13" s="616"/>
      <c r="DR13" s="616"/>
      <c r="DS13" s="616"/>
      <c r="DT13" s="616"/>
      <c r="DU13" s="616"/>
      <c r="DV13" s="616"/>
      <c r="DW13" s="616"/>
      <c r="DX13" s="616"/>
      <c r="DY13" s="616"/>
      <c r="DZ13" s="616"/>
      <c r="EA13" s="616"/>
      <c r="EB13" s="616"/>
      <c r="EC13" s="616"/>
      <c r="ED13" s="616"/>
      <c r="EE13" s="616"/>
      <c r="EF13" s="616"/>
      <c r="EG13" s="615"/>
      <c r="EH13" s="616"/>
      <c r="EI13" s="615"/>
      <c r="EJ13" s="616"/>
      <c r="EK13" s="615"/>
      <c r="EL13" s="616"/>
      <c r="EM13" s="616"/>
      <c r="EN13" s="617">
        <f>DO13+DQ13+DS13+DU13</f>
        <v>0</v>
      </c>
      <c r="EO13" s="617">
        <f>DP13+DR13+DT13+DV13</f>
        <v>0</v>
      </c>
      <c r="EP13" s="617">
        <f>DQ13+DS13+DU13+DW13+DY13+EA13+EC13+EE13+EG13+EI13+EK13</f>
        <v>0</v>
      </c>
      <c r="EQ13" s="618">
        <v>0</v>
      </c>
      <c r="ER13" s="601" t="e">
        <f t="shared" si="8"/>
        <v>#DIV/0!</v>
      </c>
      <c r="ES13" s="601" t="e">
        <f t="shared" ref="ES13:ES15" si="13">BC13/BB13</f>
        <v>#DIV/0!</v>
      </c>
      <c r="ET13" s="602" t="s">
        <v>225</v>
      </c>
      <c r="EU13" s="602" t="s">
        <v>225</v>
      </c>
      <c r="EV13" s="602" t="s">
        <v>225</v>
      </c>
      <c r="EW13" s="1354"/>
      <c r="EX13" s="733"/>
      <c r="EY13" s="733"/>
      <c r="EZ13" s="733"/>
      <c r="FA13" s="733"/>
      <c r="FB13" s="770"/>
    </row>
    <row r="14" spans="1:158" s="611" customFormat="1" ht="19.149999999999999" customHeight="1" x14ac:dyDescent="0.2">
      <c r="A14" s="733"/>
      <c r="B14" s="733"/>
      <c r="C14" s="733"/>
      <c r="D14" s="733"/>
      <c r="E14" s="734"/>
      <c r="F14" s="604" t="s">
        <v>4</v>
      </c>
      <c r="G14" s="605">
        <f>AA14+BD14+BF14+CJ14+DN14</f>
        <v>108646338</v>
      </c>
      <c r="H14" s="620"/>
      <c r="I14" s="619"/>
      <c r="J14" s="619"/>
      <c r="K14" s="619"/>
      <c r="L14" s="619"/>
      <c r="M14" s="619"/>
      <c r="N14" s="619"/>
      <c r="O14" s="619"/>
      <c r="P14" s="619"/>
      <c r="Q14" s="619"/>
      <c r="R14" s="621"/>
      <c r="S14" s="619"/>
      <c r="T14" s="619"/>
      <c r="U14" s="619"/>
      <c r="V14" s="619"/>
      <c r="W14" s="598">
        <f t="shared" si="0"/>
        <v>0</v>
      </c>
      <c r="X14" s="598">
        <f t="shared" si="1"/>
        <v>0</v>
      </c>
      <c r="Y14" s="598">
        <f t="shared" si="2"/>
        <v>0</v>
      </c>
      <c r="Z14" s="598">
        <f t="shared" si="3"/>
        <v>0</v>
      </c>
      <c r="AA14" s="598">
        <f t="shared" si="4"/>
        <v>0</v>
      </c>
      <c r="AB14" s="619">
        <v>108646338</v>
      </c>
      <c r="AC14" s="619">
        <v>6777000</v>
      </c>
      <c r="AD14" s="619">
        <v>6777000</v>
      </c>
      <c r="AE14" s="619">
        <f>72661243-AD14</f>
        <v>65884243</v>
      </c>
      <c r="AF14" s="619">
        <v>65884243</v>
      </c>
      <c r="AG14" s="619">
        <f>108646338-AF14-AD14</f>
        <v>35985095</v>
      </c>
      <c r="AH14" s="619">
        <v>35985095</v>
      </c>
      <c r="AI14" s="619">
        <v>0</v>
      </c>
      <c r="AJ14" s="619">
        <v>0</v>
      </c>
      <c r="AK14" s="619">
        <v>0</v>
      </c>
      <c r="AL14" s="619">
        <v>0</v>
      </c>
      <c r="AM14" s="619">
        <v>0</v>
      </c>
      <c r="AN14" s="619">
        <v>0</v>
      </c>
      <c r="AO14" s="619">
        <v>0</v>
      </c>
      <c r="AP14" s="619">
        <v>0</v>
      </c>
      <c r="AQ14" s="619"/>
      <c r="AR14" s="619"/>
      <c r="AS14" s="619"/>
      <c r="AT14" s="619">
        <v>0</v>
      </c>
      <c r="AU14" s="619"/>
      <c r="AV14" s="619">
        <v>0</v>
      </c>
      <c r="AW14" s="619"/>
      <c r="AX14" s="619">
        <v>0</v>
      </c>
      <c r="AY14" s="619"/>
      <c r="AZ14" s="619">
        <v>0</v>
      </c>
      <c r="BA14" s="599">
        <f>AY14+AW14+AU14+AS14+AO14+AM14+AK14+AI14+AG14+AE14+AC14+AQ14</f>
        <v>108646338</v>
      </c>
      <c r="BB14" s="599">
        <f t="shared" si="5"/>
        <v>108646338</v>
      </c>
      <c r="BC14" s="599">
        <f t="shared" si="11"/>
        <v>108646338</v>
      </c>
      <c r="BD14" s="599">
        <f>BA14</f>
        <v>108646338</v>
      </c>
      <c r="BE14" s="599">
        <f t="shared" si="6"/>
        <v>108646338</v>
      </c>
      <c r="BF14" s="619"/>
      <c r="BG14" s="609"/>
      <c r="BH14" s="609"/>
      <c r="BI14" s="609"/>
      <c r="BJ14" s="609"/>
      <c r="BK14" s="609"/>
      <c r="BL14" s="609"/>
      <c r="BM14" s="609"/>
      <c r="BN14" s="609"/>
      <c r="BO14" s="609"/>
      <c r="BP14" s="609"/>
      <c r="BQ14" s="609"/>
      <c r="BR14" s="609"/>
      <c r="BS14" s="609"/>
      <c r="BT14" s="609"/>
      <c r="BU14" s="609"/>
      <c r="BV14" s="609"/>
      <c r="BW14" s="609"/>
      <c r="BX14" s="609"/>
      <c r="BY14" s="609"/>
      <c r="BZ14" s="609"/>
      <c r="CA14" s="609"/>
      <c r="CB14" s="609"/>
      <c r="CC14" s="609"/>
      <c r="CD14" s="609"/>
      <c r="CE14" s="594"/>
      <c r="CF14" s="609"/>
      <c r="CG14" s="622"/>
      <c r="CH14" s="609"/>
      <c r="CI14" s="610"/>
      <c r="CJ14" s="619"/>
      <c r="CK14" s="619"/>
      <c r="CL14" s="619"/>
      <c r="CM14" s="619"/>
      <c r="CN14" s="619"/>
      <c r="CO14" s="619"/>
      <c r="CP14" s="619"/>
      <c r="CQ14" s="619"/>
      <c r="CR14" s="619"/>
      <c r="CS14" s="619"/>
      <c r="CT14" s="619"/>
      <c r="CU14" s="619"/>
      <c r="CV14" s="619"/>
      <c r="CW14" s="619"/>
      <c r="CX14" s="619"/>
      <c r="CY14" s="619"/>
      <c r="CZ14" s="619"/>
      <c r="DA14" s="619"/>
      <c r="DB14" s="619"/>
      <c r="DC14" s="619"/>
      <c r="DD14" s="619"/>
      <c r="DE14" s="619"/>
      <c r="DF14" s="619"/>
      <c r="DG14" s="619"/>
      <c r="DH14" s="619"/>
      <c r="DI14" s="594"/>
      <c r="DJ14" s="609"/>
      <c r="DK14" s="622"/>
      <c r="DL14" s="609"/>
      <c r="DM14" s="610"/>
      <c r="DN14" s="619"/>
      <c r="DO14" s="619"/>
      <c r="DP14" s="619"/>
      <c r="DQ14" s="619"/>
      <c r="DR14" s="619"/>
      <c r="DS14" s="619"/>
      <c r="DT14" s="619"/>
      <c r="DU14" s="619"/>
      <c r="DV14" s="619"/>
      <c r="DW14" s="619"/>
      <c r="DX14" s="619"/>
      <c r="DY14" s="619"/>
      <c r="DZ14" s="619"/>
      <c r="EA14" s="619"/>
      <c r="EB14" s="619"/>
      <c r="EC14" s="619"/>
      <c r="ED14" s="619"/>
      <c r="EE14" s="619"/>
      <c r="EF14" s="619"/>
      <c r="EG14" s="619"/>
      <c r="EH14" s="619"/>
      <c r="EI14" s="619"/>
      <c r="EJ14" s="619"/>
      <c r="EK14" s="619"/>
      <c r="EL14" s="619"/>
      <c r="EM14" s="594">
        <f>EI14+EG14+EE14+EC14+EA14+DY14+DW14+DU14+DS14+DQ14+DO14+EK14</f>
        <v>0</v>
      </c>
      <c r="EN14" s="609">
        <f>DO14+DQ14+DS14+DU14</f>
        <v>0</v>
      </c>
      <c r="EO14" s="622">
        <f>DP14+DR14+DT14+DV14</f>
        <v>0</v>
      </c>
      <c r="EP14" s="609">
        <f>DQ14+DS14+DU14+DW14+DY14+EA14+EC14+EE14+EG14+EI14+EK14+DO14</f>
        <v>0</v>
      </c>
      <c r="EQ14" s="610">
        <f>DP14+DR14+DT14+DV14</f>
        <v>0</v>
      </c>
      <c r="ER14" s="601" t="e">
        <f t="shared" si="8"/>
        <v>#DIV/0!</v>
      </c>
      <c r="ES14" s="601">
        <f t="shared" si="13"/>
        <v>1</v>
      </c>
      <c r="ET14" s="601">
        <f t="shared" si="10"/>
        <v>1</v>
      </c>
      <c r="EU14" s="602" t="s">
        <v>225</v>
      </c>
      <c r="EV14" s="601">
        <f t="shared" ref="EV14:EV37" si="14">BE14/G14</f>
        <v>1</v>
      </c>
      <c r="EW14" s="1354"/>
      <c r="EX14" s="733"/>
      <c r="EY14" s="733"/>
      <c r="EZ14" s="733"/>
      <c r="FA14" s="733"/>
      <c r="FB14" s="770"/>
    </row>
    <row r="15" spans="1:158" s="603" customFormat="1" ht="19.149999999999999" customHeight="1" thickBot="1" x14ac:dyDescent="0.25">
      <c r="A15" s="733"/>
      <c r="B15" s="733"/>
      <c r="C15" s="733"/>
      <c r="D15" s="733"/>
      <c r="E15" s="734"/>
      <c r="F15" s="593" t="s">
        <v>43</v>
      </c>
      <c r="G15" s="1369">
        <v>600</v>
      </c>
      <c r="H15" s="1461">
        <v>66</v>
      </c>
      <c r="I15" s="1369"/>
      <c r="J15" s="1369"/>
      <c r="K15" s="1369">
        <v>66</v>
      </c>
      <c r="L15" s="1376">
        <v>11</v>
      </c>
      <c r="M15" s="1369">
        <v>66</v>
      </c>
      <c r="N15" s="1376">
        <v>22</v>
      </c>
      <c r="O15" s="1369">
        <v>66</v>
      </c>
      <c r="P15" s="1376">
        <v>33</v>
      </c>
      <c r="Q15" s="1369">
        <v>66</v>
      </c>
      <c r="R15" s="1376">
        <v>44</v>
      </c>
      <c r="S15" s="1369">
        <v>66</v>
      </c>
      <c r="T15" s="1369">
        <v>55</v>
      </c>
      <c r="U15" s="1369">
        <v>66</v>
      </c>
      <c r="V15" s="1376">
        <v>66</v>
      </c>
      <c r="W15" s="1375">
        <f t="shared" si="0"/>
        <v>66</v>
      </c>
      <c r="X15" s="1375">
        <f t="shared" si="1"/>
        <v>66</v>
      </c>
      <c r="Y15" s="1375">
        <f t="shared" si="2"/>
        <v>66</v>
      </c>
      <c r="Z15" s="1375">
        <f t="shared" si="3"/>
        <v>66</v>
      </c>
      <c r="AA15" s="1375">
        <f t="shared" si="4"/>
        <v>66</v>
      </c>
      <c r="AB15" s="1369">
        <v>109</v>
      </c>
      <c r="AC15" s="1369">
        <v>5</v>
      </c>
      <c r="AD15" s="1369">
        <v>5</v>
      </c>
      <c r="AE15" s="1369">
        <v>8</v>
      </c>
      <c r="AF15" s="1369">
        <v>8</v>
      </c>
      <c r="AG15" s="1369">
        <v>10</v>
      </c>
      <c r="AH15" s="1369">
        <v>10</v>
      </c>
      <c r="AI15" s="1369">
        <v>10</v>
      </c>
      <c r="AJ15" s="1369">
        <v>10</v>
      </c>
      <c r="AK15" s="1376">
        <v>10</v>
      </c>
      <c r="AL15" s="1376">
        <v>10</v>
      </c>
      <c r="AM15" s="1376">
        <v>10</v>
      </c>
      <c r="AN15" s="1376">
        <f>+AN10</f>
        <v>10</v>
      </c>
      <c r="AO15" s="1376">
        <v>10</v>
      </c>
      <c r="AP15" s="1376">
        <v>10</v>
      </c>
      <c r="AQ15" s="1376">
        <v>10</v>
      </c>
      <c r="AR15" s="1376">
        <v>10</v>
      </c>
      <c r="AS15" s="1376">
        <v>10</v>
      </c>
      <c r="AT15" s="1376">
        <v>10</v>
      </c>
      <c r="AU15" s="1376">
        <v>10</v>
      </c>
      <c r="AV15" s="1376">
        <v>10</v>
      </c>
      <c r="AW15" s="1376">
        <v>10</v>
      </c>
      <c r="AX15" s="1376">
        <v>10</v>
      </c>
      <c r="AY15" s="1369">
        <v>6</v>
      </c>
      <c r="AZ15" s="1376">
        <v>10</v>
      </c>
      <c r="BA15" s="1381">
        <f t="shared" si="7"/>
        <v>109</v>
      </c>
      <c r="BB15" s="1381">
        <f>AC15+AE15+AG15+AI15+AK15+AM15+AO15+AQ15+AS15+AU15+AW15+AY15</f>
        <v>109</v>
      </c>
      <c r="BC15" s="1381">
        <f>+AN15+AD15+AF15+AH15+AJ15+AL15+AP15+AR15+AT15+AV15+AX15+AZ15</f>
        <v>113</v>
      </c>
      <c r="BD15" s="1381">
        <f t="shared" si="12"/>
        <v>109</v>
      </c>
      <c r="BE15" s="1381">
        <f t="shared" si="6"/>
        <v>113</v>
      </c>
      <c r="BF15" s="1462">
        <v>150</v>
      </c>
      <c r="BG15" s="1380"/>
      <c r="BH15" s="1380"/>
      <c r="BI15" s="1380"/>
      <c r="BJ15" s="1380"/>
      <c r="BK15" s="1380"/>
      <c r="BL15" s="1380"/>
      <c r="BM15" s="1380"/>
      <c r="BN15" s="1380"/>
      <c r="BO15" s="1380"/>
      <c r="BP15" s="1380"/>
      <c r="BQ15" s="1380"/>
      <c r="BR15" s="1380"/>
      <c r="BS15" s="1380"/>
      <c r="BT15" s="1380"/>
      <c r="BU15" s="1380"/>
      <c r="BV15" s="1380"/>
      <c r="BW15" s="1380"/>
      <c r="BX15" s="1380"/>
      <c r="BY15" s="1380"/>
      <c r="BZ15" s="1380"/>
      <c r="CA15" s="1380"/>
      <c r="CB15" s="1380"/>
      <c r="CC15" s="1380"/>
      <c r="CD15" s="1380"/>
      <c r="CE15" s="1380"/>
      <c r="CF15" s="1381"/>
      <c r="CG15" s="1463"/>
      <c r="CH15" s="1462"/>
      <c r="CI15" s="1380"/>
      <c r="CJ15" s="1462">
        <v>190</v>
      </c>
      <c r="CK15" s="1462"/>
      <c r="CL15" s="1462"/>
      <c r="CM15" s="1462"/>
      <c r="CN15" s="1462"/>
      <c r="CO15" s="1462"/>
      <c r="CP15" s="1462"/>
      <c r="CQ15" s="1462"/>
      <c r="CR15" s="1462"/>
      <c r="CS15" s="1462"/>
      <c r="CT15" s="1462"/>
      <c r="CU15" s="1462"/>
      <c r="CV15" s="1462"/>
      <c r="CW15" s="1462"/>
      <c r="CX15" s="1462"/>
      <c r="CY15" s="1462"/>
      <c r="CZ15" s="1462"/>
      <c r="DA15" s="1462"/>
      <c r="DB15" s="1462"/>
      <c r="DC15" s="1462"/>
      <c r="DD15" s="1462"/>
      <c r="DE15" s="1462"/>
      <c r="DF15" s="1462"/>
      <c r="DG15" s="1462"/>
      <c r="DH15" s="1462"/>
      <c r="DI15" s="1380">
        <v>0</v>
      </c>
      <c r="DJ15" s="1381">
        <v>0</v>
      </c>
      <c r="DK15" s="1463">
        <v>0</v>
      </c>
      <c r="DL15" s="1462">
        <v>0</v>
      </c>
      <c r="DM15" s="1380">
        <v>0</v>
      </c>
      <c r="DN15" s="1462">
        <v>81</v>
      </c>
      <c r="DO15" s="1369"/>
      <c r="DP15" s="1369"/>
      <c r="DQ15" s="1369"/>
      <c r="DR15" s="1369"/>
      <c r="DS15" s="1369"/>
      <c r="DT15" s="1369"/>
      <c r="DU15" s="1369"/>
      <c r="DV15" s="1369"/>
      <c r="DW15" s="1369"/>
      <c r="DX15" s="1369"/>
      <c r="DY15" s="1369"/>
      <c r="DZ15" s="1369"/>
      <c r="EA15" s="1369"/>
      <c r="EB15" s="1369"/>
      <c r="EC15" s="1369"/>
      <c r="ED15" s="1369"/>
      <c r="EE15" s="1369"/>
      <c r="EF15" s="1369"/>
      <c r="EG15" s="1369"/>
      <c r="EH15" s="1369"/>
      <c r="EI15" s="1369"/>
      <c r="EJ15" s="1369"/>
      <c r="EK15" s="1369"/>
      <c r="EL15" s="1369"/>
      <c r="EM15" s="1380">
        <f t="shared" ref="EM15" si="15">EM10+EM13</f>
        <v>0</v>
      </c>
      <c r="EN15" s="1381">
        <f>EN10+EN13</f>
        <v>0</v>
      </c>
      <c r="EO15" s="1463">
        <f>EO10+EO13</f>
        <v>0</v>
      </c>
      <c r="EP15" s="1462">
        <f>EP10+EP13</f>
        <v>0</v>
      </c>
      <c r="EQ15" s="1380">
        <f>EQ10+EQ13</f>
        <v>0</v>
      </c>
      <c r="ER15" s="1387">
        <f t="shared" si="8"/>
        <v>1</v>
      </c>
      <c r="ES15" s="1387">
        <f t="shared" si="13"/>
        <v>1.036697247706422</v>
      </c>
      <c r="ET15" s="1387">
        <f t="shared" si="10"/>
        <v>1.036697247706422</v>
      </c>
      <c r="EU15" s="1388" t="s">
        <v>225</v>
      </c>
      <c r="EV15" s="1387">
        <f t="shared" si="14"/>
        <v>0.18833333333333332</v>
      </c>
      <c r="EW15" s="1354"/>
      <c r="EX15" s="733"/>
      <c r="EY15" s="733"/>
      <c r="EZ15" s="733"/>
      <c r="FA15" s="733"/>
      <c r="FB15" s="770"/>
    </row>
    <row r="16" spans="1:158" s="611" customFormat="1" ht="19.149999999999999" customHeight="1" thickBot="1" x14ac:dyDescent="0.25">
      <c r="A16" s="733"/>
      <c r="B16" s="733"/>
      <c r="C16" s="733"/>
      <c r="D16" s="733"/>
      <c r="E16" s="734"/>
      <c r="F16" s="1367" t="s">
        <v>45</v>
      </c>
      <c r="G16" s="1392">
        <v>3631252338</v>
      </c>
      <c r="H16" s="1464">
        <v>370304000</v>
      </c>
      <c r="I16" s="1400"/>
      <c r="J16" s="1400"/>
      <c r="K16" s="1465">
        <v>370304000</v>
      </c>
      <c r="L16" s="1394">
        <v>140580000</v>
      </c>
      <c r="M16" s="1465">
        <v>361860000</v>
      </c>
      <c r="N16" s="1394">
        <v>262457000</v>
      </c>
      <c r="O16" s="1465">
        <v>361860000</v>
      </c>
      <c r="P16" s="1394">
        <v>262457000</v>
      </c>
      <c r="Q16" s="1465">
        <v>384597000</v>
      </c>
      <c r="R16" s="1394">
        <v>262457000</v>
      </c>
      <c r="S16" s="1396">
        <v>384597000</v>
      </c>
      <c r="T16" s="1460">
        <v>312457000</v>
      </c>
      <c r="U16" s="1394">
        <v>384597000</v>
      </c>
      <c r="V16" s="1394">
        <v>384597000</v>
      </c>
      <c r="W16" s="1399">
        <f t="shared" si="0"/>
        <v>370304000</v>
      </c>
      <c r="X16" s="1399">
        <f t="shared" si="1"/>
        <v>370304000</v>
      </c>
      <c r="Y16" s="1399">
        <f t="shared" si="2"/>
        <v>384597000</v>
      </c>
      <c r="Z16" s="1399">
        <f t="shared" si="3"/>
        <v>384597000</v>
      </c>
      <c r="AA16" s="1399">
        <f t="shared" si="4"/>
        <v>384597000</v>
      </c>
      <c r="AB16" s="1400">
        <f>+AB11+AB14</f>
        <v>683300338</v>
      </c>
      <c r="AC16" s="1400">
        <f>+AC11+AC14</f>
        <v>6777000</v>
      </c>
      <c r="AD16" s="1400">
        <f>+AD11+AD14</f>
        <v>6777000</v>
      </c>
      <c r="AE16" s="1400">
        <f>+AE11+AE14</f>
        <v>374324243</v>
      </c>
      <c r="AF16" s="1400">
        <f t="shared" ref="AF16:AZ16" si="16">+AF11+AF14</f>
        <v>374324243</v>
      </c>
      <c r="AG16" s="1400">
        <f t="shared" si="16"/>
        <v>223394095</v>
      </c>
      <c r="AH16" s="1400">
        <f t="shared" si="16"/>
        <v>223394095</v>
      </c>
      <c r="AI16" s="1400">
        <f t="shared" si="16"/>
        <v>0</v>
      </c>
      <c r="AJ16" s="1400">
        <f t="shared" si="16"/>
        <v>0</v>
      </c>
      <c r="AK16" s="1400">
        <f t="shared" si="16"/>
        <v>0</v>
      </c>
      <c r="AL16" s="1400">
        <f t="shared" si="16"/>
        <v>0</v>
      </c>
      <c r="AM16" s="1400">
        <f t="shared" si="16"/>
        <v>8622572</v>
      </c>
      <c r="AN16" s="1400">
        <f t="shared" si="16"/>
        <v>60358000</v>
      </c>
      <c r="AO16" s="1400">
        <f t="shared" si="16"/>
        <v>8622572</v>
      </c>
      <c r="AP16" s="1400">
        <f t="shared" si="16"/>
        <v>0</v>
      </c>
      <c r="AQ16" s="1400">
        <f>+AS11+AQ14</f>
        <v>76578856</v>
      </c>
      <c r="AR16" s="1400">
        <v>0</v>
      </c>
      <c r="AS16" s="1400">
        <f>+AU11+AS14</f>
        <v>15666000</v>
      </c>
      <c r="AT16" s="1400">
        <f t="shared" si="16"/>
        <v>16491500</v>
      </c>
      <c r="AU16" s="1400">
        <f t="shared" si="16"/>
        <v>15666000</v>
      </c>
      <c r="AV16" s="1400">
        <f t="shared" si="16"/>
        <v>0</v>
      </c>
      <c r="AW16" s="1400">
        <f t="shared" si="16"/>
        <v>0</v>
      </c>
      <c r="AX16" s="1400">
        <f t="shared" si="16"/>
        <v>11263000</v>
      </c>
      <c r="AY16" s="1400">
        <f t="shared" si="16"/>
        <v>0</v>
      </c>
      <c r="AZ16" s="1400">
        <f t="shared" si="16"/>
        <v>6961000</v>
      </c>
      <c r="BA16" s="1401">
        <f>AY16+AW16+AU16+AS16+AQ16+AO16+AM16+AK16+AI16+AG16+AE16+AC16</f>
        <v>729651338</v>
      </c>
      <c r="BB16" s="1431">
        <f t="shared" ref="BB16:BB78" si="17">AC16+AE16+AG16+AI16+AK16+AM16+AO16+AQ16+AS16+AU16+AW16+AY16</f>
        <v>729651338</v>
      </c>
      <c r="BC16" s="1401">
        <f t="shared" si="11"/>
        <v>699568838</v>
      </c>
      <c r="BD16" s="1401">
        <f t="shared" ref="BD16" si="18">+BD11+BD14</f>
        <v>713985338</v>
      </c>
      <c r="BE16" s="1401">
        <f t="shared" si="6"/>
        <v>699568838</v>
      </c>
      <c r="BF16" s="1398">
        <v>997331000</v>
      </c>
      <c r="BG16" s="1398"/>
      <c r="BH16" s="1398"/>
      <c r="BI16" s="1398"/>
      <c r="BJ16" s="1398"/>
      <c r="BK16" s="1398"/>
      <c r="BL16" s="1398"/>
      <c r="BM16" s="1398"/>
      <c r="BN16" s="1398"/>
      <c r="BO16" s="1398"/>
      <c r="BP16" s="1398"/>
      <c r="BQ16" s="1398"/>
      <c r="BR16" s="1398"/>
      <c r="BS16" s="1398"/>
      <c r="BT16" s="1398"/>
      <c r="BU16" s="1398"/>
      <c r="BV16" s="1398"/>
      <c r="BW16" s="1398"/>
      <c r="BX16" s="1398"/>
      <c r="BY16" s="1398"/>
      <c r="BZ16" s="1398"/>
      <c r="CA16" s="1398"/>
      <c r="CB16" s="1398"/>
      <c r="CC16" s="1398"/>
      <c r="CD16" s="1398"/>
      <c r="CE16" s="1466"/>
      <c r="CF16" s="1394"/>
      <c r="CG16" s="1394"/>
      <c r="CH16" s="1394"/>
      <c r="CI16" s="1394"/>
      <c r="CJ16" s="1398">
        <v>1029360000</v>
      </c>
      <c r="CK16" s="1398"/>
      <c r="CL16" s="1398"/>
      <c r="CM16" s="1398"/>
      <c r="CN16" s="1398"/>
      <c r="CO16" s="1398"/>
      <c r="CP16" s="1398"/>
      <c r="CQ16" s="1398"/>
      <c r="CR16" s="1398"/>
      <c r="CS16" s="1398"/>
      <c r="CT16" s="1398"/>
      <c r="CU16" s="1398"/>
      <c r="CV16" s="1398"/>
      <c r="CW16" s="1398"/>
      <c r="CX16" s="1398"/>
      <c r="CY16" s="1398"/>
      <c r="CZ16" s="1398"/>
      <c r="DA16" s="1398"/>
      <c r="DB16" s="1398"/>
      <c r="DC16" s="1398"/>
      <c r="DD16" s="1398"/>
      <c r="DE16" s="1398"/>
      <c r="DF16" s="1398"/>
      <c r="DG16" s="1398"/>
      <c r="DH16" s="1398"/>
      <c r="DI16" s="1466">
        <v>0</v>
      </c>
      <c r="DJ16" s="1394">
        <v>0</v>
      </c>
      <c r="DK16" s="1394">
        <v>0</v>
      </c>
      <c r="DL16" s="1394">
        <v>0</v>
      </c>
      <c r="DM16" s="1394">
        <v>0</v>
      </c>
      <c r="DN16" s="1398">
        <v>536664000</v>
      </c>
      <c r="DO16" s="1398"/>
      <c r="DP16" s="1398"/>
      <c r="DQ16" s="1398"/>
      <c r="DR16" s="1398"/>
      <c r="DS16" s="1398"/>
      <c r="DT16" s="1398"/>
      <c r="DU16" s="1398"/>
      <c r="DV16" s="1398"/>
      <c r="DW16" s="1398"/>
      <c r="DX16" s="1398"/>
      <c r="DY16" s="1398"/>
      <c r="DZ16" s="1398"/>
      <c r="EA16" s="1398"/>
      <c r="EB16" s="1398"/>
      <c r="EC16" s="1398"/>
      <c r="ED16" s="1398"/>
      <c r="EE16" s="1398"/>
      <c r="EF16" s="1398"/>
      <c r="EG16" s="1398"/>
      <c r="EH16" s="1398"/>
      <c r="EI16" s="1398"/>
      <c r="EJ16" s="1398"/>
      <c r="EK16" s="1398"/>
      <c r="EL16" s="1398"/>
      <c r="EM16" s="1401">
        <f>EK16+EI16+EG16+EE16+EC16+EA16+DY16+DW16+DU16+DS16+DQ16+DO16</f>
        <v>0</v>
      </c>
      <c r="EN16" s="1403">
        <f>+EN11+EN14</f>
        <v>0</v>
      </c>
      <c r="EO16" s="1403">
        <f t="shared" ref="EO16:EQ16" si="19">+EO11+EO14</f>
        <v>0</v>
      </c>
      <c r="EP16" s="1403">
        <f t="shared" si="19"/>
        <v>0</v>
      </c>
      <c r="EQ16" s="1403">
        <f t="shared" si="19"/>
        <v>0</v>
      </c>
      <c r="ER16" s="1405">
        <f>AV16/AU16</f>
        <v>0</v>
      </c>
      <c r="ES16" s="1405">
        <f t="shared" si="9"/>
        <v>0.95877140432242991</v>
      </c>
      <c r="ET16" s="1405">
        <f t="shared" si="10"/>
        <v>0.97980840889480558</v>
      </c>
      <c r="EU16" s="1406" t="s">
        <v>225</v>
      </c>
      <c r="EV16" s="1407">
        <f t="shared" si="14"/>
        <v>0.19265222377393482</v>
      </c>
      <c r="EW16" s="1368"/>
      <c r="EX16" s="733"/>
      <c r="EY16" s="733"/>
      <c r="EZ16" s="733"/>
      <c r="FA16" s="733"/>
      <c r="FB16" s="770"/>
    </row>
    <row r="17" spans="1:158" s="603" customFormat="1" ht="19.149999999999999" customHeight="1" x14ac:dyDescent="0.2">
      <c r="A17" s="733"/>
      <c r="B17" s="733">
        <v>2</v>
      </c>
      <c r="C17" s="733" t="s">
        <v>288</v>
      </c>
      <c r="D17" s="733" t="s">
        <v>276</v>
      </c>
      <c r="E17" s="734">
        <v>200</v>
      </c>
      <c r="F17" s="593" t="s">
        <v>41</v>
      </c>
      <c r="G17" s="1411">
        <v>400</v>
      </c>
      <c r="H17" s="1445">
        <v>20</v>
      </c>
      <c r="I17" s="1424"/>
      <c r="J17" s="1424"/>
      <c r="K17" s="1424">
        <v>20</v>
      </c>
      <c r="L17" s="1424">
        <v>0</v>
      </c>
      <c r="M17" s="1424">
        <v>20</v>
      </c>
      <c r="N17" s="1423">
        <v>0</v>
      </c>
      <c r="O17" s="1424">
        <v>20</v>
      </c>
      <c r="P17" s="1423">
        <v>2</v>
      </c>
      <c r="Q17" s="1424">
        <v>20</v>
      </c>
      <c r="R17" s="1437">
        <v>6</v>
      </c>
      <c r="S17" s="1424">
        <v>20</v>
      </c>
      <c r="T17" s="1427">
        <v>12</v>
      </c>
      <c r="U17" s="1424">
        <v>20</v>
      </c>
      <c r="V17" s="1424">
        <v>20</v>
      </c>
      <c r="W17" s="1419">
        <f t="shared" si="0"/>
        <v>20</v>
      </c>
      <c r="X17" s="1419">
        <f t="shared" si="1"/>
        <v>20</v>
      </c>
      <c r="Y17" s="1419">
        <f t="shared" si="2"/>
        <v>20</v>
      </c>
      <c r="Z17" s="1419">
        <f t="shared" si="3"/>
        <v>20</v>
      </c>
      <c r="AA17" s="1419">
        <f t="shared" si="4"/>
        <v>20</v>
      </c>
      <c r="AB17" s="1411">
        <v>77</v>
      </c>
      <c r="AC17" s="1411">
        <v>5</v>
      </c>
      <c r="AD17" s="1411">
        <v>5</v>
      </c>
      <c r="AE17" s="1411">
        <v>6</v>
      </c>
      <c r="AF17" s="1411">
        <v>6</v>
      </c>
      <c r="AG17" s="1424">
        <v>7</v>
      </c>
      <c r="AH17" s="1424">
        <v>7</v>
      </c>
      <c r="AI17" s="1423">
        <v>7</v>
      </c>
      <c r="AJ17" s="1423">
        <v>7</v>
      </c>
      <c r="AK17" s="1423">
        <v>7</v>
      </c>
      <c r="AL17" s="1423">
        <v>7</v>
      </c>
      <c r="AM17" s="1423">
        <v>7</v>
      </c>
      <c r="AN17" s="1423">
        <v>7</v>
      </c>
      <c r="AO17" s="1423">
        <v>7</v>
      </c>
      <c r="AP17" s="1423">
        <v>7</v>
      </c>
      <c r="AQ17" s="1423">
        <v>7</v>
      </c>
      <c r="AR17" s="1423">
        <v>7</v>
      </c>
      <c r="AS17" s="1423">
        <v>7</v>
      </c>
      <c r="AT17" s="1423">
        <v>7</v>
      </c>
      <c r="AU17" s="1423">
        <v>6</v>
      </c>
      <c r="AV17" s="1423">
        <v>7</v>
      </c>
      <c r="AW17" s="1423">
        <v>6</v>
      </c>
      <c r="AX17" s="1423">
        <v>5</v>
      </c>
      <c r="AY17" s="1424">
        <v>5</v>
      </c>
      <c r="AZ17" s="1427">
        <v>6</v>
      </c>
      <c r="BA17" s="1422">
        <f>AY17+AW17+AU17+AS17+AO17+AM17+AK17+AI17+AG17+AE17+AC17+AQ17</f>
        <v>77</v>
      </c>
      <c r="BB17" s="1422">
        <f>AC17+AE17+AG17+AI17+AK17+AM17+AO17+AQ17+AS17+AU17+AW17+AY17</f>
        <v>77</v>
      </c>
      <c r="BC17" s="1422">
        <f>+AN17+AD17+AF17+AH17+AJ17+AL17+AP17+AR17+AT17+AV17+AX17+AZ17</f>
        <v>78</v>
      </c>
      <c r="BD17" s="1422">
        <v>78</v>
      </c>
      <c r="BE17" s="1422">
        <f t="shared" si="6"/>
        <v>78</v>
      </c>
      <c r="BF17" s="1424">
        <v>100</v>
      </c>
      <c r="BG17" s="1424"/>
      <c r="BH17" s="1424"/>
      <c r="BI17" s="1424"/>
      <c r="BJ17" s="1424"/>
      <c r="BK17" s="1411"/>
      <c r="BL17" s="1424"/>
      <c r="BM17" s="1411"/>
      <c r="BN17" s="1411"/>
      <c r="BO17" s="1424"/>
      <c r="BP17" s="1424"/>
      <c r="BQ17" s="1424"/>
      <c r="BR17" s="1424"/>
      <c r="BS17" s="1424"/>
      <c r="BT17" s="1424"/>
      <c r="BU17" s="1424"/>
      <c r="BV17" s="1424"/>
      <c r="BW17" s="1424"/>
      <c r="BX17" s="1424"/>
      <c r="BY17" s="1424"/>
      <c r="BZ17" s="1424"/>
      <c r="CA17" s="1424"/>
      <c r="CB17" s="1424"/>
      <c r="CC17" s="1424"/>
      <c r="CD17" s="1424"/>
      <c r="CE17" s="1411"/>
      <c r="CF17" s="1424"/>
      <c r="CG17" s="1411"/>
      <c r="CH17" s="1425"/>
      <c r="CI17" s="1424"/>
      <c r="CJ17" s="1424">
        <v>141</v>
      </c>
      <c r="CK17" s="1424"/>
      <c r="CL17" s="1424"/>
      <c r="CM17" s="1424"/>
      <c r="CN17" s="1424"/>
      <c r="CO17" s="1424"/>
      <c r="CP17" s="1424"/>
      <c r="CQ17" s="1424"/>
      <c r="CR17" s="1424"/>
      <c r="CS17" s="1424"/>
      <c r="CT17" s="1424"/>
      <c r="CU17" s="1424"/>
      <c r="CV17" s="1424"/>
      <c r="CW17" s="1424"/>
      <c r="CX17" s="1424"/>
      <c r="CY17" s="1424"/>
      <c r="CZ17" s="1424"/>
      <c r="DA17" s="1424"/>
      <c r="DB17" s="1424"/>
      <c r="DC17" s="1424"/>
      <c r="DD17" s="1424"/>
      <c r="DE17" s="1424"/>
      <c r="DF17" s="1424"/>
      <c r="DG17" s="1424"/>
      <c r="DH17" s="1424"/>
      <c r="DI17" s="1411">
        <f>DG17+DE17+DC17+DA17+CY17+CW17+CU17+CS17+CQ17+CO17+CM17+CK17</f>
        <v>0</v>
      </c>
      <c r="DJ17" s="1424">
        <f t="shared" ref="DJ17:DJ20" si="20">CK17+CM17+CO17+CQ17</f>
        <v>0</v>
      </c>
      <c r="DK17" s="1411">
        <f t="shared" ref="DK17:DK20" si="21">CL17+CN17+CP17+CR17</f>
        <v>0</v>
      </c>
      <c r="DL17" s="1425">
        <f>CM17+CO17+CQ17+CS17+CU17+CW17+CY17+DA17+DC17+DE17+DG17+CK17</f>
        <v>0</v>
      </c>
      <c r="DM17" s="1424">
        <f>CL17+CN17+CP17+CR17</f>
        <v>0</v>
      </c>
      <c r="DN17" s="1423">
        <v>61</v>
      </c>
      <c r="DO17" s="1423"/>
      <c r="DP17" s="1423"/>
      <c r="DQ17" s="1423"/>
      <c r="DR17" s="1423"/>
      <c r="DS17" s="1423"/>
      <c r="DT17" s="1423"/>
      <c r="DU17" s="1423"/>
      <c r="DV17" s="1423"/>
      <c r="DW17" s="1423"/>
      <c r="DX17" s="1423"/>
      <c r="DY17" s="1423"/>
      <c r="DZ17" s="1423"/>
      <c r="EA17" s="1423"/>
      <c r="EB17" s="1423"/>
      <c r="EC17" s="1423"/>
      <c r="ED17" s="1423"/>
      <c r="EE17" s="1423"/>
      <c r="EF17" s="1423"/>
      <c r="EG17" s="1424"/>
      <c r="EH17" s="1424"/>
      <c r="EI17" s="1424"/>
      <c r="EJ17" s="1424"/>
      <c r="EK17" s="1424"/>
      <c r="EL17" s="1424"/>
      <c r="EM17" s="1411">
        <f>EK17+EI17+EG17+EE17+EC17+EA17+DY17+DW17+DU17+DS17+DQ17+DO17</f>
        <v>0</v>
      </c>
      <c r="EN17" s="1424">
        <f t="shared" ref="EN17:EN22" si="22">DO17+DQ17+DS17+DU17</f>
        <v>0</v>
      </c>
      <c r="EO17" s="1411">
        <f t="shared" ref="EO17:EO22" si="23">DP17+DR17+DT17+DV17</f>
        <v>0</v>
      </c>
      <c r="EP17" s="1425">
        <f>DQ17+DS17+DU17+DW17+DY17+EA17+EC17+EE17+EG17+EI17+EK17+DO17</f>
        <v>0</v>
      </c>
      <c r="EQ17" s="1424">
        <f>DP17+DR17+DT17+DV17</f>
        <v>0</v>
      </c>
      <c r="ER17" s="1429">
        <f>AV17/AU17</f>
        <v>1.1666666666666667</v>
      </c>
      <c r="ES17" s="1429">
        <f>BC17/BB17</f>
        <v>1.0129870129870129</v>
      </c>
      <c r="ET17" s="1429">
        <f>BE17/BD17</f>
        <v>1</v>
      </c>
      <c r="EU17" s="1430">
        <f>(BC17+AA17)/(Z17+BB17)</f>
        <v>1.0103092783505154</v>
      </c>
      <c r="EV17" s="1429">
        <f>(BC17+AA17)/G17</f>
        <v>0.245</v>
      </c>
      <c r="EW17" s="1354" t="s">
        <v>1081</v>
      </c>
      <c r="EX17" s="733" t="s">
        <v>70</v>
      </c>
      <c r="EY17" s="733" t="s">
        <v>70</v>
      </c>
      <c r="EZ17" s="733" t="s">
        <v>622</v>
      </c>
      <c r="FA17" s="733" t="s">
        <v>621</v>
      </c>
      <c r="FB17" s="770"/>
    </row>
    <row r="18" spans="1:158" s="632" customFormat="1" ht="19.149999999999999" customHeight="1" x14ac:dyDescent="0.2">
      <c r="A18" s="733"/>
      <c r="B18" s="733"/>
      <c r="C18" s="733"/>
      <c r="D18" s="733"/>
      <c r="E18" s="734"/>
      <c r="F18" s="604" t="s">
        <v>3</v>
      </c>
      <c r="G18" s="605">
        <f>AA18+BD18+BF18+CJ18+DN18</f>
        <v>1024940000</v>
      </c>
      <c r="H18" s="625">
        <v>151328000</v>
      </c>
      <c r="I18" s="626"/>
      <c r="J18" s="626"/>
      <c r="K18" s="626">
        <v>151328000</v>
      </c>
      <c r="L18" s="626">
        <v>0</v>
      </c>
      <c r="M18" s="626">
        <v>142884000</v>
      </c>
      <c r="N18" s="626">
        <v>71774000</v>
      </c>
      <c r="O18" s="626">
        <v>142884000</v>
      </c>
      <c r="P18" s="626">
        <v>71774000</v>
      </c>
      <c r="Q18" s="626">
        <v>140462163</v>
      </c>
      <c r="R18" s="626">
        <v>71774000</v>
      </c>
      <c r="S18" s="627">
        <v>140462163</v>
      </c>
      <c r="T18" s="628">
        <v>121774000</v>
      </c>
      <c r="U18" s="629">
        <v>140462163</v>
      </c>
      <c r="V18" s="629">
        <v>138662000</v>
      </c>
      <c r="W18" s="598">
        <f t="shared" ref="W18:W79" si="24">+H18</f>
        <v>151328000</v>
      </c>
      <c r="X18" s="598">
        <f t="shared" ref="X18:X79" si="25">+H18</f>
        <v>151328000</v>
      </c>
      <c r="Y18" s="598">
        <f t="shared" ref="Y18:Y79" si="26">+V18</f>
        <v>138662000</v>
      </c>
      <c r="Z18" s="598">
        <f t="shared" ref="Z18:Z79" si="27">+U18</f>
        <v>140462163</v>
      </c>
      <c r="AA18" s="598">
        <f t="shared" ref="AA18:AA79" si="28">+V18</f>
        <v>138662000</v>
      </c>
      <c r="AB18" s="600">
        <v>198130000</v>
      </c>
      <c r="AC18" s="605">
        <v>0</v>
      </c>
      <c r="AD18" s="605">
        <v>0</v>
      </c>
      <c r="AE18" s="605">
        <v>129690000</v>
      </c>
      <c r="AF18" s="605">
        <v>129690000</v>
      </c>
      <c r="AG18" s="626">
        <f>168597000-AF18</f>
        <v>38907000</v>
      </c>
      <c r="AH18" s="626">
        <v>38907000</v>
      </c>
      <c r="AI18" s="626">
        <f>168597000-AF18-AH18</f>
        <v>0</v>
      </c>
      <c r="AJ18" s="626">
        <v>0</v>
      </c>
      <c r="AK18" s="626">
        <f>168597000-AF18-AH18</f>
        <v>0</v>
      </c>
      <c r="AL18" s="626">
        <v>0</v>
      </c>
      <c r="AM18" s="626">
        <v>0</v>
      </c>
      <c r="AN18" s="626">
        <v>0</v>
      </c>
      <c r="AO18" s="626">
        <v>0</v>
      </c>
      <c r="AP18" s="626">
        <v>0</v>
      </c>
      <c r="AQ18" s="627">
        <v>0</v>
      </c>
      <c r="AR18" s="626">
        <v>0</v>
      </c>
      <c r="AS18" s="626">
        <v>4323000</v>
      </c>
      <c r="AT18" s="626">
        <v>0</v>
      </c>
      <c r="AU18" s="626">
        <v>0</v>
      </c>
      <c r="AV18" s="626">
        <v>0</v>
      </c>
      <c r="AW18" s="626">
        <v>0</v>
      </c>
      <c r="AX18" s="626">
        <v>0</v>
      </c>
      <c r="AY18" s="626">
        <v>0</v>
      </c>
      <c r="AZ18" s="630">
        <v>4323000</v>
      </c>
      <c r="BA18" s="599">
        <f t="shared" ref="BA18:BA22" si="29">AY18+AW18+AU18+AS18+AO18+AM18+AK18+AI18+AG18+AE18+AC18+AQ18</f>
        <v>172920000</v>
      </c>
      <c r="BB18" s="599">
        <f t="shared" si="17"/>
        <v>172920000</v>
      </c>
      <c r="BC18" s="599">
        <f t="shared" si="11"/>
        <v>172920000</v>
      </c>
      <c r="BD18" s="599">
        <f>BA18</f>
        <v>172920000</v>
      </c>
      <c r="BE18" s="599">
        <f t="shared" si="6"/>
        <v>172920000</v>
      </c>
      <c r="BF18" s="626">
        <v>132270000</v>
      </c>
      <c r="BG18" s="630"/>
      <c r="BH18" s="626"/>
      <c r="BI18" s="626"/>
      <c r="BJ18" s="626"/>
      <c r="BK18" s="626"/>
      <c r="BL18" s="626"/>
      <c r="BM18" s="626"/>
      <c r="BN18" s="626"/>
      <c r="BO18" s="626"/>
      <c r="BP18" s="626"/>
      <c r="BQ18" s="626"/>
      <c r="BR18" s="626"/>
      <c r="BS18" s="626"/>
      <c r="BT18" s="626"/>
      <c r="BU18" s="626"/>
      <c r="BV18" s="626"/>
      <c r="BW18" s="626"/>
      <c r="BX18" s="626"/>
      <c r="BY18" s="626"/>
      <c r="BZ18" s="626"/>
      <c r="CA18" s="626"/>
      <c r="CB18" s="626"/>
      <c r="CC18" s="626"/>
      <c r="CD18" s="626"/>
      <c r="CE18" s="594"/>
      <c r="CF18" s="610"/>
      <c r="CG18" s="610"/>
      <c r="CH18" s="631"/>
      <c r="CI18" s="610"/>
      <c r="CJ18" s="626">
        <v>371274000</v>
      </c>
      <c r="CK18" s="626"/>
      <c r="CL18" s="626"/>
      <c r="CM18" s="626"/>
      <c r="CN18" s="626"/>
      <c r="CO18" s="626"/>
      <c r="CP18" s="626"/>
      <c r="CQ18" s="626"/>
      <c r="CR18" s="626"/>
      <c r="CS18" s="626"/>
      <c r="CT18" s="626"/>
      <c r="CU18" s="626"/>
      <c r="CV18" s="626"/>
      <c r="CW18" s="626"/>
      <c r="CX18" s="626"/>
      <c r="CY18" s="626"/>
      <c r="CZ18" s="626"/>
      <c r="DA18" s="626"/>
      <c r="DB18" s="626"/>
      <c r="DC18" s="626"/>
      <c r="DD18" s="626"/>
      <c r="DE18" s="626"/>
      <c r="DF18" s="626"/>
      <c r="DG18" s="626"/>
      <c r="DH18" s="626"/>
      <c r="DI18" s="594">
        <f>DG18+DE18+DC18+DA18+CY18+CW18+CU18+CS18+CQ18+CO18+CM18+CK18</f>
        <v>0</v>
      </c>
      <c r="DJ18" s="610">
        <f t="shared" si="20"/>
        <v>0</v>
      </c>
      <c r="DK18" s="610">
        <f t="shared" si="21"/>
        <v>0</v>
      </c>
      <c r="DL18" s="631">
        <f>CM18+CO18+CQ18+CS18+CU18+CW18+CY18+DA18+DC18+DE18+DG18+CK18</f>
        <v>0</v>
      </c>
      <c r="DM18" s="610">
        <f>CL18+CN18+CP18+CR18</f>
        <v>0</v>
      </c>
      <c r="DN18" s="626">
        <v>209814000</v>
      </c>
      <c r="DO18" s="626"/>
      <c r="DP18" s="626"/>
      <c r="DQ18" s="626"/>
      <c r="DR18" s="626"/>
      <c r="DS18" s="626"/>
      <c r="DT18" s="626"/>
      <c r="DU18" s="626"/>
      <c r="DV18" s="626"/>
      <c r="DW18" s="626"/>
      <c r="DX18" s="626"/>
      <c r="DY18" s="626"/>
      <c r="DZ18" s="626"/>
      <c r="EA18" s="626"/>
      <c r="EB18" s="626"/>
      <c r="EC18" s="626"/>
      <c r="ED18" s="626"/>
      <c r="EE18" s="626"/>
      <c r="EF18" s="626"/>
      <c r="EG18" s="626"/>
      <c r="EH18" s="626"/>
      <c r="EI18" s="626"/>
      <c r="EJ18" s="626"/>
      <c r="EK18" s="626"/>
      <c r="EL18" s="626"/>
      <c r="EM18" s="594">
        <f>EK18+EI18+EG18+EE18+EC18+EA18+DY18+DW18+DU18+DS18+DQ18+DO18</f>
        <v>0</v>
      </c>
      <c r="EN18" s="610">
        <f t="shared" si="22"/>
        <v>0</v>
      </c>
      <c r="EO18" s="610">
        <f t="shared" si="23"/>
        <v>0</v>
      </c>
      <c r="EP18" s="631">
        <f>DQ18+DS18+DU18+DW18+DY18+EA18+EC18+EE18+EG18+EI18+EK18+DO18</f>
        <v>0</v>
      </c>
      <c r="EQ18" s="610">
        <f>DP18+DR18+DT18+DV18</f>
        <v>0</v>
      </c>
      <c r="ER18" s="601" t="e">
        <f t="shared" si="8"/>
        <v>#DIV/0!</v>
      </c>
      <c r="ES18" s="601">
        <f>BC18/BB18</f>
        <v>1</v>
      </c>
      <c r="ET18" s="601">
        <f>BE18/BD18</f>
        <v>1</v>
      </c>
      <c r="EU18" s="602">
        <f>(BC18+AA18)/(Z18+BB18)</f>
        <v>0.99425569412513115</v>
      </c>
      <c r="EV18" s="601">
        <f>(BC18+AA18)/G18</f>
        <v>0.3040002341600484</v>
      </c>
      <c r="EW18" s="1354"/>
      <c r="EX18" s="733"/>
      <c r="EY18" s="733"/>
      <c r="EZ18" s="733"/>
      <c r="FA18" s="733"/>
      <c r="FB18" s="770"/>
    </row>
    <row r="19" spans="1:158" s="632" customFormat="1" ht="19.149999999999999" customHeight="1" x14ac:dyDescent="0.2">
      <c r="A19" s="733"/>
      <c r="B19" s="733"/>
      <c r="C19" s="733"/>
      <c r="D19" s="733"/>
      <c r="E19" s="734"/>
      <c r="F19" s="546" t="s">
        <v>224</v>
      </c>
      <c r="G19" s="605"/>
      <c r="H19" s="625"/>
      <c r="I19" s="626"/>
      <c r="J19" s="626"/>
      <c r="K19" s="626"/>
      <c r="L19" s="626"/>
      <c r="M19" s="626"/>
      <c r="N19" s="626"/>
      <c r="O19" s="626"/>
      <c r="P19" s="626"/>
      <c r="Q19" s="626"/>
      <c r="R19" s="626"/>
      <c r="S19" s="627"/>
      <c r="T19" s="628"/>
      <c r="U19" s="629"/>
      <c r="V19" s="629"/>
      <c r="W19" s="598">
        <f t="shared" si="24"/>
        <v>0</v>
      </c>
      <c r="X19" s="598">
        <f t="shared" si="25"/>
        <v>0</v>
      </c>
      <c r="Y19" s="598">
        <f t="shared" si="26"/>
        <v>0</v>
      </c>
      <c r="Z19" s="598">
        <f t="shared" si="27"/>
        <v>0</v>
      </c>
      <c r="AA19" s="598">
        <f t="shared" si="28"/>
        <v>0</v>
      </c>
      <c r="AB19" s="605"/>
      <c r="AC19" s="605"/>
      <c r="AD19" s="605"/>
      <c r="AE19" s="605"/>
      <c r="AF19" s="605"/>
      <c r="AG19" s="626">
        <v>7349100</v>
      </c>
      <c r="AH19" s="626">
        <v>7349100</v>
      </c>
      <c r="AI19" s="626">
        <f>22047300-AH19</f>
        <v>14698200</v>
      </c>
      <c r="AJ19" s="626">
        <v>14698200</v>
      </c>
      <c r="AK19" s="626">
        <v>17292000</v>
      </c>
      <c r="AL19" s="626">
        <v>17292000</v>
      </c>
      <c r="AM19" s="626">
        <v>17394640</v>
      </c>
      <c r="AN19" s="626">
        <v>17292000</v>
      </c>
      <c r="AO19" s="626">
        <v>17394640</v>
      </c>
      <c r="AP19" s="626">
        <v>17292000</v>
      </c>
      <c r="AQ19" s="627">
        <v>17394640</v>
      </c>
      <c r="AR19" s="626">
        <v>17292000</v>
      </c>
      <c r="AS19" s="626">
        <v>17394640</v>
      </c>
      <c r="AT19" s="626">
        <v>17292000</v>
      </c>
      <c r="AU19" s="626">
        <v>17394640</v>
      </c>
      <c r="AV19" s="626">
        <v>17292000</v>
      </c>
      <c r="AW19" s="626">
        <v>17394640</v>
      </c>
      <c r="AX19" s="626">
        <v>17292000</v>
      </c>
      <c r="AY19" s="626">
        <v>17394640</v>
      </c>
      <c r="AZ19" s="630">
        <v>12969000</v>
      </c>
      <c r="BA19" s="599">
        <f t="shared" si="29"/>
        <v>161101780</v>
      </c>
      <c r="BB19" s="599">
        <f t="shared" si="17"/>
        <v>161101780</v>
      </c>
      <c r="BC19" s="599">
        <f>+AN19+AD19+AF19+AH19+AJ19+AL19+AP19+AR19+AT19+AV19+AX19+AZ19</f>
        <v>156060300</v>
      </c>
      <c r="BD19" s="599">
        <f>BA19</f>
        <v>161101780</v>
      </c>
      <c r="BE19" s="599">
        <f t="shared" si="6"/>
        <v>156060300</v>
      </c>
      <c r="BF19" s="626"/>
      <c r="BG19" s="626"/>
      <c r="BH19" s="626"/>
      <c r="BI19" s="626"/>
      <c r="BJ19" s="626"/>
      <c r="BK19" s="630"/>
      <c r="BL19" s="630"/>
      <c r="BM19" s="630"/>
      <c r="BN19" s="626"/>
      <c r="BO19" s="626"/>
      <c r="BP19" s="626"/>
      <c r="BQ19" s="630"/>
      <c r="BR19" s="630"/>
      <c r="BS19" s="626"/>
      <c r="BT19" s="626"/>
      <c r="BU19" s="626"/>
      <c r="BV19" s="626"/>
      <c r="BW19" s="626"/>
      <c r="BX19" s="626"/>
      <c r="BY19" s="626"/>
      <c r="BZ19" s="626"/>
      <c r="CA19" s="626"/>
      <c r="CB19" s="626"/>
      <c r="CC19" s="626"/>
      <c r="CD19" s="626"/>
      <c r="CE19" s="594"/>
      <c r="CF19" s="610"/>
      <c r="CG19" s="610"/>
      <c r="CH19" s="631"/>
      <c r="CI19" s="610"/>
      <c r="CJ19" s="626"/>
      <c r="CK19" s="626"/>
      <c r="CL19" s="626"/>
      <c r="CM19" s="626"/>
      <c r="CN19" s="626"/>
      <c r="CO19" s="626"/>
      <c r="CP19" s="626"/>
      <c r="CQ19" s="626"/>
      <c r="CR19" s="626"/>
      <c r="CS19" s="626"/>
      <c r="CT19" s="626"/>
      <c r="CU19" s="626"/>
      <c r="CV19" s="626"/>
      <c r="CW19" s="626"/>
      <c r="CX19" s="626"/>
      <c r="CY19" s="626"/>
      <c r="CZ19" s="626"/>
      <c r="DA19" s="626"/>
      <c r="DB19" s="626"/>
      <c r="DC19" s="626"/>
      <c r="DD19" s="626"/>
      <c r="DE19" s="626"/>
      <c r="DF19" s="626"/>
      <c r="DG19" s="626"/>
      <c r="DH19" s="626"/>
      <c r="DI19" s="594">
        <f>DE19+DC19+DA19+CY19+CW19+CU19+CS19+CQ19+CO19+CM19+CK19+DG19</f>
        <v>0</v>
      </c>
      <c r="DJ19" s="610">
        <f t="shared" si="20"/>
        <v>0</v>
      </c>
      <c r="DK19" s="610">
        <f t="shared" si="21"/>
        <v>0</v>
      </c>
      <c r="DL19" s="609">
        <f>CM19+CO19+CQ19+CS19+CU19+CW19+CY19+DA19+DC19+DE19+DG19</f>
        <v>0</v>
      </c>
      <c r="DM19" s="610">
        <f>CL19+CN19+CP19+CR19</f>
        <v>0</v>
      </c>
      <c r="DN19" s="626"/>
      <c r="DO19" s="626"/>
      <c r="DP19" s="626"/>
      <c r="DQ19" s="626"/>
      <c r="DR19" s="626"/>
      <c r="DS19" s="626"/>
      <c r="DT19" s="626"/>
      <c r="DU19" s="626"/>
      <c r="DV19" s="626"/>
      <c r="DW19" s="626"/>
      <c r="DX19" s="626"/>
      <c r="DY19" s="626"/>
      <c r="DZ19" s="626"/>
      <c r="EA19" s="626"/>
      <c r="EB19" s="626"/>
      <c r="EC19" s="626"/>
      <c r="ED19" s="626"/>
      <c r="EE19" s="626"/>
      <c r="EF19" s="626"/>
      <c r="EG19" s="626"/>
      <c r="EH19" s="626"/>
      <c r="EI19" s="626"/>
      <c r="EJ19" s="626"/>
      <c r="EK19" s="626"/>
      <c r="EL19" s="626"/>
      <c r="EM19" s="594">
        <f>EI19+EG19+EE19+EC19+EA19+DY19+DW19+DU19+DS19+DQ19+DO19+EK19</f>
        <v>0</v>
      </c>
      <c r="EN19" s="610">
        <f t="shared" si="22"/>
        <v>0</v>
      </c>
      <c r="EO19" s="610">
        <f t="shared" si="23"/>
        <v>0</v>
      </c>
      <c r="EP19" s="609">
        <f>DQ19+DS19+DU19+DW19+DY19+EA19+EC19+EE19+EG19+EI19+EK19</f>
        <v>0</v>
      </c>
      <c r="EQ19" s="610">
        <f>DP19+DR19+DT19+DV19</f>
        <v>0</v>
      </c>
      <c r="ER19" s="601">
        <f t="shared" si="8"/>
        <v>0.99409933174817067</v>
      </c>
      <c r="ES19" s="601">
        <f t="shared" ref="ES19:ES23" si="30">BC19/BB19</f>
        <v>0.96870624272432004</v>
      </c>
      <c r="ET19" s="601">
        <f t="shared" ref="ET19" si="31">BE19/BD19</f>
        <v>0.96870624272432004</v>
      </c>
      <c r="EU19" s="602" t="s">
        <v>225</v>
      </c>
      <c r="EV19" s="602" t="s">
        <v>225</v>
      </c>
      <c r="EW19" s="1354"/>
      <c r="EX19" s="733"/>
      <c r="EY19" s="733"/>
      <c r="EZ19" s="733"/>
      <c r="FA19" s="733"/>
      <c r="FB19" s="770"/>
    </row>
    <row r="20" spans="1:158" s="603" customFormat="1" ht="19.149999999999999" customHeight="1" x14ac:dyDescent="0.2">
      <c r="A20" s="733"/>
      <c r="B20" s="733"/>
      <c r="C20" s="733"/>
      <c r="D20" s="733"/>
      <c r="E20" s="734"/>
      <c r="F20" s="593" t="s">
        <v>42</v>
      </c>
      <c r="G20" s="613"/>
      <c r="H20" s="614"/>
      <c r="I20" s="615"/>
      <c r="J20" s="615"/>
      <c r="K20" s="615"/>
      <c r="L20" s="615"/>
      <c r="M20" s="615"/>
      <c r="N20" s="615"/>
      <c r="O20" s="615"/>
      <c r="P20" s="615"/>
      <c r="Q20" s="615"/>
      <c r="R20" s="615"/>
      <c r="S20" s="615"/>
      <c r="T20" s="615"/>
      <c r="U20" s="615"/>
      <c r="V20" s="615"/>
      <c r="W20" s="598">
        <f t="shared" si="24"/>
        <v>0</v>
      </c>
      <c r="X20" s="598">
        <f t="shared" si="25"/>
        <v>0</v>
      </c>
      <c r="Y20" s="598">
        <f t="shared" si="26"/>
        <v>0</v>
      </c>
      <c r="Z20" s="598">
        <f t="shared" si="27"/>
        <v>0</v>
      </c>
      <c r="AA20" s="598">
        <f t="shared" si="28"/>
        <v>0</v>
      </c>
      <c r="AB20" s="613"/>
      <c r="AC20" s="613"/>
      <c r="AD20" s="613"/>
      <c r="AE20" s="613"/>
      <c r="AF20" s="613"/>
      <c r="AG20" s="619"/>
      <c r="AH20" s="619"/>
      <c r="AI20" s="613"/>
      <c r="AJ20" s="613"/>
      <c r="AK20" s="615"/>
      <c r="AL20" s="615"/>
      <c r="AM20" s="615"/>
      <c r="AN20" s="615"/>
      <c r="AO20" s="615"/>
      <c r="AP20" s="615"/>
      <c r="AQ20" s="615"/>
      <c r="AR20" s="615"/>
      <c r="AS20" s="615"/>
      <c r="AT20" s="615"/>
      <c r="AU20" s="615"/>
      <c r="AV20" s="615"/>
      <c r="AW20" s="615"/>
      <c r="AX20" s="615"/>
      <c r="AY20" s="633"/>
      <c r="AZ20" s="638"/>
      <c r="BA20" s="599">
        <f t="shared" si="29"/>
        <v>0</v>
      </c>
      <c r="BB20" s="599">
        <f t="shared" si="17"/>
        <v>0</v>
      </c>
      <c r="BC20" s="599">
        <f t="shared" si="11"/>
        <v>0</v>
      </c>
      <c r="BD20" s="599">
        <f t="shared" ref="BD20:BD22" si="32">BA20</f>
        <v>0</v>
      </c>
      <c r="BE20" s="599">
        <f t="shared" si="6"/>
        <v>0</v>
      </c>
      <c r="BF20" s="615"/>
      <c r="BG20" s="615"/>
      <c r="BH20" s="615"/>
      <c r="BI20" s="638"/>
      <c r="BJ20" s="1355"/>
      <c r="BK20" s="638"/>
      <c r="BL20" s="638"/>
      <c r="BM20" s="638"/>
      <c r="BN20" s="615"/>
      <c r="BO20" s="615"/>
      <c r="BP20" s="615"/>
      <c r="BQ20" s="615"/>
      <c r="BR20" s="615"/>
      <c r="BS20" s="615"/>
      <c r="BT20" s="615"/>
      <c r="BU20" s="615"/>
      <c r="BV20" s="615"/>
      <c r="BW20" s="615"/>
      <c r="BX20" s="615"/>
      <c r="BY20" s="615"/>
      <c r="BZ20" s="615"/>
      <c r="CA20" s="615"/>
      <c r="CB20" s="615"/>
      <c r="CC20" s="615"/>
      <c r="CD20" s="615"/>
      <c r="CE20" s="597"/>
      <c r="CF20" s="634"/>
      <c r="CG20" s="635"/>
      <c r="CH20" s="624"/>
      <c r="CI20" s="597"/>
      <c r="CJ20" s="615"/>
      <c r="CK20" s="615"/>
      <c r="CL20" s="615"/>
      <c r="CM20" s="615"/>
      <c r="CN20" s="615"/>
      <c r="CO20" s="615"/>
      <c r="CP20" s="615"/>
      <c r="CQ20" s="615"/>
      <c r="CR20" s="615"/>
      <c r="CS20" s="615"/>
      <c r="CT20" s="615"/>
      <c r="CU20" s="615"/>
      <c r="CV20" s="615"/>
      <c r="CW20" s="615"/>
      <c r="CX20" s="615"/>
      <c r="CY20" s="615"/>
      <c r="CZ20" s="615"/>
      <c r="DA20" s="615"/>
      <c r="DB20" s="615"/>
      <c r="DC20" s="615"/>
      <c r="DD20" s="615"/>
      <c r="DE20" s="615"/>
      <c r="DF20" s="615"/>
      <c r="DG20" s="615"/>
      <c r="DH20" s="615"/>
      <c r="DI20" s="597">
        <f>DE20+DC20+DA20+CY20+CW20+CU20+CS20+CQ20+CO20+CM20+CK20+DG20</f>
        <v>0</v>
      </c>
      <c r="DJ20" s="634">
        <f t="shared" si="20"/>
        <v>0</v>
      </c>
      <c r="DK20" s="635">
        <f t="shared" si="21"/>
        <v>0</v>
      </c>
      <c r="DL20" s="624">
        <f>CM20+CO20+CQ20+CS20+CU20+CW20+CY20+DA20+DC20+DE20+DG20</f>
        <v>0</v>
      </c>
      <c r="DM20" s="597">
        <f>CL20+CN20+CP20+CR20</f>
        <v>0</v>
      </c>
      <c r="DN20" s="615"/>
      <c r="DO20" s="615"/>
      <c r="DP20" s="615"/>
      <c r="DQ20" s="615"/>
      <c r="DR20" s="615"/>
      <c r="DS20" s="615"/>
      <c r="DT20" s="615"/>
      <c r="DU20" s="615"/>
      <c r="DV20" s="615"/>
      <c r="DW20" s="615"/>
      <c r="DX20" s="615"/>
      <c r="DY20" s="615"/>
      <c r="DZ20" s="615"/>
      <c r="EA20" s="615"/>
      <c r="EB20" s="615"/>
      <c r="EC20" s="615"/>
      <c r="ED20" s="615"/>
      <c r="EE20" s="615"/>
      <c r="EF20" s="615"/>
      <c r="EG20" s="615"/>
      <c r="EH20" s="615"/>
      <c r="EI20" s="615"/>
      <c r="EJ20" s="615"/>
      <c r="EK20" s="615"/>
      <c r="EL20" s="615"/>
      <c r="EM20" s="597">
        <f>EI20+EG20+EE20+EC20+EA20+DY20+DW20+DU20+DS20+DQ20+DO20+EK20</f>
        <v>0</v>
      </c>
      <c r="EN20" s="634">
        <f t="shared" si="22"/>
        <v>0</v>
      </c>
      <c r="EO20" s="635">
        <f t="shared" si="23"/>
        <v>0</v>
      </c>
      <c r="EP20" s="624">
        <f>DQ20+DS20+DU20+DW20+DY20+EA20+EC20+EE20+EG20+EI20+EK20</f>
        <v>0</v>
      </c>
      <c r="EQ20" s="597">
        <f>DP20+DR20+DT20+DV20</f>
        <v>0</v>
      </c>
      <c r="ER20" s="601" t="e">
        <f t="shared" si="8"/>
        <v>#DIV/0!</v>
      </c>
      <c r="ES20" s="601" t="e">
        <f t="shared" si="30"/>
        <v>#DIV/0!</v>
      </c>
      <c r="ET20" s="602" t="s">
        <v>225</v>
      </c>
      <c r="EU20" s="602" t="s">
        <v>225</v>
      </c>
      <c r="EV20" s="602" t="s">
        <v>225</v>
      </c>
      <c r="EW20" s="1354"/>
      <c r="EX20" s="733"/>
      <c r="EY20" s="733"/>
      <c r="EZ20" s="733"/>
      <c r="FA20" s="733"/>
      <c r="FB20" s="770"/>
    </row>
    <row r="21" spans="1:158" s="603" customFormat="1" ht="19.149999999999999" customHeight="1" x14ac:dyDescent="0.2">
      <c r="A21" s="733"/>
      <c r="B21" s="733"/>
      <c r="C21" s="733"/>
      <c r="D21" s="733"/>
      <c r="E21" s="734"/>
      <c r="F21" s="604" t="s">
        <v>4</v>
      </c>
      <c r="G21" s="605">
        <f>AA21+BD21+BF21+CJ21+DN21</f>
        <v>41858171</v>
      </c>
      <c r="H21" s="636"/>
      <c r="I21" s="637"/>
      <c r="J21" s="637"/>
      <c r="K21" s="637"/>
      <c r="L21" s="637"/>
      <c r="M21" s="637"/>
      <c r="N21" s="637"/>
      <c r="O21" s="637"/>
      <c r="P21" s="637"/>
      <c r="Q21" s="637"/>
      <c r="R21" s="637"/>
      <c r="S21" s="637"/>
      <c r="T21" s="637"/>
      <c r="U21" s="637"/>
      <c r="V21" s="637"/>
      <c r="W21" s="598">
        <f t="shared" si="24"/>
        <v>0</v>
      </c>
      <c r="X21" s="598">
        <f t="shared" si="25"/>
        <v>0</v>
      </c>
      <c r="Y21" s="598">
        <f t="shared" si="26"/>
        <v>0</v>
      </c>
      <c r="Z21" s="598">
        <f t="shared" si="27"/>
        <v>0</v>
      </c>
      <c r="AA21" s="598">
        <f t="shared" si="28"/>
        <v>0</v>
      </c>
      <c r="AB21" s="619">
        <v>41858171</v>
      </c>
      <c r="AC21" s="619">
        <v>0</v>
      </c>
      <c r="AD21" s="619">
        <v>0</v>
      </c>
      <c r="AE21" s="619">
        <v>19427343</v>
      </c>
      <c r="AF21" s="619">
        <v>19427343</v>
      </c>
      <c r="AG21" s="619">
        <f>41858171-AF21</f>
        <v>22430828</v>
      </c>
      <c r="AH21" s="619">
        <v>22430828</v>
      </c>
      <c r="AI21" s="619">
        <f>41858171-AF21-AH21</f>
        <v>0</v>
      </c>
      <c r="AJ21" s="619">
        <v>0</v>
      </c>
      <c r="AK21" s="600">
        <v>0</v>
      </c>
      <c r="AL21" s="600">
        <v>0</v>
      </c>
      <c r="AM21" s="600">
        <v>0</v>
      </c>
      <c r="AN21" s="600">
        <v>0</v>
      </c>
      <c r="AO21" s="600">
        <v>0</v>
      </c>
      <c r="AP21" s="600">
        <v>0</v>
      </c>
      <c r="AQ21" s="607"/>
      <c r="AR21" s="600"/>
      <c r="AS21" s="600"/>
      <c r="AT21" s="600">
        <v>0</v>
      </c>
      <c r="AU21" s="600"/>
      <c r="AV21" s="600">
        <v>0</v>
      </c>
      <c r="AW21" s="600"/>
      <c r="AX21" s="600">
        <v>0</v>
      </c>
      <c r="AY21" s="600"/>
      <c r="AZ21" s="600">
        <v>0</v>
      </c>
      <c r="BA21" s="599">
        <f t="shared" si="29"/>
        <v>41858171</v>
      </c>
      <c r="BB21" s="599">
        <f t="shared" si="17"/>
        <v>41858171</v>
      </c>
      <c r="BC21" s="599">
        <f t="shared" si="11"/>
        <v>41858171</v>
      </c>
      <c r="BD21" s="599">
        <f>BA21</f>
        <v>41858171</v>
      </c>
      <c r="BE21" s="599">
        <f t="shared" si="6"/>
        <v>41858171</v>
      </c>
      <c r="BF21" s="626"/>
      <c r="BG21" s="626"/>
      <c r="BH21" s="626"/>
      <c r="BI21" s="626"/>
      <c r="BJ21" s="626"/>
      <c r="BK21" s="626"/>
      <c r="BL21" s="600"/>
      <c r="BM21" s="600"/>
      <c r="BN21" s="600"/>
      <c r="BO21" s="600"/>
      <c r="BP21" s="600"/>
      <c r="BQ21" s="600"/>
      <c r="BR21" s="600"/>
      <c r="BS21" s="600"/>
      <c r="BT21" s="600"/>
      <c r="BU21" s="600"/>
      <c r="BV21" s="600"/>
      <c r="BW21" s="600"/>
      <c r="BX21" s="600"/>
      <c r="BY21" s="600"/>
      <c r="BZ21" s="600"/>
      <c r="CA21" s="600"/>
      <c r="CB21" s="600"/>
      <c r="CC21" s="600"/>
      <c r="CD21" s="600"/>
      <c r="CE21" s="597"/>
      <c r="CF21" s="610"/>
      <c r="CG21" s="610"/>
      <c r="CH21" s="609"/>
      <c r="CI21" s="610"/>
      <c r="CJ21" s="600"/>
      <c r="CK21" s="600"/>
      <c r="CL21" s="600"/>
      <c r="CM21" s="600"/>
      <c r="CN21" s="600"/>
      <c r="CO21" s="600"/>
      <c r="CP21" s="600"/>
      <c r="CQ21" s="600"/>
      <c r="CR21" s="600"/>
      <c r="CS21" s="600"/>
      <c r="CT21" s="600"/>
      <c r="CU21" s="600"/>
      <c r="CV21" s="600"/>
      <c r="CW21" s="600"/>
      <c r="CX21" s="600"/>
      <c r="CY21" s="600"/>
      <c r="CZ21" s="600"/>
      <c r="DA21" s="600"/>
      <c r="DB21" s="600"/>
      <c r="DC21" s="600"/>
      <c r="DD21" s="600"/>
      <c r="DE21" s="600"/>
      <c r="DF21" s="600"/>
      <c r="DG21" s="600"/>
      <c r="DH21" s="600"/>
      <c r="DI21" s="597"/>
      <c r="DJ21" s="610"/>
      <c r="DK21" s="610"/>
      <c r="DL21" s="609"/>
      <c r="DM21" s="610"/>
      <c r="DN21" s="600"/>
      <c r="DO21" s="600"/>
      <c r="DP21" s="600"/>
      <c r="DQ21" s="600"/>
      <c r="DR21" s="600"/>
      <c r="DS21" s="600"/>
      <c r="DT21" s="600"/>
      <c r="DU21" s="600"/>
      <c r="DV21" s="600"/>
      <c r="DW21" s="600"/>
      <c r="DX21" s="600"/>
      <c r="DY21" s="600"/>
      <c r="DZ21" s="600"/>
      <c r="EA21" s="600"/>
      <c r="EB21" s="600"/>
      <c r="EC21" s="600"/>
      <c r="ED21" s="600"/>
      <c r="EE21" s="600"/>
      <c r="EF21" s="600"/>
      <c r="EG21" s="600"/>
      <c r="EH21" s="600"/>
      <c r="EI21" s="600"/>
      <c r="EJ21" s="600"/>
      <c r="EK21" s="600"/>
      <c r="EL21" s="600"/>
      <c r="EM21" s="597">
        <f>EI21+EG21+EE21+EC21+EA21+DY21+DW21+DU21+DS21+DQ21+DO21+EK21</f>
        <v>0</v>
      </c>
      <c r="EN21" s="610">
        <f t="shared" si="22"/>
        <v>0</v>
      </c>
      <c r="EO21" s="610">
        <f t="shared" si="23"/>
        <v>0</v>
      </c>
      <c r="EP21" s="609">
        <f>DQ21+DS21+DU21+DW21+DY21+EA21+EC21+EE21+EG21+EI21+EK21+DO21</f>
        <v>0</v>
      </c>
      <c r="EQ21" s="610">
        <f>DP21+DR21+DT21+DV21</f>
        <v>0</v>
      </c>
      <c r="ER21" s="601" t="e">
        <f t="shared" si="8"/>
        <v>#DIV/0!</v>
      </c>
      <c r="ES21" s="601">
        <f t="shared" si="30"/>
        <v>1</v>
      </c>
      <c r="ET21" s="601">
        <f t="shared" ref="ET21:ET23" si="33">BE21/BD21</f>
        <v>1</v>
      </c>
      <c r="EU21" s="602" t="s">
        <v>225</v>
      </c>
      <c r="EV21" s="601">
        <f t="shared" ref="EV21:EV23" si="34">BE21/G21</f>
        <v>1</v>
      </c>
      <c r="EW21" s="1354"/>
      <c r="EX21" s="733"/>
      <c r="EY21" s="733"/>
      <c r="EZ21" s="733"/>
      <c r="FA21" s="733"/>
      <c r="FB21" s="770"/>
    </row>
    <row r="22" spans="1:158" s="603" customFormat="1" ht="19.149999999999999" customHeight="1" thickBot="1" x14ac:dyDescent="0.25">
      <c r="A22" s="733"/>
      <c r="B22" s="733"/>
      <c r="C22" s="733"/>
      <c r="D22" s="733"/>
      <c r="E22" s="734"/>
      <c r="F22" s="593" t="s">
        <v>43</v>
      </c>
      <c r="G22" s="1369">
        <v>400</v>
      </c>
      <c r="H22" s="1370">
        <v>20</v>
      </c>
      <c r="I22" s="1371"/>
      <c r="J22" s="1371"/>
      <c r="K22" s="1371">
        <v>20</v>
      </c>
      <c r="L22" s="1371">
        <v>0</v>
      </c>
      <c r="M22" s="1371">
        <v>20</v>
      </c>
      <c r="N22" s="1408">
        <v>0</v>
      </c>
      <c r="O22" s="1371">
        <v>20</v>
      </c>
      <c r="P22" s="1408">
        <v>2</v>
      </c>
      <c r="Q22" s="1371">
        <v>20</v>
      </c>
      <c r="R22" s="1409">
        <v>6</v>
      </c>
      <c r="S22" s="1371">
        <v>20</v>
      </c>
      <c r="T22" s="1410">
        <v>12</v>
      </c>
      <c r="U22" s="1369">
        <v>20</v>
      </c>
      <c r="V22" s="1369">
        <v>20</v>
      </c>
      <c r="W22" s="1375">
        <f t="shared" si="24"/>
        <v>20</v>
      </c>
      <c r="X22" s="1375">
        <f t="shared" si="25"/>
        <v>20</v>
      </c>
      <c r="Y22" s="1375">
        <f t="shared" si="26"/>
        <v>20</v>
      </c>
      <c r="Z22" s="1375">
        <f t="shared" si="27"/>
        <v>20</v>
      </c>
      <c r="AA22" s="1375">
        <f t="shared" si="28"/>
        <v>20</v>
      </c>
      <c r="AB22" s="1369">
        <v>77</v>
      </c>
      <c r="AC22" s="1369">
        <v>5</v>
      </c>
      <c r="AD22" s="1369">
        <v>5</v>
      </c>
      <c r="AE22" s="1369">
        <v>6</v>
      </c>
      <c r="AF22" s="1369">
        <v>6</v>
      </c>
      <c r="AG22" s="1369">
        <v>7</v>
      </c>
      <c r="AH22" s="1369">
        <v>7</v>
      </c>
      <c r="AI22" s="1369">
        <v>7</v>
      </c>
      <c r="AJ22" s="1369">
        <v>7</v>
      </c>
      <c r="AK22" s="1376">
        <v>7</v>
      </c>
      <c r="AL22" s="1376">
        <v>7</v>
      </c>
      <c r="AM22" s="1376">
        <v>7</v>
      </c>
      <c r="AN22" s="1376">
        <f>+AN17</f>
        <v>7</v>
      </c>
      <c r="AO22" s="1376">
        <v>7</v>
      </c>
      <c r="AP22" s="1376">
        <v>7</v>
      </c>
      <c r="AQ22" s="1376">
        <v>7</v>
      </c>
      <c r="AR22" s="1376">
        <v>7</v>
      </c>
      <c r="AS22" s="1376">
        <v>7</v>
      </c>
      <c r="AT22" s="1376">
        <v>7</v>
      </c>
      <c r="AU22" s="1376">
        <v>6</v>
      </c>
      <c r="AV22" s="1376">
        <v>7</v>
      </c>
      <c r="AW22" s="1376">
        <v>6</v>
      </c>
      <c r="AX22" s="1376">
        <v>5</v>
      </c>
      <c r="AY22" s="1376">
        <v>5</v>
      </c>
      <c r="AZ22" s="1376">
        <v>6</v>
      </c>
      <c r="BA22" s="1381">
        <f t="shared" si="29"/>
        <v>77</v>
      </c>
      <c r="BB22" s="1381">
        <f t="shared" si="17"/>
        <v>77</v>
      </c>
      <c r="BC22" s="1381">
        <f t="shared" si="11"/>
        <v>78</v>
      </c>
      <c r="BD22" s="1381">
        <f t="shared" si="32"/>
        <v>77</v>
      </c>
      <c r="BE22" s="1381">
        <f t="shared" si="6"/>
        <v>78</v>
      </c>
      <c r="BF22" s="1380">
        <v>100</v>
      </c>
      <c r="BG22" s="1380"/>
      <c r="BH22" s="1380"/>
      <c r="BI22" s="1380"/>
      <c r="BJ22" s="1380"/>
      <c r="BK22" s="1380"/>
      <c r="BL22" s="1380"/>
      <c r="BM22" s="1380"/>
      <c r="BN22" s="1380"/>
      <c r="BO22" s="1380"/>
      <c r="BP22" s="1380"/>
      <c r="BQ22" s="1380"/>
      <c r="BR22" s="1380"/>
      <c r="BS22" s="1380"/>
      <c r="BT22" s="1380"/>
      <c r="BU22" s="1380"/>
      <c r="BV22" s="1380"/>
      <c r="BW22" s="1380"/>
      <c r="BX22" s="1380"/>
      <c r="BY22" s="1380"/>
      <c r="BZ22" s="1380"/>
      <c r="CA22" s="1380"/>
      <c r="CB22" s="1380"/>
      <c r="CC22" s="1380"/>
      <c r="CD22" s="1380"/>
      <c r="CE22" s="1382"/>
      <c r="CF22" s="1385"/>
      <c r="CG22" s="1385"/>
      <c r="CH22" s="1386"/>
      <c r="CI22" s="1385"/>
      <c r="CJ22" s="1380">
        <v>142</v>
      </c>
      <c r="CK22" s="1380"/>
      <c r="CL22" s="1380"/>
      <c r="CM22" s="1380"/>
      <c r="CN22" s="1380"/>
      <c r="CO22" s="1380"/>
      <c r="CP22" s="1380"/>
      <c r="CQ22" s="1380"/>
      <c r="CR22" s="1380"/>
      <c r="CS22" s="1380"/>
      <c r="CT22" s="1380"/>
      <c r="CU22" s="1380"/>
      <c r="CV22" s="1380"/>
      <c r="CW22" s="1380"/>
      <c r="CX22" s="1380"/>
      <c r="CY22" s="1380"/>
      <c r="CZ22" s="1380"/>
      <c r="DA22" s="1380"/>
      <c r="DB22" s="1380"/>
      <c r="DC22" s="1380"/>
      <c r="DD22" s="1380"/>
      <c r="DE22" s="1380"/>
      <c r="DF22" s="1380"/>
      <c r="DG22" s="1380"/>
      <c r="DH22" s="1380"/>
      <c r="DI22" s="1382">
        <v>0</v>
      </c>
      <c r="DJ22" s="1385">
        <v>0</v>
      </c>
      <c r="DK22" s="1385">
        <v>0</v>
      </c>
      <c r="DL22" s="1386">
        <v>0</v>
      </c>
      <c r="DM22" s="1385">
        <v>0</v>
      </c>
      <c r="DN22" s="1380">
        <v>61</v>
      </c>
      <c r="DO22" s="1376"/>
      <c r="DP22" s="1376"/>
      <c r="DQ22" s="1376"/>
      <c r="DR22" s="1376"/>
      <c r="DS22" s="1376"/>
      <c r="DT22" s="1376"/>
      <c r="DU22" s="1376"/>
      <c r="DV22" s="1376"/>
      <c r="DW22" s="1376"/>
      <c r="DX22" s="1376"/>
      <c r="DY22" s="1376"/>
      <c r="DZ22" s="1376"/>
      <c r="EA22" s="1376"/>
      <c r="EB22" s="1376"/>
      <c r="EC22" s="1376"/>
      <c r="ED22" s="1376"/>
      <c r="EE22" s="1376"/>
      <c r="EF22" s="1376"/>
      <c r="EG22" s="1376"/>
      <c r="EH22" s="1376"/>
      <c r="EI22" s="1376"/>
      <c r="EJ22" s="1376"/>
      <c r="EK22" s="1376"/>
      <c r="EL22" s="1376"/>
      <c r="EM22" s="1382">
        <f>EI22+EG22+EE22+EC22+EA22+DY22+DW22+DU22+DS22+DQ22+DO22+EK22</f>
        <v>0</v>
      </c>
      <c r="EN22" s="1385">
        <f t="shared" si="22"/>
        <v>0</v>
      </c>
      <c r="EO22" s="1385">
        <f t="shared" si="23"/>
        <v>0</v>
      </c>
      <c r="EP22" s="1386">
        <f>DQ22+DS22+DU22+DW22+DY22+EA22+EC22+EE22+EG22+EI22+EK22+DO22</f>
        <v>0</v>
      </c>
      <c r="EQ22" s="1385">
        <f>DR22+DT22+DV22+DP22</f>
        <v>0</v>
      </c>
      <c r="ER22" s="1387">
        <f t="shared" si="8"/>
        <v>1.1666666666666667</v>
      </c>
      <c r="ES22" s="1387">
        <f t="shared" si="30"/>
        <v>1.0129870129870129</v>
      </c>
      <c r="ET22" s="1387">
        <f t="shared" si="33"/>
        <v>1.0129870129870129</v>
      </c>
      <c r="EU22" s="1388" t="s">
        <v>225</v>
      </c>
      <c r="EV22" s="1387">
        <f t="shared" si="34"/>
        <v>0.19500000000000001</v>
      </c>
      <c r="EW22" s="1354"/>
      <c r="EX22" s="733"/>
      <c r="EY22" s="733"/>
      <c r="EZ22" s="733"/>
      <c r="FA22" s="733"/>
      <c r="FB22" s="770"/>
    </row>
    <row r="23" spans="1:158" s="640" customFormat="1" ht="19.149999999999999" customHeight="1" thickBot="1" x14ac:dyDescent="0.25">
      <c r="A23" s="733"/>
      <c r="B23" s="733"/>
      <c r="C23" s="733"/>
      <c r="D23" s="733"/>
      <c r="E23" s="734"/>
      <c r="F23" s="1367" t="s">
        <v>45</v>
      </c>
      <c r="G23" s="1392">
        <v>1279021000</v>
      </c>
      <c r="H23" s="1393">
        <v>151328000</v>
      </c>
      <c r="I23" s="1394"/>
      <c r="J23" s="1395"/>
      <c r="K23" s="1394">
        <v>151328000</v>
      </c>
      <c r="L23" s="1394">
        <v>0</v>
      </c>
      <c r="M23" s="1394">
        <v>142884000</v>
      </c>
      <c r="N23" s="1394">
        <v>71774000</v>
      </c>
      <c r="O23" s="1394">
        <v>142884000</v>
      </c>
      <c r="P23" s="1394">
        <v>71774000</v>
      </c>
      <c r="Q23" s="1394">
        <v>140462163</v>
      </c>
      <c r="R23" s="1394">
        <v>71774000</v>
      </c>
      <c r="S23" s="1396">
        <v>140462163</v>
      </c>
      <c r="T23" s="1460">
        <v>121774000</v>
      </c>
      <c r="U23" s="1394">
        <v>140462163</v>
      </c>
      <c r="V23" s="1394">
        <v>138662000</v>
      </c>
      <c r="W23" s="1399">
        <f t="shared" si="24"/>
        <v>151328000</v>
      </c>
      <c r="X23" s="1399">
        <f t="shared" si="25"/>
        <v>151328000</v>
      </c>
      <c r="Y23" s="1399">
        <f t="shared" si="26"/>
        <v>138662000</v>
      </c>
      <c r="Z23" s="1399">
        <f t="shared" si="27"/>
        <v>140462163</v>
      </c>
      <c r="AA23" s="1399">
        <f t="shared" si="28"/>
        <v>138662000</v>
      </c>
      <c r="AB23" s="1400">
        <f>+AB18+AB21</f>
        <v>239988171</v>
      </c>
      <c r="AC23" s="1400">
        <f>+AC18+AC21</f>
        <v>0</v>
      </c>
      <c r="AD23" s="1400">
        <f>+AD18+AD21</f>
        <v>0</v>
      </c>
      <c r="AE23" s="1400">
        <f>+AE18+AE21</f>
        <v>149117343</v>
      </c>
      <c r="AF23" s="1400">
        <f t="shared" ref="AF23:AZ23" si="35">+AF18+AF21</f>
        <v>149117343</v>
      </c>
      <c r="AG23" s="1400">
        <f t="shared" si="35"/>
        <v>61337828</v>
      </c>
      <c r="AH23" s="1400">
        <f t="shared" si="35"/>
        <v>61337828</v>
      </c>
      <c r="AI23" s="1400">
        <f t="shared" si="35"/>
        <v>0</v>
      </c>
      <c r="AJ23" s="1400">
        <f t="shared" si="35"/>
        <v>0</v>
      </c>
      <c r="AK23" s="1400">
        <f t="shared" si="35"/>
        <v>0</v>
      </c>
      <c r="AL23" s="1400">
        <f t="shared" si="35"/>
        <v>0</v>
      </c>
      <c r="AM23" s="1400">
        <f t="shared" si="35"/>
        <v>0</v>
      </c>
      <c r="AN23" s="1400">
        <f t="shared" si="35"/>
        <v>0</v>
      </c>
      <c r="AO23" s="1400">
        <f t="shared" si="35"/>
        <v>0</v>
      </c>
      <c r="AP23" s="1400">
        <f t="shared" si="35"/>
        <v>0</v>
      </c>
      <c r="AQ23" s="1400">
        <f t="shared" si="35"/>
        <v>0</v>
      </c>
      <c r="AR23" s="1400">
        <v>0</v>
      </c>
      <c r="AS23" s="1400">
        <f t="shared" si="35"/>
        <v>4323000</v>
      </c>
      <c r="AT23" s="1400">
        <f t="shared" si="35"/>
        <v>0</v>
      </c>
      <c r="AU23" s="1400">
        <f t="shared" si="35"/>
        <v>0</v>
      </c>
      <c r="AV23" s="1400">
        <f t="shared" si="35"/>
        <v>0</v>
      </c>
      <c r="AW23" s="1400">
        <f t="shared" si="35"/>
        <v>0</v>
      </c>
      <c r="AX23" s="1400">
        <f t="shared" si="35"/>
        <v>0</v>
      </c>
      <c r="AY23" s="1400">
        <f t="shared" si="35"/>
        <v>0</v>
      </c>
      <c r="AZ23" s="1400">
        <f t="shared" si="35"/>
        <v>4323000</v>
      </c>
      <c r="BA23" s="1401">
        <f>AY23+AW23+AU23+AS23+AQ23+AO23+AM23+AK23+AI23+AG23+AE23+AC23</f>
        <v>214778171</v>
      </c>
      <c r="BB23" s="1431">
        <f t="shared" si="17"/>
        <v>214778171</v>
      </c>
      <c r="BC23" s="1401">
        <f t="shared" si="11"/>
        <v>214778171</v>
      </c>
      <c r="BD23" s="1401">
        <f t="shared" ref="BD23" si="36">+BD18+BD21</f>
        <v>214778171</v>
      </c>
      <c r="BE23" s="1401">
        <f t="shared" si="6"/>
        <v>214778171</v>
      </c>
      <c r="BF23" s="1394">
        <v>361141000</v>
      </c>
      <c r="BG23" s="1402"/>
      <c r="BH23" s="1402"/>
      <c r="BI23" s="1402"/>
      <c r="BJ23" s="1402"/>
      <c r="BK23" s="1402"/>
      <c r="BL23" s="1402"/>
      <c r="BM23" s="1402"/>
      <c r="BN23" s="1402"/>
      <c r="BO23" s="1402"/>
      <c r="BP23" s="1402"/>
      <c r="BQ23" s="1402"/>
      <c r="BR23" s="1402"/>
      <c r="BS23" s="1402"/>
      <c r="BT23" s="1402"/>
      <c r="BU23" s="1402"/>
      <c r="BV23" s="1402"/>
      <c r="BW23" s="1402"/>
      <c r="BX23" s="1402"/>
      <c r="BY23" s="1402"/>
      <c r="BZ23" s="1402"/>
      <c r="CA23" s="1402"/>
      <c r="CB23" s="1402"/>
      <c r="CC23" s="1402"/>
      <c r="CD23" s="1402"/>
      <c r="CE23" s="1401"/>
      <c r="CF23" s="1403"/>
      <c r="CG23" s="1404"/>
      <c r="CH23" s="1403"/>
      <c r="CI23" s="1403"/>
      <c r="CJ23" s="1398">
        <v>371274000</v>
      </c>
      <c r="CK23" s="1398"/>
      <c r="CL23" s="1398"/>
      <c r="CM23" s="1398"/>
      <c r="CN23" s="1398"/>
      <c r="CO23" s="1398"/>
      <c r="CP23" s="1398"/>
      <c r="CQ23" s="1398"/>
      <c r="CR23" s="1398"/>
      <c r="CS23" s="1398"/>
      <c r="CT23" s="1398"/>
      <c r="CU23" s="1398"/>
      <c r="CV23" s="1398"/>
      <c r="CW23" s="1398"/>
      <c r="CX23" s="1398"/>
      <c r="CY23" s="1398"/>
      <c r="CZ23" s="1398"/>
      <c r="DA23" s="1398"/>
      <c r="DB23" s="1398"/>
      <c r="DC23" s="1398"/>
      <c r="DD23" s="1398"/>
      <c r="DE23" s="1398"/>
      <c r="DF23" s="1398"/>
      <c r="DG23" s="1398"/>
      <c r="DH23" s="1398"/>
      <c r="DI23" s="1401">
        <v>0</v>
      </c>
      <c r="DJ23" s="1403">
        <v>0</v>
      </c>
      <c r="DK23" s="1404">
        <v>0</v>
      </c>
      <c r="DL23" s="1403">
        <v>0</v>
      </c>
      <c r="DM23" s="1403">
        <v>0</v>
      </c>
      <c r="DN23" s="1398">
        <v>209814000</v>
      </c>
      <c r="DO23" s="1398"/>
      <c r="DP23" s="1398"/>
      <c r="DQ23" s="1398"/>
      <c r="DR23" s="1398"/>
      <c r="DS23" s="1398"/>
      <c r="DT23" s="1398"/>
      <c r="DU23" s="1398"/>
      <c r="DV23" s="1398"/>
      <c r="DW23" s="1398"/>
      <c r="DX23" s="1398"/>
      <c r="DY23" s="1398"/>
      <c r="DZ23" s="1398"/>
      <c r="EA23" s="1398"/>
      <c r="EB23" s="1398"/>
      <c r="EC23" s="1398"/>
      <c r="ED23" s="1398"/>
      <c r="EE23" s="1398"/>
      <c r="EF23" s="1398"/>
      <c r="EG23" s="1398"/>
      <c r="EH23" s="1398"/>
      <c r="EI23" s="1398"/>
      <c r="EJ23" s="1398"/>
      <c r="EK23" s="1398"/>
      <c r="EL23" s="1398"/>
      <c r="EM23" s="1401">
        <f>EK23+EI23+EG23+EE23+EC23+EA23+DY23+DW23+DU23+DS23+DQ23+DO23</f>
        <v>0</v>
      </c>
      <c r="EN23" s="1403">
        <f>+EN18+EN21</f>
        <v>0</v>
      </c>
      <c r="EO23" s="1404">
        <f>EO18+EO21</f>
        <v>0</v>
      </c>
      <c r="EP23" s="1403">
        <f>+EP18+EP21</f>
        <v>0</v>
      </c>
      <c r="EQ23" s="1403">
        <f>+EQ18+EQ21</f>
        <v>0</v>
      </c>
      <c r="ER23" s="1405" t="e">
        <f t="shared" si="8"/>
        <v>#DIV/0!</v>
      </c>
      <c r="ES23" s="1405">
        <f t="shared" si="30"/>
        <v>1</v>
      </c>
      <c r="ET23" s="1405">
        <f t="shared" si="33"/>
        <v>1</v>
      </c>
      <c r="EU23" s="1406" t="s">
        <v>225</v>
      </c>
      <c r="EV23" s="1407">
        <f t="shared" si="34"/>
        <v>0.16792388162508667</v>
      </c>
      <c r="EW23" s="1368"/>
      <c r="EX23" s="733"/>
      <c r="EY23" s="733"/>
      <c r="EZ23" s="733"/>
      <c r="FA23" s="733"/>
      <c r="FB23" s="770"/>
    </row>
    <row r="24" spans="1:158" s="603" customFormat="1" ht="19.149999999999999" customHeight="1" x14ac:dyDescent="0.2">
      <c r="A24" s="733"/>
      <c r="B24" s="733">
        <v>3</v>
      </c>
      <c r="C24" s="733" t="s">
        <v>289</v>
      </c>
      <c r="D24" s="733" t="s">
        <v>276</v>
      </c>
      <c r="E24" s="734">
        <v>201</v>
      </c>
      <c r="F24" s="593" t="s">
        <v>41</v>
      </c>
      <c r="G24" s="1411">
        <v>20000</v>
      </c>
      <c r="H24" s="1434">
        <v>2500</v>
      </c>
      <c r="I24" s="1413"/>
      <c r="J24" s="1413"/>
      <c r="K24" s="1413">
        <v>2500</v>
      </c>
      <c r="L24" s="1424">
        <v>0</v>
      </c>
      <c r="M24" s="1413">
        <v>2500</v>
      </c>
      <c r="N24" s="1414">
        <v>741</v>
      </c>
      <c r="O24" s="1413">
        <v>2500</v>
      </c>
      <c r="P24" s="1414">
        <v>1257</v>
      </c>
      <c r="Q24" s="1413">
        <v>2500</v>
      </c>
      <c r="R24" s="1420">
        <v>1908</v>
      </c>
      <c r="S24" s="1435">
        <v>2500</v>
      </c>
      <c r="T24" s="1427">
        <v>2210</v>
      </c>
      <c r="U24" s="1426">
        <v>2500</v>
      </c>
      <c r="V24" s="1413">
        <v>2500</v>
      </c>
      <c r="W24" s="1419">
        <f t="shared" si="24"/>
        <v>2500</v>
      </c>
      <c r="X24" s="1419">
        <f t="shared" si="25"/>
        <v>2500</v>
      </c>
      <c r="Y24" s="1419">
        <f t="shared" si="26"/>
        <v>2500</v>
      </c>
      <c r="Z24" s="1419">
        <f t="shared" si="27"/>
        <v>2500</v>
      </c>
      <c r="AA24" s="1419">
        <f t="shared" si="28"/>
        <v>2500</v>
      </c>
      <c r="AB24" s="1411">
        <v>3500</v>
      </c>
      <c r="AC24" s="1411">
        <v>246</v>
      </c>
      <c r="AD24" s="1411">
        <v>246</v>
      </c>
      <c r="AE24" s="1413">
        <v>301</v>
      </c>
      <c r="AF24" s="1414">
        <v>301</v>
      </c>
      <c r="AG24" s="1413">
        <v>296</v>
      </c>
      <c r="AH24" s="1414">
        <v>296</v>
      </c>
      <c r="AI24" s="1414">
        <v>300</v>
      </c>
      <c r="AJ24" s="1414">
        <v>300</v>
      </c>
      <c r="AK24" s="1414">
        <v>320</v>
      </c>
      <c r="AL24" s="1414">
        <v>320</v>
      </c>
      <c r="AM24" s="1414">
        <v>297</v>
      </c>
      <c r="AN24" s="1414">
        <v>297</v>
      </c>
      <c r="AO24" s="1414">
        <v>290</v>
      </c>
      <c r="AP24" s="1414">
        <v>293</v>
      </c>
      <c r="AQ24" s="1416">
        <v>290</v>
      </c>
      <c r="AR24" s="1414">
        <v>311</v>
      </c>
      <c r="AS24" s="1414">
        <v>290</v>
      </c>
      <c r="AT24" s="1414">
        <v>295</v>
      </c>
      <c r="AU24" s="1414">
        <v>290</v>
      </c>
      <c r="AV24" s="1414">
        <v>292</v>
      </c>
      <c r="AW24" s="1414">
        <v>290</v>
      </c>
      <c r="AX24" s="1414">
        <v>291</v>
      </c>
      <c r="AY24" s="1414">
        <v>290</v>
      </c>
      <c r="AZ24" s="1418">
        <v>298</v>
      </c>
      <c r="BA24" s="1422">
        <f>AY24+AW24+AU24+AS24+AO24+AM24+AK24+AI24+AG24+AE24+AC24+AQ24</f>
        <v>3500</v>
      </c>
      <c r="BB24" s="1422">
        <f t="shared" si="17"/>
        <v>3500</v>
      </c>
      <c r="BC24" s="1422">
        <f t="shared" si="11"/>
        <v>3540</v>
      </c>
      <c r="BD24" s="1422">
        <v>3540</v>
      </c>
      <c r="BE24" s="1422">
        <f>AF24+AH24+AJ24+AL24+AD24+AN24+AP24+AR24+AT24+AV24+AX24+AZ24</f>
        <v>3540</v>
      </c>
      <c r="BF24" s="1413">
        <v>5000</v>
      </c>
      <c r="BG24" s="1418"/>
      <c r="BH24" s="1414"/>
      <c r="BI24" s="1413"/>
      <c r="BJ24" s="1426"/>
      <c r="BK24" s="1426"/>
      <c r="BL24" s="1426"/>
      <c r="BM24" s="1426"/>
      <c r="BN24" s="1413"/>
      <c r="BO24" s="1413"/>
      <c r="BP24" s="1413"/>
      <c r="BQ24" s="1413"/>
      <c r="BR24" s="1413"/>
      <c r="BS24" s="1413"/>
      <c r="BT24" s="1413"/>
      <c r="BU24" s="1413"/>
      <c r="BV24" s="1413"/>
      <c r="BW24" s="1413"/>
      <c r="BX24" s="1413"/>
      <c r="BY24" s="1413"/>
      <c r="BZ24" s="1413"/>
      <c r="CA24" s="1413"/>
      <c r="CB24" s="1413"/>
      <c r="CC24" s="1414"/>
      <c r="CD24" s="1413"/>
      <c r="CE24" s="1411"/>
      <c r="CF24" s="1424"/>
      <c r="CG24" s="1427"/>
      <c r="CH24" s="1428"/>
      <c r="CI24" s="1423"/>
      <c r="CJ24" s="1413">
        <f>6000-40</f>
        <v>5960</v>
      </c>
      <c r="CK24" s="1413"/>
      <c r="CL24" s="1413"/>
      <c r="CM24" s="1413"/>
      <c r="CN24" s="1413"/>
      <c r="CO24" s="1413"/>
      <c r="CP24" s="1413"/>
      <c r="CQ24" s="1413"/>
      <c r="CR24" s="1413"/>
      <c r="CS24" s="1413"/>
      <c r="CT24" s="1413"/>
      <c r="CU24" s="1413"/>
      <c r="CV24" s="1413"/>
      <c r="CW24" s="1413"/>
      <c r="CX24" s="1413"/>
      <c r="CY24" s="1413"/>
      <c r="CZ24" s="1413"/>
      <c r="DA24" s="1413"/>
      <c r="DB24" s="1413"/>
      <c r="DC24" s="1413"/>
      <c r="DD24" s="1413"/>
      <c r="DE24" s="1413"/>
      <c r="DF24" s="1413"/>
      <c r="DG24" s="1413"/>
      <c r="DH24" s="1413"/>
      <c r="DI24" s="1411">
        <f>DG24+DE24+DC24+DA24+CY24+CW24+CU24+CS24+CQ24+CO24+CM24+CK24</f>
        <v>0</v>
      </c>
      <c r="DJ24" s="1424">
        <f t="shared" ref="DJ24:DJ27" si="37">CK24+CM24+CO24+CQ24</f>
        <v>0</v>
      </c>
      <c r="DK24" s="1427">
        <f t="shared" ref="DK24:DK27" si="38">CL24+CN24+CP24+CR24</f>
        <v>0</v>
      </c>
      <c r="DL24" s="1428">
        <f>CM24+CO24+CQ24+CS24+CU24+CW24+CY24+DA24+DC24+DE24+DG24+CK24</f>
        <v>0</v>
      </c>
      <c r="DM24" s="1423">
        <f>CL24+CN24+CP24+CR24</f>
        <v>0</v>
      </c>
      <c r="DN24" s="1413">
        <v>3000</v>
      </c>
      <c r="DO24" s="1413"/>
      <c r="DP24" s="1413"/>
      <c r="DQ24" s="1413"/>
      <c r="DR24" s="1413"/>
      <c r="DS24" s="1413"/>
      <c r="DT24" s="1413"/>
      <c r="DU24" s="1413"/>
      <c r="DV24" s="1413"/>
      <c r="DW24" s="1413"/>
      <c r="DX24" s="1413"/>
      <c r="DY24" s="1413"/>
      <c r="DZ24" s="1413"/>
      <c r="EA24" s="1413"/>
      <c r="EB24" s="1413"/>
      <c r="EC24" s="1413"/>
      <c r="ED24" s="1413"/>
      <c r="EE24" s="1413"/>
      <c r="EF24" s="1413"/>
      <c r="EG24" s="1426"/>
      <c r="EH24" s="1426"/>
      <c r="EI24" s="1426"/>
      <c r="EJ24" s="1426"/>
      <c r="EK24" s="1426"/>
      <c r="EL24" s="1426"/>
      <c r="EM24" s="1411">
        <f>EK24+EI24+EG24+EE24+EC24+EA24+DY24+DW24+DU24+DS24+DQ24+DO24</f>
        <v>0</v>
      </c>
      <c r="EN24" s="1424">
        <f t="shared" ref="EN24:EN28" si="39">DO24+DQ24+DS24+DU24</f>
        <v>0</v>
      </c>
      <c r="EO24" s="1427">
        <f t="shared" ref="EO24:EO29" si="40">DP24+DR24+DT24+DV24</f>
        <v>0</v>
      </c>
      <c r="EP24" s="1428">
        <f>DQ24+DS24+DU24+DW24+DY24+EA24+EC24+EE24+EG24+EI24+EK24+DO24</f>
        <v>0</v>
      </c>
      <c r="EQ24" s="1423">
        <f>DP24+DR24+DT24+DV24</f>
        <v>0</v>
      </c>
      <c r="ER24" s="1429">
        <f t="shared" si="8"/>
        <v>1.0068965517241379</v>
      </c>
      <c r="ES24" s="1429">
        <f>BC24/BB24</f>
        <v>1.0114285714285713</v>
      </c>
      <c r="ET24" s="1429">
        <f>BE24/BD24</f>
        <v>1</v>
      </c>
      <c r="EU24" s="1430">
        <f>(BC24+AA24)/(Z24+BB24)</f>
        <v>1.0066666666666666</v>
      </c>
      <c r="EV24" s="1429">
        <f>(BC24+AA24)/G24</f>
        <v>0.30199999999999999</v>
      </c>
      <c r="EW24" s="1354" t="s">
        <v>1080</v>
      </c>
      <c r="EX24" s="733" t="s">
        <v>70</v>
      </c>
      <c r="EY24" s="733" t="s">
        <v>70</v>
      </c>
      <c r="EZ24" s="733" t="s">
        <v>623</v>
      </c>
      <c r="FA24" s="733" t="s">
        <v>621</v>
      </c>
      <c r="FB24" s="770"/>
    </row>
    <row r="25" spans="1:158" s="611" customFormat="1" ht="19.149999999999999" customHeight="1" x14ac:dyDescent="0.2">
      <c r="A25" s="733"/>
      <c r="B25" s="733"/>
      <c r="C25" s="733"/>
      <c r="D25" s="733"/>
      <c r="E25" s="734"/>
      <c r="F25" s="604" t="s">
        <v>3</v>
      </c>
      <c r="G25" s="605">
        <f>AA25+BD25+BF25+CJ25+DN25</f>
        <v>406429000</v>
      </c>
      <c r="H25" s="644">
        <v>24546000</v>
      </c>
      <c r="I25" s="607"/>
      <c r="J25" s="600"/>
      <c r="K25" s="607">
        <v>24546000</v>
      </c>
      <c r="L25" s="600">
        <v>0</v>
      </c>
      <c r="M25" s="607">
        <v>24546000</v>
      </c>
      <c r="N25" s="600">
        <v>10624000</v>
      </c>
      <c r="O25" s="607">
        <v>24546000</v>
      </c>
      <c r="P25" s="600">
        <v>10624000</v>
      </c>
      <c r="Q25" s="607">
        <v>13280000</v>
      </c>
      <c r="R25" s="600">
        <v>10624000</v>
      </c>
      <c r="S25" s="607">
        <v>13280000</v>
      </c>
      <c r="T25" s="645">
        <v>10624000</v>
      </c>
      <c r="U25" s="646">
        <v>13280000</v>
      </c>
      <c r="V25" s="646">
        <v>13280000</v>
      </c>
      <c r="W25" s="598">
        <f t="shared" si="24"/>
        <v>24546000</v>
      </c>
      <c r="X25" s="598">
        <f t="shared" si="25"/>
        <v>24546000</v>
      </c>
      <c r="Y25" s="598">
        <f t="shared" si="26"/>
        <v>13280000</v>
      </c>
      <c r="Z25" s="598">
        <f t="shared" si="27"/>
        <v>13280000</v>
      </c>
      <c r="AA25" s="598">
        <f t="shared" si="28"/>
        <v>13280000</v>
      </c>
      <c r="AB25" s="605">
        <v>34285000</v>
      </c>
      <c r="AC25" s="605">
        <v>0</v>
      </c>
      <c r="AD25" s="605">
        <v>0</v>
      </c>
      <c r="AE25" s="646">
        <v>27200000</v>
      </c>
      <c r="AF25" s="600">
        <v>27200000</v>
      </c>
      <c r="AG25" s="600">
        <v>0</v>
      </c>
      <c r="AH25" s="600">
        <v>0</v>
      </c>
      <c r="AI25" s="600">
        <v>0</v>
      </c>
      <c r="AJ25" s="600">
        <v>0</v>
      </c>
      <c r="AK25" s="600">
        <v>0</v>
      </c>
      <c r="AL25" s="600">
        <v>0</v>
      </c>
      <c r="AM25" s="600">
        <v>0</v>
      </c>
      <c r="AN25" s="600">
        <v>0</v>
      </c>
      <c r="AO25" s="600">
        <v>0</v>
      </c>
      <c r="AP25" s="600">
        <v>0</v>
      </c>
      <c r="AQ25" s="607">
        <v>0</v>
      </c>
      <c r="AR25" s="600">
        <v>0</v>
      </c>
      <c r="AS25" s="600">
        <v>2720000</v>
      </c>
      <c r="AT25" s="600">
        <v>0</v>
      </c>
      <c r="AU25" s="600">
        <v>0</v>
      </c>
      <c r="AV25" s="600">
        <v>0</v>
      </c>
      <c r="AW25" s="600">
        <v>0</v>
      </c>
      <c r="AX25" s="600">
        <v>0</v>
      </c>
      <c r="AY25" s="600">
        <v>0</v>
      </c>
      <c r="AZ25" s="600">
        <v>2720000</v>
      </c>
      <c r="BA25" s="599">
        <f t="shared" ref="BA25:BA29" si="41">AY25+AW25+AU25+AS25+AO25+AM25+AK25+AI25+AG25+AE25+AC25+AQ25</f>
        <v>29920000</v>
      </c>
      <c r="BB25" s="599">
        <f t="shared" si="17"/>
        <v>29920000</v>
      </c>
      <c r="BC25" s="599">
        <f>+AN25+AD25+AF25+AH25+AJ25+AL25+AP25+AR25+AT25+AV25+AX25+AZ25</f>
        <v>29920000</v>
      </c>
      <c r="BD25" s="599">
        <f>BA25</f>
        <v>29920000</v>
      </c>
      <c r="BE25" s="599">
        <f t="shared" si="6"/>
        <v>29920000</v>
      </c>
      <c r="BF25" s="600">
        <v>30100000</v>
      </c>
      <c r="BG25" s="600"/>
      <c r="BH25" s="600"/>
      <c r="BI25" s="600"/>
      <c r="BJ25" s="600"/>
      <c r="BK25" s="626"/>
      <c r="BL25" s="626"/>
      <c r="BM25" s="626"/>
      <c r="BN25" s="626"/>
      <c r="BO25" s="626"/>
      <c r="BP25" s="626"/>
      <c r="BQ25" s="626"/>
      <c r="BR25" s="600"/>
      <c r="BS25" s="600"/>
      <c r="BT25" s="600"/>
      <c r="BU25" s="626"/>
      <c r="BV25" s="600"/>
      <c r="BW25" s="600"/>
      <c r="BX25" s="600"/>
      <c r="BY25" s="600"/>
      <c r="BZ25" s="600"/>
      <c r="CA25" s="600"/>
      <c r="CB25" s="600"/>
      <c r="CC25" s="600"/>
      <c r="CD25" s="600"/>
      <c r="CE25" s="594"/>
      <c r="CF25" s="610"/>
      <c r="CG25" s="610"/>
      <c r="CH25" s="631"/>
      <c r="CI25" s="610"/>
      <c r="CJ25" s="600">
        <v>250193000</v>
      </c>
      <c r="CK25" s="600"/>
      <c r="CL25" s="600"/>
      <c r="CM25" s="600"/>
      <c r="CN25" s="600"/>
      <c r="CO25" s="600"/>
      <c r="CP25" s="600"/>
      <c r="CQ25" s="600"/>
      <c r="CR25" s="600"/>
      <c r="CS25" s="600"/>
      <c r="CT25" s="600"/>
      <c r="CU25" s="600"/>
      <c r="CV25" s="600"/>
      <c r="CW25" s="600"/>
      <c r="CX25" s="600"/>
      <c r="CY25" s="600"/>
      <c r="CZ25" s="600"/>
      <c r="DA25" s="600"/>
      <c r="DB25" s="600"/>
      <c r="DC25" s="600"/>
      <c r="DD25" s="600"/>
      <c r="DE25" s="600"/>
      <c r="DF25" s="600"/>
      <c r="DG25" s="600"/>
      <c r="DH25" s="600"/>
      <c r="DI25" s="594">
        <f>DG25+DE25+DC25+DA25+CY25+CW25+CU25+CS25+CQ25+CO25+CM25+CK25</f>
        <v>0</v>
      </c>
      <c r="DJ25" s="610">
        <f t="shared" si="37"/>
        <v>0</v>
      </c>
      <c r="DK25" s="610">
        <f t="shared" si="38"/>
        <v>0</v>
      </c>
      <c r="DL25" s="631">
        <f>CM25+CO25+CQ25+CS25+CU25+CW25+CY25+DA25+DC25+DE25+DG25+CK25</f>
        <v>0</v>
      </c>
      <c r="DM25" s="610">
        <f>CL25+CN25+CP25+CR25</f>
        <v>0</v>
      </c>
      <c r="DN25" s="600">
        <v>82936000</v>
      </c>
      <c r="DO25" s="600"/>
      <c r="DP25" s="600"/>
      <c r="DQ25" s="600"/>
      <c r="DR25" s="600"/>
      <c r="DS25" s="600"/>
      <c r="DT25" s="600"/>
      <c r="DU25" s="600"/>
      <c r="DV25" s="600"/>
      <c r="DW25" s="600"/>
      <c r="DX25" s="600"/>
      <c r="DY25" s="600"/>
      <c r="DZ25" s="600"/>
      <c r="EA25" s="600"/>
      <c r="EB25" s="600"/>
      <c r="EC25" s="600"/>
      <c r="ED25" s="600"/>
      <c r="EE25" s="600"/>
      <c r="EF25" s="600"/>
      <c r="EG25" s="600"/>
      <c r="EH25" s="600"/>
      <c r="EI25" s="600"/>
      <c r="EJ25" s="600"/>
      <c r="EK25" s="600"/>
      <c r="EL25" s="600"/>
      <c r="EM25" s="594">
        <f>EK25+EI25+EG25+EE25+EC25+EA25+DY25+DW25+DU25+DS25+DQ25+DO25</f>
        <v>0</v>
      </c>
      <c r="EN25" s="610">
        <f t="shared" si="39"/>
        <v>0</v>
      </c>
      <c r="EO25" s="610">
        <f t="shared" si="40"/>
        <v>0</v>
      </c>
      <c r="EP25" s="631">
        <f>DQ25+DS25+DU25+DW25+DY25+EA25+EC25+EE25+EG25+EI25+EK25+DO25</f>
        <v>0</v>
      </c>
      <c r="EQ25" s="610">
        <f>DP25+DR25+DT25+DV25</f>
        <v>0</v>
      </c>
      <c r="ER25" s="601" t="e">
        <f t="shared" si="8"/>
        <v>#DIV/0!</v>
      </c>
      <c r="ES25" s="601">
        <f>BC25/BB25</f>
        <v>1</v>
      </c>
      <c r="ET25" s="601">
        <f>BE25/BD25</f>
        <v>1</v>
      </c>
      <c r="EU25" s="602">
        <f>(BC25+AA25)/(Z25+BB25)</f>
        <v>1</v>
      </c>
      <c r="EV25" s="601">
        <f>(BC25+AA25)/G25</f>
        <v>0.10629162781199177</v>
      </c>
      <c r="EW25" s="1354"/>
      <c r="EX25" s="733"/>
      <c r="EY25" s="733"/>
      <c r="EZ25" s="733"/>
      <c r="FA25" s="733"/>
      <c r="FB25" s="770"/>
    </row>
    <row r="26" spans="1:158" s="611" customFormat="1" ht="19.149999999999999" customHeight="1" x14ac:dyDescent="0.2">
      <c r="A26" s="733"/>
      <c r="B26" s="733"/>
      <c r="C26" s="733"/>
      <c r="D26" s="733"/>
      <c r="E26" s="734"/>
      <c r="F26" s="546" t="s">
        <v>224</v>
      </c>
      <c r="G26" s="605"/>
      <c r="H26" s="644"/>
      <c r="I26" s="607"/>
      <c r="J26" s="600"/>
      <c r="K26" s="607"/>
      <c r="L26" s="600"/>
      <c r="M26" s="607"/>
      <c r="N26" s="600"/>
      <c r="O26" s="607"/>
      <c r="P26" s="600"/>
      <c r="Q26" s="607"/>
      <c r="R26" s="600"/>
      <c r="S26" s="607"/>
      <c r="T26" s="645"/>
      <c r="U26" s="646"/>
      <c r="V26" s="646"/>
      <c r="W26" s="598">
        <f t="shared" si="24"/>
        <v>0</v>
      </c>
      <c r="X26" s="598">
        <f t="shared" si="25"/>
        <v>0</v>
      </c>
      <c r="Y26" s="598">
        <f t="shared" si="26"/>
        <v>0</v>
      </c>
      <c r="Z26" s="598">
        <f t="shared" si="27"/>
        <v>0</v>
      </c>
      <c r="AA26" s="598">
        <f t="shared" si="28"/>
        <v>0</v>
      </c>
      <c r="AB26" s="605"/>
      <c r="AC26" s="605"/>
      <c r="AD26" s="605"/>
      <c r="AE26" s="646"/>
      <c r="AF26" s="600"/>
      <c r="AG26" s="600">
        <v>2085333</v>
      </c>
      <c r="AH26" s="600">
        <v>2085333</v>
      </c>
      <c r="AI26" s="600">
        <f>4805333-AH26</f>
        <v>2720000</v>
      </c>
      <c r="AJ26" s="600">
        <v>2720000</v>
      </c>
      <c r="AK26" s="600">
        <v>2720000</v>
      </c>
      <c r="AL26" s="600">
        <v>2720000</v>
      </c>
      <c r="AM26" s="600">
        <v>2720000</v>
      </c>
      <c r="AN26" s="600">
        <v>2720000</v>
      </c>
      <c r="AO26" s="600">
        <v>2720000</v>
      </c>
      <c r="AP26" s="600">
        <v>2720000</v>
      </c>
      <c r="AQ26" s="607">
        <v>2720000</v>
      </c>
      <c r="AR26" s="600">
        <v>2720000</v>
      </c>
      <c r="AS26" s="600">
        <v>2720000</v>
      </c>
      <c r="AT26" s="600">
        <v>2720000</v>
      </c>
      <c r="AU26" s="600">
        <v>2720000</v>
      </c>
      <c r="AV26" s="600">
        <v>2720000</v>
      </c>
      <c r="AW26" s="600">
        <v>2720000</v>
      </c>
      <c r="AX26" s="600">
        <v>2720000</v>
      </c>
      <c r="AY26" s="600">
        <v>2720000</v>
      </c>
      <c r="AZ26" s="600">
        <v>2720000</v>
      </c>
      <c r="BA26" s="599">
        <f t="shared" si="41"/>
        <v>26565333</v>
      </c>
      <c r="BB26" s="599">
        <f t="shared" si="17"/>
        <v>26565333</v>
      </c>
      <c r="BC26" s="599">
        <f t="shared" si="11"/>
        <v>26565333</v>
      </c>
      <c r="BD26" s="599">
        <f>BA26</f>
        <v>26565333</v>
      </c>
      <c r="BE26" s="599">
        <f t="shared" si="6"/>
        <v>26565333</v>
      </c>
      <c r="BF26" s="626"/>
      <c r="BG26" s="600"/>
      <c r="BH26" s="600"/>
      <c r="BI26" s="600"/>
      <c r="BJ26" s="600"/>
      <c r="BK26" s="600"/>
      <c r="BL26" s="600"/>
      <c r="BM26" s="626"/>
      <c r="BN26" s="600"/>
      <c r="BO26" s="626"/>
      <c r="BP26" s="600"/>
      <c r="BQ26" s="626"/>
      <c r="BR26" s="600"/>
      <c r="BS26" s="626"/>
      <c r="BT26" s="600"/>
      <c r="BU26" s="626"/>
      <c r="BV26" s="600"/>
      <c r="BW26" s="626"/>
      <c r="BX26" s="600"/>
      <c r="BY26" s="626"/>
      <c r="BZ26" s="600"/>
      <c r="CA26" s="600"/>
      <c r="CB26" s="600"/>
      <c r="CC26" s="626"/>
      <c r="CD26" s="600"/>
      <c r="CE26" s="594"/>
      <c r="CF26" s="610"/>
      <c r="CG26" s="610"/>
      <c r="CH26" s="645"/>
      <c r="CI26" s="610"/>
      <c r="CJ26" s="600"/>
      <c r="CK26" s="600"/>
      <c r="CL26" s="600"/>
      <c r="CM26" s="600"/>
      <c r="CN26" s="600"/>
      <c r="CO26" s="600"/>
      <c r="CP26" s="600"/>
      <c r="CQ26" s="600"/>
      <c r="CR26" s="600"/>
      <c r="CS26" s="600"/>
      <c r="CT26" s="600"/>
      <c r="CU26" s="600"/>
      <c r="CV26" s="600"/>
      <c r="CW26" s="600"/>
      <c r="CX26" s="600"/>
      <c r="CY26" s="600"/>
      <c r="CZ26" s="600"/>
      <c r="DA26" s="600"/>
      <c r="DB26" s="600"/>
      <c r="DC26" s="600"/>
      <c r="DD26" s="600"/>
      <c r="DE26" s="600"/>
      <c r="DF26" s="600"/>
      <c r="DG26" s="600"/>
      <c r="DH26" s="600"/>
      <c r="DI26" s="594">
        <f>DE26+DC26+DA26+CY26+CW26+CU26+CS26+CQ26+CO26+CM26+CK26+DG26</f>
        <v>0</v>
      </c>
      <c r="DJ26" s="610">
        <f t="shared" si="37"/>
        <v>0</v>
      </c>
      <c r="DK26" s="610">
        <f t="shared" si="38"/>
        <v>0</v>
      </c>
      <c r="DL26" s="609">
        <f>CM26+CO26+CQ26+CS26+CU26+CW26+CY26+DA26+DC26+DE26+DG26</f>
        <v>0</v>
      </c>
      <c r="DM26" s="610">
        <f>CL26+CN26+CP26+CR26</f>
        <v>0</v>
      </c>
      <c r="DN26" s="600"/>
      <c r="DO26" s="600"/>
      <c r="DP26" s="600"/>
      <c r="DQ26" s="600"/>
      <c r="DR26" s="600"/>
      <c r="DS26" s="600"/>
      <c r="DT26" s="600"/>
      <c r="DU26" s="600"/>
      <c r="DV26" s="600"/>
      <c r="DW26" s="600"/>
      <c r="DX26" s="600"/>
      <c r="DY26" s="600"/>
      <c r="DZ26" s="600"/>
      <c r="EA26" s="600"/>
      <c r="EB26" s="600"/>
      <c r="EC26" s="600"/>
      <c r="ED26" s="600"/>
      <c r="EE26" s="600"/>
      <c r="EF26" s="600"/>
      <c r="EG26" s="600"/>
      <c r="EH26" s="600"/>
      <c r="EI26" s="600"/>
      <c r="EJ26" s="600"/>
      <c r="EK26" s="600"/>
      <c r="EL26" s="600"/>
      <c r="EM26" s="594">
        <f>EI26+EG26+EE26+EC26+EA26+DY26+DW26+DU26+DS26+DQ26+DO26+EK26</f>
        <v>0</v>
      </c>
      <c r="EN26" s="610">
        <f t="shared" si="39"/>
        <v>0</v>
      </c>
      <c r="EO26" s="610">
        <f t="shared" si="40"/>
        <v>0</v>
      </c>
      <c r="EP26" s="609">
        <f>DQ26+DS26+DU26+DW26+DY26+EA26+EC26+EE26+EG26+EI26+EK26</f>
        <v>0</v>
      </c>
      <c r="EQ26" s="610">
        <f>DP26+DR26+DT26+DV26</f>
        <v>0</v>
      </c>
      <c r="ER26" s="601">
        <f t="shared" si="8"/>
        <v>1</v>
      </c>
      <c r="ES26" s="601">
        <f t="shared" ref="ES26:ES30" si="42">BC26/BB26</f>
        <v>1</v>
      </c>
      <c r="ET26" s="601">
        <f t="shared" ref="ET26" si="43">BE26/BD26</f>
        <v>1</v>
      </c>
      <c r="EU26" s="602" t="s">
        <v>225</v>
      </c>
      <c r="EV26" s="602" t="s">
        <v>225</v>
      </c>
      <c r="EW26" s="1354"/>
      <c r="EX26" s="733"/>
      <c r="EY26" s="733"/>
      <c r="EZ26" s="733"/>
      <c r="FA26" s="733"/>
      <c r="FB26" s="770"/>
    </row>
    <row r="27" spans="1:158" s="603" customFormat="1" ht="19.149999999999999" customHeight="1" x14ac:dyDescent="0.2">
      <c r="A27" s="733"/>
      <c r="B27" s="733"/>
      <c r="C27" s="733"/>
      <c r="D27" s="733"/>
      <c r="E27" s="734"/>
      <c r="F27" s="593" t="s">
        <v>42</v>
      </c>
      <c r="G27" s="613"/>
      <c r="H27" s="641"/>
      <c r="I27" s="596"/>
      <c r="J27" s="596"/>
      <c r="K27" s="596"/>
      <c r="L27" s="596"/>
      <c r="M27" s="596"/>
      <c r="N27" s="596"/>
      <c r="O27" s="596"/>
      <c r="P27" s="596"/>
      <c r="Q27" s="596"/>
      <c r="R27" s="596"/>
      <c r="S27" s="643"/>
      <c r="T27" s="615"/>
      <c r="U27" s="596"/>
      <c r="V27" s="615"/>
      <c r="W27" s="598">
        <f t="shared" si="24"/>
        <v>0</v>
      </c>
      <c r="X27" s="598">
        <f t="shared" si="25"/>
        <v>0</v>
      </c>
      <c r="Y27" s="598">
        <f t="shared" si="26"/>
        <v>0</v>
      </c>
      <c r="Z27" s="598">
        <f t="shared" si="27"/>
        <v>0</v>
      </c>
      <c r="AA27" s="598">
        <f t="shared" si="28"/>
        <v>0</v>
      </c>
      <c r="AB27" s="613"/>
      <c r="AC27" s="613"/>
      <c r="AD27" s="613"/>
      <c r="AE27" s="613"/>
      <c r="AF27" s="613"/>
      <c r="AG27" s="613"/>
      <c r="AH27" s="613"/>
      <c r="AI27" s="613"/>
      <c r="AJ27" s="613"/>
      <c r="AK27" s="596"/>
      <c r="AL27" s="596"/>
      <c r="AM27" s="596"/>
      <c r="AN27" s="596"/>
      <c r="AO27" s="596"/>
      <c r="AP27" s="596"/>
      <c r="AQ27" s="643"/>
      <c r="AR27" s="596"/>
      <c r="AS27" s="596"/>
      <c r="AT27" s="596"/>
      <c r="AU27" s="596"/>
      <c r="AV27" s="596"/>
      <c r="AW27" s="596"/>
      <c r="AX27" s="596"/>
      <c r="AY27" s="596"/>
      <c r="AZ27" s="596"/>
      <c r="BA27" s="599">
        <f t="shared" si="41"/>
        <v>0</v>
      </c>
      <c r="BB27" s="599">
        <f t="shared" si="17"/>
        <v>0</v>
      </c>
      <c r="BC27" s="599">
        <f t="shared" si="11"/>
        <v>0</v>
      </c>
      <c r="BD27" s="599">
        <f t="shared" ref="BD27:BD29" si="44">BA27</f>
        <v>0</v>
      </c>
      <c r="BE27" s="599">
        <f t="shared" si="6"/>
        <v>0</v>
      </c>
      <c r="BF27" s="596"/>
      <c r="BG27" s="596"/>
      <c r="BH27" s="596"/>
      <c r="BI27" s="596"/>
      <c r="BJ27" s="596"/>
      <c r="BK27" s="596"/>
      <c r="BL27" s="596"/>
      <c r="BM27" s="596"/>
      <c r="BN27" s="596"/>
      <c r="BO27" s="596"/>
      <c r="BP27" s="596"/>
      <c r="BQ27" s="596"/>
      <c r="BR27" s="596"/>
      <c r="BS27" s="596"/>
      <c r="BT27" s="596"/>
      <c r="BU27" s="596"/>
      <c r="BV27" s="596"/>
      <c r="BW27" s="596"/>
      <c r="BX27" s="596"/>
      <c r="BY27" s="596"/>
      <c r="BZ27" s="596"/>
      <c r="CA27" s="596"/>
      <c r="CB27" s="596"/>
      <c r="CC27" s="596"/>
      <c r="CD27" s="596"/>
      <c r="CE27" s="597"/>
      <c r="CF27" s="634"/>
      <c r="CG27" s="635"/>
      <c r="CH27" s="624"/>
      <c r="CI27" s="647"/>
      <c r="CJ27" s="596"/>
      <c r="CK27" s="596"/>
      <c r="CL27" s="596"/>
      <c r="CM27" s="596"/>
      <c r="CN27" s="596"/>
      <c r="CO27" s="596"/>
      <c r="CP27" s="596"/>
      <c r="CQ27" s="596"/>
      <c r="CR27" s="596"/>
      <c r="CS27" s="596"/>
      <c r="CT27" s="596"/>
      <c r="CU27" s="596"/>
      <c r="CV27" s="596"/>
      <c r="CW27" s="596"/>
      <c r="CX27" s="596"/>
      <c r="CY27" s="596"/>
      <c r="CZ27" s="596"/>
      <c r="DA27" s="596"/>
      <c r="DB27" s="596"/>
      <c r="DC27" s="596"/>
      <c r="DD27" s="596"/>
      <c r="DE27" s="596"/>
      <c r="DF27" s="596"/>
      <c r="DG27" s="596"/>
      <c r="DH27" s="596"/>
      <c r="DI27" s="597">
        <f>DE27+DC27+DA27+CY27+CW27+CU27+CS27+CQ27+CO27+CM27+CK27+DG27</f>
        <v>0</v>
      </c>
      <c r="DJ27" s="634">
        <f t="shared" si="37"/>
        <v>0</v>
      </c>
      <c r="DK27" s="635">
        <f t="shared" si="38"/>
        <v>0</v>
      </c>
      <c r="DL27" s="624">
        <f>CM27+CO27+CQ27+CS27+CU27+CW27+CY27+DA27+DC27+DE27+DG27</f>
        <v>0</v>
      </c>
      <c r="DM27" s="647">
        <v>0</v>
      </c>
      <c r="DN27" s="596"/>
      <c r="DO27" s="596"/>
      <c r="DP27" s="596"/>
      <c r="DQ27" s="596"/>
      <c r="DR27" s="596"/>
      <c r="DS27" s="596"/>
      <c r="DT27" s="596"/>
      <c r="DU27" s="596"/>
      <c r="DV27" s="596"/>
      <c r="DW27" s="596"/>
      <c r="DX27" s="596"/>
      <c r="DY27" s="596"/>
      <c r="DZ27" s="596"/>
      <c r="EA27" s="596"/>
      <c r="EB27" s="596"/>
      <c r="EC27" s="596"/>
      <c r="ED27" s="596"/>
      <c r="EE27" s="596"/>
      <c r="EF27" s="596"/>
      <c r="EG27" s="596"/>
      <c r="EH27" s="596"/>
      <c r="EI27" s="596"/>
      <c r="EJ27" s="596"/>
      <c r="EK27" s="596"/>
      <c r="EL27" s="596"/>
      <c r="EM27" s="597">
        <f>EI27+EG27+EE27+EC27+EA27+DY27+DW27+DU27+DS27+DQ27+DO27+EK27</f>
        <v>0</v>
      </c>
      <c r="EN27" s="634">
        <f t="shared" si="39"/>
        <v>0</v>
      </c>
      <c r="EO27" s="635">
        <f t="shared" si="40"/>
        <v>0</v>
      </c>
      <c r="EP27" s="624">
        <f>DQ27+DS27+DU27+DW27+DY27+EA27+EC27+EE27+EG27+EI27+EK27</f>
        <v>0</v>
      </c>
      <c r="EQ27" s="647">
        <v>0</v>
      </c>
      <c r="ER27" s="601" t="e">
        <f t="shared" si="8"/>
        <v>#DIV/0!</v>
      </c>
      <c r="ES27" s="601" t="e">
        <f t="shared" si="42"/>
        <v>#DIV/0!</v>
      </c>
      <c r="ET27" s="602" t="s">
        <v>225</v>
      </c>
      <c r="EU27" s="602" t="s">
        <v>225</v>
      </c>
      <c r="EV27" s="602" t="s">
        <v>225</v>
      </c>
      <c r="EW27" s="1354"/>
      <c r="EX27" s="733"/>
      <c r="EY27" s="733"/>
      <c r="EZ27" s="733"/>
      <c r="FA27" s="733"/>
      <c r="FB27" s="770"/>
    </row>
    <row r="28" spans="1:158" s="611" customFormat="1" ht="19.149999999999999" customHeight="1" x14ac:dyDescent="0.2">
      <c r="A28" s="733"/>
      <c r="B28" s="733"/>
      <c r="C28" s="733"/>
      <c r="D28" s="733"/>
      <c r="E28" s="734"/>
      <c r="F28" s="604" t="s">
        <v>4</v>
      </c>
      <c r="G28" s="605">
        <f>AA28+BD28+BF28+CJ28+DN28</f>
        <v>3718400</v>
      </c>
      <c r="H28" s="648"/>
      <c r="I28" s="600"/>
      <c r="J28" s="600"/>
      <c r="K28" s="600"/>
      <c r="L28" s="600"/>
      <c r="M28" s="600"/>
      <c r="N28" s="600"/>
      <c r="O28" s="600"/>
      <c r="P28" s="600"/>
      <c r="Q28" s="600"/>
      <c r="R28" s="600"/>
      <c r="S28" s="607"/>
      <c r="T28" s="619"/>
      <c r="U28" s="600"/>
      <c r="V28" s="600"/>
      <c r="W28" s="598">
        <f t="shared" si="24"/>
        <v>0</v>
      </c>
      <c r="X28" s="598">
        <f t="shared" si="25"/>
        <v>0</v>
      </c>
      <c r="Y28" s="598">
        <f t="shared" si="26"/>
        <v>0</v>
      </c>
      <c r="Z28" s="598">
        <f t="shared" si="27"/>
        <v>0</v>
      </c>
      <c r="AA28" s="598">
        <f t="shared" si="28"/>
        <v>0</v>
      </c>
      <c r="AB28" s="619">
        <v>3718400</v>
      </c>
      <c r="AC28" s="619">
        <v>3718400</v>
      </c>
      <c r="AD28" s="619">
        <v>3718400</v>
      </c>
      <c r="AE28" s="619">
        <v>0</v>
      </c>
      <c r="AF28" s="619">
        <v>0</v>
      </c>
      <c r="AG28" s="619">
        <v>0</v>
      </c>
      <c r="AH28" s="619">
        <v>0</v>
      </c>
      <c r="AI28" s="619">
        <v>0</v>
      </c>
      <c r="AJ28" s="619">
        <v>0</v>
      </c>
      <c r="AK28" s="600">
        <v>0</v>
      </c>
      <c r="AL28" s="600">
        <v>0</v>
      </c>
      <c r="AM28" s="600">
        <v>0</v>
      </c>
      <c r="AN28" s="600">
        <v>0</v>
      </c>
      <c r="AO28" s="600">
        <v>0</v>
      </c>
      <c r="AP28" s="600">
        <v>0</v>
      </c>
      <c r="AQ28" s="607"/>
      <c r="AR28" s="600"/>
      <c r="AS28" s="600"/>
      <c r="AT28" s="600"/>
      <c r="AU28" s="600"/>
      <c r="AV28" s="600"/>
      <c r="AW28" s="600"/>
      <c r="AX28" s="600">
        <v>0</v>
      </c>
      <c r="AY28" s="600"/>
      <c r="AZ28" s="600">
        <v>0</v>
      </c>
      <c r="BA28" s="599">
        <f t="shared" si="41"/>
        <v>3718400</v>
      </c>
      <c r="BB28" s="599">
        <f t="shared" si="17"/>
        <v>3718400</v>
      </c>
      <c r="BC28" s="599">
        <f t="shared" si="11"/>
        <v>3718400</v>
      </c>
      <c r="BD28" s="599">
        <f>BA28</f>
        <v>3718400</v>
      </c>
      <c r="BE28" s="599">
        <f t="shared" si="6"/>
        <v>3718400</v>
      </c>
      <c r="BF28" s="626"/>
      <c r="BG28" s="626"/>
      <c r="BH28" s="626"/>
      <c r="BI28" s="626"/>
      <c r="BJ28" s="626"/>
      <c r="BK28" s="626"/>
      <c r="BL28" s="600"/>
      <c r="BM28" s="600"/>
      <c r="BN28" s="600"/>
      <c r="BO28" s="600"/>
      <c r="BP28" s="600"/>
      <c r="BQ28" s="600"/>
      <c r="BR28" s="600"/>
      <c r="BS28" s="600"/>
      <c r="BT28" s="600"/>
      <c r="BU28" s="600"/>
      <c r="BV28" s="600"/>
      <c r="BW28" s="600"/>
      <c r="BX28" s="600"/>
      <c r="BY28" s="600"/>
      <c r="BZ28" s="600"/>
      <c r="CA28" s="600"/>
      <c r="CB28" s="600"/>
      <c r="CC28" s="600"/>
      <c r="CD28" s="600"/>
      <c r="CE28" s="597"/>
      <c r="CF28" s="610"/>
      <c r="CG28" s="610"/>
      <c r="CH28" s="609"/>
      <c r="CI28" s="610"/>
      <c r="CJ28" s="600"/>
      <c r="CK28" s="600"/>
      <c r="CL28" s="600"/>
      <c r="CM28" s="600"/>
      <c r="CN28" s="600"/>
      <c r="CO28" s="600"/>
      <c r="CP28" s="600"/>
      <c r="CQ28" s="600"/>
      <c r="CR28" s="600"/>
      <c r="CS28" s="600"/>
      <c r="CT28" s="600"/>
      <c r="CU28" s="600"/>
      <c r="CV28" s="600"/>
      <c r="CW28" s="600"/>
      <c r="CX28" s="600"/>
      <c r="CY28" s="600"/>
      <c r="CZ28" s="600"/>
      <c r="DA28" s="600"/>
      <c r="DB28" s="600"/>
      <c r="DC28" s="600"/>
      <c r="DD28" s="600"/>
      <c r="DE28" s="600"/>
      <c r="DF28" s="600"/>
      <c r="DG28" s="600"/>
      <c r="DH28" s="600"/>
      <c r="DI28" s="597"/>
      <c r="DJ28" s="610"/>
      <c r="DK28" s="610"/>
      <c r="DL28" s="609"/>
      <c r="DM28" s="610"/>
      <c r="DN28" s="600"/>
      <c r="DO28" s="600"/>
      <c r="DP28" s="600"/>
      <c r="DQ28" s="600"/>
      <c r="DR28" s="600"/>
      <c r="DS28" s="600"/>
      <c r="DT28" s="600"/>
      <c r="DU28" s="600"/>
      <c r="DV28" s="600"/>
      <c r="DW28" s="600"/>
      <c r="DX28" s="600"/>
      <c r="DY28" s="600"/>
      <c r="DZ28" s="600"/>
      <c r="EA28" s="600"/>
      <c r="EB28" s="600"/>
      <c r="EC28" s="600"/>
      <c r="ED28" s="600"/>
      <c r="EE28" s="600"/>
      <c r="EF28" s="600"/>
      <c r="EG28" s="600"/>
      <c r="EH28" s="600"/>
      <c r="EI28" s="600"/>
      <c r="EJ28" s="600"/>
      <c r="EK28" s="600"/>
      <c r="EL28" s="600"/>
      <c r="EM28" s="597">
        <f>EI28+EG28+EE28+EC28+EA28+DY28+DW28+DU28+DS28+DQ28+DO28+EK28</f>
        <v>0</v>
      </c>
      <c r="EN28" s="610">
        <f t="shared" si="39"/>
        <v>0</v>
      </c>
      <c r="EO28" s="610">
        <f t="shared" si="40"/>
        <v>0</v>
      </c>
      <c r="EP28" s="609">
        <f>DQ28+DS28+DU28+DW28+DY28+EA28+EC28+EE28+EG28+EI28+EK28+DO28</f>
        <v>0</v>
      </c>
      <c r="EQ28" s="610">
        <f>DP28+DR28+DT28+DV28</f>
        <v>0</v>
      </c>
      <c r="ER28" s="601" t="e">
        <f t="shared" si="8"/>
        <v>#DIV/0!</v>
      </c>
      <c r="ES28" s="601">
        <f t="shared" si="42"/>
        <v>1</v>
      </c>
      <c r="ET28" s="601">
        <f t="shared" ref="ET28:ET30" si="45">BE28/BD28</f>
        <v>1</v>
      </c>
      <c r="EU28" s="602" t="s">
        <v>225</v>
      </c>
      <c r="EV28" s="601">
        <f t="shared" ref="EV28:EV30" si="46">BE28/G28</f>
        <v>1</v>
      </c>
      <c r="EW28" s="1354"/>
      <c r="EX28" s="733"/>
      <c r="EY28" s="733"/>
      <c r="EZ28" s="733"/>
      <c r="FA28" s="733"/>
      <c r="FB28" s="770"/>
    </row>
    <row r="29" spans="1:158" s="603" customFormat="1" ht="19.149999999999999" customHeight="1" thickBot="1" x14ac:dyDescent="0.25">
      <c r="A29" s="733"/>
      <c r="B29" s="733"/>
      <c r="C29" s="733"/>
      <c r="D29" s="733"/>
      <c r="E29" s="734"/>
      <c r="F29" s="593" t="s">
        <v>43</v>
      </c>
      <c r="G29" s="1369">
        <v>20000</v>
      </c>
      <c r="H29" s="1452">
        <v>2500</v>
      </c>
      <c r="I29" s="1447"/>
      <c r="J29" s="1447"/>
      <c r="K29" s="1447">
        <v>2500</v>
      </c>
      <c r="L29" s="1447">
        <v>0</v>
      </c>
      <c r="M29" s="1447">
        <v>2500</v>
      </c>
      <c r="N29" s="1378">
        <v>741</v>
      </c>
      <c r="O29" s="1447">
        <v>2500</v>
      </c>
      <c r="P29" s="1378">
        <v>1257</v>
      </c>
      <c r="Q29" s="1447">
        <v>2500</v>
      </c>
      <c r="R29" s="1432">
        <v>1908</v>
      </c>
      <c r="S29" s="1453">
        <v>2500</v>
      </c>
      <c r="T29" s="1410">
        <v>2210</v>
      </c>
      <c r="U29" s="1447">
        <v>2500</v>
      </c>
      <c r="V29" s="1447">
        <v>2500</v>
      </c>
      <c r="W29" s="1375">
        <f t="shared" si="24"/>
        <v>2500</v>
      </c>
      <c r="X29" s="1375">
        <f t="shared" si="25"/>
        <v>2500</v>
      </c>
      <c r="Y29" s="1375">
        <f t="shared" si="26"/>
        <v>2500</v>
      </c>
      <c r="Z29" s="1375">
        <f t="shared" si="27"/>
        <v>2500</v>
      </c>
      <c r="AA29" s="1375">
        <f t="shared" si="28"/>
        <v>2500</v>
      </c>
      <c r="AB29" s="1369">
        <v>3500</v>
      </c>
      <c r="AC29" s="1369">
        <v>246</v>
      </c>
      <c r="AD29" s="1369">
        <v>246</v>
      </c>
      <c r="AE29" s="1369">
        <v>301</v>
      </c>
      <c r="AF29" s="1369">
        <v>301</v>
      </c>
      <c r="AG29" s="1369">
        <v>296</v>
      </c>
      <c r="AH29" s="1369">
        <v>296</v>
      </c>
      <c r="AI29" s="1369">
        <v>300</v>
      </c>
      <c r="AJ29" s="1369">
        <v>300</v>
      </c>
      <c r="AK29" s="1378">
        <v>320</v>
      </c>
      <c r="AL29" s="1378">
        <v>320</v>
      </c>
      <c r="AM29" s="1378">
        <v>297</v>
      </c>
      <c r="AN29" s="1378">
        <f>+AN24</f>
        <v>297</v>
      </c>
      <c r="AO29" s="1378">
        <v>290</v>
      </c>
      <c r="AP29" s="1378">
        <v>293</v>
      </c>
      <c r="AQ29" s="1379">
        <v>290</v>
      </c>
      <c r="AR29" s="1378">
        <v>311</v>
      </c>
      <c r="AS29" s="1378">
        <v>290</v>
      </c>
      <c r="AT29" s="1378">
        <v>295</v>
      </c>
      <c r="AU29" s="1378">
        <v>290</v>
      </c>
      <c r="AV29" s="1378">
        <v>292</v>
      </c>
      <c r="AW29" s="1378">
        <v>290</v>
      </c>
      <c r="AX29" s="1378">
        <v>291</v>
      </c>
      <c r="AY29" s="1378">
        <v>290</v>
      </c>
      <c r="AZ29" s="1378">
        <v>298</v>
      </c>
      <c r="BA29" s="1381">
        <f t="shared" si="41"/>
        <v>3500</v>
      </c>
      <c r="BB29" s="1381">
        <f t="shared" si="17"/>
        <v>3500</v>
      </c>
      <c r="BC29" s="1381">
        <f t="shared" si="11"/>
        <v>3540</v>
      </c>
      <c r="BD29" s="1381">
        <f t="shared" si="44"/>
        <v>3500</v>
      </c>
      <c r="BE29" s="1381">
        <f t="shared" si="6"/>
        <v>3540</v>
      </c>
      <c r="BF29" s="1383">
        <v>5000</v>
      </c>
      <c r="BG29" s="1383"/>
      <c r="BH29" s="1383"/>
      <c r="BI29" s="1383"/>
      <c r="BJ29" s="1383"/>
      <c r="BK29" s="1383"/>
      <c r="BL29" s="1383"/>
      <c r="BM29" s="1383"/>
      <c r="BN29" s="1383"/>
      <c r="BO29" s="1383"/>
      <c r="BP29" s="1383"/>
      <c r="BQ29" s="1383"/>
      <c r="BR29" s="1383"/>
      <c r="BS29" s="1383"/>
      <c r="BT29" s="1383"/>
      <c r="BU29" s="1383"/>
      <c r="BV29" s="1383"/>
      <c r="BW29" s="1383"/>
      <c r="BX29" s="1383"/>
      <c r="BY29" s="1383"/>
      <c r="BZ29" s="1383"/>
      <c r="CA29" s="1383"/>
      <c r="CB29" s="1383"/>
      <c r="CC29" s="1383"/>
      <c r="CD29" s="1383"/>
      <c r="CE29" s="1382"/>
      <c r="CF29" s="1384"/>
      <c r="CG29" s="1385"/>
      <c r="CH29" s="1386"/>
      <c r="CI29" s="1385"/>
      <c r="CJ29" s="1383">
        <v>6000</v>
      </c>
      <c r="CK29" s="1383"/>
      <c r="CL29" s="1383"/>
      <c r="CM29" s="1383"/>
      <c r="CN29" s="1383"/>
      <c r="CO29" s="1383"/>
      <c r="CP29" s="1383"/>
      <c r="CQ29" s="1383"/>
      <c r="CR29" s="1383"/>
      <c r="CS29" s="1383"/>
      <c r="CT29" s="1383"/>
      <c r="CU29" s="1383"/>
      <c r="CV29" s="1383"/>
      <c r="CW29" s="1383"/>
      <c r="CX29" s="1383"/>
      <c r="CY29" s="1383"/>
      <c r="CZ29" s="1383"/>
      <c r="DA29" s="1383"/>
      <c r="DB29" s="1383"/>
      <c r="DC29" s="1383"/>
      <c r="DD29" s="1383"/>
      <c r="DE29" s="1383"/>
      <c r="DF29" s="1383"/>
      <c r="DG29" s="1383"/>
      <c r="DH29" s="1383"/>
      <c r="DI29" s="1382">
        <v>0</v>
      </c>
      <c r="DJ29" s="1384">
        <v>0</v>
      </c>
      <c r="DK29" s="1385">
        <v>0</v>
      </c>
      <c r="DL29" s="1386">
        <v>0</v>
      </c>
      <c r="DM29" s="1385">
        <v>0</v>
      </c>
      <c r="DN29" s="1383">
        <v>3000</v>
      </c>
      <c r="DO29" s="1378"/>
      <c r="DP29" s="1378"/>
      <c r="DQ29" s="1378"/>
      <c r="DR29" s="1378"/>
      <c r="DS29" s="1378"/>
      <c r="DT29" s="1378"/>
      <c r="DU29" s="1378"/>
      <c r="DV29" s="1378"/>
      <c r="DW29" s="1378"/>
      <c r="DX29" s="1378"/>
      <c r="DY29" s="1378"/>
      <c r="DZ29" s="1378"/>
      <c r="EA29" s="1378"/>
      <c r="EB29" s="1378"/>
      <c r="EC29" s="1378"/>
      <c r="ED29" s="1378"/>
      <c r="EE29" s="1378"/>
      <c r="EF29" s="1378"/>
      <c r="EG29" s="1378"/>
      <c r="EH29" s="1378"/>
      <c r="EI29" s="1378"/>
      <c r="EJ29" s="1378"/>
      <c r="EK29" s="1378"/>
      <c r="EL29" s="1378"/>
      <c r="EM29" s="1382">
        <f>EI29+EG29+EE29+EC29+EA29+DY29+DW29+DU29+DS29+DQ29+DO29+EK29</f>
        <v>0</v>
      </c>
      <c r="EN29" s="1384"/>
      <c r="EO29" s="1385">
        <f t="shared" si="40"/>
        <v>0</v>
      </c>
      <c r="EP29" s="1386">
        <f>DQ29+DS29+DU29+DW29+DY29+EA29+EC29+EE29+EG29+EI29+EK29+DO29</f>
        <v>0</v>
      </c>
      <c r="EQ29" s="1385">
        <f>DR29+DT29+DV29+DP29</f>
        <v>0</v>
      </c>
      <c r="ER29" s="1387">
        <f t="shared" si="8"/>
        <v>1.0068965517241379</v>
      </c>
      <c r="ES29" s="1387">
        <f t="shared" si="42"/>
        <v>1.0114285714285713</v>
      </c>
      <c r="ET29" s="1387">
        <f t="shared" si="45"/>
        <v>1.0114285714285713</v>
      </c>
      <c r="EU29" s="1388" t="s">
        <v>225</v>
      </c>
      <c r="EV29" s="1387">
        <f t="shared" si="46"/>
        <v>0.17699999999999999</v>
      </c>
      <c r="EW29" s="1354"/>
      <c r="EX29" s="733"/>
      <c r="EY29" s="733"/>
      <c r="EZ29" s="733"/>
      <c r="FA29" s="733"/>
      <c r="FB29" s="770"/>
    </row>
    <row r="30" spans="1:158" s="649" customFormat="1" ht="19.149999999999999" customHeight="1" thickBot="1" x14ac:dyDescent="0.25">
      <c r="A30" s="733"/>
      <c r="B30" s="733"/>
      <c r="C30" s="733"/>
      <c r="D30" s="733"/>
      <c r="E30" s="734"/>
      <c r="F30" s="1367" t="s">
        <v>45</v>
      </c>
      <c r="G30" s="1392">
        <v>628734000</v>
      </c>
      <c r="H30" s="1449">
        <v>24546000</v>
      </c>
      <c r="I30" s="1398"/>
      <c r="J30" s="1398"/>
      <c r="K30" s="1398">
        <v>24546000</v>
      </c>
      <c r="L30" s="1398">
        <v>0</v>
      </c>
      <c r="M30" s="1398">
        <v>24546000</v>
      </c>
      <c r="N30" s="1398">
        <v>10624000</v>
      </c>
      <c r="O30" s="1398">
        <v>24546000</v>
      </c>
      <c r="P30" s="1398">
        <v>10624000</v>
      </c>
      <c r="Q30" s="1398">
        <v>13280000</v>
      </c>
      <c r="R30" s="1398">
        <v>10624000</v>
      </c>
      <c r="S30" s="1450">
        <v>13280000</v>
      </c>
      <c r="T30" s="1451">
        <v>10624000</v>
      </c>
      <c r="U30" s="1398">
        <v>13280000</v>
      </c>
      <c r="V30" s="1398">
        <v>13280000</v>
      </c>
      <c r="W30" s="1399">
        <f t="shared" si="24"/>
        <v>24546000</v>
      </c>
      <c r="X30" s="1399">
        <f t="shared" si="25"/>
        <v>24546000</v>
      </c>
      <c r="Y30" s="1399">
        <f t="shared" si="26"/>
        <v>13280000</v>
      </c>
      <c r="Z30" s="1399">
        <f t="shared" si="27"/>
        <v>13280000</v>
      </c>
      <c r="AA30" s="1399">
        <f t="shared" si="28"/>
        <v>13280000</v>
      </c>
      <c r="AB30" s="1400">
        <f>+AB25+AB28</f>
        <v>38003400</v>
      </c>
      <c r="AC30" s="1400">
        <f>+AC25+AC28</f>
        <v>3718400</v>
      </c>
      <c r="AD30" s="1400">
        <f>+AD25+AD28</f>
        <v>3718400</v>
      </c>
      <c r="AE30" s="1400">
        <f>+AE25+AE28</f>
        <v>27200000</v>
      </c>
      <c r="AF30" s="1400">
        <f t="shared" ref="AF30:AZ30" si="47">+AF25+AF28</f>
        <v>27200000</v>
      </c>
      <c r="AG30" s="1400">
        <f t="shared" si="47"/>
        <v>0</v>
      </c>
      <c r="AH30" s="1400">
        <f t="shared" si="47"/>
        <v>0</v>
      </c>
      <c r="AI30" s="1400">
        <f t="shared" si="47"/>
        <v>0</v>
      </c>
      <c r="AJ30" s="1400">
        <f t="shared" si="47"/>
        <v>0</v>
      </c>
      <c r="AK30" s="1400">
        <f t="shared" si="47"/>
        <v>0</v>
      </c>
      <c r="AL30" s="1400">
        <f t="shared" si="47"/>
        <v>0</v>
      </c>
      <c r="AM30" s="1400">
        <f t="shared" si="47"/>
        <v>0</v>
      </c>
      <c r="AN30" s="1400">
        <f t="shared" si="47"/>
        <v>0</v>
      </c>
      <c r="AO30" s="1400">
        <f t="shared" si="47"/>
        <v>0</v>
      </c>
      <c r="AP30" s="1400">
        <f t="shared" si="47"/>
        <v>0</v>
      </c>
      <c r="AQ30" s="1400">
        <f t="shared" si="47"/>
        <v>0</v>
      </c>
      <c r="AR30" s="1400">
        <f t="shared" si="47"/>
        <v>0</v>
      </c>
      <c r="AS30" s="1400">
        <f t="shared" si="47"/>
        <v>2720000</v>
      </c>
      <c r="AT30" s="1400">
        <f t="shared" si="47"/>
        <v>0</v>
      </c>
      <c r="AU30" s="1400">
        <f t="shared" si="47"/>
        <v>0</v>
      </c>
      <c r="AV30" s="1400">
        <f t="shared" si="47"/>
        <v>0</v>
      </c>
      <c r="AW30" s="1400">
        <f t="shared" si="47"/>
        <v>0</v>
      </c>
      <c r="AX30" s="1400">
        <f t="shared" si="47"/>
        <v>0</v>
      </c>
      <c r="AY30" s="1400">
        <f t="shared" si="47"/>
        <v>0</v>
      </c>
      <c r="AZ30" s="1400">
        <f t="shared" si="47"/>
        <v>2720000</v>
      </c>
      <c r="BA30" s="1401">
        <f>AY30+AW30+AU30+AS30+AQ30+AO30+AM30+AK30+AI30+AG30+AE30+AC30</f>
        <v>33638400</v>
      </c>
      <c r="BB30" s="1431">
        <f t="shared" si="17"/>
        <v>33638400</v>
      </c>
      <c r="BC30" s="1401">
        <f t="shared" si="11"/>
        <v>33638400</v>
      </c>
      <c r="BD30" s="1401">
        <f t="shared" ref="BD30" si="48">+BD25+BD28</f>
        <v>33638400</v>
      </c>
      <c r="BE30" s="1401">
        <f t="shared" si="6"/>
        <v>33638400</v>
      </c>
      <c r="BF30" s="1403">
        <v>248040000</v>
      </c>
      <c r="BG30" s="1402"/>
      <c r="BH30" s="1402"/>
      <c r="BI30" s="1402"/>
      <c r="BJ30" s="1402"/>
      <c r="BK30" s="1402"/>
      <c r="BL30" s="1402"/>
      <c r="BM30" s="1402"/>
      <c r="BN30" s="1402"/>
      <c r="BO30" s="1402"/>
      <c r="BP30" s="1402"/>
      <c r="BQ30" s="1402"/>
      <c r="BR30" s="1402"/>
      <c r="BS30" s="1402"/>
      <c r="BT30" s="1402"/>
      <c r="BU30" s="1402"/>
      <c r="BV30" s="1402"/>
      <c r="BW30" s="1402"/>
      <c r="BX30" s="1402"/>
      <c r="BY30" s="1402"/>
      <c r="BZ30" s="1402"/>
      <c r="CA30" s="1402"/>
      <c r="CB30" s="1402"/>
      <c r="CC30" s="1402"/>
      <c r="CD30" s="1402"/>
      <c r="CE30" s="1401"/>
      <c r="CF30" s="1403"/>
      <c r="CG30" s="1404"/>
      <c r="CH30" s="1403"/>
      <c r="CI30" s="1403"/>
      <c r="CJ30" s="1398">
        <v>250193000</v>
      </c>
      <c r="CK30" s="1398"/>
      <c r="CL30" s="1398"/>
      <c r="CM30" s="1398"/>
      <c r="CN30" s="1398"/>
      <c r="CO30" s="1398"/>
      <c r="CP30" s="1398"/>
      <c r="CQ30" s="1398"/>
      <c r="CR30" s="1398"/>
      <c r="CS30" s="1398"/>
      <c r="CT30" s="1398"/>
      <c r="CU30" s="1398"/>
      <c r="CV30" s="1398"/>
      <c r="CW30" s="1398"/>
      <c r="CX30" s="1398"/>
      <c r="CY30" s="1398"/>
      <c r="CZ30" s="1398"/>
      <c r="DA30" s="1398"/>
      <c r="DB30" s="1398"/>
      <c r="DC30" s="1398"/>
      <c r="DD30" s="1398"/>
      <c r="DE30" s="1398"/>
      <c r="DF30" s="1398"/>
      <c r="DG30" s="1398"/>
      <c r="DH30" s="1398"/>
      <c r="DI30" s="1401">
        <v>0</v>
      </c>
      <c r="DJ30" s="1403"/>
      <c r="DK30" s="1404">
        <v>0</v>
      </c>
      <c r="DL30" s="1403">
        <v>0</v>
      </c>
      <c r="DM30" s="1403">
        <v>0</v>
      </c>
      <c r="DN30" s="1398">
        <v>82936000</v>
      </c>
      <c r="DO30" s="1398"/>
      <c r="DP30" s="1398"/>
      <c r="DQ30" s="1398"/>
      <c r="DR30" s="1398"/>
      <c r="DS30" s="1398"/>
      <c r="DT30" s="1398"/>
      <c r="DU30" s="1398"/>
      <c r="DV30" s="1398"/>
      <c r="DW30" s="1398"/>
      <c r="DX30" s="1398"/>
      <c r="DY30" s="1398"/>
      <c r="DZ30" s="1398"/>
      <c r="EA30" s="1398"/>
      <c r="EB30" s="1398"/>
      <c r="EC30" s="1398"/>
      <c r="ED30" s="1398"/>
      <c r="EE30" s="1398"/>
      <c r="EF30" s="1398"/>
      <c r="EG30" s="1398"/>
      <c r="EH30" s="1398"/>
      <c r="EI30" s="1398"/>
      <c r="EJ30" s="1398"/>
      <c r="EK30" s="1398"/>
      <c r="EL30" s="1398"/>
      <c r="EM30" s="1401">
        <f>EK30+EI30+EG30+EE30+EC30+EA30+DY30+DW30+DU30+DS30+DQ30+DO30</f>
        <v>0</v>
      </c>
      <c r="EN30" s="1403">
        <f t="shared" ref="EN30" si="49">+EN25+EN28</f>
        <v>0</v>
      </c>
      <c r="EO30" s="1404">
        <f t="shared" ref="EO30" si="50">EO25+EO28</f>
        <v>0</v>
      </c>
      <c r="EP30" s="1403">
        <f t="shared" ref="EP30:EQ30" si="51">+EP25+EP28</f>
        <v>0</v>
      </c>
      <c r="EQ30" s="1403">
        <f t="shared" si="51"/>
        <v>0</v>
      </c>
      <c r="ER30" s="1405" t="e">
        <f t="shared" si="8"/>
        <v>#DIV/0!</v>
      </c>
      <c r="ES30" s="1405">
        <f t="shared" si="42"/>
        <v>1</v>
      </c>
      <c r="ET30" s="1405">
        <f t="shared" si="45"/>
        <v>1</v>
      </c>
      <c r="EU30" s="1406" t="s">
        <v>225</v>
      </c>
      <c r="EV30" s="1407">
        <f t="shared" si="46"/>
        <v>5.350179885293304E-2</v>
      </c>
      <c r="EW30" s="1368"/>
      <c r="EX30" s="733"/>
      <c r="EY30" s="733"/>
      <c r="EZ30" s="733"/>
      <c r="FA30" s="733"/>
      <c r="FB30" s="770"/>
    </row>
    <row r="31" spans="1:158" s="603" customFormat="1" ht="19.149999999999999" customHeight="1" x14ac:dyDescent="0.2">
      <c r="A31" s="733" t="s">
        <v>290</v>
      </c>
      <c r="B31" s="733">
        <v>4</v>
      </c>
      <c r="C31" s="734" t="s">
        <v>291</v>
      </c>
      <c r="D31" s="733" t="s">
        <v>292</v>
      </c>
      <c r="E31" s="734">
        <v>199</v>
      </c>
      <c r="F31" s="593" t="s">
        <v>41</v>
      </c>
      <c r="G31" s="1411">
        <v>1</v>
      </c>
      <c r="H31" s="1454">
        <v>0.05</v>
      </c>
      <c r="I31" s="1413"/>
      <c r="J31" s="1413"/>
      <c r="K31" s="1414">
        <v>0.05</v>
      </c>
      <c r="L31" s="1415">
        <v>0</v>
      </c>
      <c r="M31" s="1414">
        <v>0.05</v>
      </c>
      <c r="N31" s="1414">
        <v>0.01</v>
      </c>
      <c r="O31" s="1414">
        <v>0.05</v>
      </c>
      <c r="P31" s="1414">
        <v>0.02</v>
      </c>
      <c r="Q31" s="1414">
        <v>0.05</v>
      </c>
      <c r="R31" s="1414">
        <v>0.03</v>
      </c>
      <c r="S31" s="1416">
        <v>0.05</v>
      </c>
      <c r="T31" s="1417">
        <v>0.04</v>
      </c>
      <c r="U31" s="1418">
        <v>0.05</v>
      </c>
      <c r="V31" s="1414">
        <v>0.05</v>
      </c>
      <c r="W31" s="1427">
        <f>+H31</f>
        <v>0.05</v>
      </c>
      <c r="X31" s="1427">
        <f t="shared" si="25"/>
        <v>0.05</v>
      </c>
      <c r="Y31" s="1427">
        <f>+V31</f>
        <v>0.05</v>
      </c>
      <c r="Z31" s="1455">
        <f>+U31</f>
        <v>0.05</v>
      </c>
      <c r="AA31" s="1427">
        <f>+V31</f>
        <v>0.05</v>
      </c>
      <c r="AB31" s="1427">
        <v>0.2</v>
      </c>
      <c r="AC31" s="1427">
        <v>0.01</v>
      </c>
      <c r="AD31" s="1427">
        <v>0.01</v>
      </c>
      <c r="AE31" s="1456">
        <v>0.03</v>
      </c>
      <c r="AF31" s="1456">
        <v>0.03</v>
      </c>
      <c r="AG31" s="1456">
        <v>0.01</v>
      </c>
      <c r="AH31" s="1456">
        <v>0.01</v>
      </c>
      <c r="AI31" s="1456">
        <v>0.01</v>
      </c>
      <c r="AJ31" s="1456">
        <v>0.01</v>
      </c>
      <c r="AK31" s="1456">
        <v>0.01</v>
      </c>
      <c r="AL31" s="1456">
        <v>0.01</v>
      </c>
      <c r="AM31" s="1456">
        <v>0.01</v>
      </c>
      <c r="AN31" s="1456">
        <v>0.01</v>
      </c>
      <c r="AO31" s="1456">
        <v>0.02</v>
      </c>
      <c r="AP31" s="1457">
        <v>0.02</v>
      </c>
      <c r="AQ31" s="1458">
        <v>0.01</v>
      </c>
      <c r="AR31" s="1456">
        <v>0.01</v>
      </c>
      <c r="AS31" s="1456">
        <v>0.01</v>
      </c>
      <c r="AT31" s="1456">
        <v>0.01</v>
      </c>
      <c r="AU31" s="1456">
        <v>0.01</v>
      </c>
      <c r="AV31" s="1456">
        <v>0.01</v>
      </c>
      <c r="AW31" s="1456">
        <v>0.01</v>
      </c>
      <c r="AX31" s="1458">
        <v>0.01</v>
      </c>
      <c r="AY31" s="1414">
        <v>0.01</v>
      </c>
      <c r="AZ31" s="1457">
        <v>0.01</v>
      </c>
      <c r="BA31" s="1423">
        <f>AY31+AW31+AU31+AS31+AO31+AM31+AK31+AI31+AG31+AE31+AC31+AQ31</f>
        <v>0.15</v>
      </c>
      <c r="BB31" s="1422">
        <f t="shared" si="17"/>
        <v>0.15000000000000002</v>
      </c>
      <c r="BC31" s="1423">
        <f>+AN31+AD31+AF31+AH31+AJ31+AL31+AP31+AR31+AT31+AV31+AX31+AZ31</f>
        <v>0.15000000000000002</v>
      </c>
      <c r="BD31" s="1423">
        <f>+BA31+AA31</f>
        <v>0.2</v>
      </c>
      <c r="BE31" s="1423">
        <f>BC31+H31</f>
        <v>0.2</v>
      </c>
      <c r="BF31" s="1414">
        <v>0.6</v>
      </c>
      <c r="BG31" s="1418"/>
      <c r="BH31" s="1414"/>
      <c r="BI31" s="1414"/>
      <c r="BJ31" s="1418"/>
      <c r="BK31" s="1418"/>
      <c r="BL31" s="1418"/>
      <c r="BM31" s="1418"/>
      <c r="BN31" s="1414"/>
      <c r="BO31" s="1414"/>
      <c r="BP31" s="1414"/>
      <c r="BQ31" s="1414"/>
      <c r="BR31" s="1414"/>
      <c r="BS31" s="1414"/>
      <c r="BT31" s="1414"/>
      <c r="BU31" s="1414"/>
      <c r="BV31" s="1414"/>
      <c r="BW31" s="1414"/>
      <c r="BX31" s="1414"/>
      <c r="BY31" s="1414"/>
      <c r="BZ31" s="1414"/>
      <c r="CA31" s="1414"/>
      <c r="CB31" s="1414"/>
      <c r="CC31" s="1414"/>
      <c r="CD31" s="1414"/>
      <c r="CE31" s="1417"/>
      <c r="CF31" s="1415"/>
      <c r="CG31" s="1417"/>
      <c r="CH31" s="1459"/>
      <c r="CI31" s="1415"/>
      <c r="CJ31" s="1414">
        <v>0.9</v>
      </c>
      <c r="CK31" s="1414"/>
      <c r="CL31" s="1414"/>
      <c r="CM31" s="1414"/>
      <c r="CN31" s="1414"/>
      <c r="CO31" s="1414"/>
      <c r="CP31" s="1414"/>
      <c r="CQ31" s="1414"/>
      <c r="CR31" s="1414"/>
      <c r="CS31" s="1414"/>
      <c r="CT31" s="1414"/>
      <c r="CU31" s="1414"/>
      <c r="CV31" s="1414"/>
      <c r="CW31" s="1414"/>
      <c r="CX31" s="1414"/>
      <c r="CY31" s="1414"/>
      <c r="CZ31" s="1414"/>
      <c r="DA31" s="1414"/>
      <c r="DB31" s="1414"/>
      <c r="DC31" s="1414"/>
      <c r="DD31" s="1414"/>
      <c r="DE31" s="1414"/>
      <c r="DF31" s="1414"/>
      <c r="DG31" s="1414"/>
      <c r="DH31" s="1414"/>
      <c r="DI31" s="1417">
        <f>DG31+DE31+DC31+DA31+CY31+CW31+CU31+CS31+CQ31+CO31+CM31+CK31</f>
        <v>0</v>
      </c>
      <c r="DJ31" s="1415">
        <f t="shared" ref="DJ31:DJ34" si="52">CK31+CM31+CO31+CQ31</f>
        <v>0</v>
      </c>
      <c r="DK31" s="1417">
        <f t="shared" ref="DK31:DK34" si="53">CL31+CN31+CP31+CR31</f>
        <v>0</v>
      </c>
      <c r="DL31" s="1459">
        <f>CM31+CO31+CQ31+CS31+CU31+CW31+CY31+DA31+DC31+DE31+DG31+CK31</f>
        <v>0</v>
      </c>
      <c r="DM31" s="1415">
        <f>CL31+CN31+CP31+CR31</f>
        <v>0</v>
      </c>
      <c r="DN31" s="1414">
        <v>1</v>
      </c>
      <c r="DO31" s="1413"/>
      <c r="DP31" s="1413"/>
      <c r="DQ31" s="1413"/>
      <c r="DR31" s="1413"/>
      <c r="DS31" s="1413"/>
      <c r="DT31" s="1413"/>
      <c r="DU31" s="1413"/>
      <c r="DV31" s="1413"/>
      <c r="DW31" s="1413"/>
      <c r="DX31" s="1413"/>
      <c r="DY31" s="1413"/>
      <c r="DZ31" s="1413"/>
      <c r="EA31" s="1413"/>
      <c r="EB31" s="1413"/>
      <c r="EC31" s="1413"/>
      <c r="ED31" s="1413"/>
      <c r="EE31" s="1413"/>
      <c r="EF31" s="1413"/>
      <c r="EG31" s="1426"/>
      <c r="EH31" s="1426"/>
      <c r="EI31" s="1426"/>
      <c r="EJ31" s="1426"/>
      <c r="EK31" s="1426"/>
      <c r="EL31" s="1426"/>
      <c r="EM31" s="1411">
        <f>EK31+EI31+EG31+EE31+EC31+EA31+DY31+DW31+DU31+DS31+DQ31+DO31</f>
        <v>0</v>
      </c>
      <c r="EN31" s="1424">
        <f t="shared" ref="EN31:EN35" si="54">DO31+DQ31+DS31+DU31</f>
        <v>0</v>
      </c>
      <c r="EO31" s="1427">
        <f t="shared" ref="EO31:EO36" si="55">DP31+DR31+DT31+DV31</f>
        <v>0</v>
      </c>
      <c r="EP31" s="1428">
        <f>DQ31+DS31+DU31+DW31+DY31+EA31+EC31+EE31+EG31+EI31+EK31+DO31</f>
        <v>0</v>
      </c>
      <c r="EQ31" s="1423">
        <f>DP31+DR31+DT31+DV31</f>
        <v>0</v>
      </c>
      <c r="ER31" s="1429">
        <f t="shared" si="8"/>
        <v>1</v>
      </c>
      <c r="ES31" s="1429">
        <f t="shared" si="9"/>
        <v>1</v>
      </c>
      <c r="ET31" s="1429">
        <f t="shared" si="10"/>
        <v>1</v>
      </c>
      <c r="EU31" s="1430">
        <f>BE31/BD31</f>
        <v>1</v>
      </c>
      <c r="EV31" s="1429">
        <f>BE31/G31</f>
        <v>0.2</v>
      </c>
      <c r="EW31" s="1354" t="s">
        <v>1189</v>
      </c>
      <c r="EX31" s="733" t="s">
        <v>70</v>
      </c>
      <c r="EY31" s="733" t="s">
        <v>70</v>
      </c>
      <c r="EZ31" s="733" t="s">
        <v>661</v>
      </c>
      <c r="FA31" s="733" t="s">
        <v>662</v>
      </c>
      <c r="FB31" s="770"/>
    </row>
    <row r="32" spans="1:158" s="611" customFormat="1" ht="19.149999999999999" customHeight="1" x14ac:dyDescent="0.2">
      <c r="A32" s="733"/>
      <c r="B32" s="733"/>
      <c r="C32" s="734"/>
      <c r="D32" s="733"/>
      <c r="E32" s="734"/>
      <c r="F32" s="604" t="s">
        <v>3</v>
      </c>
      <c r="G32" s="605">
        <f>AA32+BD32+BF32+CJ32+DN32</f>
        <v>372381500</v>
      </c>
      <c r="H32" s="644">
        <v>90000000</v>
      </c>
      <c r="I32" s="607"/>
      <c r="J32" s="600"/>
      <c r="K32" s="607">
        <v>90000000</v>
      </c>
      <c r="L32" s="600">
        <v>0</v>
      </c>
      <c r="M32" s="607">
        <v>90000000</v>
      </c>
      <c r="N32" s="600">
        <v>69812000</v>
      </c>
      <c r="O32" s="607">
        <v>90000000</v>
      </c>
      <c r="P32" s="600">
        <v>69812000</v>
      </c>
      <c r="Q32" s="607">
        <v>90000000</v>
      </c>
      <c r="R32" s="600">
        <v>69812000</v>
      </c>
      <c r="S32" s="607">
        <v>95347000</v>
      </c>
      <c r="T32" s="645">
        <v>69812000</v>
      </c>
      <c r="U32" s="646">
        <v>95347000</v>
      </c>
      <c r="V32" s="646">
        <v>95159000</v>
      </c>
      <c r="W32" s="598">
        <f t="shared" si="24"/>
        <v>90000000</v>
      </c>
      <c r="X32" s="598">
        <f t="shared" si="25"/>
        <v>90000000</v>
      </c>
      <c r="Y32" s="598">
        <f t="shared" si="26"/>
        <v>95159000</v>
      </c>
      <c r="Z32" s="598">
        <f t="shared" si="27"/>
        <v>95347000</v>
      </c>
      <c r="AA32" s="598">
        <f t="shared" si="28"/>
        <v>95159000</v>
      </c>
      <c r="AB32" s="650">
        <v>68299000</v>
      </c>
      <c r="AC32" s="605">
        <v>0</v>
      </c>
      <c r="AD32" s="605">
        <v>0</v>
      </c>
      <c r="AE32" s="651">
        <v>0</v>
      </c>
      <c r="AF32" s="600">
        <v>0</v>
      </c>
      <c r="AG32" s="600">
        <v>64664000</v>
      </c>
      <c r="AH32" s="600">
        <v>64664000</v>
      </c>
      <c r="AI32" s="600">
        <v>0</v>
      </c>
      <c r="AJ32" s="600">
        <v>0</v>
      </c>
      <c r="AK32" s="600">
        <v>0</v>
      </c>
      <c r="AL32" s="600">
        <v>0</v>
      </c>
      <c r="AM32" s="600">
        <v>0</v>
      </c>
      <c r="AN32" s="600">
        <v>0</v>
      </c>
      <c r="AO32" s="600">
        <v>0</v>
      </c>
      <c r="AP32" s="600">
        <v>0</v>
      </c>
      <c r="AQ32" s="607">
        <v>0</v>
      </c>
      <c r="AR32" s="600">
        <v>0</v>
      </c>
      <c r="AS32" s="600">
        <v>12124500</v>
      </c>
      <c r="AT32" s="600">
        <v>0</v>
      </c>
      <c r="AU32" s="600">
        <v>0</v>
      </c>
      <c r="AV32" s="600">
        <v>0</v>
      </c>
      <c r="AW32" s="600">
        <v>0</v>
      </c>
      <c r="AX32" s="607">
        <v>12124500</v>
      </c>
      <c r="AY32" s="600">
        <v>0</v>
      </c>
      <c r="AZ32" s="600">
        <v>0</v>
      </c>
      <c r="BA32" s="594">
        <f>AY32+AW32+AU32+AS32+AQ32+AO32+AM32+AK32+AI32+AG32+AE32+AC32</f>
        <v>76788500</v>
      </c>
      <c r="BB32" s="599">
        <f t="shared" si="17"/>
        <v>76788500</v>
      </c>
      <c r="BC32" s="599">
        <f t="shared" si="11"/>
        <v>76788500</v>
      </c>
      <c r="BD32" s="599">
        <f>BA32</f>
        <v>76788500</v>
      </c>
      <c r="BE32" s="599">
        <f t="shared" si="6"/>
        <v>76788500</v>
      </c>
      <c r="BF32" s="600">
        <v>70434000</v>
      </c>
      <c r="BG32" s="600"/>
      <c r="BH32" s="600"/>
      <c r="BI32" s="600"/>
      <c r="BJ32" s="600"/>
      <c r="BK32" s="626"/>
      <c r="BL32" s="626"/>
      <c r="BM32" s="626"/>
      <c r="BN32" s="626"/>
      <c r="BO32" s="626"/>
      <c r="BP32" s="626"/>
      <c r="BQ32" s="626"/>
      <c r="BR32" s="600"/>
      <c r="BS32" s="600"/>
      <c r="BT32" s="600"/>
      <c r="BU32" s="626"/>
      <c r="BV32" s="600"/>
      <c r="BW32" s="600"/>
      <c r="BX32" s="600"/>
      <c r="BY32" s="600"/>
      <c r="BZ32" s="600"/>
      <c r="CA32" s="600"/>
      <c r="CB32" s="600"/>
      <c r="CC32" s="600"/>
      <c r="CD32" s="600"/>
      <c r="CE32" s="594"/>
      <c r="CF32" s="610"/>
      <c r="CG32" s="610"/>
      <c r="CH32" s="631"/>
      <c r="CI32" s="610"/>
      <c r="CJ32" s="600">
        <v>100000000</v>
      </c>
      <c r="CK32" s="600"/>
      <c r="CL32" s="600"/>
      <c r="CM32" s="600"/>
      <c r="CN32" s="600"/>
      <c r="CO32" s="600"/>
      <c r="CP32" s="600"/>
      <c r="CQ32" s="600"/>
      <c r="CR32" s="600"/>
      <c r="CS32" s="600"/>
      <c r="CT32" s="600"/>
      <c r="CU32" s="600"/>
      <c r="CV32" s="600"/>
      <c r="CW32" s="600"/>
      <c r="CX32" s="600"/>
      <c r="CY32" s="600"/>
      <c r="CZ32" s="600"/>
      <c r="DA32" s="600"/>
      <c r="DB32" s="600"/>
      <c r="DC32" s="600"/>
      <c r="DD32" s="600"/>
      <c r="DE32" s="600"/>
      <c r="DF32" s="600"/>
      <c r="DG32" s="600"/>
      <c r="DH32" s="600"/>
      <c r="DI32" s="594">
        <f>DG32+DE32+DC32+DA32+CY32+CW32+CU32+CS32+CQ32+CO32+CM32+CK32</f>
        <v>0</v>
      </c>
      <c r="DJ32" s="610">
        <f t="shared" si="52"/>
        <v>0</v>
      </c>
      <c r="DK32" s="610">
        <f t="shared" si="53"/>
        <v>0</v>
      </c>
      <c r="DL32" s="631">
        <f>CM32+CO32+CQ32+CS32+CU32+CW32+CY32+DA32+DC32+DE32+DG32+CK32</f>
        <v>0</v>
      </c>
      <c r="DM32" s="610">
        <f>CL32+CN32+CP32+CR32</f>
        <v>0</v>
      </c>
      <c r="DN32" s="600">
        <v>30000000</v>
      </c>
      <c r="DO32" s="600"/>
      <c r="DP32" s="600"/>
      <c r="DQ32" s="600"/>
      <c r="DR32" s="600"/>
      <c r="DS32" s="600"/>
      <c r="DT32" s="600"/>
      <c r="DU32" s="600"/>
      <c r="DV32" s="600"/>
      <c r="DW32" s="600"/>
      <c r="DX32" s="600"/>
      <c r="DY32" s="600"/>
      <c r="DZ32" s="600"/>
      <c r="EA32" s="600"/>
      <c r="EB32" s="600"/>
      <c r="EC32" s="600"/>
      <c r="ED32" s="600"/>
      <c r="EE32" s="600"/>
      <c r="EF32" s="600"/>
      <c r="EG32" s="600"/>
      <c r="EH32" s="600"/>
      <c r="EI32" s="600"/>
      <c r="EJ32" s="600"/>
      <c r="EK32" s="600"/>
      <c r="EL32" s="600"/>
      <c r="EM32" s="594">
        <f>EK32+EI32+EG32+EE32+EC32+EA32+DY32+DW32+DU32+DS32+DQ32+DO32</f>
        <v>0</v>
      </c>
      <c r="EN32" s="610">
        <f t="shared" si="54"/>
        <v>0</v>
      </c>
      <c r="EO32" s="610">
        <f t="shared" si="55"/>
        <v>0</v>
      </c>
      <c r="EP32" s="631">
        <f>DQ32+DS32+DU32+DW32+DY32+EA32+EC32+EE32+EG32+EI32+EK32+DO32</f>
        <v>0</v>
      </c>
      <c r="EQ32" s="610">
        <f>DP32+DR32+DT32+DV32</f>
        <v>0</v>
      </c>
      <c r="ER32" s="601" t="e">
        <f t="shared" si="8"/>
        <v>#DIV/0!</v>
      </c>
      <c r="ES32" s="601">
        <f t="shared" si="9"/>
        <v>1</v>
      </c>
      <c r="ET32" s="601">
        <f t="shared" si="10"/>
        <v>1</v>
      </c>
      <c r="EU32" s="602">
        <f>(T32+BE32+CG32)/(S32+U32+CF32)</f>
        <v>0.76877353246562552</v>
      </c>
      <c r="EV32" s="601">
        <f t="shared" si="14"/>
        <v>0.2062092236053617</v>
      </c>
      <c r="EW32" s="1354"/>
      <c r="EX32" s="733"/>
      <c r="EY32" s="733"/>
      <c r="EZ32" s="733"/>
      <c r="FA32" s="733" t="s">
        <v>662</v>
      </c>
      <c r="FB32" s="770"/>
    </row>
    <row r="33" spans="1:158" s="611" customFormat="1" ht="19.149999999999999" customHeight="1" x14ac:dyDescent="0.2">
      <c r="A33" s="733"/>
      <c r="B33" s="733"/>
      <c r="C33" s="734"/>
      <c r="D33" s="733"/>
      <c r="E33" s="734"/>
      <c r="F33" s="546" t="s">
        <v>224</v>
      </c>
      <c r="G33" s="605"/>
      <c r="H33" s="644"/>
      <c r="I33" s="607"/>
      <c r="J33" s="600"/>
      <c r="K33" s="607"/>
      <c r="L33" s="600"/>
      <c r="M33" s="607"/>
      <c r="N33" s="600"/>
      <c r="O33" s="607"/>
      <c r="P33" s="600"/>
      <c r="Q33" s="607"/>
      <c r="R33" s="600"/>
      <c r="S33" s="607"/>
      <c r="T33" s="645"/>
      <c r="U33" s="646"/>
      <c r="V33" s="646"/>
      <c r="W33" s="598">
        <f t="shared" si="24"/>
        <v>0</v>
      </c>
      <c r="X33" s="598">
        <f t="shared" si="25"/>
        <v>0</v>
      </c>
      <c r="Y33" s="598">
        <f t="shared" si="26"/>
        <v>0</v>
      </c>
      <c r="Z33" s="598">
        <f t="shared" si="27"/>
        <v>0</v>
      </c>
      <c r="AA33" s="598">
        <f t="shared" si="28"/>
        <v>0</v>
      </c>
      <c r="AB33" s="605"/>
      <c r="AC33" s="605"/>
      <c r="AD33" s="605"/>
      <c r="AE33" s="646"/>
      <c r="AF33" s="600"/>
      <c r="AG33" s="600"/>
      <c r="AH33" s="600"/>
      <c r="AI33" s="600">
        <v>4041500</v>
      </c>
      <c r="AJ33" s="600">
        <v>4041500</v>
      </c>
      <c r="AK33" s="600">
        <v>8083000</v>
      </c>
      <c r="AL33" s="600">
        <v>8083000</v>
      </c>
      <c r="AM33" s="600">
        <v>8130820</v>
      </c>
      <c r="AN33" s="600">
        <v>8083000</v>
      </c>
      <c r="AO33" s="600">
        <v>8130820</v>
      </c>
      <c r="AP33" s="600">
        <v>8083000</v>
      </c>
      <c r="AQ33" s="607">
        <v>8130820</v>
      </c>
      <c r="AR33" s="600">
        <v>8083000</v>
      </c>
      <c r="AS33" s="600">
        <v>8130820</v>
      </c>
      <c r="AT33" s="600">
        <v>8083000</v>
      </c>
      <c r="AU33" s="600">
        <v>8130820</v>
      </c>
      <c r="AV33" s="600">
        <v>8083000</v>
      </c>
      <c r="AW33" s="600">
        <v>8130820</v>
      </c>
      <c r="AX33" s="607">
        <v>8083000</v>
      </c>
      <c r="AY33" s="600">
        <f>8130820</f>
        <v>8130820</v>
      </c>
      <c r="AZ33" s="600">
        <v>8083000</v>
      </c>
      <c r="BA33" s="594">
        <f>AW33+AU33+AS33+AQ33+AO33+AM33+AK33+AI33+AG33+AE33+AC33+AY33</f>
        <v>69040240</v>
      </c>
      <c r="BB33" s="599">
        <f>AC33+AE33+AG33+AI33+AK33+AM33+AO33+AQ33+AS33+AU33+AW33+AY33</f>
        <v>69040240</v>
      </c>
      <c r="BC33" s="599">
        <f>+AN33+AD33+AF33+AH33+AJ33+AL33+AP33+AR33+AT33+AV33+AX33+AZ33</f>
        <v>68705500</v>
      </c>
      <c r="BD33" s="599">
        <f>BA33</f>
        <v>69040240</v>
      </c>
      <c r="BE33" s="599">
        <f t="shared" si="6"/>
        <v>68705500</v>
      </c>
      <c r="BF33" s="630"/>
      <c r="BG33" s="600"/>
      <c r="BH33" s="600"/>
      <c r="BI33" s="600"/>
      <c r="BJ33" s="600"/>
      <c r="BK33" s="600"/>
      <c r="BL33" s="600"/>
      <c r="BM33" s="626"/>
      <c r="BN33" s="600"/>
      <c r="BO33" s="626"/>
      <c r="BP33" s="600"/>
      <c r="BQ33" s="626"/>
      <c r="BR33" s="600"/>
      <c r="BS33" s="626"/>
      <c r="BT33" s="600"/>
      <c r="BU33" s="626"/>
      <c r="BV33" s="600"/>
      <c r="BW33" s="626"/>
      <c r="BX33" s="600"/>
      <c r="BY33" s="626"/>
      <c r="BZ33" s="600"/>
      <c r="CA33" s="600"/>
      <c r="CB33" s="600"/>
      <c r="CC33" s="626"/>
      <c r="CD33" s="600"/>
      <c r="CE33" s="594"/>
      <c r="CF33" s="610"/>
      <c r="CG33" s="610"/>
      <c r="CH33" s="645"/>
      <c r="CI33" s="610"/>
      <c r="CJ33" s="600"/>
      <c r="CK33" s="600"/>
      <c r="CL33" s="600"/>
      <c r="CM33" s="600"/>
      <c r="CN33" s="600"/>
      <c r="CO33" s="600"/>
      <c r="CP33" s="600"/>
      <c r="CQ33" s="600"/>
      <c r="CR33" s="600"/>
      <c r="CS33" s="600"/>
      <c r="CT33" s="600"/>
      <c r="CU33" s="600"/>
      <c r="CV33" s="600"/>
      <c r="CW33" s="600"/>
      <c r="CX33" s="600"/>
      <c r="CY33" s="600"/>
      <c r="CZ33" s="600"/>
      <c r="DA33" s="600"/>
      <c r="DB33" s="600"/>
      <c r="DC33" s="600"/>
      <c r="DD33" s="600"/>
      <c r="DE33" s="600"/>
      <c r="DF33" s="600"/>
      <c r="DG33" s="600"/>
      <c r="DH33" s="600"/>
      <c r="DI33" s="594">
        <f>DE33+DC33+DA33+CY33+CW33+CU33+CS33+CQ33+CO33+CM33+CK33+DG33</f>
        <v>0</v>
      </c>
      <c r="DJ33" s="610">
        <f t="shared" si="52"/>
        <v>0</v>
      </c>
      <c r="DK33" s="610">
        <f t="shared" si="53"/>
        <v>0</v>
      </c>
      <c r="DL33" s="609">
        <f>CM33+CO33+CQ33+CS33+CU33+CW33+CY33+DA33+DC33+DE33+DG33</f>
        <v>0</v>
      </c>
      <c r="DM33" s="610">
        <f>CL33+CN33+CP33+CR33</f>
        <v>0</v>
      </c>
      <c r="DN33" s="600"/>
      <c r="DO33" s="600"/>
      <c r="DP33" s="600"/>
      <c r="DQ33" s="600"/>
      <c r="DR33" s="600"/>
      <c r="DS33" s="600"/>
      <c r="DT33" s="600"/>
      <c r="DU33" s="600"/>
      <c r="DV33" s="600"/>
      <c r="DW33" s="600"/>
      <c r="DX33" s="600"/>
      <c r="DY33" s="600"/>
      <c r="DZ33" s="600"/>
      <c r="EA33" s="600"/>
      <c r="EB33" s="600"/>
      <c r="EC33" s="600"/>
      <c r="ED33" s="600"/>
      <c r="EE33" s="600"/>
      <c r="EF33" s="600"/>
      <c r="EG33" s="600"/>
      <c r="EH33" s="600"/>
      <c r="EI33" s="600"/>
      <c r="EJ33" s="600"/>
      <c r="EK33" s="600"/>
      <c r="EL33" s="600"/>
      <c r="EM33" s="594">
        <f>EI33+EG33+EE33+EC33+EA33+DY33+DW33+DU33+DS33+DQ33+DO33+EK33</f>
        <v>0</v>
      </c>
      <c r="EN33" s="610">
        <f t="shared" si="54"/>
        <v>0</v>
      </c>
      <c r="EO33" s="610">
        <f t="shared" si="55"/>
        <v>0</v>
      </c>
      <c r="EP33" s="609">
        <f>DQ33+DS33+DU33+DW33+DY33+EA33+EC33+EE33+EG33+EI33+EK33</f>
        <v>0</v>
      </c>
      <c r="EQ33" s="610">
        <f>DP33+DR33+DT33+DV33</f>
        <v>0</v>
      </c>
      <c r="ER33" s="601">
        <f t="shared" si="8"/>
        <v>0.9941186743772461</v>
      </c>
      <c r="ES33" s="601">
        <f t="shared" si="9"/>
        <v>0.99515152322761335</v>
      </c>
      <c r="ET33" s="601">
        <f t="shared" si="10"/>
        <v>0.99515152322761335</v>
      </c>
      <c r="EU33" s="602" t="s">
        <v>225</v>
      </c>
      <c r="EV33" s="602" t="s">
        <v>225</v>
      </c>
      <c r="EW33" s="1354"/>
      <c r="EX33" s="733"/>
      <c r="EY33" s="733"/>
      <c r="EZ33" s="733"/>
      <c r="FA33" s="733" t="s">
        <v>662</v>
      </c>
      <c r="FB33" s="770"/>
    </row>
    <row r="34" spans="1:158" s="603" customFormat="1" ht="19.149999999999999" customHeight="1" x14ac:dyDescent="0.2">
      <c r="A34" s="733"/>
      <c r="B34" s="733"/>
      <c r="C34" s="734"/>
      <c r="D34" s="733"/>
      <c r="E34" s="734"/>
      <c r="F34" s="593" t="s">
        <v>42</v>
      </c>
      <c r="G34" s="613"/>
      <c r="H34" s="641"/>
      <c r="I34" s="596"/>
      <c r="J34" s="596"/>
      <c r="K34" s="596"/>
      <c r="L34" s="596"/>
      <c r="M34" s="596"/>
      <c r="N34" s="596"/>
      <c r="O34" s="596"/>
      <c r="P34" s="596"/>
      <c r="Q34" s="596"/>
      <c r="R34" s="596"/>
      <c r="S34" s="643"/>
      <c r="T34" s="615"/>
      <c r="U34" s="596"/>
      <c r="V34" s="615"/>
      <c r="W34" s="598">
        <f t="shared" si="24"/>
        <v>0</v>
      </c>
      <c r="X34" s="598">
        <f t="shared" si="25"/>
        <v>0</v>
      </c>
      <c r="Y34" s="598">
        <f t="shared" si="26"/>
        <v>0</v>
      </c>
      <c r="Z34" s="598">
        <f t="shared" si="27"/>
        <v>0</v>
      </c>
      <c r="AA34" s="598">
        <f t="shared" si="28"/>
        <v>0</v>
      </c>
      <c r="AB34" s="613"/>
      <c r="AC34" s="613"/>
      <c r="AD34" s="613"/>
      <c r="AE34" s="613"/>
      <c r="AF34" s="613"/>
      <c r="AG34" s="613"/>
      <c r="AH34" s="613"/>
      <c r="AI34" s="613"/>
      <c r="AJ34" s="613"/>
      <c r="AK34" s="596"/>
      <c r="AL34" s="596"/>
      <c r="AM34" s="596"/>
      <c r="AN34" s="596"/>
      <c r="AO34" s="596"/>
      <c r="AP34" s="596"/>
      <c r="AQ34" s="643"/>
      <c r="AR34" s="596"/>
      <c r="AS34" s="596"/>
      <c r="AT34" s="596"/>
      <c r="AU34" s="596"/>
      <c r="AV34" s="596"/>
      <c r="AW34" s="596"/>
      <c r="AX34" s="643"/>
      <c r="AY34" s="596"/>
      <c r="AZ34" s="596"/>
      <c r="BA34" s="594">
        <v>0</v>
      </c>
      <c r="BB34" s="599">
        <f t="shared" si="17"/>
        <v>0</v>
      </c>
      <c r="BC34" s="599">
        <f t="shared" si="11"/>
        <v>0</v>
      </c>
      <c r="BD34" s="599">
        <f>AC34+AE34+AG34+AI34+AK34+AM34+AO34+AQ34+AS34+AU34+AW34+AY34</f>
        <v>0</v>
      </c>
      <c r="BE34" s="599">
        <f>AF34+AH34+AJ34+AL34+AD34+AN34+AP34+AR34+AT34+AV34+AX34+AZ34</f>
        <v>0</v>
      </c>
      <c r="BF34" s="642"/>
      <c r="BG34" s="596"/>
      <c r="BH34" s="596"/>
      <c r="BI34" s="596"/>
      <c r="BJ34" s="596"/>
      <c r="BK34" s="596"/>
      <c r="BL34" s="596"/>
      <c r="BM34" s="596"/>
      <c r="BN34" s="596"/>
      <c r="BO34" s="596"/>
      <c r="BP34" s="596"/>
      <c r="BQ34" s="596"/>
      <c r="BR34" s="596"/>
      <c r="BS34" s="596"/>
      <c r="BT34" s="596"/>
      <c r="BU34" s="596"/>
      <c r="BV34" s="596"/>
      <c r="BW34" s="596"/>
      <c r="BX34" s="596"/>
      <c r="BY34" s="596"/>
      <c r="BZ34" s="596"/>
      <c r="CA34" s="596"/>
      <c r="CB34" s="596"/>
      <c r="CC34" s="596"/>
      <c r="CD34" s="596"/>
      <c r="CE34" s="597"/>
      <c r="CF34" s="634"/>
      <c r="CG34" s="635"/>
      <c r="CH34" s="624"/>
      <c r="CI34" s="647"/>
      <c r="CJ34" s="596"/>
      <c r="CK34" s="596"/>
      <c r="CL34" s="596"/>
      <c r="CM34" s="596"/>
      <c r="CN34" s="596"/>
      <c r="CO34" s="596"/>
      <c r="CP34" s="596"/>
      <c r="CQ34" s="596"/>
      <c r="CR34" s="596"/>
      <c r="CS34" s="596"/>
      <c r="CT34" s="596"/>
      <c r="CU34" s="596"/>
      <c r="CV34" s="596"/>
      <c r="CW34" s="596"/>
      <c r="CX34" s="596"/>
      <c r="CY34" s="596"/>
      <c r="CZ34" s="596"/>
      <c r="DA34" s="596"/>
      <c r="DB34" s="596"/>
      <c r="DC34" s="596"/>
      <c r="DD34" s="596"/>
      <c r="DE34" s="596"/>
      <c r="DF34" s="596"/>
      <c r="DG34" s="596"/>
      <c r="DH34" s="596"/>
      <c r="DI34" s="597">
        <f>DE34+DC34+DA34+CY34+CW34+CU34+CS34+CQ34+CO34+CM34+CK34+DG34</f>
        <v>0</v>
      </c>
      <c r="DJ34" s="634">
        <f t="shared" si="52"/>
        <v>0</v>
      </c>
      <c r="DK34" s="635">
        <f t="shared" si="53"/>
        <v>0</v>
      </c>
      <c r="DL34" s="624">
        <f>CM34+CO34+CQ34+CS34+CU34+CW34+CY34+DA34+DC34+DE34+DG34</f>
        <v>0</v>
      </c>
      <c r="DM34" s="647">
        <v>0</v>
      </c>
      <c r="DN34" s="596"/>
      <c r="DO34" s="596"/>
      <c r="DP34" s="596"/>
      <c r="DQ34" s="596"/>
      <c r="DR34" s="596"/>
      <c r="DS34" s="596"/>
      <c r="DT34" s="596"/>
      <c r="DU34" s="596"/>
      <c r="DV34" s="596"/>
      <c r="DW34" s="596"/>
      <c r="DX34" s="596"/>
      <c r="DY34" s="596"/>
      <c r="DZ34" s="596"/>
      <c r="EA34" s="596"/>
      <c r="EB34" s="596"/>
      <c r="EC34" s="596"/>
      <c r="ED34" s="596"/>
      <c r="EE34" s="596"/>
      <c r="EF34" s="596"/>
      <c r="EG34" s="596"/>
      <c r="EH34" s="596"/>
      <c r="EI34" s="596"/>
      <c r="EJ34" s="596"/>
      <c r="EK34" s="596"/>
      <c r="EL34" s="596"/>
      <c r="EM34" s="597">
        <f>EI34+EG34+EE34+EC34+EA34+DY34+DW34+DU34+DS34+DQ34+DO34+EK34</f>
        <v>0</v>
      </c>
      <c r="EN34" s="634">
        <f t="shared" si="54"/>
        <v>0</v>
      </c>
      <c r="EO34" s="635">
        <f t="shared" si="55"/>
        <v>0</v>
      </c>
      <c r="EP34" s="624">
        <f>DQ34+DS34+DU34+DW34+DY34+EA34+EC34+EE34+EG34+EI34+EK34</f>
        <v>0</v>
      </c>
      <c r="EQ34" s="647">
        <v>0</v>
      </c>
      <c r="ER34" s="601" t="e">
        <f t="shared" si="8"/>
        <v>#DIV/0!</v>
      </c>
      <c r="ES34" s="602" t="s">
        <v>225</v>
      </c>
      <c r="ET34" s="602" t="s">
        <v>225</v>
      </c>
      <c r="EU34" s="602" t="s">
        <v>225</v>
      </c>
      <c r="EV34" s="602" t="s">
        <v>225</v>
      </c>
      <c r="EW34" s="1354"/>
      <c r="EX34" s="733"/>
      <c r="EY34" s="733"/>
      <c r="EZ34" s="733"/>
      <c r="FA34" s="733" t="s">
        <v>662</v>
      </c>
      <c r="FB34" s="770"/>
    </row>
    <row r="35" spans="1:158" s="611" customFormat="1" ht="19.149999999999999" customHeight="1" x14ac:dyDescent="0.2">
      <c r="A35" s="733"/>
      <c r="B35" s="733"/>
      <c r="C35" s="734"/>
      <c r="D35" s="733"/>
      <c r="E35" s="734"/>
      <c r="F35" s="604" t="s">
        <v>4</v>
      </c>
      <c r="G35" s="605">
        <f>AA35+BD35+BF35+CJ35+DN35</f>
        <v>25242234</v>
      </c>
      <c r="H35" s="648"/>
      <c r="I35" s="600"/>
      <c r="J35" s="600"/>
      <c r="K35" s="600"/>
      <c r="L35" s="600"/>
      <c r="M35" s="600"/>
      <c r="N35" s="600"/>
      <c r="O35" s="600"/>
      <c r="P35" s="600"/>
      <c r="Q35" s="600"/>
      <c r="R35" s="600"/>
      <c r="S35" s="607"/>
      <c r="T35" s="619"/>
      <c r="U35" s="600"/>
      <c r="V35" s="600"/>
      <c r="W35" s="598">
        <f t="shared" si="24"/>
        <v>0</v>
      </c>
      <c r="X35" s="598">
        <f t="shared" si="25"/>
        <v>0</v>
      </c>
      <c r="Y35" s="598">
        <f t="shared" si="26"/>
        <v>0</v>
      </c>
      <c r="Z35" s="598">
        <f t="shared" si="27"/>
        <v>0</v>
      </c>
      <c r="AA35" s="598">
        <f t="shared" si="28"/>
        <v>0</v>
      </c>
      <c r="AB35" s="619">
        <v>25242234</v>
      </c>
      <c r="AC35" s="619">
        <v>7079600</v>
      </c>
      <c r="AD35" s="619">
        <v>7079600</v>
      </c>
      <c r="AE35" s="619">
        <f>16193367-AD35</f>
        <v>9113767</v>
      </c>
      <c r="AF35" s="619">
        <v>9113767</v>
      </c>
      <c r="AG35" s="619">
        <f>25242234-AD35-AF35</f>
        <v>9048867</v>
      </c>
      <c r="AH35" s="619">
        <v>9048867</v>
      </c>
      <c r="AI35" s="619">
        <v>0</v>
      </c>
      <c r="AJ35" s="619">
        <v>0</v>
      </c>
      <c r="AK35" s="600">
        <v>0</v>
      </c>
      <c r="AL35" s="600">
        <v>0</v>
      </c>
      <c r="AM35" s="600">
        <v>0</v>
      </c>
      <c r="AN35" s="600">
        <v>0</v>
      </c>
      <c r="AO35" s="600">
        <v>0</v>
      </c>
      <c r="AP35" s="600">
        <v>0</v>
      </c>
      <c r="AQ35" s="607"/>
      <c r="AR35" s="600"/>
      <c r="AS35" s="600"/>
      <c r="AT35" s="600">
        <v>0</v>
      </c>
      <c r="AU35" s="600"/>
      <c r="AV35" s="600">
        <v>0</v>
      </c>
      <c r="AW35" s="600"/>
      <c r="AX35" s="607">
        <v>0</v>
      </c>
      <c r="AY35" s="600"/>
      <c r="AZ35" s="600">
        <v>0</v>
      </c>
      <c r="BA35" s="594">
        <f>AW35+AU35+AS35+AQ35+AO35+AM35+AK35+AI35+AG35+AE35+AC35+AY35</f>
        <v>25242234</v>
      </c>
      <c r="BB35" s="599">
        <f t="shared" si="17"/>
        <v>25242234</v>
      </c>
      <c r="BC35" s="599">
        <f t="shared" si="11"/>
        <v>25242234</v>
      </c>
      <c r="BD35" s="599">
        <f>BA35</f>
        <v>25242234</v>
      </c>
      <c r="BE35" s="599">
        <f t="shared" si="6"/>
        <v>25242234</v>
      </c>
      <c r="BF35" s="630"/>
      <c r="BG35" s="626"/>
      <c r="BH35" s="626"/>
      <c r="BI35" s="626"/>
      <c r="BJ35" s="626"/>
      <c r="BK35" s="626"/>
      <c r="BL35" s="600"/>
      <c r="BM35" s="600"/>
      <c r="BN35" s="600"/>
      <c r="BO35" s="600"/>
      <c r="BP35" s="600"/>
      <c r="BQ35" s="600"/>
      <c r="BR35" s="600"/>
      <c r="BS35" s="600"/>
      <c r="BT35" s="600"/>
      <c r="BU35" s="600"/>
      <c r="BV35" s="600"/>
      <c r="BW35" s="600"/>
      <c r="BX35" s="600"/>
      <c r="BY35" s="600"/>
      <c r="BZ35" s="600"/>
      <c r="CA35" s="600"/>
      <c r="CB35" s="600"/>
      <c r="CC35" s="600"/>
      <c r="CD35" s="600"/>
      <c r="CE35" s="597"/>
      <c r="CF35" s="610"/>
      <c r="CG35" s="610"/>
      <c r="CH35" s="609"/>
      <c r="CI35" s="610"/>
      <c r="CJ35" s="600"/>
      <c r="CK35" s="600"/>
      <c r="CL35" s="600"/>
      <c r="CM35" s="600"/>
      <c r="CN35" s="600"/>
      <c r="CO35" s="600"/>
      <c r="CP35" s="600"/>
      <c r="CQ35" s="600"/>
      <c r="CR35" s="600"/>
      <c r="CS35" s="600"/>
      <c r="CT35" s="600"/>
      <c r="CU35" s="600"/>
      <c r="CV35" s="600"/>
      <c r="CW35" s="600"/>
      <c r="CX35" s="600"/>
      <c r="CY35" s="600"/>
      <c r="CZ35" s="600"/>
      <c r="DA35" s="600"/>
      <c r="DB35" s="600"/>
      <c r="DC35" s="600"/>
      <c r="DD35" s="600"/>
      <c r="DE35" s="600"/>
      <c r="DF35" s="600"/>
      <c r="DG35" s="600"/>
      <c r="DH35" s="600"/>
      <c r="DI35" s="597"/>
      <c r="DJ35" s="610"/>
      <c r="DK35" s="610"/>
      <c r="DL35" s="609"/>
      <c r="DM35" s="610"/>
      <c r="DN35" s="600"/>
      <c r="DO35" s="600"/>
      <c r="DP35" s="600"/>
      <c r="DQ35" s="600"/>
      <c r="DR35" s="600"/>
      <c r="DS35" s="600"/>
      <c r="DT35" s="600"/>
      <c r="DU35" s="600"/>
      <c r="DV35" s="600"/>
      <c r="DW35" s="600"/>
      <c r="DX35" s="600"/>
      <c r="DY35" s="600"/>
      <c r="DZ35" s="600"/>
      <c r="EA35" s="600"/>
      <c r="EB35" s="600"/>
      <c r="EC35" s="600"/>
      <c r="ED35" s="600"/>
      <c r="EE35" s="600"/>
      <c r="EF35" s="600"/>
      <c r="EG35" s="600"/>
      <c r="EH35" s="600"/>
      <c r="EI35" s="600"/>
      <c r="EJ35" s="600"/>
      <c r="EK35" s="600"/>
      <c r="EL35" s="600"/>
      <c r="EM35" s="597">
        <f>EI35+EG35+EE35+EC35+EA35+DY35+DW35+DU35+DS35+DQ35+DO35+EK35</f>
        <v>0</v>
      </c>
      <c r="EN35" s="610">
        <f t="shared" si="54"/>
        <v>0</v>
      </c>
      <c r="EO35" s="610">
        <f t="shared" si="55"/>
        <v>0</v>
      </c>
      <c r="EP35" s="609">
        <f>DQ35+DS35+DU35+DW35+DY35+EA35+EC35+EE35+EG35+EI35+EK35+DO35</f>
        <v>0</v>
      </c>
      <c r="EQ35" s="610">
        <f>DP35+DR35+DT35+DV35</f>
        <v>0</v>
      </c>
      <c r="ER35" s="601" t="e">
        <f t="shared" si="8"/>
        <v>#DIV/0!</v>
      </c>
      <c r="ES35" s="601">
        <f t="shared" si="9"/>
        <v>1</v>
      </c>
      <c r="ET35" s="601">
        <f t="shared" si="10"/>
        <v>1</v>
      </c>
      <c r="EU35" s="602" t="s">
        <v>225</v>
      </c>
      <c r="EV35" s="601">
        <f t="shared" si="14"/>
        <v>1</v>
      </c>
      <c r="EW35" s="1354"/>
      <c r="EX35" s="733"/>
      <c r="EY35" s="733"/>
      <c r="EZ35" s="733"/>
      <c r="FA35" s="733" t="s">
        <v>662</v>
      </c>
      <c r="FB35" s="770"/>
    </row>
    <row r="36" spans="1:158" s="603" customFormat="1" ht="19.149999999999999" customHeight="1" thickBot="1" x14ac:dyDescent="0.25">
      <c r="A36" s="733"/>
      <c r="B36" s="733"/>
      <c r="C36" s="734"/>
      <c r="D36" s="733"/>
      <c r="E36" s="734"/>
      <c r="F36" s="593" t="s">
        <v>43</v>
      </c>
      <c r="G36" s="1369">
        <v>1</v>
      </c>
      <c r="H36" s="1446">
        <v>0.05</v>
      </c>
      <c r="I36" s="1447"/>
      <c r="J36" s="1447"/>
      <c r="K36" s="1432">
        <v>0.05</v>
      </c>
      <c r="L36" s="1432">
        <v>0</v>
      </c>
      <c r="M36" s="1432">
        <v>0.05</v>
      </c>
      <c r="N36" s="1432">
        <v>0.01</v>
      </c>
      <c r="O36" s="1432">
        <v>0.05</v>
      </c>
      <c r="P36" s="1432">
        <v>0.01</v>
      </c>
      <c r="Q36" s="1432">
        <v>0.05</v>
      </c>
      <c r="R36" s="1432">
        <v>0.03</v>
      </c>
      <c r="S36" s="1433">
        <v>0.05</v>
      </c>
      <c r="T36" s="1448">
        <v>0.04</v>
      </c>
      <c r="U36" s="1432">
        <v>0.05</v>
      </c>
      <c r="V36" s="1432">
        <v>0.05</v>
      </c>
      <c r="W36" s="1375">
        <f t="shared" si="24"/>
        <v>0.05</v>
      </c>
      <c r="X36" s="1375">
        <f t="shared" si="25"/>
        <v>0.05</v>
      </c>
      <c r="Y36" s="1375">
        <f t="shared" si="26"/>
        <v>0.05</v>
      </c>
      <c r="Z36" s="1375">
        <f t="shared" si="27"/>
        <v>0.05</v>
      </c>
      <c r="AA36" s="1375">
        <f t="shared" si="28"/>
        <v>0.05</v>
      </c>
      <c r="AB36" s="1376">
        <v>0.2</v>
      </c>
      <c r="AC36" s="1376">
        <v>0.01</v>
      </c>
      <c r="AD36" s="1376">
        <v>0.01</v>
      </c>
      <c r="AE36" s="1376">
        <v>0.03</v>
      </c>
      <c r="AF36" s="1376">
        <v>0.03</v>
      </c>
      <c r="AG36" s="1376">
        <v>0.01</v>
      </c>
      <c r="AH36" s="1376">
        <v>0.01</v>
      </c>
      <c r="AI36" s="1376">
        <v>0.01</v>
      </c>
      <c r="AJ36" s="1376">
        <v>0.01</v>
      </c>
      <c r="AK36" s="1378">
        <v>0.01</v>
      </c>
      <c r="AL36" s="1378">
        <v>0.01</v>
      </c>
      <c r="AM36" s="1378">
        <v>0.01</v>
      </c>
      <c r="AN36" s="1378">
        <v>0.01</v>
      </c>
      <c r="AO36" s="1378">
        <v>0.02</v>
      </c>
      <c r="AP36" s="1379">
        <v>0.02</v>
      </c>
      <c r="AQ36" s="1379">
        <v>0.01</v>
      </c>
      <c r="AR36" s="1378">
        <v>0.01</v>
      </c>
      <c r="AS36" s="1378">
        <v>0.01</v>
      </c>
      <c r="AT36" s="1378">
        <v>0.01</v>
      </c>
      <c r="AU36" s="1378">
        <v>0.01</v>
      </c>
      <c r="AV36" s="1378">
        <v>0.01</v>
      </c>
      <c r="AW36" s="1378">
        <v>0.01</v>
      </c>
      <c r="AX36" s="1379">
        <v>0.01</v>
      </c>
      <c r="AY36" s="1378">
        <v>0</v>
      </c>
      <c r="AZ36" s="1378">
        <v>0.01</v>
      </c>
      <c r="BA36" s="1380">
        <f t="shared" ref="BA36" si="56">BA31+BA34</f>
        <v>0.15</v>
      </c>
      <c r="BB36" s="1381">
        <f t="shared" si="17"/>
        <v>0.14000000000000001</v>
      </c>
      <c r="BC36" s="1381">
        <f t="shared" si="11"/>
        <v>0.15000000000000002</v>
      </c>
      <c r="BD36" s="1382">
        <f>+BA36+AA36</f>
        <v>0.2</v>
      </c>
      <c r="BE36" s="1382">
        <f>BC36+H36</f>
        <v>0.2</v>
      </c>
      <c r="BF36" s="1383">
        <v>0.6</v>
      </c>
      <c r="BG36" s="1383"/>
      <c r="BH36" s="1383"/>
      <c r="BI36" s="1383"/>
      <c r="BJ36" s="1383"/>
      <c r="BK36" s="1383"/>
      <c r="BL36" s="1383"/>
      <c r="BM36" s="1383"/>
      <c r="BN36" s="1383"/>
      <c r="BO36" s="1383"/>
      <c r="BP36" s="1383"/>
      <c r="BQ36" s="1383"/>
      <c r="BR36" s="1383"/>
      <c r="BS36" s="1383"/>
      <c r="BT36" s="1383"/>
      <c r="BU36" s="1383"/>
      <c r="BV36" s="1383"/>
      <c r="BW36" s="1383"/>
      <c r="BX36" s="1383"/>
      <c r="BY36" s="1383"/>
      <c r="BZ36" s="1383"/>
      <c r="CA36" s="1383"/>
      <c r="CB36" s="1383"/>
      <c r="CC36" s="1383"/>
      <c r="CD36" s="1383"/>
      <c r="CE36" s="1382"/>
      <c r="CF36" s="1384"/>
      <c r="CG36" s="1385"/>
      <c r="CH36" s="1386"/>
      <c r="CI36" s="1385"/>
      <c r="CJ36" s="1383">
        <v>0.9</v>
      </c>
      <c r="CK36" s="1383"/>
      <c r="CL36" s="1383"/>
      <c r="CM36" s="1383"/>
      <c r="CN36" s="1383"/>
      <c r="CO36" s="1383"/>
      <c r="CP36" s="1383"/>
      <c r="CQ36" s="1383"/>
      <c r="CR36" s="1383"/>
      <c r="CS36" s="1383"/>
      <c r="CT36" s="1383"/>
      <c r="CU36" s="1383"/>
      <c r="CV36" s="1383"/>
      <c r="CW36" s="1383"/>
      <c r="CX36" s="1383"/>
      <c r="CY36" s="1383"/>
      <c r="CZ36" s="1383"/>
      <c r="DA36" s="1383"/>
      <c r="DB36" s="1383"/>
      <c r="DC36" s="1383"/>
      <c r="DD36" s="1383"/>
      <c r="DE36" s="1383"/>
      <c r="DF36" s="1383"/>
      <c r="DG36" s="1383"/>
      <c r="DH36" s="1383"/>
      <c r="DI36" s="1382">
        <v>0</v>
      </c>
      <c r="DJ36" s="1384">
        <v>0</v>
      </c>
      <c r="DK36" s="1385">
        <v>0</v>
      </c>
      <c r="DL36" s="1386">
        <v>0</v>
      </c>
      <c r="DM36" s="1385">
        <v>0</v>
      </c>
      <c r="DN36" s="1383">
        <v>1</v>
      </c>
      <c r="DO36" s="1378"/>
      <c r="DP36" s="1378"/>
      <c r="DQ36" s="1378"/>
      <c r="DR36" s="1378"/>
      <c r="DS36" s="1378"/>
      <c r="DT36" s="1378"/>
      <c r="DU36" s="1378"/>
      <c r="DV36" s="1378"/>
      <c r="DW36" s="1378"/>
      <c r="DX36" s="1378"/>
      <c r="DY36" s="1378"/>
      <c r="DZ36" s="1378"/>
      <c r="EA36" s="1378"/>
      <c r="EB36" s="1378"/>
      <c r="EC36" s="1378"/>
      <c r="ED36" s="1378"/>
      <c r="EE36" s="1378"/>
      <c r="EF36" s="1378"/>
      <c r="EG36" s="1378"/>
      <c r="EH36" s="1378"/>
      <c r="EI36" s="1378"/>
      <c r="EJ36" s="1378"/>
      <c r="EK36" s="1378"/>
      <c r="EL36" s="1378"/>
      <c r="EM36" s="1382">
        <f>EI36+EG36+EE36+EC36+EA36+DY36+DW36+DU36+DS36+DQ36+DO36+EK36</f>
        <v>0</v>
      </c>
      <c r="EN36" s="1384"/>
      <c r="EO36" s="1385">
        <f t="shared" si="55"/>
        <v>0</v>
      </c>
      <c r="EP36" s="1386">
        <f>DQ36+DS36+DU36+DW36+DY36+EA36+EC36+EE36+EG36+EI36+EK36+DO36</f>
        <v>0</v>
      </c>
      <c r="EQ36" s="1385">
        <f>DR36+DT36+DV36+DP36</f>
        <v>0</v>
      </c>
      <c r="ER36" s="1387">
        <f t="shared" si="8"/>
        <v>1</v>
      </c>
      <c r="ES36" s="1387">
        <f t="shared" si="9"/>
        <v>1.0714285714285714</v>
      </c>
      <c r="ET36" s="1387">
        <f t="shared" si="10"/>
        <v>1</v>
      </c>
      <c r="EU36" s="1388" t="s">
        <v>225</v>
      </c>
      <c r="EV36" s="1387">
        <f t="shared" si="14"/>
        <v>0.2</v>
      </c>
      <c r="EW36" s="1354"/>
      <c r="EX36" s="733"/>
      <c r="EY36" s="733"/>
      <c r="EZ36" s="733"/>
      <c r="FA36" s="733" t="s">
        <v>662</v>
      </c>
      <c r="FB36" s="770"/>
    </row>
    <row r="37" spans="1:158" s="649" customFormat="1" ht="19.149999999999999" customHeight="1" thickBot="1" x14ac:dyDescent="0.25">
      <c r="A37" s="733"/>
      <c r="B37" s="733"/>
      <c r="C37" s="734"/>
      <c r="D37" s="733"/>
      <c r="E37" s="734"/>
      <c r="F37" s="1367" t="s">
        <v>45</v>
      </c>
      <c r="G37" s="1392">
        <v>405159000</v>
      </c>
      <c r="H37" s="1449">
        <v>90000000</v>
      </c>
      <c r="I37" s="1398"/>
      <c r="J37" s="1398"/>
      <c r="K37" s="1398">
        <v>90000000</v>
      </c>
      <c r="L37" s="1398">
        <v>0</v>
      </c>
      <c r="M37" s="1398">
        <v>90000000</v>
      </c>
      <c r="N37" s="1398">
        <v>69812000</v>
      </c>
      <c r="O37" s="1398">
        <v>90000000</v>
      </c>
      <c r="P37" s="1398">
        <v>69812000</v>
      </c>
      <c r="Q37" s="1398">
        <v>90000000</v>
      </c>
      <c r="R37" s="1398">
        <v>69812000</v>
      </c>
      <c r="S37" s="1450">
        <v>95347000</v>
      </c>
      <c r="T37" s="1451">
        <v>69812000</v>
      </c>
      <c r="U37" s="1398">
        <v>95347000</v>
      </c>
      <c r="V37" s="1398">
        <v>95159000</v>
      </c>
      <c r="W37" s="1399">
        <f t="shared" si="24"/>
        <v>90000000</v>
      </c>
      <c r="X37" s="1399">
        <f t="shared" si="25"/>
        <v>90000000</v>
      </c>
      <c r="Y37" s="1399">
        <f t="shared" si="26"/>
        <v>95159000</v>
      </c>
      <c r="Z37" s="1399">
        <f t="shared" si="27"/>
        <v>95347000</v>
      </c>
      <c r="AA37" s="1399">
        <f t="shared" si="28"/>
        <v>95159000</v>
      </c>
      <c r="AB37" s="1400">
        <f>+AB32+AB35</f>
        <v>93541234</v>
      </c>
      <c r="AC37" s="1400">
        <f>+AC32+AC35</f>
        <v>7079600</v>
      </c>
      <c r="AD37" s="1400">
        <f>+AD32+AD35</f>
        <v>7079600</v>
      </c>
      <c r="AE37" s="1400">
        <f>+AE32+AE35</f>
        <v>9113767</v>
      </c>
      <c r="AF37" s="1400">
        <f t="shared" ref="AF37:AZ37" si="57">+AF32+AF35</f>
        <v>9113767</v>
      </c>
      <c r="AG37" s="1400">
        <f t="shared" si="57"/>
        <v>73712867</v>
      </c>
      <c r="AH37" s="1400">
        <f t="shared" si="57"/>
        <v>73712867</v>
      </c>
      <c r="AI37" s="1400">
        <f t="shared" si="57"/>
        <v>0</v>
      </c>
      <c r="AJ37" s="1400">
        <f t="shared" si="57"/>
        <v>0</v>
      </c>
      <c r="AK37" s="1400">
        <f t="shared" si="57"/>
        <v>0</v>
      </c>
      <c r="AL37" s="1400">
        <f t="shared" si="57"/>
        <v>0</v>
      </c>
      <c r="AM37" s="1400">
        <f t="shared" si="57"/>
        <v>0</v>
      </c>
      <c r="AN37" s="1400">
        <f t="shared" si="57"/>
        <v>0</v>
      </c>
      <c r="AO37" s="1400">
        <f t="shared" si="57"/>
        <v>0</v>
      </c>
      <c r="AP37" s="1400">
        <f t="shared" si="57"/>
        <v>0</v>
      </c>
      <c r="AQ37" s="1400">
        <f t="shared" si="57"/>
        <v>0</v>
      </c>
      <c r="AR37" s="1400">
        <v>0</v>
      </c>
      <c r="AS37" s="1400">
        <f t="shared" si="57"/>
        <v>12124500</v>
      </c>
      <c r="AT37" s="1400">
        <f t="shared" si="57"/>
        <v>0</v>
      </c>
      <c r="AU37" s="1400">
        <f t="shared" si="57"/>
        <v>0</v>
      </c>
      <c r="AV37" s="1400">
        <v>0</v>
      </c>
      <c r="AW37" s="1400">
        <f t="shared" si="57"/>
        <v>0</v>
      </c>
      <c r="AX37" s="1400">
        <f t="shared" si="57"/>
        <v>12124500</v>
      </c>
      <c r="AY37" s="1400">
        <f t="shared" si="57"/>
        <v>0</v>
      </c>
      <c r="AZ37" s="1400">
        <f t="shared" si="57"/>
        <v>0</v>
      </c>
      <c r="BA37" s="1401">
        <f>AY37+AW37+AU37+AS37+AQ37+AO37+AM37+AK37+AI37+AG37+AE37+AC37</f>
        <v>102030734</v>
      </c>
      <c r="BB37" s="1431">
        <f t="shared" si="17"/>
        <v>102030734</v>
      </c>
      <c r="BC37" s="1401">
        <f t="shared" si="11"/>
        <v>102030734</v>
      </c>
      <c r="BD37" s="1401">
        <f t="shared" ref="BD37" si="58">+BD32+BD35</f>
        <v>102030734</v>
      </c>
      <c r="BE37" s="1401">
        <f t="shared" si="6"/>
        <v>102030734</v>
      </c>
      <c r="BF37" s="1394">
        <v>111701000</v>
      </c>
      <c r="BG37" s="1402"/>
      <c r="BH37" s="1402"/>
      <c r="BI37" s="1402"/>
      <c r="BJ37" s="1402"/>
      <c r="BK37" s="1402"/>
      <c r="BL37" s="1402"/>
      <c r="BM37" s="1402"/>
      <c r="BN37" s="1402"/>
      <c r="BO37" s="1402"/>
      <c r="BP37" s="1402"/>
      <c r="BQ37" s="1402"/>
      <c r="BR37" s="1402"/>
      <c r="BS37" s="1402"/>
      <c r="BT37" s="1402"/>
      <c r="BU37" s="1402"/>
      <c r="BV37" s="1402"/>
      <c r="BW37" s="1402"/>
      <c r="BX37" s="1402"/>
      <c r="BY37" s="1402"/>
      <c r="BZ37" s="1402"/>
      <c r="CA37" s="1402"/>
      <c r="CB37" s="1402"/>
      <c r="CC37" s="1402"/>
      <c r="CD37" s="1402"/>
      <c r="CE37" s="1401"/>
      <c r="CF37" s="1403"/>
      <c r="CG37" s="1404"/>
      <c r="CH37" s="1403"/>
      <c r="CI37" s="1403"/>
      <c r="CJ37" s="1398">
        <v>100000000</v>
      </c>
      <c r="CK37" s="1398"/>
      <c r="CL37" s="1398"/>
      <c r="CM37" s="1398"/>
      <c r="CN37" s="1398"/>
      <c r="CO37" s="1398"/>
      <c r="CP37" s="1398"/>
      <c r="CQ37" s="1398"/>
      <c r="CR37" s="1398"/>
      <c r="CS37" s="1398"/>
      <c r="CT37" s="1398"/>
      <c r="CU37" s="1398"/>
      <c r="CV37" s="1398"/>
      <c r="CW37" s="1398"/>
      <c r="CX37" s="1398"/>
      <c r="CY37" s="1398"/>
      <c r="CZ37" s="1398"/>
      <c r="DA37" s="1398"/>
      <c r="DB37" s="1398"/>
      <c r="DC37" s="1398"/>
      <c r="DD37" s="1398"/>
      <c r="DE37" s="1398"/>
      <c r="DF37" s="1398"/>
      <c r="DG37" s="1398"/>
      <c r="DH37" s="1398"/>
      <c r="DI37" s="1401">
        <v>0</v>
      </c>
      <c r="DJ37" s="1403"/>
      <c r="DK37" s="1404">
        <v>0</v>
      </c>
      <c r="DL37" s="1403">
        <v>0</v>
      </c>
      <c r="DM37" s="1403">
        <v>0</v>
      </c>
      <c r="DN37" s="1398">
        <v>30000000</v>
      </c>
      <c r="DO37" s="1398"/>
      <c r="DP37" s="1398"/>
      <c r="DQ37" s="1398"/>
      <c r="DR37" s="1398"/>
      <c r="DS37" s="1398"/>
      <c r="DT37" s="1398"/>
      <c r="DU37" s="1398"/>
      <c r="DV37" s="1398"/>
      <c r="DW37" s="1398"/>
      <c r="DX37" s="1398"/>
      <c r="DY37" s="1398"/>
      <c r="DZ37" s="1398"/>
      <c r="EA37" s="1398"/>
      <c r="EB37" s="1398"/>
      <c r="EC37" s="1398"/>
      <c r="ED37" s="1398"/>
      <c r="EE37" s="1398"/>
      <c r="EF37" s="1398"/>
      <c r="EG37" s="1398"/>
      <c r="EH37" s="1398"/>
      <c r="EI37" s="1398"/>
      <c r="EJ37" s="1398"/>
      <c r="EK37" s="1398"/>
      <c r="EL37" s="1398"/>
      <c r="EM37" s="1401">
        <f>EK37+EI37+EG37+EE37+EC37+EA37+DY37+DW37+DU37+DS37+DQ37+DO37</f>
        <v>0</v>
      </c>
      <c r="EN37" s="1403">
        <f t="shared" ref="EN37" si="59">+EN32+EN35</f>
        <v>0</v>
      </c>
      <c r="EO37" s="1404">
        <f t="shared" ref="EO37" si="60">EO32+EO35</f>
        <v>0</v>
      </c>
      <c r="EP37" s="1403">
        <f t="shared" ref="EP37:EQ37" si="61">+EP32+EP35</f>
        <v>0</v>
      </c>
      <c r="EQ37" s="1403">
        <f t="shared" si="61"/>
        <v>0</v>
      </c>
      <c r="ER37" s="1405" t="e">
        <f t="shared" si="8"/>
        <v>#DIV/0!</v>
      </c>
      <c r="ES37" s="1405">
        <f t="shared" si="9"/>
        <v>1</v>
      </c>
      <c r="ET37" s="1405">
        <f t="shared" si="10"/>
        <v>1</v>
      </c>
      <c r="EU37" s="1406" t="s">
        <v>225</v>
      </c>
      <c r="EV37" s="1407">
        <f t="shared" si="14"/>
        <v>0.25182887212180899</v>
      </c>
      <c r="EW37" s="1368"/>
      <c r="EX37" s="733"/>
      <c r="EY37" s="733"/>
      <c r="EZ37" s="733"/>
      <c r="FA37" s="733"/>
      <c r="FB37" s="770"/>
    </row>
    <row r="38" spans="1:158" s="603" customFormat="1" ht="19.149999999999999" customHeight="1" x14ac:dyDescent="0.2">
      <c r="A38" s="733"/>
      <c r="B38" s="733">
        <v>5</v>
      </c>
      <c r="C38" s="734" t="s">
        <v>293</v>
      </c>
      <c r="D38" s="733" t="s">
        <v>276</v>
      </c>
      <c r="E38" s="734">
        <v>199</v>
      </c>
      <c r="F38" s="593" t="s">
        <v>41</v>
      </c>
      <c r="G38" s="1411">
        <v>800</v>
      </c>
      <c r="H38" s="1445">
        <v>50</v>
      </c>
      <c r="I38" s="1424"/>
      <c r="J38" s="1424"/>
      <c r="K38" s="1424">
        <v>50</v>
      </c>
      <c r="L38" s="1424">
        <v>0</v>
      </c>
      <c r="M38" s="1424">
        <v>50</v>
      </c>
      <c r="N38" s="1423">
        <v>5</v>
      </c>
      <c r="O38" s="1424">
        <v>50</v>
      </c>
      <c r="P38" s="1423">
        <v>10</v>
      </c>
      <c r="Q38" s="1424">
        <v>50</v>
      </c>
      <c r="R38" s="1437">
        <v>30</v>
      </c>
      <c r="S38" s="1424">
        <v>50</v>
      </c>
      <c r="T38" s="1427">
        <v>45</v>
      </c>
      <c r="U38" s="1424">
        <v>50</v>
      </c>
      <c r="V38" s="1424">
        <v>50</v>
      </c>
      <c r="W38" s="1419">
        <f t="shared" si="24"/>
        <v>50</v>
      </c>
      <c r="X38" s="1419">
        <f t="shared" si="25"/>
        <v>50</v>
      </c>
      <c r="Y38" s="1419">
        <f t="shared" si="26"/>
        <v>50</v>
      </c>
      <c r="Z38" s="1419">
        <f t="shared" si="27"/>
        <v>50</v>
      </c>
      <c r="AA38" s="1419">
        <f t="shared" si="28"/>
        <v>50</v>
      </c>
      <c r="AB38" s="1411">
        <v>96</v>
      </c>
      <c r="AC38" s="1411">
        <v>20</v>
      </c>
      <c r="AD38" s="1411">
        <v>20</v>
      </c>
      <c r="AE38" s="1424">
        <v>20</v>
      </c>
      <c r="AF38" s="1423">
        <v>20</v>
      </c>
      <c r="AG38" s="1424">
        <v>5</v>
      </c>
      <c r="AH38" s="1423">
        <v>5</v>
      </c>
      <c r="AI38" s="1423">
        <v>5</v>
      </c>
      <c r="AJ38" s="1423">
        <v>5</v>
      </c>
      <c r="AK38" s="1423">
        <v>5</v>
      </c>
      <c r="AL38" s="1423">
        <v>5</v>
      </c>
      <c r="AM38" s="1423">
        <v>2</v>
      </c>
      <c r="AN38" s="1423">
        <v>2</v>
      </c>
      <c r="AO38" s="1423">
        <v>2</v>
      </c>
      <c r="AP38" s="1423">
        <v>2</v>
      </c>
      <c r="AQ38" s="1423">
        <v>2</v>
      </c>
      <c r="AR38" s="1423">
        <v>2</v>
      </c>
      <c r="AS38" s="1423">
        <v>15</v>
      </c>
      <c r="AT38" s="1423">
        <v>15</v>
      </c>
      <c r="AU38" s="1423">
        <v>30</v>
      </c>
      <c r="AV38" s="1423">
        <v>30</v>
      </c>
      <c r="AW38" s="1423">
        <v>34</v>
      </c>
      <c r="AX38" s="1423">
        <v>34</v>
      </c>
      <c r="AY38" s="1424">
        <v>20</v>
      </c>
      <c r="AZ38" s="1427">
        <v>20</v>
      </c>
      <c r="BA38" s="1422">
        <f>AY38+AW38+AU38+AS38+AO38+AM38+AK38+AI38+AG38+AE38+AC38+AQ38</f>
        <v>160</v>
      </c>
      <c r="BB38" s="1422">
        <f t="shared" si="17"/>
        <v>160</v>
      </c>
      <c r="BC38" s="1422">
        <f t="shared" si="11"/>
        <v>160</v>
      </c>
      <c r="BD38" s="1422">
        <f>BA38</f>
        <v>160</v>
      </c>
      <c r="BE38" s="1422">
        <f t="shared" si="6"/>
        <v>160</v>
      </c>
      <c r="BF38" s="1424">
        <v>190</v>
      </c>
      <c r="BG38" s="1424"/>
      <c r="BH38" s="1424"/>
      <c r="BI38" s="1424"/>
      <c r="BJ38" s="1424"/>
      <c r="BK38" s="1424"/>
      <c r="BL38" s="1424"/>
      <c r="BM38" s="1424"/>
      <c r="BN38" s="1424"/>
      <c r="BO38" s="1424"/>
      <c r="BP38" s="1424"/>
      <c r="BQ38" s="1424"/>
      <c r="BR38" s="1424"/>
      <c r="BS38" s="1424"/>
      <c r="BT38" s="1424"/>
      <c r="BU38" s="1424"/>
      <c r="BV38" s="1424"/>
      <c r="BW38" s="1424"/>
      <c r="BX38" s="1424"/>
      <c r="BY38" s="1424"/>
      <c r="BZ38" s="1424"/>
      <c r="CA38" s="1424"/>
      <c r="CB38" s="1424"/>
      <c r="CC38" s="1424"/>
      <c r="CD38" s="1424"/>
      <c r="CE38" s="1424"/>
      <c r="CF38" s="1424"/>
      <c r="CG38" s="1424"/>
      <c r="CH38" s="1425"/>
      <c r="CI38" s="1424"/>
      <c r="CJ38" s="1424">
        <v>290</v>
      </c>
      <c r="CK38" s="1424"/>
      <c r="CL38" s="1424"/>
      <c r="CM38" s="1424"/>
      <c r="CN38" s="1424"/>
      <c r="CO38" s="1424"/>
      <c r="CP38" s="1424"/>
      <c r="CQ38" s="1424"/>
      <c r="CR38" s="1424"/>
      <c r="CS38" s="1424"/>
      <c r="CT38" s="1424"/>
      <c r="CU38" s="1424"/>
      <c r="CV38" s="1424"/>
      <c r="CW38" s="1424"/>
      <c r="CX38" s="1424"/>
      <c r="CY38" s="1424"/>
      <c r="CZ38" s="1424"/>
      <c r="DA38" s="1424"/>
      <c r="DB38" s="1424"/>
      <c r="DC38" s="1424"/>
      <c r="DD38" s="1424"/>
      <c r="DE38" s="1424"/>
      <c r="DF38" s="1424"/>
      <c r="DG38" s="1424"/>
      <c r="DH38" s="1424"/>
      <c r="DI38" s="1424">
        <f>DG38+DE38+DC38+DA38+CY38+CW38+CU38+CS38+CQ38+CO38+CM38+CK38</f>
        <v>0</v>
      </c>
      <c r="DJ38" s="1424">
        <f t="shared" ref="DJ38:DJ41" si="62">CK38+CM38+CO38+CQ38</f>
        <v>0</v>
      </c>
      <c r="DK38" s="1424">
        <f t="shared" ref="DK38:DK41" si="63">CL38+CN38+CP38+CR38</f>
        <v>0</v>
      </c>
      <c r="DL38" s="1425">
        <f>CM38+CO38+CQ38+CS38+CU38+CW38+CY38+DA38+DC38+DE38+DG38+CK38</f>
        <v>0</v>
      </c>
      <c r="DM38" s="1424">
        <f>CL38+CN38+CP38+CR38</f>
        <v>0</v>
      </c>
      <c r="DN38" s="1423">
        <v>110</v>
      </c>
      <c r="DO38" s="1423"/>
      <c r="DP38" s="1423"/>
      <c r="DQ38" s="1423"/>
      <c r="DR38" s="1423"/>
      <c r="DS38" s="1423"/>
      <c r="DT38" s="1423"/>
      <c r="DU38" s="1423"/>
      <c r="DV38" s="1423"/>
      <c r="DW38" s="1423"/>
      <c r="DX38" s="1423"/>
      <c r="DY38" s="1423"/>
      <c r="DZ38" s="1423"/>
      <c r="EA38" s="1423"/>
      <c r="EB38" s="1423"/>
      <c r="EC38" s="1423"/>
      <c r="ED38" s="1423"/>
      <c r="EE38" s="1423"/>
      <c r="EF38" s="1423"/>
      <c r="EG38" s="1424"/>
      <c r="EH38" s="1424"/>
      <c r="EI38" s="1424"/>
      <c r="EJ38" s="1424"/>
      <c r="EK38" s="1424"/>
      <c r="EL38" s="1424"/>
      <c r="EM38" s="1411">
        <f>EK38+EI38+EG38+EE38+EC38+EA38+DY38+DW38+DU38+DS38+DQ38+DO38</f>
        <v>0</v>
      </c>
      <c r="EN38" s="1424">
        <f t="shared" ref="EN38:EN43" si="64">DO38+DQ38+DS38+DU38</f>
        <v>0</v>
      </c>
      <c r="EO38" s="1411">
        <f t="shared" ref="EO38:EO43" si="65">DP38+DR38+DT38+DV38</f>
        <v>0</v>
      </c>
      <c r="EP38" s="1425">
        <f>DQ38+DS38+DU38+DW38+DY38+EA38+EC38+EE38+EG38+EI38+EK38+DO38</f>
        <v>0</v>
      </c>
      <c r="EQ38" s="1424">
        <f>DP38+DR38+DT38+DV38</f>
        <v>0</v>
      </c>
      <c r="ER38" s="1429">
        <f t="shared" si="8"/>
        <v>1</v>
      </c>
      <c r="ES38" s="1429">
        <f>BC38/BB38</f>
        <v>1</v>
      </c>
      <c r="ET38" s="1429">
        <f>BE38/BD38</f>
        <v>1</v>
      </c>
      <c r="EU38" s="1430">
        <f>(BC38+AA38)/(Z38+BB38)</f>
        <v>1</v>
      </c>
      <c r="EV38" s="1429">
        <f>(BC38+AA38)/G38</f>
        <v>0.26250000000000001</v>
      </c>
      <c r="EW38" s="1354" t="s">
        <v>1026</v>
      </c>
      <c r="EX38" s="733" t="s">
        <v>70</v>
      </c>
      <c r="EY38" s="733" t="s">
        <v>70</v>
      </c>
      <c r="EZ38" s="733" t="s">
        <v>667</v>
      </c>
      <c r="FA38" s="733" t="s">
        <v>662</v>
      </c>
      <c r="FB38" s="770"/>
    </row>
    <row r="39" spans="1:158" s="632" customFormat="1" ht="19.149999999999999" customHeight="1" x14ac:dyDescent="0.2">
      <c r="A39" s="733"/>
      <c r="B39" s="733"/>
      <c r="C39" s="734"/>
      <c r="D39" s="733"/>
      <c r="E39" s="734"/>
      <c r="F39" s="604" t="s">
        <v>3</v>
      </c>
      <c r="G39" s="605">
        <f>AA39+BD39+BF39+CJ39+DN39</f>
        <v>3566712482</v>
      </c>
      <c r="H39" s="625">
        <v>668935490</v>
      </c>
      <c r="I39" s="626"/>
      <c r="J39" s="626"/>
      <c r="K39" s="626">
        <v>668935490</v>
      </c>
      <c r="L39" s="626">
        <v>328110000</v>
      </c>
      <c r="M39" s="626">
        <v>641192490</v>
      </c>
      <c r="N39" s="626">
        <v>519353000</v>
      </c>
      <c r="O39" s="626">
        <v>641192490</v>
      </c>
      <c r="P39" s="626">
        <v>532019000</v>
      </c>
      <c r="Q39" s="626">
        <v>734428327</v>
      </c>
      <c r="R39" s="626">
        <v>532019000</v>
      </c>
      <c r="S39" s="627">
        <v>714428327</v>
      </c>
      <c r="T39" s="628">
        <v>556969163</v>
      </c>
      <c r="U39" s="629">
        <v>714428327</v>
      </c>
      <c r="V39" s="629">
        <v>706859293</v>
      </c>
      <c r="W39" s="598">
        <f t="shared" si="24"/>
        <v>668935490</v>
      </c>
      <c r="X39" s="598">
        <f t="shared" si="25"/>
        <v>668935490</v>
      </c>
      <c r="Y39" s="598">
        <f t="shared" si="26"/>
        <v>706859293</v>
      </c>
      <c r="Z39" s="598">
        <f t="shared" si="27"/>
        <v>714428327</v>
      </c>
      <c r="AA39" s="598">
        <f t="shared" si="28"/>
        <v>706859293</v>
      </c>
      <c r="AB39" s="650">
        <v>699388000</v>
      </c>
      <c r="AC39" s="605">
        <v>0</v>
      </c>
      <c r="AD39" s="605">
        <v>0</v>
      </c>
      <c r="AE39" s="629">
        <v>61356000</v>
      </c>
      <c r="AF39" s="626">
        <v>61356000</v>
      </c>
      <c r="AG39" s="626">
        <f>346784000-AF39</f>
        <v>285428000</v>
      </c>
      <c r="AH39" s="626">
        <v>285428000</v>
      </c>
      <c r="AI39" s="626">
        <v>0</v>
      </c>
      <c r="AJ39" s="626">
        <v>0</v>
      </c>
      <c r="AK39" s="626">
        <f>346784000-AH39-AF39</f>
        <v>0</v>
      </c>
      <c r="AL39" s="626">
        <v>0</v>
      </c>
      <c r="AM39" s="626">
        <v>0</v>
      </c>
      <c r="AN39" s="626">
        <v>0</v>
      </c>
      <c r="AO39" s="626">
        <v>0</v>
      </c>
      <c r="AP39" s="626">
        <v>0</v>
      </c>
      <c r="AQ39" s="627">
        <v>0</v>
      </c>
      <c r="AR39" s="627">
        <v>0</v>
      </c>
      <c r="AS39" s="627">
        <v>292448222</v>
      </c>
      <c r="AT39" s="627">
        <v>208200000</v>
      </c>
      <c r="AU39" s="627">
        <v>70000000</v>
      </c>
      <c r="AV39" s="627">
        <v>13868300</v>
      </c>
      <c r="AW39" s="627">
        <v>0</v>
      </c>
      <c r="AX39" s="627">
        <v>49256100</v>
      </c>
      <c r="AY39" s="627">
        <v>580967</v>
      </c>
      <c r="AZ39" s="630">
        <v>17790500</v>
      </c>
      <c r="BA39" s="594">
        <f>AY39+AW39+AU39+AS39+AQ39+AO39+AM39+AK39+AI39+AG39+AE39+AC39</f>
        <v>709813189</v>
      </c>
      <c r="BB39" s="599">
        <f t="shared" si="17"/>
        <v>709813189</v>
      </c>
      <c r="BC39" s="599">
        <f t="shared" si="11"/>
        <v>635898900</v>
      </c>
      <c r="BD39" s="599">
        <f>BA39</f>
        <v>709813189</v>
      </c>
      <c r="BE39" s="599">
        <f t="shared" si="6"/>
        <v>635898900</v>
      </c>
      <c r="BF39" s="626">
        <v>672748000</v>
      </c>
      <c r="BG39" s="626"/>
      <c r="BH39" s="626"/>
      <c r="BI39" s="626"/>
      <c r="BJ39" s="626"/>
      <c r="BK39" s="626"/>
      <c r="BL39" s="626"/>
      <c r="BM39" s="626"/>
      <c r="BN39" s="626"/>
      <c r="BO39" s="626"/>
      <c r="BP39" s="626"/>
      <c r="BQ39" s="626"/>
      <c r="BR39" s="626"/>
      <c r="BS39" s="626"/>
      <c r="BT39" s="626"/>
      <c r="BU39" s="626"/>
      <c r="BV39" s="626"/>
      <c r="BW39" s="626"/>
      <c r="BX39" s="626"/>
      <c r="BY39" s="626"/>
      <c r="BZ39" s="626"/>
      <c r="CA39" s="626"/>
      <c r="CB39" s="626"/>
      <c r="CC39" s="626"/>
      <c r="CD39" s="626"/>
      <c r="CE39" s="594"/>
      <c r="CF39" s="610"/>
      <c r="CG39" s="610"/>
      <c r="CH39" s="631"/>
      <c r="CI39" s="610"/>
      <c r="CJ39" s="626">
        <v>1010205000</v>
      </c>
      <c r="CK39" s="626"/>
      <c r="CL39" s="626"/>
      <c r="CM39" s="626"/>
      <c r="CN39" s="626"/>
      <c r="CO39" s="626"/>
      <c r="CP39" s="626"/>
      <c r="CQ39" s="626"/>
      <c r="CR39" s="626"/>
      <c r="CS39" s="626"/>
      <c r="CT39" s="626"/>
      <c r="CU39" s="626"/>
      <c r="CV39" s="626"/>
      <c r="CW39" s="626"/>
      <c r="CX39" s="626"/>
      <c r="CY39" s="626"/>
      <c r="CZ39" s="626"/>
      <c r="DA39" s="626"/>
      <c r="DB39" s="626"/>
      <c r="DC39" s="626"/>
      <c r="DD39" s="626"/>
      <c r="DE39" s="626"/>
      <c r="DF39" s="626"/>
      <c r="DG39" s="626"/>
      <c r="DH39" s="626"/>
      <c r="DI39" s="594">
        <f>DG39+DE39+DC39+DA39+CY39+CW39+CU39+CS39+CQ39+CO39+CM39+CK39</f>
        <v>0</v>
      </c>
      <c r="DJ39" s="610">
        <f t="shared" si="62"/>
        <v>0</v>
      </c>
      <c r="DK39" s="610">
        <f t="shared" si="63"/>
        <v>0</v>
      </c>
      <c r="DL39" s="631">
        <f>CM39+CO39+CQ39+CS39+CU39+CW39+CY39+DA39+DC39+DE39+DG39+CK39</f>
        <v>0</v>
      </c>
      <c r="DM39" s="610">
        <f>CL39+CN39+CP39+CR39</f>
        <v>0</v>
      </c>
      <c r="DN39" s="626">
        <v>467087000</v>
      </c>
      <c r="DO39" s="626"/>
      <c r="DP39" s="626"/>
      <c r="DQ39" s="626"/>
      <c r="DR39" s="626"/>
      <c r="DS39" s="626"/>
      <c r="DT39" s="626"/>
      <c r="DU39" s="626"/>
      <c r="DV39" s="626"/>
      <c r="DW39" s="626"/>
      <c r="DX39" s="626"/>
      <c r="DY39" s="626"/>
      <c r="DZ39" s="626"/>
      <c r="EA39" s="626"/>
      <c r="EB39" s="626"/>
      <c r="EC39" s="626"/>
      <c r="ED39" s="626"/>
      <c r="EE39" s="626"/>
      <c r="EF39" s="626"/>
      <c r="EG39" s="626"/>
      <c r="EH39" s="626"/>
      <c r="EI39" s="626"/>
      <c r="EJ39" s="626"/>
      <c r="EK39" s="626"/>
      <c r="EL39" s="626"/>
      <c r="EM39" s="594">
        <f>EK39+EI39+EG39+EE39+EC39+EA39+DY39+DW39+DU39+DS39+DQ39+DO39</f>
        <v>0</v>
      </c>
      <c r="EN39" s="610">
        <f t="shared" si="64"/>
        <v>0</v>
      </c>
      <c r="EO39" s="610">
        <f t="shared" si="65"/>
        <v>0</v>
      </c>
      <c r="EP39" s="631">
        <f>DQ39+DS39+DU39+DW39+DY39+EA39+EC39+EE39+EG39+EI39+EK39+DO39</f>
        <v>0</v>
      </c>
      <c r="EQ39" s="610">
        <f>DP39+DR39+DT39+DV39</f>
        <v>0</v>
      </c>
      <c r="ER39" s="601">
        <f t="shared" si="8"/>
        <v>0.19811857142857142</v>
      </c>
      <c r="ES39" s="601">
        <f>BC39/BB39</f>
        <v>0.89586796900162979</v>
      </c>
      <c r="ET39" s="601">
        <f>BE39/BD39</f>
        <v>0.89586796900162979</v>
      </c>
      <c r="EU39" s="602">
        <f>(BC39+AA39)/(Z39+BB39)</f>
        <v>0.94278826864361676</v>
      </c>
      <c r="EV39" s="601">
        <f>(BC39+AA39)/G39</f>
        <v>0.37646942381154902</v>
      </c>
      <c r="EW39" s="1354"/>
      <c r="EX39" s="733"/>
      <c r="EY39" s="733"/>
      <c r="EZ39" s="733"/>
      <c r="FA39" s="733"/>
      <c r="FB39" s="770"/>
    </row>
    <row r="40" spans="1:158" s="632" customFormat="1" ht="19.149999999999999" customHeight="1" x14ac:dyDescent="0.2">
      <c r="A40" s="733"/>
      <c r="B40" s="733"/>
      <c r="C40" s="734"/>
      <c r="D40" s="733"/>
      <c r="E40" s="734"/>
      <c r="F40" s="546" t="s">
        <v>224</v>
      </c>
      <c r="G40" s="605"/>
      <c r="H40" s="625"/>
      <c r="I40" s="626"/>
      <c r="J40" s="626"/>
      <c r="K40" s="626"/>
      <c r="L40" s="626"/>
      <c r="M40" s="626"/>
      <c r="N40" s="626"/>
      <c r="O40" s="626"/>
      <c r="P40" s="626"/>
      <c r="Q40" s="626"/>
      <c r="R40" s="626"/>
      <c r="S40" s="627"/>
      <c r="T40" s="628"/>
      <c r="U40" s="629"/>
      <c r="V40" s="629"/>
      <c r="W40" s="598">
        <f t="shared" si="24"/>
        <v>0</v>
      </c>
      <c r="X40" s="598">
        <f t="shared" si="25"/>
        <v>0</v>
      </c>
      <c r="Y40" s="598">
        <f t="shared" si="26"/>
        <v>0</v>
      </c>
      <c r="Z40" s="598">
        <f t="shared" si="27"/>
        <v>0</v>
      </c>
      <c r="AA40" s="598">
        <f t="shared" si="28"/>
        <v>0</v>
      </c>
      <c r="AB40" s="605"/>
      <c r="AC40" s="605"/>
      <c r="AD40" s="605"/>
      <c r="AE40" s="629"/>
      <c r="AF40" s="626"/>
      <c r="AG40" s="626"/>
      <c r="AH40" s="626"/>
      <c r="AI40" s="626">
        <v>25354666</v>
      </c>
      <c r="AJ40" s="626">
        <v>25354666</v>
      </c>
      <c r="AK40" s="626">
        <v>43348000</v>
      </c>
      <c r="AL40" s="626">
        <v>43348000</v>
      </c>
      <c r="AM40" s="626">
        <v>43602990</v>
      </c>
      <c r="AN40" s="626">
        <v>43348000</v>
      </c>
      <c r="AO40" s="626">
        <v>43602990</v>
      </c>
      <c r="AP40" s="626">
        <v>43348000</v>
      </c>
      <c r="AQ40" s="627">
        <v>43602990</v>
      </c>
      <c r="AR40" s="626">
        <v>43348000</v>
      </c>
      <c r="AS40" s="626">
        <v>43602990</v>
      </c>
      <c r="AT40" s="626">
        <v>43348000</v>
      </c>
      <c r="AU40" s="626">
        <v>43602990</v>
      </c>
      <c r="AV40" s="626">
        <v>68100667</v>
      </c>
      <c r="AW40" s="626">
        <v>43602990</v>
      </c>
      <c r="AX40" s="627">
        <v>109972000</v>
      </c>
      <c r="AY40" s="626">
        <v>16767216</v>
      </c>
      <c r="AZ40" s="630">
        <v>99633600</v>
      </c>
      <c r="BA40" s="594">
        <f>AW40+AU40+AS40+AQ40+AO40+AM40+AK40+AI40+AG40+AE40+AC40+AY40</f>
        <v>347087822</v>
      </c>
      <c r="BB40" s="599">
        <f t="shared" si="17"/>
        <v>347087822</v>
      </c>
      <c r="BC40" s="599">
        <f t="shared" si="11"/>
        <v>519800933</v>
      </c>
      <c r="BD40" s="599">
        <f>BA40</f>
        <v>347087822</v>
      </c>
      <c r="BE40" s="599">
        <f t="shared" si="6"/>
        <v>519800933</v>
      </c>
      <c r="BF40" s="626"/>
      <c r="BG40" s="626"/>
      <c r="BH40" s="626"/>
      <c r="BI40" s="626"/>
      <c r="BJ40" s="626"/>
      <c r="BK40" s="626"/>
      <c r="BL40" s="626"/>
      <c r="BM40" s="626"/>
      <c r="BN40" s="626"/>
      <c r="BO40" s="626"/>
      <c r="BP40" s="626"/>
      <c r="BQ40" s="626"/>
      <c r="BR40" s="626"/>
      <c r="BS40" s="626"/>
      <c r="BT40" s="626"/>
      <c r="BU40" s="626"/>
      <c r="BV40" s="626"/>
      <c r="BW40" s="626"/>
      <c r="BX40" s="626"/>
      <c r="BY40" s="626"/>
      <c r="BZ40" s="626"/>
      <c r="CA40" s="626"/>
      <c r="CB40" s="626"/>
      <c r="CC40" s="626"/>
      <c r="CD40" s="626"/>
      <c r="CE40" s="594"/>
      <c r="CF40" s="610"/>
      <c r="CG40" s="610"/>
      <c r="CH40" s="631"/>
      <c r="CI40" s="610"/>
      <c r="CJ40" s="626"/>
      <c r="CK40" s="626"/>
      <c r="CL40" s="626"/>
      <c r="CM40" s="626"/>
      <c r="CN40" s="626"/>
      <c r="CO40" s="626"/>
      <c r="CP40" s="626"/>
      <c r="CQ40" s="626"/>
      <c r="CR40" s="626"/>
      <c r="CS40" s="626"/>
      <c r="CT40" s="626"/>
      <c r="CU40" s="626"/>
      <c r="CV40" s="626"/>
      <c r="CW40" s="626"/>
      <c r="CX40" s="626"/>
      <c r="CY40" s="626"/>
      <c r="CZ40" s="626"/>
      <c r="DA40" s="626"/>
      <c r="DB40" s="626"/>
      <c r="DC40" s="626"/>
      <c r="DD40" s="626"/>
      <c r="DE40" s="626"/>
      <c r="DF40" s="626"/>
      <c r="DG40" s="626"/>
      <c r="DH40" s="626"/>
      <c r="DI40" s="594">
        <f>DE40+DC40+DA40+CY40+CW40+CU40+CS40+CQ40+CO40+CM40+CK40+DG40</f>
        <v>0</v>
      </c>
      <c r="DJ40" s="610">
        <f t="shared" si="62"/>
        <v>0</v>
      </c>
      <c r="DK40" s="610">
        <f t="shared" si="63"/>
        <v>0</v>
      </c>
      <c r="DL40" s="609">
        <f>CM40+CO40+CQ40+CS40+CU40+CW40+CY40+DA40+DC40+DE40+DG40</f>
        <v>0</v>
      </c>
      <c r="DM40" s="610">
        <f>CL40+CN40+CP40+CR40</f>
        <v>0</v>
      </c>
      <c r="DN40" s="626"/>
      <c r="DO40" s="626"/>
      <c r="DP40" s="626"/>
      <c r="DQ40" s="626"/>
      <c r="DR40" s="626"/>
      <c r="DS40" s="626"/>
      <c r="DT40" s="626"/>
      <c r="DU40" s="626"/>
      <c r="DV40" s="626"/>
      <c r="DW40" s="626"/>
      <c r="DX40" s="626"/>
      <c r="DY40" s="626"/>
      <c r="DZ40" s="626"/>
      <c r="EA40" s="626"/>
      <c r="EB40" s="626"/>
      <c r="EC40" s="626"/>
      <c r="ED40" s="626"/>
      <c r="EE40" s="626"/>
      <c r="EF40" s="626"/>
      <c r="EG40" s="626"/>
      <c r="EH40" s="626"/>
      <c r="EI40" s="626"/>
      <c r="EJ40" s="626"/>
      <c r="EK40" s="626"/>
      <c r="EL40" s="626"/>
      <c r="EM40" s="594">
        <f>EI40+EG40+EE40+EC40+EA40+DY40+DW40+DU40+DS40+DQ40+DO40+EK40</f>
        <v>0</v>
      </c>
      <c r="EN40" s="610">
        <f t="shared" si="64"/>
        <v>0</v>
      </c>
      <c r="EO40" s="610">
        <f t="shared" si="65"/>
        <v>0</v>
      </c>
      <c r="EP40" s="609">
        <f>DQ40+DS40+DU40+DW40+DY40+EA40+EC40+EE40+EG40+EI40+EK40</f>
        <v>0</v>
      </c>
      <c r="EQ40" s="610">
        <f>DP40+DR40+DT40+DV40</f>
        <v>0</v>
      </c>
      <c r="ER40" s="601">
        <f t="shared" si="8"/>
        <v>1.5618347961917292</v>
      </c>
      <c r="ES40" s="601">
        <f t="shared" ref="ES40:ES44" si="66">BC40/BB40</f>
        <v>1.4976063694911197</v>
      </c>
      <c r="ET40" s="601">
        <f t="shared" ref="ET40:ET44" si="67">BE40/BD40</f>
        <v>1.4976063694911197</v>
      </c>
      <c r="EU40" s="602" t="s">
        <v>225</v>
      </c>
      <c r="EV40" s="602" t="s">
        <v>225</v>
      </c>
      <c r="EW40" s="1354"/>
      <c r="EX40" s="733"/>
      <c r="EY40" s="733"/>
      <c r="EZ40" s="733"/>
      <c r="FA40" s="733"/>
      <c r="FB40" s="770"/>
    </row>
    <row r="41" spans="1:158" s="603" customFormat="1" ht="19.149999999999999" customHeight="1" x14ac:dyDescent="0.2">
      <c r="A41" s="733"/>
      <c r="B41" s="733"/>
      <c r="C41" s="734"/>
      <c r="D41" s="733"/>
      <c r="E41" s="734"/>
      <c r="F41" s="593" t="s">
        <v>42</v>
      </c>
      <c r="G41" s="613"/>
      <c r="H41" s="614"/>
      <c r="I41" s="615"/>
      <c r="J41" s="615"/>
      <c r="K41" s="615"/>
      <c r="L41" s="615"/>
      <c r="M41" s="615"/>
      <c r="N41" s="615"/>
      <c r="O41" s="615"/>
      <c r="P41" s="615"/>
      <c r="Q41" s="615"/>
      <c r="R41" s="615"/>
      <c r="S41" s="615"/>
      <c r="T41" s="615"/>
      <c r="U41" s="615"/>
      <c r="V41" s="615"/>
      <c r="W41" s="598">
        <f t="shared" si="24"/>
        <v>0</v>
      </c>
      <c r="X41" s="598">
        <f t="shared" si="25"/>
        <v>0</v>
      </c>
      <c r="Y41" s="598">
        <f t="shared" si="26"/>
        <v>0</v>
      </c>
      <c r="Z41" s="598">
        <f t="shared" si="27"/>
        <v>0</v>
      </c>
      <c r="AA41" s="598">
        <f t="shared" si="28"/>
        <v>0</v>
      </c>
      <c r="AB41" s="613"/>
      <c r="AC41" s="613"/>
      <c r="AD41" s="613"/>
      <c r="AE41" s="613"/>
      <c r="AF41" s="613"/>
      <c r="AG41" s="613"/>
      <c r="AH41" s="613"/>
      <c r="AI41" s="613"/>
      <c r="AJ41" s="613"/>
      <c r="AK41" s="615"/>
      <c r="AL41" s="615"/>
      <c r="AM41" s="615"/>
      <c r="AN41" s="615"/>
      <c r="AO41" s="633"/>
      <c r="AP41" s="615"/>
      <c r="AQ41" s="615"/>
      <c r="AR41" s="615"/>
      <c r="AS41" s="615"/>
      <c r="AT41" s="615"/>
      <c r="AU41" s="615"/>
      <c r="AV41" s="615"/>
      <c r="AW41" s="615"/>
      <c r="AX41" s="615"/>
      <c r="AY41" s="633"/>
      <c r="AZ41" s="1356"/>
      <c r="BA41" s="594">
        <v>0</v>
      </c>
      <c r="BB41" s="599">
        <f t="shared" si="17"/>
        <v>0</v>
      </c>
      <c r="BC41" s="599">
        <f t="shared" si="11"/>
        <v>0</v>
      </c>
      <c r="BD41" s="599">
        <f>AC41+AE41+AG41+AI41+AK41+AM41+AO41+AQ41+AS41+AU41+AW41+AY41</f>
        <v>0</v>
      </c>
      <c r="BE41" s="599">
        <f t="shared" si="6"/>
        <v>0</v>
      </c>
      <c r="BF41" s="615"/>
      <c r="BG41" s="615"/>
      <c r="BH41" s="615"/>
      <c r="BI41" s="615"/>
      <c r="BJ41" s="652"/>
      <c r="BK41" s="615"/>
      <c r="BL41" s="615"/>
      <c r="BM41" s="615"/>
      <c r="BN41" s="615"/>
      <c r="BO41" s="615"/>
      <c r="BP41" s="615"/>
      <c r="BQ41" s="615"/>
      <c r="BR41" s="615"/>
      <c r="BS41" s="615"/>
      <c r="BT41" s="615"/>
      <c r="BU41" s="615"/>
      <c r="BV41" s="615"/>
      <c r="BW41" s="615"/>
      <c r="BX41" s="615"/>
      <c r="BY41" s="615"/>
      <c r="BZ41" s="615"/>
      <c r="CA41" s="615"/>
      <c r="CB41" s="615"/>
      <c r="CC41" s="615"/>
      <c r="CD41" s="615"/>
      <c r="CE41" s="597"/>
      <c r="CF41" s="634"/>
      <c r="CG41" s="635"/>
      <c r="CH41" s="624"/>
      <c r="CI41" s="597"/>
      <c r="CJ41" s="615"/>
      <c r="CK41" s="615"/>
      <c r="CL41" s="615"/>
      <c r="CM41" s="615"/>
      <c r="CN41" s="615"/>
      <c r="CO41" s="615"/>
      <c r="CP41" s="615"/>
      <c r="CQ41" s="615"/>
      <c r="CR41" s="615"/>
      <c r="CS41" s="615"/>
      <c r="CT41" s="615"/>
      <c r="CU41" s="615"/>
      <c r="CV41" s="615"/>
      <c r="CW41" s="615"/>
      <c r="CX41" s="615"/>
      <c r="CY41" s="615"/>
      <c r="CZ41" s="615"/>
      <c r="DA41" s="615"/>
      <c r="DB41" s="615"/>
      <c r="DC41" s="615"/>
      <c r="DD41" s="615"/>
      <c r="DE41" s="615"/>
      <c r="DF41" s="615"/>
      <c r="DG41" s="615"/>
      <c r="DH41" s="615"/>
      <c r="DI41" s="597">
        <f>DE41+DC41+DA41+CY41+CW41+CU41+CS41+CQ41+CO41+CM41+CK41+DG41</f>
        <v>0</v>
      </c>
      <c r="DJ41" s="634">
        <f t="shared" si="62"/>
        <v>0</v>
      </c>
      <c r="DK41" s="635">
        <f t="shared" si="63"/>
        <v>0</v>
      </c>
      <c r="DL41" s="624">
        <f>CM41+CO41+CQ41+CS41+CU41+CW41+CY41+DA41+DC41+DE41+DG41</f>
        <v>0</v>
      </c>
      <c r="DM41" s="597">
        <f>CL41+CN41+CP41+CR41</f>
        <v>0</v>
      </c>
      <c r="DN41" s="615"/>
      <c r="DO41" s="615"/>
      <c r="DP41" s="615"/>
      <c r="DQ41" s="615"/>
      <c r="DR41" s="615"/>
      <c r="DS41" s="615"/>
      <c r="DT41" s="615"/>
      <c r="DU41" s="615"/>
      <c r="DV41" s="615"/>
      <c r="DW41" s="615"/>
      <c r="DX41" s="615"/>
      <c r="DY41" s="615"/>
      <c r="DZ41" s="615"/>
      <c r="EA41" s="615"/>
      <c r="EB41" s="615"/>
      <c r="EC41" s="615"/>
      <c r="ED41" s="615"/>
      <c r="EE41" s="615"/>
      <c r="EF41" s="615"/>
      <c r="EG41" s="615"/>
      <c r="EH41" s="615"/>
      <c r="EI41" s="615"/>
      <c r="EJ41" s="615"/>
      <c r="EK41" s="615"/>
      <c r="EL41" s="615"/>
      <c r="EM41" s="597">
        <f>EI41+EG41+EE41+EC41+EA41+DY41+DW41+DU41+DS41+DQ41+DO41+EK41</f>
        <v>0</v>
      </c>
      <c r="EN41" s="634">
        <f t="shared" si="64"/>
        <v>0</v>
      </c>
      <c r="EO41" s="635">
        <f t="shared" si="65"/>
        <v>0</v>
      </c>
      <c r="EP41" s="624">
        <f>DQ41+DS41+DU41+DW41+DY41+EA41+EC41+EE41+EG41+EI41+EK41</f>
        <v>0</v>
      </c>
      <c r="EQ41" s="597">
        <f>DP41+DR41+DT41+DV41</f>
        <v>0</v>
      </c>
      <c r="ER41" s="601" t="e">
        <f t="shared" si="8"/>
        <v>#DIV/0!</v>
      </c>
      <c r="ES41" s="601" t="e">
        <f t="shared" si="66"/>
        <v>#DIV/0!</v>
      </c>
      <c r="ET41" s="601" t="e">
        <f t="shared" si="67"/>
        <v>#DIV/0!</v>
      </c>
      <c r="EU41" s="602" t="s">
        <v>225</v>
      </c>
      <c r="EV41" s="602" t="s">
        <v>225</v>
      </c>
      <c r="EW41" s="1354"/>
      <c r="EX41" s="733"/>
      <c r="EY41" s="733"/>
      <c r="EZ41" s="733"/>
      <c r="FA41" s="733"/>
      <c r="FB41" s="770"/>
    </row>
    <row r="42" spans="1:158" s="603" customFormat="1" ht="19.149999999999999" customHeight="1" x14ac:dyDescent="0.2">
      <c r="A42" s="733"/>
      <c r="B42" s="733"/>
      <c r="C42" s="734"/>
      <c r="D42" s="733"/>
      <c r="E42" s="734"/>
      <c r="F42" s="604" t="s">
        <v>4</v>
      </c>
      <c r="G42" s="605">
        <f>AA42+BD42+BF42+CJ42+DN42</f>
        <v>249089777</v>
      </c>
      <c r="H42" s="636"/>
      <c r="I42" s="637"/>
      <c r="J42" s="637"/>
      <c r="K42" s="637"/>
      <c r="L42" s="637"/>
      <c r="M42" s="637"/>
      <c r="N42" s="637"/>
      <c r="O42" s="637"/>
      <c r="P42" s="637"/>
      <c r="Q42" s="637"/>
      <c r="R42" s="637"/>
      <c r="S42" s="637"/>
      <c r="T42" s="637"/>
      <c r="U42" s="637"/>
      <c r="V42" s="637"/>
      <c r="W42" s="598">
        <f t="shared" si="24"/>
        <v>0</v>
      </c>
      <c r="X42" s="598">
        <f t="shared" si="25"/>
        <v>0</v>
      </c>
      <c r="Y42" s="598">
        <f t="shared" si="26"/>
        <v>0</v>
      </c>
      <c r="Z42" s="598">
        <f t="shared" si="27"/>
        <v>0</v>
      </c>
      <c r="AA42" s="598">
        <f t="shared" si="28"/>
        <v>0</v>
      </c>
      <c r="AB42" s="619">
        <v>249150644</v>
      </c>
      <c r="AC42" s="619">
        <v>35177075</v>
      </c>
      <c r="AD42" s="619">
        <v>35177075</v>
      </c>
      <c r="AE42" s="619">
        <f>84962626-AD42</f>
        <v>49785551</v>
      </c>
      <c r="AF42" s="619">
        <v>49785551</v>
      </c>
      <c r="AG42" s="619">
        <f>130802560-AD42-AF42</f>
        <v>45839934</v>
      </c>
      <c r="AH42" s="619">
        <v>45839934</v>
      </c>
      <c r="AI42" s="619">
        <f>195030200-AD42-AF42-AH42</f>
        <v>64227640</v>
      </c>
      <c r="AJ42" s="619">
        <v>64227640</v>
      </c>
      <c r="AK42" s="600">
        <v>0</v>
      </c>
      <c r="AL42" s="600">
        <v>0</v>
      </c>
      <c r="AM42" s="600">
        <v>22048577</v>
      </c>
      <c r="AN42" s="600">
        <v>22048577</v>
      </c>
      <c r="AO42" s="600">
        <v>32011000</v>
      </c>
      <c r="AP42" s="600">
        <v>32011000</v>
      </c>
      <c r="AQ42" s="607">
        <v>60867</v>
      </c>
      <c r="AR42" s="600">
        <v>0</v>
      </c>
      <c r="AS42" s="600">
        <v>0</v>
      </c>
      <c r="AT42" s="600">
        <v>0</v>
      </c>
      <c r="AU42" s="600">
        <v>-60867</v>
      </c>
      <c r="AV42" s="600">
        <v>0</v>
      </c>
      <c r="AW42" s="600"/>
      <c r="AX42" s="607">
        <v>0</v>
      </c>
      <c r="AY42" s="600"/>
      <c r="AZ42" s="600">
        <v>0</v>
      </c>
      <c r="BA42" s="594">
        <f>AC42+AE42+AG42+AI42+AK42+AM42+AO42+AQ42+AS42+AU42+AW42+AY42</f>
        <v>249089777</v>
      </c>
      <c r="BB42" s="599">
        <f t="shared" si="17"/>
        <v>249089777</v>
      </c>
      <c r="BC42" s="599">
        <f>+AN42+AD42+AF42+AH42+AJ42+AL42+AP42+AR42+AT42+AV42+AX42+AZ42</f>
        <v>249089777</v>
      </c>
      <c r="BD42" s="599">
        <f>BA42</f>
        <v>249089777</v>
      </c>
      <c r="BE42" s="599">
        <f t="shared" si="6"/>
        <v>249089777</v>
      </c>
      <c r="BF42" s="626"/>
      <c r="BG42" s="626"/>
      <c r="BH42" s="626"/>
      <c r="BI42" s="626"/>
      <c r="BJ42" s="626"/>
      <c r="BK42" s="626"/>
      <c r="BL42" s="600"/>
      <c r="BM42" s="600"/>
      <c r="BN42" s="600"/>
      <c r="BO42" s="600"/>
      <c r="BP42" s="600"/>
      <c r="BQ42" s="600"/>
      <c r="BR42" s="600"/>
      <c r="BS42" s="600"/>
      <c r="BT42" s="600"/>
      <c r="BU42" s="600"/>
      <c r="BV42" s="600"/>
      <c r="BW42" s="600"/>
      <c r="BX42" s="600"/>
      <c r="BY42" s="600"/>
      <c r="BZ42" s="600"/>
      <c r="CA42" s="600"/>
      <c r="CB42" s="600"/>
      <c r="CC42" s="600"/>
      <c r="CD42" s="600"/>
      <c r="CE42" s="597"/>
      <c r="CF42" s="610"/>
      <c r="CG42" s="610"/>
      <c r="CH42" s="609"/>
      <c r="CI42" s="610"/>
      <c r="CJ42" s="600"/>
      <c r="CK42" s="600"/>
      <c r="CL42" s="600"/>
      <c r="CM42" s="600"/>
      <c r="CN42" s="600"/>
      <c r="CO42" s="600"/>
      <c r="CP42" s="600"/>
      <c r="CQ42" s="600"/>
      <c r="CR42" s="600"/>
      <c r="CS42" s="600"/>
      <c r="CT42" s="600"/>
      <c r="CU42" s="600"/>
      <c r="CV42" s="600"/>
      <c r="CW42" s="600"/>
      <c r="CX42" s="600"/>
      <c r="CY42" s="600"/>
      <c r="CZ42" s="600"/>
      <c r="DA42" s="600"/>
      <c r="DB42" s="600"/>
      <c r="DC42" s="600"/>
      <c r="DD42" s="600"/>
      <c r="DE42" s="600"/>
      <c r="DF42" s="600"/>
      <c r="DG42" s="600"/>
      <c r="DH42" s="600"/>
      <c r="DI42" s="597"/>
      <c r="DJ42" s="610"/>
      <c r="DK42" s="610"/>
      <c r="DL42" s="609"/>
      <c r="DM42" s="610"/>
      <c r="DN42" s="600"/>
      <c r="DO42" s="600"/>
      <c r="DP42" s="600"/>
      <c r="DQ42" s="600"/>
      <c r="DR42" s="600"/>
      <c r="DS42" s="600"/>
      <c r="DT42" s="600"/>
      <c r="DU42" s="600"/>
      <c r="DV42" s="600"/>
      <c r="DW42" s="600"/>
      <c r="DX42" s="600"/>
      <c r="DY42" s="600"/>
      <c r="DZ42" s="600"/>
      <c r="EA42" s="600"/>
      <c r="EB42" s="600"/>
      <c r="EC42" s="600"/>
      <c r="ED42" s="600"/>
      <c r="EE42" s="600"/>
      <c r="EF42" s="600"/>
      <c r="EG42" s="600"/>
      <c r="EH42" s="600"/>
      <c r="EI42" s="600"/>
      <c r="EJ42" s="600"/>
      <c r="EK42" s="600"/>
      <c r="EL42" s="600"/>
      <c r="EM42" s="597">
        <f>EI42+EG42+EE42+EC42+EA42+DY42+DW42+DU42+DS42+DQ42+DO42+EK42</f>
        <v>0</v>
      </c>
      <c r="EN42" s="610">
        <f t="shared" si="64"/>
        <v>0</v>
      </c>
      <c r="EO42" s="610">
        <f t="shared" si="65"/>
        <v>0</v>
      </c>
      <c r="EP42" s="609">
        <f>DQ42+DS42+DU42+DW42+DY42+EA42+EC42+EE42+EG42+EI42+EK42+DO42</f>
        <v>0</v>
      </c>
      <c r="EQ42" s="610">
        <f>DP42+DR42+DT42+DV42</f>
        <v>0</v>
      </c>
      <c r="ER42" s="601">
        <f t="shared" si="8"/>
        <v>0</v>
      </c>
      <c r="ES42" s="601">
        <f t="shared" si="66"/>
        <v>1</v>
      </c>
      <c r="ET42" s="601">
        <f t="shared" si="67"/>
        <v>1</v>
      </c>
      <c r="EU42" s="602" t="s">
        <v>225</v>
      </c>
      <c r="EV42" s="601">
        <f t="shared" ref="EV42:EV43" si="68">BE42/G42</f>
        <v>1</v>
      </c>
      <c r="EW42" s="1354"/>
      <c r="EX42" s="733"/>
      <c r="EY42" s="733"/>
      <c r="EZ42" s="733"/>
      <c r="FA42" s="733"/>
      <c r="FB42" s="770"/>
    </row>
    <row r="43" spans="1:158" s="603" customFormat="1" ht="19.149999999999999" customHeight="1" thickBot="1" x14ac:dyDescent="0.25">
      <c r="A43" s="733"/>
      <c r="B43" s="733"/>
      <c r="C43" s="734"/>
      <c r="D43" s="733"/>
      <c r="E43" s="734"/>
      <c r="F43" s="593" t="s">
        <v>43</v>
      </c>
      <c r="G43" s="1369">
        <v>800</v>
      </c>
      <c r="H43" s="1370">
        <v>50</v>
      </c>
      <c r="I43" s="1371"/>
      <c r="J43" s="1371"/>
      <c r="K43" s="1371">
        <v>50</v>
      </c>
      <c r="L43" s="1371">
        <v>0</v>
      </c>
      <c r="M43" s="1371">
        <v>50</v>
      </c>
      <c r="N43" s="1408">
        <v>5</v>
      </c>
      <c r="O43" s="1371">
        <v>50</v>
      </c>
      <c r="P43" s="1408">
        <v>10</v>
      </c>
      <c r="Q43" s="1371">
        <v>50</v>
      </c>
      <c r="R43" s="1409">
        <v>30</v>
      </c>
      <c r="S43" s="1371">
        <v>50</v>
      </c>
      <c r="T43" s="1410">
        <v>45</v>
      </c>
      <c r="U43" s="1369">
        <v>50</v>
      </c>
      <c r="V43" s="1369">
        <v>50</v>
      </c>
      <c r="W43" s="1375">
        <f t="shared" si="24"/>
        <v>50</v>
      </c>
      <c r="X43" s="1375">
        <f t="shared" si="25"/>
        <v>50</v>
      </c>
      <c r="Y43" s="1375">
        <f t="shared" si="26"/>
        <v>50</v>
      </c>
      <c r="Z43" s="1375">
        <f t="shared" si="27"/>
        <v>50</v>
      </c>
      <c r="AA43" s="1375">
        <f t="shared" si="28"/>
        <v>50</v>
      </c>
      <c r="AB43" s="1369">
        <v>160</v>
      </c>
      <c r="AC43" s="1369">
        <v>20</v>
      </c>
      <c r="AD43" s="1369">
        <v>20</v>
      </c>
      <c r="AE43" s="1376">
        <v>20</v>
      </c>
      <c r="AF43" s="1376">
        <v>20</v>
      </c>
      <c r="AG43" s="1376">
        <v>5</v>
      </c>
      <c r="AH43" s="1376">
        <v>5</v>
      </c>
      <c r="AI43" s="1376">
        <v>5</v>
      </c>
      <c r="AJ43" s="1376">
        <v>5</v>
      </c>
      <c r="AK43" s="1376">
        <v>5</v>
      </c>
      <c r="AL43" s="1376">
        <v>5</v>
      </c>
      <c r="AM43" s="1376">
        <v>2</v>
      </c>
      <c r="AN43" s="1376">
        <v>2</v>
      </c>
      <c r="AO43" s="1376">
        <v>2</v>
      </c>
      <c r="AP43" s="1382">
        <v>2</v>
      </c>
      <c r="AQ43" s="1376">
        <v>2</v>
      </c>
      <c r="AR43" s="1376">
        <v>2</v>
      </c>
      <c r="AS43" s="1376">
        <v>15</v>
      </c>
      <c r="AT43" s="1376">
        <v>15</v>
      </c>
      <c r="AU43" s="1376">
        <v>30</v>
      </c>
      <c r="AV43" s="1376">
        <v>30</v>
      </c>
      <c r="AW43" s="1376">
        <v>34</v>
      </c>
      <c r="AX43" s="1376">
        <v>34</v>
      </c>
      <c r="AY43" s="1376">
        <v>20</v>
      </c>
      <c r="AZ43" s="1376">
        <v>20</v>
      </c>
      <c r="BA43" s="1380">
        <f t="shared" ref="BA43:BD43" si="69">BA38+BA41</f>
        <v>160</v>
      </c>
      <c r="BB43" s="1381">
        <f t="shared" si="17"/>
        <v>160</v>
      </c>
      <c r="BC43" s="1381">
        <f t="shared" si="11"/>
        <v>160</v>
      </c>
      <c r="BD43" s="1381">
        <f t="shared" si="69"/>
        <v>160</v>
      </c>
      <c r="BE43" s="1381">
        <f t="shared" si="6"/>
        <v>160</v>
      </c>
      <c r="BF43" s="1380">
        <v>190</v>
      </c>
      <c r="BG43" s="1380"/>
      <c r="BH43" s="1380"/>
      <c r="BI43" s="1380"/>
      <c r="BJ43" s="1380"/>
      <c r="BK43" s="1380"/>
      <c r="BL43" s="1380"/>
      <c r="BM43" s="1380"/>
      <c r="BN43" s="1380"/>
      <c r="BO43" s="1380"/>
      <c r="BP43" s="1380"/>
      <c r="BQ43" s="1380"/>
      <c r="BR43" s="1380"/>
      <c r="BS43" s="1380"/>
      <c r="BT43" s="1380"/>
      <c r="BU43" s="1380"/>
      <c r="BV43" s="1380"/>
      <c r="BW43" s="1380"/>
      <c r="BX43" s="1380"/>
      <c r="BY43" s="1380"/>
      <c r="BZ43" s="1380"/>
      <c r="CA43" s="1380"/>
      <c r="CB43" s="1380"/>
      <c r="CC43" s="1380"/>
      <c r="CD43" s="1380"/>
      <c r="CE43" s="1382"/>
      <c r="CF43" s="1385"/>
      <c r="CG43" s="1385"/>
      <c r="CH43" s="1386"/>
      <c r="CI43" s="1385"/>
      <c r="CJ43" s="1380">
        <v>290</v>
      </c>
      <c r="CK43" s="1380"/>
      <c r="CL43" s="1380"/>
      <c r="CM43" s="1380"/>
      <c r="CN43" s="1380"/>
      <c r="CO43" s="1380"/>
      <c r="CP43" s="1380"/>
      <c r="CQ43" s="1380"/>
      <c r="CR43" s="1380"/>
      <c r="CS43" s="1380"/>
      <c r="CT43" s="1380"/>
      <c r="CU43" s="1380"/>
      <c r="CV43" s="1380"/>
      <c r="CW43" s="1380"/>
      <c r="CX43" s="1380"/>
      <c r="CY43" s="1380"/>
      <c r="CZ43" s="1380"/>
      <c r="DA43" s="1380"/>
      <c r="DB43" s="1380"/>
      <c r="DC43" s="1380"/>
      <c r="DD43" s="1380"/>
      <c r="DE43" s="1380"/>
      <c r="DF43" s="1380"/>
      <c r="DG43" s="1380"/>
      <c r="DH43" s="1380"/>
      <c r="DI43" s="1382">
        <v>0</v>
      </c>
      <c r="DJ43" s="1385">
        <v>0</v>
      </c>
      <c r="DK43" s="1385">
        <v>0</v>
      </c>
      <c r="DL43" s="1386">
        <v>0</v>
      </c>
      <c r="DM43" s="1385">
        <v>0</v>
      </c>
      <c r="DN43" s="1380">
        <v>130</v>
      </c>
      <c r="DO43" s="1376"/>
      <c r="DP43" s="1376"/>
      <c r="DQ43" s="1376"/>
      <c r="DR43" s="1376"/>
      <c r="DS43" s="1376"/>
      <c r="DT43" s="1376"/>
      <c r="DU43" s="1376"/>
      <c r="DV43" s="1376"/>
      <c r="DW43" s="1376"/>
      <c r="DX43" s="1376"/>
      <c r="DY43" s="1376"/>
      <c r="DZ43" s="1376"/>
      <c r="EA43" s="1376"/>
      <c r="EB43" s="1376"/>
      <c r="EC43" s="1376"/>
      <c r="ED43" s="1376"/>
      <c r="EE43" s="1376"/>
      <c r="EF43" s="1376"/>
      <c r="EG43" s="1376"/>
      <c r="EH43" s="1376"/>
      <c r="EI43" s="1376"/>
      <c r="EJ43" s="1376"/>
      <c r="EK43" s="1376"/>
      <c r="EL43" s="1376"/>
      <c r="EM43" s="1382">
        <f>EI43+EG43+EE43+EC43+EA43+DY43+DW43+DU43+DS43+DQ43+DO43+EK43</f>
        <v>0</v>
      </c>
      <c r="EN43" s="1385">
        <f t="shared" si="64"/>
        <v>0</v>
      </c>
      <c r="EO43" s="1385">
        <f t="shared" si="65"/>
        <v>0</v>
      </c>
      <c r="EP43" s="1386">
        <f>DQ43+DS43+DU43+DW43+DY43+EA43+EC43+EE43+EG43+EI43+EK43+DO43</f>
        <v>0</v>
      </c>
      <c r="EQ43" s="1385">
        <f>DR43+DT43+DV43+DP43</f>
        <v>0</v>
      </c>
      <c r="ER43" s="1387">
        <f t="shared" si="8"/>
        <v>1</v>
      </c>
      <c r="ES43" s="1387">
        <f t="shared" si="66"/>
        <v>1</v>
      </c>
      <c r="ET43" s="1387">
        <f t="shared" si="67"/>
        <v>1</v>
      </c>
      <c r="EU43" s="1388" t="s">
        <v>225</v>
      </c>
      <c r="EV43" s="1387">
        <f t="shared" si="68"/>
        <v>0.2</v>
      </c>
      <c r="EW43" s="1354"/>
      <c r="EX43" s="733"/>
      <c r="EY43" s="733"/>
      <c r="EZ43" s="733"/>
      <c r="FA43" s="733"/>
      <c r="FB43" s="770"/>
    </row>
    <row r="44" spans="1:158" s="640" customFormat="1" ht="19.149999999999999" customHeight="1" thickBot="1" x14ac:dyDescent="0.25">
      <c r="A44" s="733"/>
      <c r="B44" s="733"/>
      <c r="C44" s="734"/>
      <c r="D44" s="733"/>
      <c r="E44" s="734"/>
      <c r="F44" s="1367" t="s">
        <v>45</v>
      </c>
      <c r="G44" s="1392">
        <v>3893744293</v>
      </c>
      <c r="H44" s="1393">
        <v>668935490</v>
      </c>
      <c r="I44" s="1394"/>
      <c r="J44" s="1395"/>
      <c r="K44" s="1394">
        <v>668935490</v>
      </c>
      <c r="L44" s="1394">
        <v>328110000</v>
      </c>
      <c r="M44" s="1394">
        <v>641192490</v>
      </c>
      <c r="N44" s="1394">
        <v>519353000</v>
      </c>
      <c r="O44" s="1394">
        <v>641192490</v>
      </c>
      <c r="P44" s="1394">
        <v>532019000</v>
      </c>
      <c r="Q44" s="1394">
        <v>734428327</v>
      </c>
      <c r="R44" s="1394">
        <v>532019000</v>
      </c>
      <c r="S44" s="1396">
        <v>714428327</v>
      </c>
      <c r="T44" s="1397">
        <v>556969163</v>
      </c>
      <c r="U44" s="1398">
        <v>714428327</v>
      </c>
      <c r="V44" s="1398">
        <v>706859293</v>
      </c>
      <c r="W44" s="1399">
        <f t="shared" si="24"/>
        <v>668935490</v>
      </c>
      <c r="X44" s="1399">
        <f t="shared" si="25"/>
        <v>668935490</v>
      </c>
      <c r="Y44" s="1399">
        <f t="shared" si="26"/>
        <v>706859293</v>
      </c>
      <c r="Z44" s="1399">
        <f t="shared" si="27"/>
        <v>714428327</v>
      </c>
      <c r="AA44" s="1399">
        <f t="shared" si="28"/>
        <v>706859293</v>
      </c>
      <c r="AB44" s="1400">
        <f>+AB39+AB42</f>
        <v>948538644</v>
      </c>
      <c r="AC44" s="1400">
        <f>+AC39+AC42</f>
        <v>35177075</v>
      </c>
      <c r="AD44" s="1400">
        <f>+AD39+AD42</f>
        <v>35177075</v>
      </c>
      <c r="AE44" s="1400">
        <f>+AE39+AE42</f>
        <v>111141551</v>
      </c>
      <c r="AF44" s="1400">
        <f t="shared" ref="AF44:AZ44" si="70">+AF39+AF42</f>
        <v>111141551</v>
      </c>
      <c r="AG44" s="1400">
        <f t="shared" si="70"/>
        <v>331267934</v>
      </c>
      <c r="AH44" s="1400">
        <f t="shared" si="70"/>
        <v>331267934</v>
      </c>
      <c r="AI44" s="1400">
        <f t="shared" si="70"/>
        <v>64227640</v>
      </c>
      <c r="AJ44" s="1400">
        <f t="shared" si="70"/>
        <v>64227640</v>
      </c>
      <c r="AK44" s="1400">
        <f t="shared" si="70"/>
        <v>0</v>
      </c>
      <c r="AL44" s="1400">
        <f t="shared" si="70"/>
        <v>0</v>
      </c>
      <c r="AM44" s="1400">
        <f t="shared" si="70"/>
        <v>22048577</v>
      </c>
      <c r="AN44" s="1400">
        <f t="shared" si="70"/>
        <v>22048577</v>
      </c>
      <c r="AO44" s="1400">
        <f t="shared" si="70"/>
        <v>32011000</v>
      </c>
      <c r="AP44" s="1400">
        <f t="shared" si="70"/>
        <v>32011000</v>
      </c>
      <c r="AQ44" s="1400">
        <f t="shared" si="70"/>
        <v>60867</v>
      </c>
      <c r="AR44" s="1400">
        <f t="shared" si="70"/>
        <v>0</v>
      </c>
      <c r="AS44" s="1400">
        <f t="shared" si="70"/>
        <v>292448222</v>
      </c>
      <c r="AT44" s="1400">
        <f t="shared" si="70"/>
        <v>208200000</v>
      </c>
      <c r="AU44" s="1400">
        <f t="shared" si="70"/>
        <v>69939133</v>
      </c>
      <c r="AV44" s="1400">
        <v>0</v>
      </c>
      <c r="AW44" s="1400">
        <f t="shared" si="70"/>
        <v>0</v>
      </c>
      <c r="AX44" s="1400">
        <f t="shared" si="70"/>
        <v>49256100</v>
      </c>
      <c r="AY44" s="1400">
        <f t="shared" si="70"/>
        <v>580967</v>
      </c>
      <c r="AZ44" s="1400">
        <f t="shared" si="70"/>
        <v>17790500</v>
      </c>
      <c r="BA44" s="1401">
        <f>AY44+AW44+AU44+AS44+AQ44+AO44+AM44+AK44+AI44+AG44+AE44+AC44</f>
        <v>958902966</v>
      </c>
      <c r="BB44" s="1431">
        <f t="shared" si="17"/>
        <v>958902966</v>
      </c>
      <c r="BC44" s="1401">
        <f t="shared" si="11"/>
        <v>871120377</v>
      </c>
      <c r="BD44" s="1401">
        <f t="shared" ref="BD44" si="71">+BD39+BD42</f>
        <v>958902966</v>
      </c>
      <c r="BE44" s="1401">
        <f t="shared" si="6"/>
        <v>871120377</v>
      </c>
      <c r="BF44" s="1394">
        <v>1010205000</v>
      </c>
      <c r="BG44" s="1402"/>
      <c r="BH44" s="1402"/>
      <c r="BI44" s="1402"/>
      <c r="BJ44" s="1402"/>
      <c r="BK44" s="1402"/>
      <c r="BL44" s="1402"/>
      <c r="BM44" s="1402"/>
      <c r="BN44" s="1402"/>
      <c r="BO44" s="1402"/>
      <c r="BP44" s="1402"/>
      <c r="BQ44" s="1402"/>
      <c r="BR44" s="1402"/>
      <c r="BS44" s="1402"/>
      <c r="BT44" s="1402"/>
      <c r="BU44" s="1402"/>
      <c r="BV44" s="1402"/>
      <c r="BW44" s="1402"/>
      <c r="BX44" s="1402"/>
      <c r="BY44" s="1402"/>
      <c r="BZ44" s="1402"/>
      <c r="CA44" s="1402"/>
      <c r="CB44" s="1402"/>
      <c r="CC44" s="1402"/>
      <c r="CD44" s="1402"/>
      <c r="CE44" s="1401"/>
      <c r="CF44" s="1403"/>
      <c r="CG44" s="1404"/>
      <c r="CH44" s="1403"/>
      <c r="CI44" s="1403"/>
      <c r="CJ44" s="1398">
        <v>1010205000</v>
      </c>
      <c r="CK44" s="1398"/>
      <c r="CL44" s="1398"/>
      <c r="CM44" s="1398"/>
      <c r="CN44" s="1398"/>
      <c r="CO44" s="1398"/>
      <c r="CP44" s="1398"/>
      <c r="CQ44" s="1398"/>
      <c r="CR44" s="1398"/>
      <c r="CS44" s="1398"/>
      <c r="CT44" s="1398"/>
      <c r="CU44" s="1398"/>
      <c r="CV44" s="1398"/>
      <c r="CW44" s="1398"/>
      <c r="CX44" s="1398"/>
      <c r="CY44" s="1398"/>
      <c r="CZ44" s="1398"/>
      <c r="DA44" s="1398"/>
      <c r="DB44" s="1398"/>
      <c r="DC44" s="1398"/>
      <c r="DD44" s="1398"/>
      <c r="DE44" s="1398"/>
      <c r="DF44" s="1398"/>
      <c r="DG44" s="1398"/>
      <c r="DH44" s="1398"/>
      <c r="DI44" s="1401">
        <v>0</v>
      </c>
      <c r="DJ44" s="1403">
        <v>0</v>
      </c>
      <c r="DK44" s="1404">
        <v>0</v>
      </c>
      <c r="DL44" s="1403">
        <v>0</v>
      </c>
      <c r="DM44" s="1403">
        <v>0</v>
      </c>
      <c r="DN44" s="1398">
        <v>467087000</v>
      </c>
      <c r="DO44" s="1398"/>
      <c r="DP44" s="1398"/>
      <c r="DQ44" s="1398"/>
      <c r="DR44" s="1398"/>
      <c r="DS44" s="1398"/>
      <c r="DT44" s="1398"/>
      <c r="DU44" s="1398"/>
      <c r="DV44" s="1398"/>
      <c r="DW44" s="1398"/>
      <c r="DX44" s="1398"/>
      <c r="DY44" s="1398"/>
      <c r="DZ44" s="1398"/>
      <c r="EA44" s="1398"/>
      <c r="EB44" s="1398"/>
      <c r="EC44" s="1398"/>
      <c r="ED44" s="1398"/>
      <c r="EE44" s="1398"/>
      <c r="EF44" s="1398"/>
      <c r="EG44" s="1398"/>
      <c r="EH44" s="1398"/>
      <c r="EI44" s="1398"/>
      <c r="EJ44" s="1398"/>
      <c r="EK44" s="1398"/>
      <c r="EL44" s="1398"/>
      <c r="EM44" s="1401">
        <f>EK44+EI44+EG44+EE44+EC44+EA44+DY44+DW44+DU44+DS44+DQ44+DO44</f>
        <v>0</v>
      </c>
      <c r="EN44" s="1403">
        <f t="shared" ref="EN44" si="72">+EN39+EN42</f>
        <v>0</v>
      </c>
      <c r="EO44" s="1404">
        <f t="shared" ref="EO44" si="73">EO39+EO42</f>
        <v>0</v>
      </c>
      <c r="EP44" s="1403">
        <f t="shared" ref="EP44:EQ44" si="74">+EP39+EP42</f>
        <v>0</v>
      </c>
      <c r="EQ44" s="1403">
        <f t="shared" si="74"/>
        <v>0</v>
      </c>
      <c r="ER44" s="1405">
        <f t="shared" si="8"/>
        <v>0</v>
      </c>
      <c r="ES44" s="1405">
        <f t="shared" si="66"/>
        <v>0.90845519086651783</v>
      </c>
      <c r="ET44" s="1405">
        <f t="shared" si="67"/>
        <v>0.90845519086651783</v>
      </c>
      <c r="EU44" s="1406">
        <f t="shared" ref="EU44" si="75">(BC44+AA44)/(Z44+BB44)</f>
        <v>0.94301688888573243</v>
      </c>
      <c r="EV44" s="1407">
        <f t="shared" ref="EV44" si="76">(BC44+AA44)/G44</f>
        <v>0.40526022030692194</v>
      </c>
      <c r="EW44" s="1368"/>
      <c r="EX44" s="733"/>
      <c r="EY44" s="733"/>
      <c r="EZ44" s="733"/>
      <c r="FA44" s="733"/>
      <c r="FB44" s="770"/>
    </row>
    <row r="45" spans="1:158" s="603" customFormat="1" ht="19.149999999999999" customHeight="1" x14ac:dyDescent="0.2">
      <c r="A45" s="733"/>
      <c r="B45" s="733">
        <v>6</v>
      </c>
      <c r="C45" s="734" t="s">
        <v>294</v>
      </c>
      <c r="D45" s="733" t="s">
        <v>276</v>
      </c>
      <c r="E45" s="734">
        <v>199</v>
      </c>
      <c r="F45" s="593" t="s">
        <v>41</v>
      </c>
      <c r="G45" s="1411">
        <v>100</v>
      </c>
      <c r="H45" s="1445">
        <v>10</v>
      </c>
      <c r="I45" s="1424"/>
      <c r="J45" s="1424"/>
      <c r="K45" s="1424">
        <v>10</v>
      </c>
      <c r="L45" s="1424">
        <v>2</v>
      </c>
      <c r="M45" s="1424">
        <v>10</v>
      </c>
      <c r="N45" s="1423">
        <v>4</v>
      </c>
      <c r="O45" s="1424">
        <v>10</v>
      </c>
      <c r="P45" s="1423">
        <v>6</v>
      </c>
      <c r="Q45" s="1424">
        <v>10</v>
      </c>
      <c r="R45" s="1437">
        <v>8</v>
      </c>
      <c r="S45" s="1424">
        <v>10</v>
      </c>
      <c r="T45" s="1427">
        <v>9</v>
      </c>
      <c r="U45" s="1424">
        <v>10</v>
      </c>
      <c r="V45" s="1424">
        <v>10</v>
      </c>
      <c r="W45" s="1419">
        <f t="shared" si="24"/>
        <v>10</v>
      </c>
      <c r="X45" s="1419">
        <f t="shared" si="25"/>
        <v>10</v>
      </c>
      <c r="Y45" s="1419">
        <f t="shared" si="26"/>
        <v>10</v>
      </c>
      <c r="Z45" s="1419">
        <f t="shared" si="27"/>
        <v>10</v>
      </c>
      <c r="AA45" s="1419">
        <f t="shared" si="28"/>
        <v>10</v>
      </c>
      <c r="AB45" s="1411">
        <v>20</v>
      </c>
      <c r="AC45" s="1411">
        <v>1</v>
      </c>
      <c r="AD45" s="1411">
        <v>1</v>
      </c>
      <c r="AE45" s="1424">
        <v>1</v>
      </c>
      <c r="AF45" s="1423">
        <v>1</v>
      </c>
      <c r="AG45" s="1424">
        <v>1</v>
      </c>
      <c r="AH45" s="1423">
        <v>1</v>
      </c>
      <c r="AI45" s="1423">
        <v>2</v>
      </c>
      <c r="AJ45" s="1423">
        <v>2</v>
      </c>
      <c r="AK45" s="1423">
        <v>2</v>
      </c>
      <c r="AL45" s="1423">
        <v>2</v>
      </c>
      <c r="AM45" s="1423">
        <v>2</v>
      </c>
      <c r="AN45" s="1423">
        <v>2</v>
      </c>
      <c r="AO45" s="1423">
        <v>2</v>
      </c>
      <c r="AP45" s="1423">
        <v>2</v>
      </c>
      <c r="AQ45" s="1423">
        <v>2</v>
      </c>
      <c r="AR45" s="1423">
        <v>2</v>
      </c>
      <c r="AS45" s="1423">
        <v>2</v>
      </c>
      <c r="AT45" s="1423">
        <v>2</v>
      </c>
      <c r="AU45" s="1423">
        <v>2</v>
      </c>
      <c r="AV45" s="1423">
        <v>2</v>
      </c>
      <c r="AW45" s="1423">
        <v>2</v>
      </c>
      <c r="AX45" s="1416">
        <v>2</v>
      </c>
      <c r="AY45" s="1413">
        <v>1</v>
      </c>
      <c r="AZ45" s="1418">
        <v>1</v>
      </c>
      <c r="BA45" s="1422">
        <f>AY45+AW45+AU45+AS45+AO45+AM45+AK45+AI45+AG45+AE45+AC45+AQ45</f>
        <v>20</v>
      </c>
      <c r="BB45" s="1422">
        <f t="shared" si="17"/>
        <v>20</v>
      </c>
      <c r="BC45" s="1422">
        <f>+AN45+AD45+AF45+AH45+AJ45+AL45+AP45+AR45+AT45+AV45+AX45+AZ45</f>
        <v>20</v>
      </c>
      <c r="BD45" s="1422">
        <f>BA45</f>
        <v>20</v>
      </c>
      <c r="BE45" s="1422">
        <f>AF45+AH45+AJ45+AL45+AD45+AN45+AP45+AR45+AT45+AV45+AX45+AZ45</f>
        <v>20</v>
      </c>
      <c r="BF45" s="1413">
        <v>20</v>
      </c>
      <c r="BG45" s="1414"/>
      <c r="BH45" s="1414"/>
      <c r="BI45" s="1413"/>
      <c r="BJ45" s="1413"/>
      <c r="BK45" s="1413"/>
      <c r="BL45" s="1413"/>
      <c r="BM45" s="1413"/>
      <c r="BN45" s="1413"/>
      <c r="BO45" s="1413"/>
      <c r="BP45" s="1413"/>
      <c r="BQ45" s="1413"/>
      <c r="BR45" s="1413"/>
      <c r="BS45" s="1413"/>
      <c r="BT45" s="1413"/>
      <c r="BU45" s="1413"/>
      <c r="BV45" s="1413"/>
      <c r="BW45" s="1413"/>
      <c r="BX45" s="1413"/>
      <c r="BY45" s="1413"/>
      <c r="BZ45" s="1413"/>
      <c r="CA45" s="1413"/>
      <c r="CB45" s="1413"/>
      <c r="CC45" s="1414"/>
      <c r="CD45" s="1413"/>
      <c r="CE45" s="1424"/>
      <c r="CF45" s="1424"/>
      <c r="CG45" s="1423"/>
      <c r="CH45" s="1425"/>
      <c r="CI45" s="1423"/>
      <c r="CJ45" s="1413">
        <v>34</v>
      </c>
      <c r="CK45" s="1413"/>
      <c r="CL45" s="1413"/>
      <c r="CM45" s="1413"/>
      <c r="CN45" s="1413"/>
      <c r="CO45" s="1413"/>
      <c r="CP45" s="1413"/>
      <c r="CQ45" s="1413"/>
      <c r="CR45" s="1413"/>
      <c r="CS45" s="1413"/>
      <c r="CT45" s="1413"/>
      <c r="CU45" s="1413"/>
      <c r="CV45" s="1413"/>
      <c r="CW45" s="1413"/>
      <c r="CX45" s="1413"/>
      <c r="CY45" s="1413"/>
      <c r="CZ45" s="1413"/>
      <c r="DA45" s="1413"/>
      <c r="DB45" s="1413"/>
      <c r="DC45" s="1413"/>
      <c r="DD45" s="1413"/>
      <c r="DE45" s="1413"/>
      <c r="DF45" s="1413"/>
      <c r="DG45" s="1413"/>
      <c r="DH45" s="1413"/>
      <c r="DI45" s="1424">
        <f>DG45+DE45+DC45+DA45+CY45+CW45+CU45+CS45+CQ45+CO45+CM45+CK45</f>
        <v>0</v>
      </c>
      <c r="DJ45" s="1424">
        <f t="shared" ref="DJ45:DJ48" si="77">CK45+CM45+CO45+CQ45</f>
        <v>0</v>
      </c>
      <c r="DK45" s="1423">
        <f t="shared" ref="DK45:DK48" si="78">CL45+CN45+CP45+CR45</f>
        <v>0</v>
      </c>
      <c r="DL45" s="1425">
        <f>CM45+CO45+CQ45+CS45+CU45+CW45+CY45+DA45+DC45+DE45+DG45+CK45</f>
        <v>0</v>
      </c>
      <c r="DM45" s="1423">
        <f>CL45+CN45+CP45+CR45</f>
        <v>0</v>
      </c>
      <c r="DN45" s="1413">
        <v>16</v>
      </c>
      <c r="DO45" s="1413"/>
      <c r="DP45" s="1413"/>
      <c r="DQ45" s="1413"/>
      <c r="DR45" s="1413"/>
      <c r="DS45" s="1413"/>
      <c r="DT45" s="1413"/>
      <c r="DU45" s="1413"/>
      <c r="DV45" s="1413"/>
      <c r="DW45" s="1413"/>
      <c r="DX45" s="1413"/>
      <c r="DY45" s="1413"/>
      <c r="DZ45" s="1413"/>
      <c r="EA45" s="1413"/>
      <c r="EB45" s="1413"/>
      <c r="EC45" s="1413"/>
      <c r="ED45" s="1413"/>
      <c r="EE45" s="1413"/>
      <c r="EF45" s="1413"/>
      <c r="EG45" s="1426"/>
      <c r="EH45" s="1426"/>
      <c r="EI45" s="1426"/>
      <c r="EJ45" s="1426"/>
      <c r="EK45" s="1426"/>
      <c r="EL45" s="1426"/>
      <c r="EM45" s="1411">
        <f>EK45+EI45+EG45+EE45+EC45+EA45+DY45+DW45+DU45+DS45+DQ45+DO45</f>
        <v>0</v>
      </c>
      <c r="EN45" s="1424">
        <f t="shared" ref="EN45:EN49" si="79">DO45+DQ45+DS45+DU45</f>
        <v>0</v>
      </c>
      <c r="EO45" s="1427">
        <f t="shared" ref="EO45:EO50" si="80">DP45+DR45+DT45+DV45</f>
        <v>0</v>
      </c>
      <c r="EP45" s="1428">
        <f>DQ45+DS45+DU45+DW45+DY45+EA45+EC45+EE45+EG45+EI45+EK45+DO45</f>
        <v>0</v>
      </c>
      <c r="EQ45" s="1423">
        <f>DP45+DR45+DT45+DV45</f>
        <v>0</v>
      </c>
      <c r="ER45" s="1429">
        <f t="shared" si="8"/>
        <v>1</v>
      </c>
      <c r="ES45" s="1429">
        <f>BC45/BB45</f>
        <v>1</v>
      </c>
      <c r="ET45" s="1429">
        <f>BE45/BD45</f>
        <v>1</v>
      </c>
      <c r="EU45" s="1430">
        <f>(BC45+AA45)/(Z45+BB45)</f>
        <v>1</v>
      </c>
      <c r="EV45" s="1429">
        <f>(BC45+AA45)/G45</f>
        <v>0.3</v>
      </c>
      <c r="EW45" s="1354" t="s">
        <v>1176</v>
      </c>
      <c r="EX45" s="733" t="s">
        <v>70</v>
      </c>
      <c r="EY45" s="733" t="s">
        <v>70</v>
      </c>
      <c r="EZ45" s="733" t="s">
        <v>681</v>
      </c>
      <c r="FA45" s="733" t="s">
        <v>662</v>
      </c>
      <c r="FB45" s="770"/>
    </row>
    <row r="46" spans="1:158" s="611" customFormat="1" ht="19.149999999999999" customHeight="1" x14ac:dyDescent="0.2">
      <c r="A46" s="733"/>
      <c r="B46" s="733"/>
      <c r="C46" s="734"/>
      <c r="D46" s="733"/>
      <c r="E46" s="734"/>
      <c r="F46" s="604" t="s">
        <v>3</v>
      </c>
      <c r="G46" s="605">
        <f>AA46+BD46+BF46+CJ46+DN46</f>
        <v>1774440000</v>
      </c>
      <c r="H46" s="625">
        <v>120000000</v>
      </c>
      <c r="I46" s="626"/>
      <c r="J46" s="626"/>
      <c r="K46" s="626">
        <v>120000000</v>
      </c>
      <c r="L46" s="626">
        <v>0</v>
      </c>
      <c r="M46" s="626">
        <v>104955000</v>
      </c>
      <c r="N46" s="626">
        <v>90696000</v>
      </c>
      <c r="O46" s="626">
        <v>104955000</v>
      </c>
      <c r="P46" s="626">
        <v>90696000</v>
      </c>
      <c r="Q46" s="626">
        <v>104955000</v>
      </c>
      <c r="R46" s="626">
        <v>90696000</v>
      </c>
      <c r="S46" s="627">
        <v>109624000</v>
      </c>
      <c r="T46" s="628">
        <v>90696000</v>
      </c>
      <c r="U46" s="629">
        <v>109624000</v>
      </c>
      <c r="V46" s="629">
        <v>109624000</v>
      </c>
      <c r="W46" s="598">
        <f t="shared" si="24"/>
        <v>120000000</v>
      </c>
      <c r="X46" s="598">
        <f t="shared" si="25"/>
        <v>120000000</v>
      </c>
      <c r="Y46" s="598">
        <f t="shared" si="26"/>
        <v>109624000</v>
      </c>
      <c r="Z46" s="598">
        <f t="shared" si="27"/>
        <v>109624000</v>
      </c>
      <c r="AA46" s="598">
        <f t="shared" si="28"/>
        <v>109624000</v>
      </c>
      <c r="AB46" s="605">
        <v>349839000</v>
      </c>
      <c r="AC46" s="605">
        <v>0</v>
      </c>
      <c r="AD46" s="605">
        <v>0</v>
      </c>
      <c r="AE46" s="629">
        <v>313790000</v>
      </c>
      <c r="AF46" s="626">
        <v>313790000</v>
      </c>
      <c r="AG46" s="626">
        <v>0</v>
      </c>
      <c r="AH46" s="626">
        <v>0</v>
      </c>
      <c r="AI46" s="626">
        <v>0</v>
      </c>
      <c r="AJ46" s="626">
        <v>0</v>
      </c>
      <c r="AK46" s="600">
        <v>0</v>
      </c>
      <c r="AL46" s="600">
        <v>0</v>
      </c>
      <c r="AM46" s="600">
        <v>0</v>
      </c>
      <c r="AN46" s="600">
        <v>0</v>
      </c>
      <c r="AO46" s="600">
        <v>0</v>
      </c>
      <c r="AP46" s="600">
        <v>0</v>
      </c>
      <c r="AQ46" s="607">
        <v>0</v>
      </c>
      <c r="AR46" s="607">
        <v>0</v>
      </c>
      <c r="AS46" s="607">
        <v>5632000</v>
      </c>
      <c r="AT46" s="607">
        <v>10314000</v>
      </c>
      <c r="AU46" s="607">
        <v>10314000</v>
      </c>
      <c r="AV46" s="607">
        <f>13916000-11034000</f>
        <v>2882000</v>
      </c>
      <c r="AW46" s="607">
        <f>4054000</f>
        <v>4054000</v>
      </c>
      <c r="AX46" s="607">
        <v>0</v>
      </c>
      <c r="AY46" s="600">
        <v>0</v>
      </c>
      <c r="AZ46" s="600">
        <v>5517400</v>
      </c>
      <c r="BA46" s="594">
        <f>AY46+AW46+AU46+AS46+AQ46+AO46+AM46+AK46+AI46+AG46+AE46+AC46</f>
        <v>333790000</v>
      </c>
      <c r="BB46" s="599">
        <f t="shared" si="17"/>
        <v>333790000</v>
      </c>
      <c r="BC46" s="599">
        <f t="shared" si="11"/>
        <v>332503400</v>
      </c>
      <c r="BD46" s="599">
        <f>BA46</f>
        <v>333790000</v>
      </c>
      <c r="BE46" s="599">
        <f t="shared" si="6"/>
        <v>332503400</v>
      </c>
      <c r="BF46" s="600">
        <v>309585000</v>
      </c>
      <c r="BG46" s="600"/>
      <c r="BH46" s="600"/>
      <c r="BI46" s="600"/>
      <c r="BJ46" s="600"/>
      <c r="BK46" s="626"/>
      <c r="BL46" s="626"/>
      <c r="BM46" s="626"/>
      <c r="BN46" s="626"/>
      <c r="BO46" s="626"/>
      <c r="BP46" s="626"/>
      <c r="BQ46" s="626"/>
      <c r="BR46" s="600"/>
      <c r="BS46" s="600"/>
      <c r="BT46" s="600"/>
      <c r="BU46" s="626"/>
      <c r="BV46" s="600"/>
      <c r="BW46" s="600"/>
      <c r="BX46" s="600"/>
      <c r="BY46" s="600"/>
      <c r="BZ46" s="600"/>
      <c r="CA46" s="600"/>
      <c r="CB46" s="600"/>
      <c r="CC46" s="600"/>
      <c r="CD46" s="600"/>
      <c r="CE46" s="594"/>
      <c r="CF46" s="610"/>
      <c r="CG46" s="610"/>
      <c r="CH46" s="631"/>
      <c r="CI46" s="610"/>
      <c r="CJ46" s="600">
        <v>636720000</v>
      </c>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594">
        <f>DG46+DE46+DC46+DA46+CY46+CW46+CU46+CS46+CQ46+CO46+CM46+CK46</f>
        <v>0</v>
      </c>
      <c r="DJ46" s="610">
        <f t="shared" si="77"/>
        <v>0</v>
      </c>
      <c r="DK46" s="610">
        <f t="shared" si="78"/>
        <v>0</v>
      </c>
      <c r="DL46" s="631">
        <f>CM46+CO46+CQ46+CS46+CU46+CW46+CY46+DA46+DC46+DE46+DG46+CK46</f>
        <v>0</v>
      </c>
      <c r="DM46" s="610">
        <f>CL46+CN46+CP46+CR46</f>
        <v>0</v>
      </c>
      <c r="DN46" s="600">
        <v>384721000</v>
      </c>
      <c r="DO46" s="600"/>
      <c r="DP46" s="600"/>
      <c r="DQ46" s="600"/>
      <c r="DR46" s="600"/>
      <c r="DS46" s="600"/>
      <c r="DT46" s="600"/>
      <c r="DU46" s="600"/>
      <c r="DV46" s="600"/>
      <c r="DW46" s="600"/>
      <c r="DX46" s="600"/>
      <c r="DY46" s="600"/>
      <c r="DZ46" s="600"/>
      <c r="EA46" s="600"/>
      <c r="EB46" s="600"/>
      <c r="EC46" s="600"/>
      <c r="ED46" s="600"/>
      <c r="EE46" s="600"/>
      <c r="EF46" s="600"/>
      <c r="EG46" s="600"/>
      <c r="EH46" s="600"/>
      <c r="EI46" s="600"/>
      <c r="EJ46" s="600"/>
      <c r="EK46" s="600"/>
      <c r="EL46" s="600"/>
      <c r="EM46" s="594">
        <f>EK46+EI46+EG46+EE46+EC46+EA46+DY46+DW46+DU46+DS46+DQ46+DO46</f>
        <v>0</v>
      </c>
      <c r="EN46" s="610">
        <f t="shared" si="79"/>
        <v>0</v>
      </c>
      <c r="EO46" s="610">
        <f t="shared" si="80"/>
        <v>0</v>
      </c>
      <c r="EP46" s="631">
        <f>DQ46+DS46+DU46+DW46+DY46+EA46+EC46+EE46+EG46+EI46+EK46+DO46</f>
        <v>0</v>
      </c>
      <c r="EQ46" s="610">
        <f>DP46+DR46+DT46+DV46</f>
        <v>0</v>
      </c>
      <c r="ER46" s="601">
        <f t="shared" si="8"/>
        <v>0.27942602288152024</v>
      </c>
      <c r="ES46" s="601">
        <f>BC46/BB46</f>
        <v>0.9961454806914527</v>
      </c>
      <c r="ET46" s="601">
        <f>BE46/BD46</f>
        <v>0.9961454806914527</v>
      </c>
      <c r="EU46" s="602">
        <f>(BC46+AA46)/(Z46+BB46)</f>
        <v>0.99709842269301374</v>
      </c>
      <c r="EV46" s="601">
        <f>(BC46+AA46)/G46</f>
        <v>0.24916446879015353</v>
      </c>
      <c r="EW46" s="1354"/>
      <c r="EX46" s="733"/>
      <c r="EY46" s="733"/>
      <c r="EZ46" s="733"/>
      <c r="FA46" s="733"/>
      <c r="FB46" s="770"/>
    </row>
    <row r="47" spans="1:158" s="611" customFormat="1" ht="19.149999999999999" customHeight="1" x14ac:dyDescent="0.2">
      <c r="A47" s="733"/>
      <c r="B47" s="733"/>
      <c r="C47" s="734"/>
      <c r="D47" s="733"/>
      <c r="E47" s="734"/>
      <c r="F47" s="546" t="s">
        <v>224</v>
      </c>
      <c r="G47" s="605"/>
      <c r="H47" s="625"/>
      <c r="I47" s="626"/>
      <c r="J47" s="626"/>
      <c r="K47" s="626"/>
      <c r="L47" s="626"/>
      <c r="M47" s="626"/>
      <c r="N47" s="626"/>
      <c r="O47" s="626"/>
      <c r="P47" s="626"/>
      <c r="Q47" s="626"/>
      <c r="R47" s="626"/>
      <c r="S47" s="627"/>
      <c r="T47" s="628"/>
      <c r="U47" s="629"/>
      <c r="V47" s="629"/>
      <c r="W47" s="598">
        <f t="shared" si="24"/>
        <v>0</v>
      </c>
      <c r="X47" s="598">
        <f t="shared" si="25"/>
        <v>0</v>
      </c>
      <c r="Y47" s="598">
        <f t="shared" si="26"/>
        <v>0</v>
      </c>
      <c r="Z47" s="598">
        <f t="shared" si="27"/>
        <v>0</v>
      </c>
      <c r="AA47" s="598">
        <f t="shared" si="28"/>
        <v>0</v>
      </c>
      <c r="AB47" s="605"/>
      <c r="AC47" s="605"/>
      <c r="AD47" s="605"/>
      <c r="AE47" s="629"/>
      <c r="AF47" s="626"/>
      <c r="AG47" s="626">
        <v>14248600</v>
      </c>
      <c r="AH47" s="626">
        <v>14248600</v>
      </c>
      <c r="AI47" s="626">
        <f>45283800-AH47</f>
        <v>31035200</v>
      </c>
      <c r="AJ47" s="626">
        <v>31035200</v>
      </c>
      <c r="AK47" s="600">
        <v>31379000</v>
      </c>
      <c r="AL47" s="600">
        <v>31379000</v>
      </c>
      <c r="AM47" s="600">
        <v>31561260</v>
      </c>
      <c r="AN47" s="600">
        <v>31379000</v>
      </c>
      <c r="AO47" s="600">
        <v>31561260</v>
      </c>
      <c r="AP47" s="600">
        <v>27941000</v>
      </c>
      <c r="AQ47" s="607">
        <v>31561260</v>
      </c>
      <c r="AR47" s="600">
        <v>27941000</v>
      </c>
      <c r="AS47" s="600">
        <v>31561260</v>
      </c>
      <c r="AT47" s="600">
        <v>31379000</v>
      </c>
      <c r="AU47" s="600">
        <v>31561260</v>
      </c>
      <c r="AV47" s="607">
        <f>31722800</f>
        <v>31722800</v>
      </c>
      <c r="AW47" s="600">
        <v>31561260</v>
      </c>
      <c r="AX47" s="607">
        <v>42151400</v>
      </c>
      <c r="AY47" s="600">
        <v>31561260</v>
      </c>
      <c r="AZ47" s="600">
        <v>36095667</v>
      </c>
      <c r="BA47" s="594">
        <f>AW47+AU47+AS47+AQ47+AO47+AM47+AK47+AI47+AG47+AE47+AC47+AY47</f>
        <v>297591620</v>
      </c>
      <c r="BB47" s="599">
        <f t="shared" si="17"/>
        <v>297591620</v>
      </c>
      <c r="BC47" s="599">
        <f t="shared" si="11"/>
        <v>305272667</v>
      </c>
      <c r="BD47" s="599">
        <f>BA47</f>
        <v>297591620</v>
      </c>
      <c r="BE47" s="599">
        <f t="shared" si="6"/>
        <v>305272667</v>
      </c>
      <c r="BF47" s="626"/>
      <c r="BG47" s="600"/>
      <c r="BH47" s="600"/>
      <c r="BI47" s="600"/>
      <c r="BJ47" s="600"/>
      <c r="BK47" s="600"/>
      <c r="BL47" s="600"/>
      <c r="BM47" s="626"/>
      <c r="BN47" s="600"/>
      <c r="BO47" s="626"/>
      <c r="BP47" s="600"/>
      <c r="BQ47" s="626"/>
      <c r="BR47" s="600"/>
      <c r="BS47" s="626"/>
      <c r="BT47" s="600"/>
      <c r="BU47" s="626"/>
      <c r="BV47" s="600"/>
      <c r="BW47" s="626"/>
      <c r="BX47" s="600"/>
      <c r="BY47" s="626"/>
      <c r="BZ47" s="600"/>
      <c r="CA47" s="600"/>
      <c r="CB47" s="600"/>
      <c r="CC47" s="626"/>
      <c r="CD47" s="600"/>
      <c r="CE47" s="594"/>
      <c r="CF47" s="610"/>
      <c r="CG47" s="610"/>
      <c r="CH47" s="645"/>
      <c r="CI47" s="61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594">
        <f>DE47+DC47+DA47+CY47+CW47+CU47+CS47+CQ47+CO47+CM47+CK47+DG47</f>
        <v>0</v>
      </c>
      <c r="DJ47" s="610">
        <f t="shared" si="77"/>
        <v>0</v>
      </c>
      <c r="DK47" s="610">
        <f t="shared" si="78"/>
        <v>0</v>
      </c>
      <c r="DL47" s="609">
        <f>CM47+CO47+CQ47+CS47+CU47+CW47+CY47+DA47+DC47+DE47+DG47</f>
        <v>0</v>
      </c>
      <c r="DM47" s="610">
        <f>CL47+CN47+CP47+CR47</f>
        <v>0</v>
      </c>
      <c r="DN47" s="600"/>
      <c r="DO47" s="600"/>
      <c r="DP47" s="600"/>
      <c r="DQ47" s="600"/>
      <c r="DR47" s="600"/>
      <c r="DS47" s="600"/>
      <c r="DT47" s="600"/>
      <c r="DU47" s="600"/>
      <c r="DV47" s="600"/>
      <c r="DW47" s="600"/>
      <c r="DX47" s="600"/>
      <c r="DY47" s="600"/>
      <c r="DZ47" s="600"/>
      <c r="EA47" s="600"/>
      <c r="EB47" s="600"/>
      <c r="EC47" s="600"/>
      <c r="ED47" s="600"/>
      <c r="EE47" s="600"/>
      <c r="EF47" s="600"/>
      <c r="EG47" s="600"/>
      <c r="EH47" s="600"/>
      <c r="EI47" s="600"/>
      <c r="EJ47" s="600"/>
      <c r="EK47" s="600"/>
      <c r="EL47" s="600"/>
      <c r="EM47" s="594">
        <f>EI47+EG47+EE47+EC47+EA47+DY47+DW47+DU47+DS47+DQ47+DO47+EK47</f>
        <v>0</v>
      </c>
      <c r="EN47" s="610">
        <f t="shared" si="79"/>
        <v>0</v>
      </c>
      <c r="EO47" s="610">
        <f t="shared" si="80"/>
        <v>0</v>
      </c>
      <c r="EP47" s="609">
        <f>DQ47+DS47+DU47+DW47+DY47+EA47+EC47+EE47+EG47+EI47+EK47</f>
        <v>0</v>
      </c>
      <c r="EQ47" s="610">
        <f>DP47+DR47+DT47+DV47</f>
        <v>0</v>
      </c>
      <c r="ER47" s="601">
        <f t="shared" si="8"/>
        <v>1.0051183000932156</v>
      </c>
      <c r="ES47" s="601">
        <f t="shared" ref="ES47:ES51" si="81">BC47/BB47</f>
        <v>1.0258106965511999</v>
      </c>
      <c r="ET47" s="601">
        <f t="shared" ref="ET47:ET51" si="82">BE47/BD47</f>
        <v>1.0258106965511999</v>
      </c>
      <c r="EU47" s="602" t="s">
        <v>225</v>
      </c>
      <c r="EV47" s="602" t="s">
        <v>225</v>
      </c>
      <c r="EW47" s="1354"/>
      <c r="EX47" s="733"/>
      <c r="EY47" s="733"/>
      <c r="EZ47" s="733"/>
      <c r="FA47" s="733"/>
      <c r="FB47" s="770"/>
    </row>
    <row r="48" spans="1:158" s="603" customFormat="1" ht="19.149999999999999" customHeight="1" x14ac:dyDescent="0.2">
      <c r="A48" s="733"/>
      <c r="B48" s="733"/>
      <c r="C48" s="734"/>
      <c r="D48" s="733"/>
      <c r="E48" s="734"/>
      <c r="F48" s="593" t="s">
        <v>42</v>
      </c>
      <c r="G48" s="613"/>
      <c r="H48" s="614"/>
      <c r="I48" s="615"/>
      <c r="J48" s="615"/>
      <c r="K48" s="615"/>
      <c r="L48" s="615"/>
      <c r="M48" s="615"/>
      <c r="N48" s="615"/>
      <c r="O48" s="615"/>
      <c r="P48" s="615"/>
      <c r="Q48" s="615"/>
      <c r="R48" s="615"/>
      <c r="S48" s="615"/>
      <c r="T48" s="615"/>
      <c r="U48" s="615"/>
      <c r="V48" s="615"/>
      <c r="W48" s="598">
        <f t="shared" si="24"/>
        <v>0</v>
      </c>
      <c r="X48" s="598">
        <f t="shared" si="25"/>
        <v>0</v>
      </c>
      <c r="Y48" s="598">
        <f t="shared" si="26"/>
        <v>0</v>
      </c>
      <c r="Z48" s="598">
        <f t="shared" si="27"/>
        <v>0</v>
      </c>
      <c r="AA48" s="598">
        <f t="shared" si="28"/>
        <v>0</v>
      </c>
      <c r="AB48" s="613"/>
      <c r="AC48" s="613"/>
      <c r="AD48" s="613"/>
      <c r="AE48" s="613"/>
      <c r="AF48" s="613"/>
      <c r="AG48" s="613"/>
      <c r="AH48" s="613"/>
      <c r="AI48" s="613"/>
      <c r="AJ48" s="613"/>
      <c r="AK48" s="596"/>
      <c r="AL48" s="596"/>
      <c r="AM48" s="596"/>
      <c r="AN48" s="596"/>
      <c r="AO48" s="596"/>
      <c r="AP48" s="596"/>
      <c r="AQ48" s="643"/>
      <c r="AR48" s="596"/>
      <c r="AS48" s="596"/>
      <c r="AT48" s="596"/>
      <c r="AU48" s="596"/>
      <c r="AV48" s="643"/>
      <c r="AW48" s="596"/>
      <c r="AX48" s="643"/>
      <c r="AY48" s="596"/>
      <c r="AZ48" s="596"/>
      <c r="BA48" s="594">
        <v>0</v>
      </c>
      <c r="BB48" s="599">
        <f t="shared" si="17"/>
        <v>0</v>
      </c>
      <c r="BC48" s="599">
        <f t="shared" si="11"/>
        <v>0</v>
      </c>
      <c r="BD48" s="599">
        <f>AC48+AE48+AG48+AI48+AK48+AM48+AO48+AQ48+AS48+AU48+AW48+AY48</f>
        <v>0</v>
      </c>
      <c r="BE48" s="599">
        <f t="shared" si="6"/>
        <v>0</v>
      </c>
      <c r="BF48" s="596"/>
      <c r="BG48" s="596"/>
      <c r="BH48" s="596"/>
      <c r="BI48" s="596"/>
      <c r="BJ48" s="596"/>
      <c r="BK48" s="596"/>
      <c r="BL48" s="596"/>
      <c r="BM48" s="596"/>
      <c r="BN48" s="596"/>
      <c r="BO48" s="596"/>
      <c r="BP48" s="596"/>
      <c r="BQ48" s="596"/>
      <c r="BR48" s="596"/>
      <c r="BS48" s="596"/>
      <c r="BT48" s="596"/>
      <c r="BU48" s="596"/>
      <c r="BV48" s="596"/>
      <c r="BW48" s="596"/>
      <c r="BX48" s="596"/>
      <c r="BY48" s="596"/>
      <c r="BZ48" s="596"/>
      <c r="CA48" s="596"/>
      <c r="CB48" s="596"/>
      <c r="CC48" s="596"/>
      <c r="CD48" s="596"/>
      <c r="CE48" s="597"/>
      <c r="CF48" s="634"/>
      <c r="CG48" s="635"/>
      <c r="CH48" s="624"/>
      <c r="CI48" s="647"/>
      <c r="CJ48" s="596"/>
      <c r="CK48" s="596"/>
      <c r="CL48" s="596"/>
      <c r="CM48" s="596"/>
      <c r="CN48" s="596"/>
      <c r="CO48" s="596"/>
      <c r="CP48" s="596"/>
      <c r="CQ48" s="596"/>
      <c r="CR48" s="596"/>
      <c r="CS48" s="596"/>
      <c r="CT48" s="596"/>
      <c r="CU48" s="596"/>
      <c r="CV48" s="596"/>
      <c r="CW48" s="596"/>
      <c r="CX48" s="596"/>
      <c r="CY48" s="596"/>
      <c r="CZ48" s="596"/>
      <c r="DA48" s="596"/>
      <c r="DB48" s="596"/>
      <c r="DC48" s="596"/>
      <c r="DD48" s="596"/>
      <c r="DE48" s="596"/>
      <c r="DF48" s="596"/>
      <c r="DG48" s="596"/>
      <c r="DH48" s="596"/>
      <c r="DI48" s="597">
        <f>DE48+DC48+DA48+CY48+CW48+CU48+CS48+CQ48+CO48+CM48+CK48+DG48</f>
        <v>0</v>
      </c>
      <c r="DJ48" s="634">
        <f t="shared" si="77"/>
        <v>0</v>
      </c>
      <c r="DK48" s="635">
        <f t="shared" si="78"/>
        <v>0</v>
      </c>
      <c r="DL48" s="624">
        <f>CM48+CO48+CQ48+CS48+CU48+CW48+CY48+DA48+DC48+DE48+DG48</f>
        <v>0</v>
      </c>
      <c r="DM48" s="647">
        <v>0</v>
      </c>
      <c r="DN48" s="596"/>
      <c r="DO48" s="596"/>
      <c r="DP48" s="596"/>
      <c r="DQ48" s="596"/>
      <c r="DR48" s="596"/>
      <c r="DS48" s="596"/>
      <c r="DT48" s="596"/>
      <c r="DU48" s="596"/>
      <c r="DV48" s="596"/>
      <c r="DW48" s="596"/>
      <c r="DX48" s="596"/>
      <c r="DY48" s="596"/>
      <c r="DZ48" s="596"/>
      <c r="EA48" s="596"/>
      <c r="EB48" s="596"/>
      <c r="EC48" s="596"/>
      <c r="ED48" s="596"/>
      <c r="EE48" s="596"/>
      <c r="EF48" s="596"/>
      <c r="EG48" s="596"/>
      <c r="EH48" s="596"/>
      <c r="EI48" s="596"/>
      <c r="EJ48" s="596"/>
      <c r="EK48" s="596"/>
      <c r="EL48" s="596"/>
      <c r="EM48" s="597">
        <f>EI48+EG48+EE48+EC48+EA48+DY48+DW48+DU48+DS48+DQ48+DO48+EK48</f>
        <v>0</v>
      </c>
      <c r="EN48" s="634">
        <f t="shared" si="79"/>
        <v>0</v>
      </c>
      <c r="EO48" s="635">
        <f t="shared" si="80"/>
        <v>0</v>
      </c>
      <c r="EP48" s="624">
        <f>DQ48+DS48+DU48+DW48+DY48+EA48+EC48+EE48+EG48+EI48+EK48</f>
        <v>0</v>
      </c>
      <c r="EQ48" s="647">
        <v>0</v>
      </c>
      <c r="ER48" s="601" t="e">
        <f t="shared" si="8"/>
        <v>#DIV/0!</v>
      </c>
      <c r="ES48" s="601" t="e">
        <f t="shared" si="81"/>
        <v>#DIV/0!</v>
      </c>
      <c r="ET48" s="601" t="e">
        <f t="shared" si="82"/>
        <v>#DIV/0!</v>
      </c>
      <c r="EU48" s="602" t="s">
        <v>225</v>
      </c>
      <c r="EV48" s="602" t="s">
        <v>225</v>
      </c>
      <c r="EW48" s="1354"/>
      <c r="EX48" s="733"/>
      <c r="EY48" s="733"/>
      <c r="EZ48" s="733"/>
      <c r="FA48" s="733"/>
      <c r="FB48" s="770"/>
    </row>
    <row r="49" spans="1:158" s="611" customFormat="1" ht="19.149999999999999" customHeight="1" x14ac:dyDescent="0.2">
      <c r="A49" s="733"/>
      <c r="B49" s="733"/>
      <c r="C49" s="734"/>
      <c r="D49" s="733"/>
      <c r="E49" s="734"/>
      <c r="F49" s="604" t="s">
        <v>4</v>
      </c>
      <c r="G49" s="605">
        <f>AA49+BD49+BF49+CJ49+DN49</f>
        <v>30874233</v>
      </c>
      <c r="H49" s="636"/>
      <c r="I49" s="637"/>
      <c r="J49" s="637"/>
      <c r="K49" s="637"/>
      <c r="L49" s="637"/>
      <c r="M49" s="637"/>
      <c r="N49" s="637"/>
      <c r="O49" s="637"/>
      <c r="P49" s="637"/>
      <c r="Q49" s="637"/>
      <c r="R49" s="637"/>
      <c r="S49" s="637"/>
      <c r="T49" s="637"/>
      <c r="U49" s="637"/>
      <c r="V49" s="637"/>
      <c r="W49" s="598">
        <f t="shared" si="24"/>
        <v>0</v>
      </c>
      <c r="X49" s="598">
        <f t="shared" si="25"/>
        <v>0</v>
      </c>
      <c r="Y49" s="598">
        <f t="shared" si="26"/>
        <v>0</v>
      </c>
      <c r="Z49" s="598">
        <f t="shared" si="27"/>
        <v>0</v>
      </c>
      <c r="AA49" s="598">
        <f t="shared" si="28"/>
        <v>0</v>
      </c>
      <c r="AB49" s="619">
        <v>30874233</v>
      </c>
      <c r="AC49" s="619">
        <v>13317533</v>
      </c>
      <c r="AD49" s="619">
        <v>13317533</v>
      </c>
      <c r="AE49" s="619">
        <f>30874233-AD49</f>
        <v>17556700</v>
      </c>
      <c r="AF49" s="619">
        <v>17556700</v>
      </c>
      <c r="AG49" s="619">
        <v>0</v>
      </c>
      <c r="AH49" s="619">
        <v>0</v>
      </c>
      <c r="AI49" s="619">
        <v>0</v>
      </c>
      <c r="AJ49" s="619">
        <v>0</v>
      </c>
      <c r="AK49" s="600">
        <v>0</v>
      </c>
      <c r="AL49" s="600">
        <v>0</v>
      </c>
      <c r="AM49" s="600"/>
      <c r="AN49" s="600"/>
      <c r="AO49" s="600">
        <v>0</v>
      </c>
      <c r="AP49" s="600">
        <v>0</v>
      </c>
      <c r="AQ49" s="607"/>
      <c r="AR49" s="600"/>
      <c r="AS49" s="600"/>
      <c r="AT49" s="600">
        <v>0</v>
      </c>
      <c r="AU49" s="600"/>
      <c r="AV49" s="607">
        <v>0</v>
      </c>
      <c r="AW49" s="600"/>
      <c r="AX49" s="607">
        <v>0</v>
      </c>
      <c r="AY49" s="600"/>
      <c r="AZ49" s="600"/>
      <c r="BA49" s="594">
        <f>AW49+AU49+AS49+AQ49+AO49+AM49+AK49+AI49+AG49+AE49+AC49+AY49</f>
        <v>30874233</v>
      </c>
      <c r="BB49" s="599">
        <f t="shared" si="17"/>
        <v>30874233</v>
      </c>
      <c r="BC49" s="599">
        <f t="shared" si="11"/>
        <v>30874233</v>
      </c>
      <c r="BD49" s="599">
        <f>BA49</f>
        <v>30874233</v>
      </c>
      <c r="BE49" s="599">
        <f t="shared" si="6"/>
        <v>30874233</v>
      </c>
      <c r="BF49" s="626"/>
      <c r="BG49" s="626"/>
      <c r="BH49" s="626"/>
      <c r="BI49" s="626"/>
      <c r="BJ49" s="626"/>
      <c r="BK49" s="626"/>
      <c r="BL49" s="600"/>
      <c r="BM49" s="600"/>
      <c r="BN49" s="600"/>
      <c r="BO49" s="600"/>
      <c r="BP49" s="600"/>
      <c r="BQ49" s="600"/>
      <c r="BR49" s="600"/>
      <c r="BS49" s="600"/>
      <c r="BT49" s="600"/>
      <c r="BU49" s="600"/>
      <c r="BV49" s="600"/>
      <c r="BW49" s="600"/>
      <c r="BX49" s="600"/>
      <c r="BY49" s="600"/>
      <c r="BZ49" s="600"/>
      <c r="CA49" s="600"/>
      <c r="CB49" s="600"/>
      <c r="CC49" s="600"/>
      <c r="CD49" s="600"/>
      <c r="CE49" s="597"/>
      <c r="CF49" s="610"/>
      <c r="CG49" s="610"/>
      <c r="CH49" s="609"/>
      <c r="CI49" s="610"/>
      <c r="CJ49" s="600"/>
      <c r="CK49" s="600"/>
      <c r="CL49" s="600"/>
      <c r="CM49" s="600"/>
      <c r="CN49" s="600"/>
      <c r="CO49" s="600"/>
      <c r="CP49" s="600"/>
      <c r="CQ49" s="600"/>
      <c r="CR49" s="600"/>
      <c r="CS49" s="600"/>
      <c r="CT49" s="600"/>
      <c r="CU49" s="600"/>
      <c r="CV49" s="600"/>
      <c r="CW49" s="600"/>
      <c r="CX49" s="600"/>
      <c r="CY49" s="600"/>
      <c r="CZ49" s="600"/>
      <c r="DA49" s="600"/>
      <c r="DB49" s="600"/>
      <c r="DC49" s="600"/>
      <c r="DD49" s="600"/>
      <c r="DE49" s="600"/>
      <c r="DF49" s="600"/>
      <c r="DG49" s="600"/>
      <c r="DH49" s="600"/>
      <c r="DI49" s="597"/>
      <c r="DJ49" s="610"/>
      <c r="DK49" s="610"/>
      <c r="DL49" s="609"/>
      <c r="DM49" s="610"/>
      <c r="DN49" s="600"/>
      <c r="DO49" s="600"/>
      <c r="DP49" s="600"/>
      <c r="DQ49" s="600"/>
      <c r="DR49" s="600"/>
      <c r="DS49" s="600"/>
      <c r="DT49" s="600"/>
      <c r="DU49" s="600"/>
      <c r="DV49" s="600"/>
      <c r="DW49" s="600"/>
      <c r="DX49" s="600"/>
      <c r="DY49" s="600"/>
      <c r="DZ49" s="600"/>
      <c r="EA49" s="600"/>
      <c r="EB49" s="600"/>
      <c r="EC49" s="600"/>
      <c r="ED49" s="600"/>
      <c r="EE49" s="600"/>
      <c r="EF49" s="600"/>
      <c r="EG49" s="600"/>
      <c r="EH49" s="600"/>
      <c r="EI49" s="600"/>
      <c r="EJ49" s="600"/>
      <c r="EK49" s="600"/>
      <c r="EL49" s="600"/>
      <c r="EM49" s="597">
        <f>EI49+EG49+EE49+EC49+EA49+DY49+DW49+DU49+DS49+DQ49+DO49+EK49</f>
        <v>0</v>
      </c>
      <c r="EN49" s="610">
        <f t="shared" si="79"/>
        <v>0</v>
      </c>
      <c r="EO49" s="610">
        <f t="shared" si="80"/>
        <v>0</v>
      </c>
      <c r="EP49" s="609">
        <f>DQ49+DS49+DU49+DW49+DY49+EA49+EC49+EE49+EG49+EI49+EK49+DO49</f>
        <v>0</v>
      </c>
      <c r="EQ49" s="610">
        <f>DP49+DR49+DT49+DV49</f>
        <v>0</v>
      </c>
      <c r="ER49" s="601" t="e">
        <f t="shared" si="8"/>
        <v>#DIV/0!</v>
      </c>
      <c r="ES49" s="601">
        <f t="shared" si="81"/>
        <v>1</v>
      </c>
      <c r="ET49" s="601">
        <f t="shared" si="82"/>
        <v>1</v>
      </c>
      <c r="EU49" s="602" t="s">
        <v>225</v>
      </c>
      <c r="EV49" s="601">
        <f t="shared" ref="EV49:EV50" si="83">BE49/G49</f>
        <v>1</v>
      </c>
      <c r="EW49" s="1354"/>
      <c r="EX49" s="733"/>
      <c r="EY49" s="733"/>
      <c r="EZ49" s="733"/>
      <c r="FA49" s="733"/>
      <c r="FB49" s="770"/>
    </row>
    <row r="50" spans="1:158" s="603" customFormat="1" ht="19.149999999999999" customHeight="1" thickBot="1" x14ac:dyDescent="0.25">
      <c r="A50" s="733"/>
      <c r="B50" s="733"/>
      <c r="C50" s="734"/>
      <c r="D50" s="733"/>
      <c r="E50" s="734"/>
      <c r="F50" s="593" t="s">
        <v>43</v>
      </c>
      <c r="G50" s="1369">
        <v>100</v>
      </c>
      <c r="H50" s="1370">
        <v>10</v>
      </c>
      <c r="I50" s="1371"/>
      <c r="J50" s="1371"/>
      <c r="K50" s="1371">
        <v>10</v>
      </c>
      <c r="L50" s="1371">
        <v>2</v>
      </c>
      <c r="M50" s="1371">
        <v>10</v>
      </c>
      <c r="N50" s="1408">
        <v>4</v>
      </c>
      <c r="O50" s="1371">
        <v>10</v>
      </c>
      <c r="P50" s="1408">
        <v>6</v>
      </c>
      <c r="Q50" s="1371">
        <v>10</v>
      </c>
      <c r="R50" s="1409">
        <v>8</v>
      </c>
      <c r="S50" s="1371">
        <v>10</v>
      </c>
      <c r="T50" s="1410">
        <v>9</v>
      </c>
      <c r="U50" s="1369">
        <v>10</v>
      </c>
      <c r="V50" s="1369">
        <v>10</v>
      </c>
      <c r="W50" s="1375">
        <f t="shared" si="24"/>
        <v>10</v>
      </c>
      <c r="X50" s="1375">
        <f t="shared" si="25"/>
        <v>10</v>
      </c>
      <c r="Y50" s="1375">
        <f t="shared" si="26"/>
        <v>10</v>
      </c>
      <c r="Z50" s="1375">
        <f t="shared" si="27"/>
        <v>10</v>
      </c>
      <c r="AA50" s="1375">
        <f t="shared" si="28"/>
        <v>10</v>
      </c>
      <c r="AB50" s="1369">
        <v>20</v>
      </c>
      <c r="AC50" s="1369">
        <v>1</v>
      </c>
      <c r="AD50" s="1369">
        <v>1</v>
      </c>
      <c r="AE50" s="1376">
        <v>1</v>
      </c>
      <c r="AF50" s="1376">
        <v>1</v>
      </c>
      <c r="AG50" s="1376">
        <v>1</v>
      </c>
      <c r="AH50" s="1376">
        <v>1</v>
      </c>
      <c r="AI50" s="1376">
        <v>2</v>
      </c>
      <c r="AJ50" s="1376">
        <v>2</v>
      </c>
      <c r="AK50" s="1378">
        <v>2</v>
      </c>
      <c r="AL50" s="1378">
        <v>2</v>
      </c>
      <c r="AM50" s="1378">
        <v>2</v>
      </c>
      <c r="AN50" s="1378">
        <v>2</v>
      </c>
      <c r="AO50" s="1378">
        <v>2</v>
      </c>
      <c r="AP50" s="1382">
        <v>2</v>
      </c>
      <c r="AQ50" s="1379">
        <v>2</v>
      </c>
      <c r="AR50" s="1378">
        <v>2</v>
      </c>
      <c r="AS50" s="1378">
        <v>2</v>
      </c>
      <c r="AT50" s="1378">
        <v>2</v>
      </c>
      <c r="AU50" s="1378">
        <v>2</v>
      </c>
      <c r="AV50" s="1379">
        <v>2</v>
      </c>
      <c r="AW50" s="1378">
        <v>2</v>
      </c>
      <c r="AX50" s="1379">
        <v>2</v>
      </c>
      <c r="AY50" s="1378">
        <v>1</v>
      </c>
      <c r="AZ50" s="1378">
        <v>1</v>
      </c>
      <c r="BA50" s="1380">
        <f t="shared" ref="BA50:BD50" si="84">BA45+BA48</f>
        <v>20</v>
      </c>
      <c r="BB50" s="1381">
        <f t="shared" si="17"/>
        <v>20</v>
      </c>
      <c r="BC50" s="1381">
        <f t="shared" si="11"/>
        <v>20</v>
      </c>
      <c r="BD50" s="1381">
        <f t="shared" si="84"/>
        <v>20</v>
      </c>
      <c r="BE50" s="1381">
        <f t="shared" si="6"/>
        <v>20</v>
      </c>
      <c r="BF50" s="1383">
        <v>20</v>
      </c>
      <c r="BG50" s="1383"/>
      <c r="BH50" s="1383"/>
      <c r="BI50" s="1383"/>
      <c r="BJ50" s="1383"/>
      <c r="BK50" s="1383"/>
      <c r="BL50" s="1383"/>
      <c r="BM50" s="1383"/>
      <c r="BN50" s="1383"/>
      <c r="BO50" s="1383"/>
      <c r="BP50" s="1383"/>
      <c r="BQ50" s="1383"/>
      <c r="BR50" s="1383"/>
      <c r="BS50" s="1383"/>
      <c r="BT50" s="1383"/>
      <c r="BU50" s="1383"/>
      <c r="BV50" s="1383"/>
      <c r="BW50" s="1383"/>
      <c r="BX50" s="1383"/>
      <c r="BY50" s="1383"/>
      <c r="BZ50" s="1383"/>
      <c r="CA50" s="1383"/>
      <c r="CB50" s="1383"/>
      <c r="CC50" s="1383"/>
      <c r="CD50" s="1383"/>
      <c r="CE50" s="1382"/>
      <c r="CF50" s="1384"/>
      <c r="CG50" s="1385"/>
      <c r="CH50" s="1386"/>
      <c r="CI50" s="1385"/>
      <c r="CJ50" s="1383">
        <v>34</v>
      </c>
      <c r="CK50" s="1383"/>
      <c r="CL50" s="1383"/>
      <c r="CM50" s="1383"/>
      <c r="CN50" s="1383"/>
      <c r="CO50" s="1383"/>
      <c r="CP50" s="1383"/>
      <c r="CQ50" s="1383"/>
      <c r="CR50" s="1383"/>
      <c r="CS50" s="1383"/>
      <c r="CT50" s="1383"/>
      <c r="CU50" s="1383"/>
      <c r="CV50" s="1383"/>
      <c r="CW50" s="1383"/>
      <c r="CX50" s="1383"/>
      <c r="CY50" s="1383"/>
      <c r="CZ50" s="1383"/>
      <c r="DA50" s="1383"/>
      <c r="DB50" s="1383"/>
      <c r="DC50" s="1383"/>
      <c r="DD50" s="1383"/>
      <c r="DE50" s="1383"/>
      <c r="DF50" s="1383"/>
      <c r="DG50" s="1383"/>
      <c r="DH50" s="1383"/>
      <c r="DI50" s="1382">
        <v>0</v>
      </c>
      <c r="DJ50" s="1384">
        <v>0</v>
      </c>
      <c r="DK50" s="1385">
        <v>0</v>
      </c>
      <c r="DL50" s="1386">
        <v>0</v>
      </c>
      <c r="DM50" s="1385">
        <v>0</v>
      </c>
      <c r="DN50" s="1383">
        <v>16</v>
      </c>
      <c r="DO50" s="1378"/>
      <c r="DP50" s="1378"/>
      <c r="DQ50" s="1378"/>
      <c r="DR50" s="1378"/>
      <c r="DS50" s="1378"/>
      <c r="DT50" s="1378"/>
      <c r="DU50" s="1378"/>
      <c r="DV50" s="1378"/>
      <c r="DW50" s="1378"/>
      <c r="DX50" s="1378"/>
      <c r="DY50" s="1378"/>
      <c r="DZ50" s="1378"/>
      <c r="EA50" s="1378"/>
      <c r="EB50" s="1378"/>
      <c r="EC50" s="1378"/>
      <c r="ED50" s="1378"/>
      <c r="EE50" s="1378"/>
      <c r="EF50" s="1378"/>
      <c r="EG50" s="1378"/>
      <c r="EH50" s="1378"/>
      <c r="EI50" s="1378"/>
      <c r="EJ50" s="1378"/>
      <c r="EK50" s="1378"/>
      <c r="EL50" s="1378"/>
      <c r="EM50" s="1382">
        <f>EI50+EG50+EE50+EC50+EA50+DY50+DW50+DU50+DS50+DQ50+DO50+EK50</f>
        <v>0</v>
      </c>
      <c r="EN50" s="1384"/>
      <c r="EO50" s="1385">
        <f t="shared" si="80"/>
        <v>0</v>
      </c>
      <c r="EP50" s="1386">
        <f>DQ50+DS50+DU50+DW50+DY50+EA50+EC50+EE50+EG50+EI50+EK50+DO50</f>
        <v>0</v>
      </c>
      <c r="EQ50" s="1385">
        <f>DR50+DT50+DV50+DP50</f>
        <v>0</v>
      </c>
      <c r="ER50" s="1387">
        <f t="shared" si="8"/>
        <v>1</v>
      </c>
      <c r="ES50" s="1387">
        <f t="shared" si="81"/>
        <v>1</v>
      </c>
      <c r="ET50" s="1387">
        <f t="shared" si="82"/>
        <v>1</v>
      </c>
      <c r="EU50" s="1388" t="s">
        <v>225</v>
      </c>
      <c r="EV50" s="1387">
        <f t="shared" si="83"/>
        <v>0.2</v>
      </c>
      <c r="EW50" s="1354"/>
      <c r="EX50" s="733"/>
      <c r="EY50" s="733"/>
      <c r="EZ50" s="733"/>
      <c r="FA50" s="733"/>
      <c r="FB50" s="770"/>
    </row>
    <row r="51" spans="1:158" s="649" customFormat="1" ht="19.149999999999999" customHeight="1" thickBot="1" x14ac:dyDescent="0.25">
      <c r="A51" s="733"/>
      <c r="B51" s="733"/>
      <c r="C51" s="734"/>
      <c r="D51" s="733"/>
      <c r="E51" s="734"/>
      <c r="F51" s="1367" t="s">
        <v>45</v>
      </c>
      <c r="G51" s="1392">
        <v>2117624000</v>
      </c>
      <c r="H51" s="1393">
        <v>120000000</v>
      </c>
      <c r="I51" s="1394"/>
      <c r="J51" s="1395"/>
      <c r="K51" s="1394">
        <v>120000000</v>
      </c>
      <c r="L51" s="1394">
        <v>0</v>
      </c>
      <c r="M51" s="1394">
        <v>104955000</v>
      </c>
      <c r="N51" s="1394">
        <v>90696000</v>
      </c>
      <c r="O51" s="1394">
        <v>104955000</v>
      </c>
      <c r="P51" s="1394">
        <v>90696000</v>
      </c>
      <c r="Q51" s="1394">
        <v>104955000</v>
      </c>
      <c r="R51" s="1394">
        <v>90696000</v>
      </c>
      <c r="S51" s="1396">
        <v>109624000</v>
      </c>
      <c r="T51" s="1397">
        <v>90696000</v>
      </c>
      <c r="U51" s="1398">
        <v>109624000</v>
      </c>
      <c r="V51" s="1398">
        <v>109624000</v>
      </c>
      <c r="W51" s="1399">
        <f t="shared" si="24"/>
        <v>120000000</v>
      </c>
      <c r="X51" s="1399">
        <f t="shared" si="25"/>
        <v>120000000</v>
      </c>
      <c r="Y51" s="1399">
        <f t="shared" si="26"/>
        <v>109624000</v>
      </c>
      <c r="Z51" s="1399">
        <f t="shared" si="27"/>
        <v>109624000</v>
      </c>
      <c r="AA51" s="1399">
        <f t="shared" si="28"/>
        <v>109624000</v>
      </c>
      <c r="AB51" s="1400">
        <f>+AB46+AB49</f>
        <v>380713233</v>
      </c>
      <c r="AC51" s="1400">
        <f>+AC46+AC49</f>
        <v>13317533</v>
      </c>
      <c r="AD51" s="1400">
        <f>+AD46+AD49</f>
        <v>13317533</v>
      </c>
      <c r="AE51" s="1400">
        <f>+AE46+AE49</f>
        <v>331346700</v>
      </c>
      <c r="AF51" s="1400">
        <f t="shared" ref="AF51:AZ51" si="85">+AF46+AF49</f>
        <v>331346700</v>
      </c>
      <c r="AG51" s="1400">
        <f t="shared" si="85"/>
        <v>0</v>
      </c>
      <c r="AH51" s="1400">
        <f t="shared" si="85"/>
        <v>0</v>
      </c>
      <c r="AI51" s="1400">
        <f t="shared" si="85"/>
        <v>0</v>
      </c>
      <c r="AJ51" s="1400">
        <f t="shared" si="85"/>
        <v>0</v>
      </c>
      <c r="AK51" s="1400">
        <f t="shared" si="85"/>
        <v>0</v>
      </c>
      <c r="AL51" s="1400">
        <f t="shared" si="85"/>
        <v>0</v>
      </c>
      <c r="AM51" s="1400">
        <f t="shared" si="85"/>
        <v>0</v>
      </c>
      <c r="AN51" s="1400">
        <f t="shared" si="85"/>
        <v>0</v>
      </c>
      <c r="AO51" s="1400">
        <f t="shared" si="85"/>
        <v>0</v>
      </c>
      <c r="AP51" s="1400">
        <f t="shared" si="85"/>
        <v>0</v>
      </c>
      <c r="AQ51" s="1400">
        <f t="shared" si="85"/>
        <v>0</v>
      </c>
      <c r="AR51" s="1400">
        <v>0</v>
      </c>
      <c r="AS51" s="1400">
        <f t="shared" si="85"/>
        <v>5632000</v>
      </c>
      <c r="AT51" s="1400">
        <f t="shared" si="85"/>
        <v>10314000</v>
      </c>
      <c r="AU51" s="1400">
        <f t="shared" si="85"/>
        <v>10314000</v>
      </c>
      <c r="AV51" s="1400">
        <f t="shared" si="85"/>
        <v>2882000</v>
      </c>
      <c r="AW51" s="1400">
        <f t="shared" si="85"/>
        <v>4054000</v>
      </c>
      <c r="AX51" s="1400">
        <f t="shared" si="85"/>
        <v>0</v>
      </c>
      <c r="AY51" s="1400">
        <f t="shared" si="85"/>
        <v>0</v>
      </c>
      <c r="AZ51" s="1400">
        <f t="shared" si="85"/>
        <v>5517400</v>
      </c>
      <c r="BA51" s="1401">
        <f>AY51+AW51+AU51+AS51+AQ51+AO51+AM51+AK51+AI51+AG51+AE51+AC51</f>
        <v>364664233</v>
      </c>
      <c r="BB51" s="1431">
        <f t="shared" si="17"/>
        <v>364664233</v>
      </c>
      <c r="BC51" s="1401">
        <f t="shared" si="11"/>
        <v>363377633</v>
      </c>
      <c r="BD51" s="1401">
        <f t="shared" ref="BD51" si="86">+BD46+BD49</f>
        <v>364664233</v>
      </c>
      <c r="BE51" s="1401">
        <f t="shared" si="6"/>
        <v>363377633</v>
      </c>
      <c r="BF51" s="1394">
        <v>636720000</v>
      </c>
      <c r="BG51" s="1402"/>
      <c r="BH51" s="1402"/>
      <c r="BI51" s="1402"/>
      <c r="BJ51" s="1402"/>
      <c r="BK51" s="1402"/>
      <c r="BL51" s="1402"/>
      <c r="BM51" s="1402"/>
      <c r="BN51" s="1402"/>
      <c r="BO51" s="1402"/>
      <c r="BP51" s="1402"/>
      <c r="BQ51" s="1402"/>
      <c r="BR51" s="1402"/>
      <c r="BS51" s="1402"/>
      <c r="BT51" s="1402"/>
      <c r="BU51" s="1402"/>
      <c r="BV51" s="1402"/>
      <c r="BW51" s="1402"/>
      <c r="BX51" s="1402"/>
      <c r="BY51" s="1402"/>
      <c r="BZ51" s="1402"/>
      <c r="CA51" s="1402"/>
      <c r="CB51" s="1402"/>
      <c r="CC51" s="1402"/>
      <c r="CD51" s="1402"/>
      <c r="CE51" s="1401"/>
      <c r="CF51" s="1403"/>
      <c r="CG51" s="1404"/>
      <c r="CH51" s="1403"/>
      <c r="CI51" s="1403"/>
      <c r="CJ51" s="1398">
        <v>636720000</v>
      </c>
      <c r="CK51" s="1398"/>
      <c r="CL51" s="1398"/>
      <c r="CM51" s="1398"/>
      <c r="CN51" s="1398"/>
      <c r="CO51" s="1398"/>
      <c r="CP51" s="1398"/>
      <c r="CQ51" s="1398"/>
      <c r="CR51" s="1398"/>
      <c r="CS51" s="1398"/>
      <c r="CT51" s="1398"/>
      <c r="CU51" s="1398"/>
      <c r="CV51" s="1398"/>
      <c r="CW51" s="1398"/>
      <c r="CX51" s="1398"/>
      <c r="CY51" s="1398"/>
      <c r="CZ51" s="1398"/>
      <c r="DA51" s="1398"/>
      <c r="DB51" s="1398"/>
      <c r="DC51" s="1398"/>
      <c r="DD51" s="1398"/>
      <c r="DE51" s="1398"/>
      <c r="DF51" s="1398"/>
      <c r="DG51" s="1398"/>
      <c r="DH51" s="1398"/>
      <c r="DI51" s="1401">
        <v>0</v>
      </c>
      <c r="DJ51" s="1403"/>
      <c r="DK51" s="1404">
        <v>0</v>
      </c>
      <c r="DL51" s="1403">
        <v>0</v>
      </c>
      <c r="DM51" s="1403">
        <v>0</v>
      </c>
      <c r="DN51" s="1398">
        <v>384721000</v>
      </c>
      <c r="DO51" s="1398"/>
      <c r="DP51" s="1398"/>
      <c r="DQ51" s="1398"/>
      <c r="DR51" s="1398"/>
      <c r="DS51" s="1398"/>
      <c r="DT51" s="1398"/>
      <c r="DU51" s="1398"/>
      <c r="DV51" s="1398"/>
      <c r="DW51" s="1398"/>
      <c r="DX51" s="1398"/>
      <c r="DY51" s="1398"/>
      <c r="DZ51" s="1398"/>
      <c r="EA51" s="1398"/>
      <c r="EB51" s="1398"/>
      <c r="EC51" s="1398"/>
      <c r="ED51" s="1398"/>
      <c r="EE51" s="1398"/>
      <c r="EF51" s="1398"/>
      <c r="EG51" s="1398"/>
      <c r="EH51" s="1398"/>
      <c r="EI51" s="1398"/>
      <c r="EJ51" s="1398"/>
      <c r="EK51" s="1398"/>
      <c r="EL51" s="1398"/>
      <c r="EM51" s="1401">
        <f>EK51+EI51+EG51+EE51+EC51+EA51+DY51+DW51+DU51+DS51+DQ51+DO51</f>
        <v>0</v>
      </c>
      <c r="EN51" s="1403">
        <f t="shared" ref="EN51" si="87">+EN46+EN49</f>
        <v>0</v>
      </c>
      <c r="EO51" s="1404">
        <f t="shared" ref="EO51" si="88">EO46+EO49</f>
        <v>0</v>
      </c>
      <c r="EP51" s="1403">
        <f t="shared" ref="EP51:EQ51" si="89">+EP46+EP49</f>
        <v>0</v>
      </c>
      <c r="EQ51" s="1403">
        <f t="shared" si="89"/>
        <v>0</v>
      </c>
      <c r="ER51" s="1405">
        <f t="shared" si="8"/>
        <v>0.27942602288152024</v>
      </c>
      <c r="ES51" s="1405">
        <f t="shared" si="81"/>
        <v>0.99647182288919467</v>
      </c>
      <c r="ET51" s="1405">
        <f t="shared" si="82"/>
        <v>0.99647182288919467</v>
      </c>
      <c r="EU51" s="1406">
        <f t="shared" ref="EU51" si="90">(BC51+AA51)/(Z51+BB51)</f>
        <v>0.99728730356251538</v>
      </c>
      <c r="EV51" s="1407">
        <f t="shared" ref="EV51" si="91">(BC51+AA51)/G51</f>
        <v>0.22336431443920168</v>
      </c>
      <c r="EW51" s="1368"/>
      <c r="EX51" s="733"/>
      <c r="EY51" s="733"/>
      <c r="EZ51" s="733"/>
      <c r="FA51" s="733"/>
      <c r="FB51" s="770"/>
    </row>
    <row r="52" spans="1:158" s="603" customFormat="1" ht="19.149999999999999" customHeight="1" x14ac:dyDescent="0.2">
      <c r="A52" s="733"/>
      <c r="B52" s="733">
        <v>7</v>
      </c>
      <c r="C52" s="734" t="s">
        <v>295</v>
      </c>
      <c r="D52" s="733" t="s">
        <v>276</v>
      </c>
      <c r="E52" s="734">
        <v>199</v>
      </c>
      <c r="F52" s="593" t="s">
        <v>41</v>
      </c>
      <c r="G52" s="1411">
        <v>6</v>
      </c>
      <c r="H52" s="1444">
        <v>0.5</v>
      </c>
      <c r="I52" s="1424"/>
      <c r="J52" s="1424"/>
      <c r="K52" s="1424">
        <v>0.5</v>
      </c>
      <c r="L52" s="1424">
        <v>0.05</v>
      </c>
      <c r="M52" s="1424">
        <v>0.5</v>
      </c>
      <c r="N52" s="1423">
        <v>0.1</v>
      </c>
      <c r="O52" s="1424">
        <v>0.5</v>
      </c>
      <c r="P52" s="1423">
        <v>0.15</v>
      </c>
      <c r="Q52" s="1424">
        <v>0.5</v>
      </c>
      <c r="R52" s="1437">
        <v>0.22</v>
      </c>
      <c r="S52" s="1424">
        <v>0.5</v>
      </c>
      <c r="T52" s="1427">
        <v>0.42</v>
      </c>
      <c r="U52" s="1424">
        <v>0.5</v>
      </c>
      <c r="V52" s="1424">
        <v>0.5</v>
      </c>
      <c r="W52" s="1419">
        <f t="shared" si="24"/>
        <v>0.5</v>
      </c>
      <c r="X52" s="1419">
        <f t="shared" si="25"/>
        <v>0.5</v>
      </c>
      <c r="Y52" s="1419">
        <f t="shared" si="26"/>
        <v>0.5</v>
      </c>
      <c r="Z52" s="1419">
        <f t="shared" si="27"/>
        <v>0.5</v>
      </c>
      <c r="AA52" s="1427">
        <f t="shared" si="28"/>
        <v>0.5</v>
      </c>
      <c r="AB52" s="1419">
        <v>0.6</v>
      </c>
      <c r="AC52" s="1427">
        <v>0.06</v>
      </c>
      <c r="AD52" s="1427">
        <v>0.06</v>
      </c>
      <c r="AE52" s="1423">
        <v>0.03</v>
      </c>
      <c r="AF52" s="1423">
        <v>0.03</v>
      </c>
      <c r="AG52" s="1423">
        <v>0.06</v>
      </c>
      <c r="AH52" s="1423">
        <v>0.06</v>
      </c>
      <c r="AI52" s="1423">
        <v>0.05</v>
      </c>
      <c r="AJ52" s="1423">
        <v>0.05</v>
      </c>
      <c r="AK52" s="1423">
        <v>0.05</v>
      </c>
      <c r="AL52" s="1423">
        <v>0.05</v>
      </c>
      <c r="AM52" s="1423">
        <v>0.05</v>
      </c>
      <c r="AN52" s="1423">
        <v>0.05</v>
      </c>
      <c r="AO52" s="1423">
        <v>0.05</v>
      </c>
      <c r="AP52" s="1423">
        <v>0.05</v>
      </c>
      <c r="AQ52" s="1423">
        <v>0.05</v>
      </c>
      <c r="AR52" s="1423">
        <v>0.05</v>
      </c>
      <c r="AS52" s="1423">
        <v>0.05</v>
      </c>
      <c r="AT52" s="1423">
        <v>0.05</v>
      </c>
      <c r="AU52" s="1423">
        <v>0.05</v>
      </c>
      <c r="AV52" s="1423">
        <v>0.05</v>
      </c>
      <c r="AW52" s="1423">
        <v>0.05</v>
      </c>
      <c r="AX52" s="1423">
        <v>0.05</v>
      </c>
      <c r="AY52" s="1423">
        <v>0.05</v>
      </c>
      <c r="AZ52" s="1427">
        <v>0.05</v>
      </c>
      <c r="BA52" s="1422">
        <f>AY52+AW52+AU52+AS52+AO52+AM52+AK52+AI52+AG52+AE52+AC52+AQ52</f>
        <v>0.60000000000000009</v>
      </c>
      <c r="BB52" s="1422">
        <f t="shared" si="17"/>
        <v>0.6</v>
      </c>
      <c r="BC52" s="1423">
        <f>+AN52+AD52+AF52+AH52+AJ52+AL52+AP52+AR52+AT52+AV52+AX52+AZ52</f>
        <v>0.6</v>
      </c>
      <c r="BD52" s="1423">
        <f>BA52</f>
        <v>0.60000000000000009</v>
      </c>
      <c r="BE52" s="1423">
        <f t="shared" si="6"/>
        <v>0.6</v>
      </c>
      <c r="BF52" s="1422">
        <v>1.5</v>
      </c>
      <c r="BG52" s="1424"/>
      <c r="BH52" s="1424"/>
      <c r="BI52" s="1424"/>
      <c r="BJ52" s="1424"/>
      <c r="BK52" s="1424"/>
      <c r="BL52" s="1424"/>
      <c r="BM52" s="1424"/>
      <c r="BN52" s="1424"/>
      <c r="BO52" s="1424"/>
      <c r="BP52" s="1424"/>
      <c r="BQ52" s="1424"/>
      <c r="BR52" s="1424"/>
      <c r="BS52" s="1424"/>
      <c r="BT52" s="1424"/>
      <c r="BU52" s="1424"/>
      <c r="BV52" s="1424"/>
      <c r="BW52" s="1424"/>
      <c r="BX52" s="1424"/>
      <c r="BY52" s="1424"/>
      <c r="BZ52" s="1424"/>
      <c r="CA52" s="1424"/>
      <c r="CB52" s="1424"/>
      <c r="CC52" s="1424"/>
      <c r="CD52" s="1424"/>
      <c r="CE52" s="1424"/>
      <c r="CF52" s="1424"/>
      <c r="CG52" s="1424"/>
      <c r="CH52" s="1425"/>
      <c r="CI52" s="1424"/>
      <c r="CJ52" s="1422">
        <v>2.9</v>
      </c>
      <c r="CK52" s="1424"/>
      <c r="CL52" s="1424"/>
      <c r="CM52" s="1424"/>
      <c r="CN52" s="1424"/>
      <c r="CO52" s="1424"/>
      <c r="CP52" s="1424"/>
      <c r="CQ52" s="1424"/>
      <c r="CR52" s="1424"/>
      <c r="CS52" s="1424"/>
      <c r="CT52" s="1424"/>
      <c r="CU52" s="1424"/>
      <c r="CV52" s="1424"/>
      <c r="CW52" s="1424"/>
      <c r="CX52" s="1424"/>
      <c r="CY52" s="1424"/>
      <c r="CZ52" s="1424"/>
      <c r="DA52" s="1424"/>
      <c r="DB52" s="1424"/>
      <c r="DC52" s="1424"/>
      <c r="DD52" s="1424"/>
      <c r="DE52" s="1424"/>
      <c r="DF52" s="1424"/>
      <c r="DG52" s="1424"/>
      <c r="DH52" s="1424"/>
      <c r="DI52" s="1424">
        <f>DG52+DE52+DC52+DA52+CY52+CW52+CU52+CS52+CQ52+CO52+CM52+CK52</f>
        <v>0</v>
      </c>
      <c r="DJ52" s="1424">
        <f t="shared" ref="DJ52:DJ55" si="92">CK52+CM52+CO52+CQ52</f>
        <v>0</v>
      </c>
      <c r="DK52" s="1424">
        <f t="shared" ref="DK52:DK55" si="93">CL52+CN52+CP52+CR52</f>
        <v>0</v>
      </c>
      <c r="DL52" s="1425">
        <f>CM52+CO52+CQ52+CS52+CU52+CW52+CY52+DA52+DC52+DE52+DG52+CK52</f>
        <v>0</v>
      </c>
      <c r="DM52" s="1424">
        <f>CL52+CN52+CP52+CR52</f>
        <v>0</v>
      </c>
      <c r="DN52" s="1423">
        <v>0.5</v>
      </c>
      <c r="DO52" s="1423"/>
      <c r="DP52" s="1423"/>
      <c r="DQ52" s="1423"/>
      <c r="DR52" s="1423"/>
      <c r="DS52" s="1423"/>
      <c r="DT52" s="1423"/>
      <c r="DU52" s="1423"/>
      <c r="DV52" s="1423"/>
      <c r="DW52" s="1423"/>
      <c r="DX52" s="1423"/>
      <c r="DY52" s="1423"/>
      <c r="DZ52" s="1423"/>
      <c r="EA52" s="1423"/>
      <c r="EB52" s="1423"/>
      <c r="EC52" s="1423"/>
      <c r="ED52" s="1423"/>
      <c r="EE52" s="1423"/>
      <c r="EF52" s="1423"/>
      <c r="EG52" s="1424"/>
      <c r="EH52" s="1424"/>
      <c r="EI52" s="1424"/>
      <c r="EJ52" s="1424"/>
      <c r="EK52" s="1424"/>
      <c r="EL52" s="1424"/>
      <c r="EM52" s="1411">
        <f>EK52+EI52+EG52+EE52+EC52+EA52+DY52+DW52+DU52+DS52+DQ52+DO52</f>
        <v>0</v>
      </c>
      <c r="EN52" s="1424">
        <f t="shared" ref="EN52:EN57" si="94">DO52+DQ52+DS52+DU52</f>
        <v>0</v>
      </c>
      <c r="EO52" s="1411">
        <f t="shared" ref="EO52:EO57" si="95">DP52+DR52+DT52+DV52</f>
        <v>0</v>
      </c>
      <c r="EP52" s="1425">
        <f>DQ52+DS52+DU52+DW52+DY52+EA52+EC52+EE52+EG52+EI52+EK52+DO52</f>
        <v>0</v>
      </c>
      <c r="EQ52" s="1424">
        <f>DP52+DR52+DT52+DV52</f>
        <v>0</v>
      </c>
      <c r="ER52" s="1429">
        <f t="shared" si="8"/>
        <v>1</v>
      </c>
      <c r="ES52" s="1429">
        <f>BC52/BB52</f>
        <v>1</v>
      </c>
      <c r="ET52" s="1429">
        <f>BE52/BD52</f>
        <v>0.99999999999999978</v>
      </c>
      <c r="EU52" s="1430">
        <f>(BC52+AA52)/(Z52+BB52)</f>
        <v>1</v>
      </c>
      <c r="EV52" s="1429">
        <f>(BC52+AA52)/G52</f>
        <v>0.18333333333333335</v>
      </c>
      <c r="EW52" s="1354" t="s">
        <v>1177</v>
      </c>
      <c r="EX52" s="733" t="s">
        <v>70</v>
      </c>
      <c r="EY52" s="733" t="s">
        <v>70</v>
      </c>
      <c r="EZ52" s="733" t="s">
        <v>682</v>
      </c>
      <c r="FA52" s="733" t="s">
        <v>662</v>
      </c>
      <c r="FB52" s="770"/>
    </row>
    <row r="53" spans="1:158" s="632" customFormat="1" ht="19.149999999999999" customHeight="1" x14ac:dyDescent="0.2">
      <c r="A53" s="733"/>
      <c r="B53" s="733"/>
      <c r="C53" s="734"/>
      <c r="D53" s="733"/>
      <c r="E53" s="734"/>
      <c r="F53" s="604" t="s">
        <v>3</v>
      </c>
      <c r="G53" s="605">
        <f>AA53+BD53+BF53+CJ53+DN53</f>
        <v>2222769500</v>
      </c>
      <c r="H53" s="625">
        <v>220180000</v>
      </c>
      <c r="I53" s="626"/>
      <c r="J53" s="626"/>
      <c r="K53" s="626">
        <v>220180000</v>
      </c>
      <c r="L53" s="626">
        <v>0</v>
      </c>
      <c r="M53" s="626">
        <v>220180000</v>
      </c>
      <c r="N53" s="626">
        <v>162068000</v>
      </c>
      <c r="O53" s="626">
        <v>220180000</v>
      </c>
      <c r="P53" s="626">
        <v>162068000</v>
      </c>
      <c r="Q53" s="626">
        <v>199997000</v>
      </c>
      <c r="R53" s="626">
        <v>162068000</v>
      </c>
      <c r="S53" s="627">
        <v>218352000</v>
      </c>
      <c r="T53" s="628">
        <v>162068000</v>
      </c>
      <c r="U53" s="629">
        <v>218352000</v>
      </c>
      <c r="V53" s="629">
        <v>200757000</v>
      </c>
      <c r="W53" s="598">
        <f t="shared" si="24"/>
        <v>220180000</v>
      </c>
      <c r="X53" s="598">
        <f t="shared" si="25"/>
        <v>220180000</v>
      </c>
      <c r="Y53" s="598">
        <f t="shared" si="26"/>
        <v>200757000</v>
      </c>
      <c r="Z53" s="598">
        <f t="shared" si="27"/>
        <v>218352000</v>
      </c>
      <c r="AA53" s="598">
        <f t="shared" si="28"/>
        <v>200757000</v>
      </c>
      <c r="AB53" s="650">
        <v>482999000</v>
      </c>
      <c r="AC53" s="605">
        <v>0</v>
      </c>
      <c r="AD53" s="605">
        <v>0</v>
      </c>
      <c r="AE53" s="629">
        <v>340880000</v>
      </c>
      <c r="AF53" s="626">
        <v>340880000</v>
      </c>
      <c r="AG53" s="626">
        <f>435242000-AF53</f>
        <v>94362000</v>
      </c>
      <c r="AH53" s="626">
        <v>94362000</v>
      </c>
      <c r="AI53" s="626">
        <v>0</v>
      </c>
      <c r="AJ53" s="626">
        <v>0</v>
      </c>
      <c r="AK53" s="626">
        <v>0</v>
      </c>
      <c r="AL53" s="626">
        <v>0</v>
      </c>
      <c r="AM53" s="626">
        <v>0</v>
      </c>
      <c r="AN53" s="626">
        <v>0</v>
      </c>
      <c r="AO53" s="626">
        <v>0</v>
      </c>
      <c r="AP53" s="626">
        <v>0</v>
      </c>
      <c r="AQ53" s="627">
        <v>8646000</v>
      </c>
      <c r="AR53" s="626">
        <v>8646000</v>
      </c>
      <c r="AS53" s="626">
        <v>0</v>
      </c>
      <c r="AT53" s="626">
        <v>0</v>
      </c>
      <c r="AU53" s="626">
        <v>0</v>
      </c>
      <c r="AV53" s="627">
        <v>0</v>
      </c>
      <c r="AW53" s="626">
        <v>0</v>
      </c>
      <c r="AX53" s="627">
        <v>0</v>
      </c>
      <c r="AY53" s="626">
        <v>4041500</v>
      </c>
      <c r="AZ53" s="630">
        <v>4041500</v>
      </c>
      <c r="BA53" s="594">
        <f>AY53+AW53+AU53+AS53+AQ53+AO53+AM53+AK53+AI53+AG53+AE53+AC53</f>
        <v>447929500</v>
      </c>
      <c r="BB53" s="599">
        <f t="shared" si="17"/>
        <v>447929500</v>
      </c>
      <c r="BC53" s="599">
        <f>+AN53+AD53+AF53+AH53+AJ53+AL53+AP53+AR53+AT53+AV53+AX53+AZ53</f>
        <v>447929500</v>
      </c>
      <c r="BD53" s="599">
        <f>BA53</f>
        <v>447929500</v>
      </c>
      <c r="BE53" s="599">
        <f t="shared" si="6"/>
        <v>447929500</v>
      </c>
      <c r="BF53" s="626">
        <v>436082000</v>
      </c>
      <c r="BG53" s="626"/>
      <c r="BH53" s="626"/>
      <c r="BI53" s="626"/>
      <c r="BJ53" s="626"/>
      <c r="BK53" s="626"/>
      <c r="BL53" s="626"/>
      <c r="BM53" s="626"/>
      <c r="BN53" s="626"/>
      <c r="BO53" s="626"/>
      <c r="BP53" s="626"/>
      <c r="BQ53" s="626"/>
      <c r="BR53" s="626"/>
      <c r="BS53" s="626"/>
      <c r="BT53" s="626"/>
      <c r="BU53" s="626"/>
      <c r="BV53" s="626"/>
      <c r="BW53" s="626"/>
      <c r="BX53" s="626"/>
      <c r="BY53" s="626"/>
      <c r="BZ53" s="626"/>
      <c r="CA53" s="626"/>
      <c r="CB53" s="626"/>
      <c r="CC53" s="626"/>
      <c r="CD53" s="626"/>
      <c r="CE53" s="594"/>
      <c r="CF53" s="610"/>
      <c r="CG53" s="610"/>
      <c r="CH53" s="631"/>
      <c r="CI53" s="610"/>
      <c r="CJ53" s="626">
        <v>819000000</v>
      </c>
      <c r="CK53" s="626"/>
      <c r="CL53" s="626"/>
      <c r="CM53" s="626"/>
      <c r="CN53" s="626"/>
      <c r="CO53" s="626"/>
      <c r="CP53" s="626"/>
      <c r="CQ53" s="626"/>
      <c r="CR53" s="626"/>
      <c r="CS53" s="626"/>
      <c r="CT53" s="626"/>
      <c r="CU53" s="626"/>
      <c r="CV53" s="626"/>
      <c r="CW53" s="626"/>
      <c r="CX53" s="626"/>
      <c r="CY53" s="626"/>
      <c r="CZ53" s="626"/>
      <c r="DA53" s="626"/>
      <c r="DB53" s="626"/>
      <c r="DC53" s="626"/>
      <c r="DD53" s="626"/>
      <c r="DE53" s="626"/>
      <c r="DF53" s="626"/>
      <c r="DG53" s="626"/>
      <c r="DH53" s="626"/>
      <c r="DI53" s="594">
        <f>DG53+DE53+DC53+DA53+CY53+CW53+CU53+CS53+CQ53+CO53+CM53+CK53</f>
        <v>0</v>
      </c>
      <c r="DJ53" s="610">
        <f t="shared" si="92"/>
        <v>0</v>
      </c>
      <c r="DK53" s="610">
        <f t="shared" si="93"/>
        <v>0</v>
      </c>
      <c r="DL53" s="631">
        <f>CM53+CO53+CQ53+CS53+CU53+CW53+CY53+DA53+DC53+DE53+DG53+CK53</f>
        <v>0</v>
      </c>
      <c r="DM53" s="610">
        <f>CL53+CN53+CP53+CR53</f>
        <v>0</v>
      </c>
      <c r="DN53" s="626">
        <v>319001000</v>
      </c>
      <c r="DO53" s="626"/>
      <c r="DP53" s="626"/>
      <c r="DQ53" s="626"/>
      <c r="DR53" s="626"/>
      <c r="DS53" s="626"/>
      <c r="DT53" s="626"/>
      <c r="DU53" s="626"/>
      <c r="DV53" s="626"/>
      <c r="DW53" s="626"/>
      <c r="DX53" s="626"/>
      <c r="DY53" s="626"/>
      <c r="DZ53" s="626"/>
      <c r="EA53" s="626"/>
      <c r="EB53" s="626"/>
      <c r="EC53" s="626"/>
      <c r="ED53" s="626"/>
      <c r="EE53" s="626"/>
      <c r="EF53" s="626"/>
      <c r="EG53" s="626"/>
      <c r="EH53" s="626"/>
      <c r="EI53" s="626"/>
      <c r="EJ53" s="626"/>
      <c r="EK53" s="626"/>
      <c r="EL53" s="626"/>
      <c r="EM53" s="594">
        <f>EK53+EI53+EG53+EE53+EC53+EA53+DY53+DW53+DU53+DS53+DQ53+DO53</f>
        <v>0</v>
      </c>
      <c r="EN53" s="610">
        <f t="shared" si="94"/>
        <v>0</v>
      </c>
      <c r="EO53" s="610">
        <f t="shared" si="95"/>
        <v>0</v>
      </c>
      <c r="EP53" s="631">
        <f>DQ53+DS53+DU53+DW53+DY53+EA53+EC53+EE53+EG53+EI53+EK53+DO53</f>
        <v>0</v>
      </c>
      <c r="EQ53" s="610">
        <f>DP53+DR53+DT53+DV53</f>
        <v>0</v>
      </c>
      <c r="ER53" s="601" t="e">
        <f t="shared" si="8"/>
        <v>#DIV/0!</v>
      </c>
      <c r="ES53" s="601">
        <f>BC53/BB53</f>
        <v>1</v>
      </c>
      <c r="ET53" s="601">
        <f>BE53/BD53</f>
        <v>1</v>
      </c>
      <c r="EU53" s="602">
        <f>(BC53+AA53)/(Z53+BB53)</f>
        <v>0.97359224291834612</v>
      </c>
      <c r="EV53" s="601">
        <f>(BC53+AA53)/G53</f>
        <v>0.29183705282981431</v>
      </c>
      <c r="EW53" s="1354"/>
      <c r="EX53" s="733"/>
      <c r="EY53" s="733"/>
      <c r="EZ53" s="733"/>
      <c r="FA53" s="733"/>
      <c r="FB53" s="770"/>
    </row>
    <row r="54" spans="1:158" s="632" customFormat="1" ht="19.149999999999999" customHeight="1" x14ac:dyDescent="0.2">
      <c r="A54" s="733"/>
      <c r="B54" s="733"/>
      <c r="C54" s="734"/>
      <c r="D54" s="733"/>
      <c r="E54" s="734"/>
      <c r="F54" s="546" t="s">
        <v>224</v>
      </c>
      <c r="G54" s="605"/>
      <c r="H54" s="625"/>
      <c r="I54" s="626"/>
      <c r="J54" s="626"/>
      <c r="K54" s="626"/>
      <c r="L54" s="626"/>
      <c r="M54" s="626"/>
      <c r="N54" s="626"/>
      <c r="O54" s="626"/>
      <c r="P54" s="626"/>
      <c r="Q54" s="626"/>
      <c r="R54" s="626"/>
      <c r="S54" s="627"/>
      <c r="T54" s="628"/>
      <c r="U54" s="629"/>
      <c r="V54" s="629"/>
      <c r="W54" s="598">
        <f t="shared" si="24"/>
        <v>0</v>
      </c>
      <c r="X54" s="598">
        <f t="shared" si="25"/>
        <v>0</v>
      </c>
      <c r="Y54" s="598">
        <f t="shared" si="26"/>
        <v>0</v>
      </c>
      <c r="Z54" s="598">
        <f t="shared" si="27"/>
        <v>0</v>
      </c>
      <c r="AA54" s="598">
        <f t="shared" si="28"/>
        <v>0</v>
      </c>
      <c r="AB54" s="605"/>
      <c r="AC54" s="605"/>
      <c r="AD54" s="605"/>
      <c r="AE54" s="629"/>
      <c r="AF54" s="626"/>
      <c r="AG54" s="626">
        <v>13621034</v>
      </c>
      <c r="AH54" s="626">
        <v>13621034</v>
      </c>
      <c r="AI54" s="626">
        <v>37321200</v>
      </c>
      <c r="AJ54" s="626">
        <v>37321200</v>
      </c>
      <c r="AK54" s="626">
        <v>48655500</v>
      </c>
      <c r="AL54" s="626">
        <v>48655500</v>
      </c>
      <c r="AM54" s="626">
        <v>43371240</v>
      </c>
      <c r="AN54" s="626">
        <v>46494000</v>
      </c>
      <c r="AO54" s="626">
        <v>49287600</v>
      </c>
      <c r="AP54" s="626">
        <v>46494000</v>
      </c>
      <c r="AQ54" s="627">
        <v>43371240</v>
      </c>
      <c r="AR54" s="626">
        <v>46494000</v>
      </c>
      <c r="AS54" s="626">
        <v>43371240</v>
      </c>
      <c r="AT54" s="626">
        <v>42171000</v>
      </c>
      <c r="AU54" s="626">
        <v>43371240</v>
      </c>
      <c r="AV54" s="627">
        <v>44908900</v>
      </c>
      <c r="AW54" s="626">
        <v>43371240</v>
      </c>
      <c r="AX54" s="627">
        <v>46494000</v>
      </c>
      <c r="AY54" s="626">
        <v>43371240</v>
      </c>
      <c r="AZ54" s="630">
        <v>46325333</v>
      </c>
      <c r="BA54" s="594">
        <f>AW54+AU54+AS54+AQ54+AO54+AM54+AK54+AI54+AG54+AE54+AC54+AY54</f>
        <v>409112774</v>
      </c>
      <c r="BB54" s="599">
        <f t="shared" si="17"/>
        <v>409112774</v>
      </c>
      <c r="BC54" s="599">
        <f t="shared" si="11"/>
        <v>418978967</v>
      </c>
      <c r="BD54" s="599">
        <f>BA54</f>
        <v>409112774</v>
      </c>
      <c r="BE54" s="599">
        <f t="shared" si="6"/>
        <v>418978967</v>
      </c>
      <c r="BF54" s="626"/>
      <c r="BG54" s="626"/>
      <c r="BH54" s="626"/>
      <c r="BI54" s="626"/>
      <c r="BJ54" s="626"/>
      <c r="BK54" s="626"/>
      <c r="BL54" s="626"/>
      <c r="BM54" s="626"/>
      <c r="BN54" s="626"/>
      <c r="BO54" s="626"/>
      <c r="BP54" s="626"/>
      <c r="BQ54" s="626"/>
      <c r="BR54" s="626"/>
      <c r="BS54" s="626"/>
      <c r="BT54" s="626"/>
      <c r="BU54" s="626"/>
      <c r="BV54" s="626"/>
      <c r="BW54" s="626"/>
      <c r="BX54" s="626"/>
      <c r="BY54" s="626"/>
      <c r="BZ54" s="626"/>
      <c r="CA54" s="626"/>
      <c r="CB54" s="626"/>
      <c r="CC54" s="626"/>
      <c r="CD54" s="626"/>
      <c r="CE54" s="594"/>
      <c r="CF54" s="610"/>
      <c r="CG54" s="610"/>
      <c r="CH54" s="631"/>
      <c r="CI54" s="610"/>
      <c r="CJ54" s="626"/>
      <c r="CK54" s="626"/>
      <c r="CL54" s="626"/>
      <c r="CM54" s="626"/>
      <c r="CN54" s="626"/>
      <c r="CO54" s="626"/>
      <c r="CP54" s="626"/>
      <c r="CQ54" s="626"/>
      <c r="CR54" s="626"/>
      <c r="CS54" s="626"/>
      <c r="CT54" s="626"/>
      <c r="CU54" s="626"/>
      <c r="CV54" s="626"/>
      <c r="CW54" s="626"/>
      <c r="CX54" s="626"/>
      <c r="CY54" s="626"/>
      <c r="CZ54" s="626"/>
      <c r="DA54" s="626"/>
      <c r="DB54" s="626"/>
      <c r="DC54" s="626"/>
      <c r="DD54" s="626"/>
      <c r="DE54" s="626"/>
      <c r="DF54" s="626"/>
      <c r="DG54" s="626"/>
      <c r="DH54" s="626"/>
      <c r="DI54" s="594">
        <f>DE54+DC54+DA54+CY54+CW54+CU54+CS54+CQ54+CO54+CM54+CK54+DG54</f>
        <v>0</v>
      </c>
      <c r="DJ54" s="610">
        <f t="shared" si="92"/>
        <v>0</v>
      </c>
      <c r="DK54" s="610">
        <f t="shared" si="93"/>
        <v>0</v>
      </c>
      <c r="DL54" s="609">
        <f>CM54+CO54+CQ54+CS54+CU54+CW54+CY54+DA54+DC54+DE54+DG54</f>
        <v>0</v>
      </c>
      <c r="DM54" s="610">
        <f>CL54+CN54+CP54+CR54</f>
        <v>0</v>
      </c>
      <c r="DN54" s="626"/>
      <c r="DO54" s="626"/>
      <c r="DP54" s="626"/>
      <c r="DQ54" s="626"/>
      <c r="DR54" s="626"/>
      <c r="DS54" s="626"/>
      <c r="DT54" s="626"/>
      <c r="DU54" s="626"/>
      <c r="DV54" s="626"/>
      <c r="DW54" s="626"/>
      <c r="DX54" s="626"/>
      <c r="DY54" s="626"/>
      <c r="DZ54" s="626"/>
      <c r="EA54" s="626"/>
      <c r="EB54" s="626"/>
      <c r="EC54" s="626"/>
      <c r="ED54" s="626"/>
      <c r="EE54" s="626"/>
      <c r="EF54" s="626"/>
      <c r="EG54" s="626"/>
      <c r="EH54" s="626"/>
      <c r="EI54" s="626"/>
      <c r="EJ54" s="626"/>
      <c r="EK54" s="626"/>
      <c r="EL54" s="626"/>
      <c r="EM54" s="594">
        <f>EI54+EG54+EE54+EC54+EA54+DY54+DW54+DU54+DS54+DQ54+DO54+EK54</f>
        <v>0</v>
      </c>
      <c r="EN54" s="610">
        <f t="shared" si="94"/>
        <v>0</v>
      </c>
      <c r="EO54" s="610">
        <f t="shared" si="95"/>
        <v>0</v>
      </c>
      <c r="EP54" s="609">
        <f>DQ54+DS54+DU54+DW54+DY54+EA54+EC54+EE54+EG54+EI54+EK54</f>
        <v>0</v>
      </c>
      <c r="EQ54" s="610">
        <f>DP54+DR54+DT54+DV54</f>
        <v>0</v>
      </c>
      <c r="ER54" s="601">
        <f t="shared" si="8"/>
        <v>1.0354534479530675</v>
      </c>
      <c r="ES54" s="601">
        <f t="shared" ref="ES54:ES58" si="96">BC54/BB54</f>
        <v>1.0241160717215836</v>
      </c>
      <c r="ET54" s="601">
        <f t="shared" ref="ET54:ET58" si="97">BE54/BD54</f>
        <v>1.0241160717215836</v>
      </c>
      <c r="EU54" s="602" t="s">
        <v>225</v>
      </c>
      <c r="EV54" s="602" t="s">
        <v>225</v>
      </c>
      <c r="EW54" s="1354"/>
      <c r="EX54" s="733"/>
      <c r="EY54" s="733"/>
      <c r="EZ54" s="733"/>
      <c r="FA54" s="733"/>
      <c r="FB54" s="770"/>
    </row>
    <row r="55" spans="1:158" s="603" customFormat="1" ht="19.149999999999999" customHeight="1" x14ac:dyDescent="0.2">
      <c r="A55" s="733"/>
      <c r="B55" s="733"/>
      <c r="C55" s="734"/>
      <c r="D55" s="733"/>
      <c r="E55" s="734"/>
      <c r="F55" s="593" t="s">
        <v>42</v>
      </c>
      <c r="G55" s="613"/>
      <c r="H55" s="614"/>
      <c r="I55" s="615"/>
      <c r="J55" s="615"/>
      <c r="K55" s="615"/>
      <c r="L55" s="615"/>
      <c r="M55" s="615"/>
      <c r="N55" s="615"/>
      <c r="O55" s="615"/>
      <c r="P55" s="615"/>
      <c r="Q55" s="615"/>
      <c r="R55" s="615"/>
      <c r="S55" s="615"/>
      <c r="T55" s="615"/>
      <c r="U55" s="615"/>
      <c r="V55" s="615"/>
      <c r="W55" s="598">
        <f t="shared" si="24"/>
        <v>0</v>
      </c>
      <c r="X55" s="598">
        <f t="shared" si="25"/>
        <v>0</v>
      </c>
      <c r="Y55" s="598">
        <f t="shared" si="26"/>
        <v>0</v>
      </c>
      <c r="Z55" s="598">
        <f t="shared" si="27"/>
        <v>0</v>
      </c>
      <c r="AA55" s="598">
        <f t="shared" si="28"/>
        <v>0</v>
      </c>
      <c r="AB55" s="613"/>
      <c r="AC55" s="613"/>
      <c r="AD55" s="613"/>
      <c r="AE55" s="613"/>
      <c r="AF55" s="613"/>
      <c r="AG55" s="613"/>
      <c r="AH55" s="613"/>
      <c r="AI55" s="613"/>
      <c r="AJ55" s="613"/>
      <c r="AK55" s="615"/>
      <c r="AL55" s="615"/>
      <c r="AM55" s="615"/>
      <c r="AN55" s="615"/>
      <c r="AO55" s="615"/>
      <c r="AP55" s="615"/>
      <c r="AQ55" s="615"/>
      <c r="AR55" s="615"/>
      <c r="AS55" s="615"/>
      <c r="AT55" s="615"/>
      <c r="AU55" s="615"/>
      <c r="AV55" s="615"/>
      <c r="AW55" s="615"/>
      <c r="AX55" s="615"/>
      <c r="AY55" s="633"/>
      <c r="AZ55" s="638"/>
      <c r="BA55" s="594">
        <v>0</v>
      </c>
      <c r="BB55" s="599">
        <f t="shared" si="17"/>
        <v>0</v>
      </c>
      <c r="BC55" s="599">
        <f t="shared" si="11"/>
        <v>0</v>
      </c>
      <c r="BD55" s="599">
        <f>AC55+AE55+AG55+AI55+AK55+AM55+AO55+AQ55+AS55+AU55+AW55+AY55</f>
        <v>0</v>
      </c>
      <c r="BE55" s="599">
        <f t="shared" si="6"/>
        <v>0</v>
      </c>
      <c r="BF55" s="615"/>
      <c r="BG55" s="615"/>
      <c r="BH55" s="615"/>
      <c r="BI55" s="615"/>
      <c r="BJ55" s="652"/>
      <c r="BK55" s="615"/>
      <c r="BL55" s="615"/>
      <c r="BM55" s="615"/>
      <c r="BN55" s="615"/>
      <c r="BO55" s="615"/>
      <c r="BP55" s="615"/>
      <c r="BQ55" s="615"/>
      <c r="BR55" s="615"/>
      <c r="BS55" s="615"/>
      <c r="BT55" s="615"/>
      <c r="BU55" s="615"/>
      <c r="BV55" s="615"/>
      <c r="BW55" s="615"/>
      <c r="BX55" s="615"/>
      <c r="BY55" s="615"/>
      <c r="BZ55" s="615"/>
      <c r="CA55" s="615"/>
      <c r="CB55" s="615"/>
      <c r="CC55" s="615"/>
      <c r="CD55" s="615"/>
      <c r="CE55" s="597"/>
      <c r="CF55" s="634"/>
      <c r="CG55" s="635"/>
      <c r="CH55" s="624"/>
      <c r="CI55" s="597"/>
      <c r="CJ55" s="615"/>
      <c r="CK55" s="615"/>
      <c r="CL55" s="615"/>
      <c r="CM55" s="615"/>
      <c r="CN55" s="615"/>
      <c r="CO55" s="615"/>
      <c r="CP55" s="615"/>
      <c r="CQ55" s="615"/>
      <c r="CR55" s="615"/>
      <c r="CS55" s="615"/>
      <c r="CT55" s="615"/>
      <c r="CU55" s="615"/>
      <c r="CV55" s="615"/>
      <c r="CW55" s="615"/>
      <c r="CX55" s="615"/>
      <c r="CY55" s="615"/>
      <c r="CZ55" s="615"/>
      <c r="DA55" s="615"/>
      <c r="DB55" s="615"/>
      <c r="DC55" s="615"/>
      <c r="DD55" s="615"/>
      <c r="DE55" s="615"/>
      <c r="DF55" s="615"/>
      <c r="DG55" s="615"/>
      <c r="DH55" s="615"/>
      <c r="DI55" s="597">
        <f>DE55+DC55+DA55+CY55+CW55+CU55+CS55+CQ55+CO55+CM55+CK55+DG55</f>
        <v>0</v>
      </c>
      <c r="DJ55" s="634">
        <f t="shared" si="92"/>
        <v>0</v>
      </c>
      <c r="DK55" s="635">
        <f t="shared" si="93"/>
        <v>0</v>
      </c>
      <c r="DL55" s="624">
        <f>CM55+CO55+CQ55+CS55+CU55+CW55+CY55+DA55+DC55+DE55+DG55</f>
        <v>0</v>
      </c>
      <c r="DM55" s="597">
        <f>CL55+CN55+CP55+CR55</f>
        <v>0</v>
      </c>
      <c r="DN55" s="615"/>
      <c r="DO55" s="615"/>
      <c r="DP55" s="615"/>
      <c r="DQ55" s="615"/>
      <c r="DR55" s="615"/>
      <c r="DS55" s="615"/>
      <c r="DT55" s="615"/>
      <c r="DU55" s="615"/>
      <c r="DV55" s="615"/>
      <c r="DW55" s="615"/>
      <c r="DX55" s="615"/>
      <c r="DY55" s="615"/>
      <c r="DZ55" s="615"/>
      <c r="EA55" s="615"/>
      <c r="EB55" s="615"/>
      <c r="EC55" s="615"/>
      <c r="ED55" s="615"/>
      <c r="EE55" s="615"/>
      <c r="EF55" s="615"/>
      <c r="EG55" s="615"/>
      <c r="EH55" s="615"/>
      <c r="EI55" s="615"/>
      <c r="EJ55" s="615"/>
      <c r="EK55" s="615"/>
      <c r="EL55" s="615"/>
      <c r="EM55" s="597">
        <f>EI55+EG55+EE55+EC55+EA55+DY55+DW55+DU55+DS55+DQ55+DO55+EK55</f>
        <v>0</v>
      </c>
      <c r="EN55" s="634">
        <f t="shared" si="94"/>
        <v>0</v>
      </c>
      <c r="EO55" s="635">
        <f t="shared" si="95"/>
        <v>0</v>
      </c>
      <c r="EP55" s="624">
        <f>DQ55+DS55+DU55+DW55+DY55+EA55+EC55+EE55+EG55+EI55+EK55</f>
        <v>0</v>
      </c>
      <c r="EQ55" s="597">
        <f>DP55+DR55+DT55+DV55</f>
        <v>0</v>
      </c>
      <c r="ER55" s="601" t="e">
        <f t="shared" si="8"/>
        <v>#DIV/0!</v>
      </c>
      <c r="ES55" s="601" t="e">
        <f t="shared" si="96"/>
        <v>#DIV/0!</v>
      </c>
      <c r="ET55" s="601" t="e">
        <f t="shared" si="97"/>
        <v>#DIV/0!</v>
      </c>
      <c r="EU55" s="602" t="s">
        <v>225</v>
      </c>
      <c r="EV55" s="602" t="s">
        <v>225</v>
      </c>
      <c r="EW55" s="1354"/>
      <c r="EX55" s="733"/>
      <c r="EY55" s="733"/>
      <c r="EZ55" s="733"/>
      <c r="FA55" s="733"/>
      <c r="FB55" s="770"/>
    </row>
    <row r="56" spans="1:158" s="603" customFormat="1" ht="19.149999999999999" customHeight="1" x14ac:dyDescent="0.2">
      <c r="A56" s="733"/>
      <c r="B56" s="733"/>
      <c r="C56" s="734"/>
      <c r="D56" s="733"/>
      <c r="E56" s="734"/>
      <c r="F56" s="604" t="s">
        <v>4</v>
      </c>
      <c r="G56" s="605">
        <f>AA56+BD56+BF56+CJ56+DN56</f>
        <v>45106067</v>
      </c>
      <c r="H56" s="636"/>
      <c r="I56" s="637"/>
      <c r="J56" s="637"/>
      <c r="K56" s="637"/>
      <c r="L56" s="637"/>
      <c r="M56" s="637"/>
      <c r="N56" s="637"/>
      <c r="O56" s="637"/>
      <c r="P56" s="637"/>
      <c r="Q56" s="637"/>
      <c r="R56" s="637"/>
      <c r="S56" s="637"/>
      <c r="T56" s="637"/>
      <c r="U56" s="637"/>
      <c r="V56" s="637"/>
      <c r="W56" s="598">
        <f t="shared" si="24"/>
        <v>0</v>
      </c>
      <c r="X56" s="598">
        <f t="shared" si="25"/>
        <v>0</v>
      </c>
      <c r="Y56" s="598">
        <f t="shared" si="26"/>
        <v>0</v>
      </c>
      <c r="Z56" s="598">
        <f t="shared" si="27"/>
        <v>0</v>
      </c>
      <c r="AA56" s="598">
        <f t="shared" si="28"/>
        <v>0</v>
      </c>
      <c r="AB56" s="619">
        <v>45106067</v>
      </c>
      <c r="AC56" s="619">
        <v>18479500</v>
      </c>
      <c r="AD56" s="619">
        <v>18479500</v>
      </c>
      <c r="AE56" s="619">
        <f>36465800-AD56</f>
        <v>17986300</v>
      </c>
      <c r="AF56" s="619">
        <v>17986300</v>
      </c>
      <c r="AG56" s="619">
        <f>45106067-AD56-AF56</f>
        <v>8640267</v>
      </c>
      <c r="AH56" s="619">
        <v>8640267</v>
      </c>
      <c r="AI56" s="619">
        <v>0</v>
      </c>
      <c r="AJ56" s="619">
        <v>0</v>
      </c>
      <c r="AK56" s="600">
        <v>0</v>
      </c>
      <c r="AL56" s="600">
        <v>0</v>
      </c>
      <c r="AM56" s="600">
        <v>0</v>
      </c>
      <c r="AN56" s="600">
        <v>0</v>
      </c>
      <c r="AO56" s="600">
        <v>0</v>
      </c>
      <c r="AP56" s="600">
        <v>0</v>
      </c>
      <c r="AQ56" s="607"/>
      <c r="AR56" s="600"/>
      <c r="AS56" s="600"/>
      <c r="AT56" s="600">
        <v>0</v>
      </c>
      <c r="AU56" s="600"/>
      <c r="AV56" s="607">
        <v>0</v>
      </c>
      <c r="AW56" s="600"/>
      <c r="AX56" s="607"/>
      <c r="AY56" s="600"/>
      <c r="AZ56" s="600"/>
      <c r="BA56" s="594">
        <f>AW56+AU56+AS56+AQ56+AO56+AM56+AK56+AI56+AG56+AE56+AC56+AY56</f>
        <v>45106067</v>
      </c>
      <c r="BB56" s="599">
        <f t="shared" si="17"/>
        <v>45106067</v>
      </c>
      <c r="BC56" s="599">
        <f t="shared" si="11"/>
        <v>45106067</v>
      </c>
      <c r="BD56" s="599">
        <f>BA56</f>
        <v>45106067</v>
      </c>
      <c r="BE56" s="599">
        <f t="shared" si="6"/>
        <v>45106067</v>
      </c>
      <c r="BF56" s="626"/>
      <c r="BG56" s="626"/>
      <c r="BH56" s="626"/>
      <c r="BI56" s="626"/>
      <c r="BJ56" s="626"/>
      <c r="BK56" s="626"/>
      <c r="BL56" s="600"/>
      <c r="BM56" s="600"/>
      <c r="BN56" s="600"/>
      <c r="BO56" s="600"/>
      <c r="BP56" s="600"/>
      <c r="BQ56" s="600"/>
      <c r="BR56" s="600"/>
      <c r="BS56" s="600"/>
      <c r="BT56" s="600"/>
      <c r="BU56" s="600"/>
      <c r="BV56" s="600"/>
      <c r="BW56" s="600"/>
      <c r="BX56" s="600"/>
      <c r="BY56" s="600"/>
      <c r="BZ56" s="600"/>
      <c r="CA56" s="600"/>
      <c r="CB56" s="600"/>
      <c r="CC56" s="600"/>
      <c r="CD56" s="600"/>
      <c r="CE56" s="597"/>
      <c r="CF56" s="610"/>
      <c r="CG56" s="610"/>
      <c r="CH56" s="609"/>
      <c r="CI56" s="610"/>
      <c r="CJ56" s="600"/>
      <c r="CK56" s="600"/>
      <c r="CL56" s="600"/>
      <c r="CM56" s="600"/>
      <c r="CN56" s="600"/>
      <c r="CO56" s="600"/>
      <c r="CP56" s="600"/>
      <c r="CQ56" s="600"/>
      <c r="CR56" s="600"/>
      <c r="CS56" s="600"/>
      <c r="CT56" s="600"/>
      <c r="CU56" s="600"/>
      <c r="CV56" s="600"/>
      <c r="CW56" s="600"/>
      <c r="CX56" s="600"/>
      <c r="CY56" s="600"/>
      <c r="CZ56" s="600"/>
      <c r="DA56" s="600"/>
      <c r="DB56" s="600"/>
      <c r="DC56" s="600"/>
      <c r="DD56" s="600"/>
      <c r="DE56" s="600"/>
      <c r="DF56" s="600"/>
      <c r="DG56" s="600"/>
      <c r="DH56" s="600"/>
      <c r="DI56" s="597"/>
      <c r="DJ56" s="610"/>
      <c r="DK56" s="610"/>
      <c r="DL56" s="609"/>
      <c r="DM56" s="610"/>
      <c r="DN56" s="600"/>
      <c r="DO56" s="600"/>
      <c r="DP56" s="600"/>
      <c r="DQ56" s="600"/>
      <c r="DR56" s="600"/>
      <c r="DS56" s="600"/>
      <c r="DT56" s="600"/>
      <c r="DU56" s="600"/>
      <c r="DV56" s="600"/>
      <c r="DW56" s="600"/>
      <c r="DX56" s="600"/>
      <c r="DY56" s="600"/>
      <c r="DZ56" s="600"/>
      <c r="EA56" s="600"/>
      <c r="EB56" s="600"/>
      <c r="EC56" s="600"/>
      <c r="ED56" s="600"/>
      <c r="EE56" s="600"/>
      <c r="EF56" s="600"/>
      <c r="EG56" s="600"/>
      <c r="EH56" s="600"/>
      <c r="EI56" s="600"/>
      <c r="EJ56" s="600"/>
      <c r="EK56" s="600"/>
      <c r="EL56" s="600"/>
      <c r="EM56" s="597">
        <f>EI56+EG56+EE56+EC56+EA56+DY56+DW56+DU56+DS56+DQ56+DO56+EK56</f>
        <v>0</v>
      </c>
      <c r="EN56" s="610">
        <f t="shared" si="94"/>
        <v>0</v>
      </c>
      <c r="EO56" s="610">
        <f t="shared" si="95"/>
        <v>0</v>
      </c>
      <c r="EP56" s="609">
        <f>DQ56+DS56+DU56+DW56+DY56+EA56+EC56+EE56+EG56+EI56+EK56+DO56</f>
        <v>0</v>
      </c>
      <c r="EQ56" s="610">
        <f>DP56+DR56+DT56+DV56</f>
        <v>0</v>
      </c>
      <c r="ER56" s="601" t="e">
        <f t="shared" si="8"/>
        <v>#DIV/0!</v>
      </c>
      <c r="ES56" s="601">
        <f t="shared" si="96"/>
        <v>1</v>
      </c>
      <c r="ET56" s="601">
        <f t="shared" si="97"/>
        <v>1</v>
      </c>
      <c r="EU56" s="602" t="s">
        <v>225</v>
      </c>
      <c r="EV56" s="601">
        <f t="shared" ref="EV56:EV57" si="98">BE56/G56</f>
        <v>1</v>
      </c>
      <c r="EW56" s="1354"/>
      <c r="EX56" s="733"/>
      <c r="EY56" s="733"/>
      <c r="EZ56" s="733"/>
      <c r="FA56" s="733"/>
      <c r="FB56" s="770"/>
    </row>
    <row r="57" spans="1:158" s="603" customFormat="1" ht="19.149999999999999" customHeight="1" thickBot="1" x14ac:dyDescent="0.25">
      <c r="A57" s="733"/>
      <c r="B57" s="733"/>
      <c r="C57" s="734"/>
      <c r="D57" s="733"/>
      <c r="E57" s="734"/>
      <c r="F57" s="593" t="s">
        <v>43</v>
      </c>
      <c r="G57" s="1369">
        <v>6</v>
      </c>
      <c r="H57" s="1436">
        <v>0.5</v>
      </c>
      <c r="I57" s="1371"/>
      <c r="J57" s="1371"/>
      <c r="K57" s="1371">
        <v>0.5</v>
      </c>
      <c r="L57" s="1371">
        <v>0.05</v>
      </c>
      <c r="M57" s="1371">
        <v>0.5</v>
      </c>
      <c r="N57" s="1408">
        <v>0.1</v>
      </c>
      <c r="O57" s="1371">
        <v>0.5</v>
      </c>
      <c r="P57" s="1408">
        <v>0.15</v>
      </c>
      <c r="Q57" s="1371">
        <v>0.5</v>
      </c>
      <c r="R57" s="1409">
        <v>0.22</v>
      </c>
      <c r="S57" s="1371">
        <v>0.5</v>
      </c>
      <c r="T57" s="1410">
        <v>0.42</v>
      </c>
      <c r="U57" s="1369">
        <v>0.5</v>
      </c>
      <c r="V57" s="1369">
        <v>0.5</v>
      </c>
      <c r="W57" s="1375">
        <f t="shared" si="24"/>
        <v>0.5</v>
      </c>
      <c r="X57" s="1375">
        <f t="shared" si="25"/>
        <v>0.5</v>
      </c>
      <c r="Y57" s="1375">
        <f t="shared" si="26"/>
        <v>0.5</v>
      </c>
      <c r="Z57" s="1375">
        <f t="shared" si="27"/>
        <v>0.5</v>
      </c>
      <c r="AA57" s="1375">
        <f t="shared" si="28"/>
        <v>0.5</v>
      </c>
      <c r="AB57" s="1369">
        <v>0.6</v>
      </c>
      <c r="AC57" s="1376">
        <v>0.06</v>
      </c>
      <c r="AD57" s="1376">
        <v>0.06</v>
      </c>
      <c r="AE57" s="1376">
        <v>0.03</v>
      </c>
      <c r="AF57" s="1376">
        <v>0.03</v>
      </c>
      <c r="AG57" s="1376">
        <v>0.06</v>
      </c>
      <c r="AH57" s="1376">
        <v>0.06</v>
      </c>
      <c r="AI57" s="1376">
        <v>0.05</v>
      </c>
      <c r="AJ57" s="1376">
        <v>0.05</v>
      </c>
      <c r="AK57" s="1376">
        <v>0.05</v>
      </c>
      <c r="AL57" s="1376">
        <v>0.05</v>
      </c>
      <c r="AM57" s="1376">
        <v>0.05</v>
      </c>
      <c r="AN57" s="1376">
        <v>0.05</v>
      </c>
      <c r="AO57" s="1376">
        <v>0.05</v>
      </c>
      <c r="AP57" s="1382">
        <v>0.05</v>
      </c>
      <c r="AQ57" s="1376">
        <v>0.05</v>
      </c>
      <c r="AR57" s="1376">
        <v>0.05</v>
      </c>
      <c r="AS57" s="1376">
        <v>0.05</v>
      </c>
      <c r="AT57" s="1376">
        <v>0.05</v>
      </c>
      <c r="AU57" s="1376">
        <v>0.05</v>
      </c>
      <c r="AV57" s="1376">
        <v>0.05</v>
      </c>
      <c r="AW57" s="1376">
        <v>0.05</v>
      </c>
      <c r="AX57" s="1376">
        <v>0.05</v>
      </c>
      <c r="AY57" s="1376">
        <v>0.01</v>
      </c>
      <c r="AZ57" s="1376">
        <v>0.05</v>
      </c>
      <c r="BA57" s="1380">
        <f t="shared" ref="BA57:BD57" si="99">BA52+BA55</f>
        <v>0.60000000000000009</v>
      </c>
      <c r="BB57" s="1381">
        <f t="shared" si="17"/>
        <v>0.55999999999999994</v>
      </c>
      <c r="BC57" s="1381">
        <f t="shared" si="11"/>
        <v>0.6</v>
      </c>
      <c r="BD57" s="1381">
        <f t="shared" si="99"/>
        <v>0.60000000000000009</v>
      </c>
      <c r="BE57" s="1381">
        <f t="shared" si="6"/>
        <v>0.6</v>
      </c>
      <c r="BF57" s="1380">
        <v>1.5</v>
      </c>
      <c r="BG57" s="1380"/>
      <c r="BH57" s="1380"/>
      <c r="BI57" s="1380"/>
      <c r="BJ57" s="1380"/>
      <c r="BK57" s="1380"/>
      <c r="BL57" s="1380"/>
      <c r="BM57" s="1380"/>
      <c r="BN57" s="1380"/>
      <c r="BO57" s="1380"/>
      <c r="BP57" s="1380"/>
      <c r="BQ57" s="1380"/>
      <c r="BR57" s="1380"/>
      <c r="BS57" s="1380"/>
      <c r="BT57" s="1380"/>
      <c r="BU57" s="1380"/>
      <c r="BV57" s="1380"/>
      <c r="BW57" s="1380"/>
      <c r="BX57" s="1380"/>
      <c r="BY57" s="1380"/>
      <c r="BZ57" s="1380"/>
      <c r="CA57" s="1380"/>
      <c r="CB57" s="1380"/>
      <c r="CC57" s="1380"/>
      <c r="CD57" s="1380"/>
      <c r="CE57" s="1382"/>
      <c r="CF57" s="1385"/>
      <c r="CG57" s="1385"/>
      <c r="CH57" s="1386"/>
      <c r="CI57" s="1385"/>
      <c r="CJ57" s="1380">
        <v>2.9</v>
      </c>
      <c r="CK57" s="1380"/>
      <c r="CL57" s="1380"/>
      <c r="CM57" s="1380"/>
      <c r="CN57" s="1380"/>
      <c r="CO57" s="1380"/>
      <c r="CP57" s="1380"/>
      <c r="CQ57" s="1380"/>
      <c r="CR57" s="1380"/>
      <c r="CS57" s="1380"/>
      <c r="CT57" s="1380"/>
      <c r="CU57" s="1380"/>
      <c r="CV57" s="1380"/>
      <c r="CW57" s="1380"/>
      <c r="CX57" s="1380"/>
      <c r="CY57" s="1380"/>
      <c r="CZ57" s="1380"/>
      <c r="DA57" s="1380"/>
      <c r="DB57" s="1380"/>
      <c r="DC57" s="1380"/>
      <c r="DD57" s="1380"/>
      <c r="DE57" s="1380"/>
      <c r="DF57" s="1380"/>
      <c r="DG57" s="1380"/>
      <c r="DH57" s="1380"/>
      <c r="DI57" s="1382">
        <v>0</v>
      </c>
      <c r="DJ57" s="1385">
        <v>0</v>
      </c>
      <c r="DK57" s="1385">
        <v>0</v>
      </c>
      <c r="DL57" s="1386">
        <v>0</v>
      </c>
      <c r="DM57" s="1385">
        <v>0</v>
      </c>
      <c r="DN57" s="1380">
        <v>0.5</v>
      </c>
      <c r="DO57" s="1376"/>
      <c r="DP57" s="1376"/>
      <c r="DQ57" s="1376"/>
      <c r="DR57" s="1376"/>
      <c r="DS57" s="1376"/>
      <c r="DT57" s="1376"/>
      <c r="DU57" s="1376"/>
      <c r="DV57" s="1376"/>
      <c r="DW57" s="1376"/>
      <c r="DX57" s="1376"/>
      <c r="DY57" s="1376"/>
      <c r="DZ57" s="1376"/>
      <c r="EA57" s="1376"/>
      <c r="EB57" s="1376"/>
      <c r="EC57" s="1376"/>
      <c r="ED57" s="1376"/>
      <c r="EE57" s="1376"/>
      <c r="EF57" s="1376"/>
      <c r="EG57" s="1376"/>
      <c r="EH57" s="1376"/>
      <c r="EI57" s="1376"/>
      <c r="EJ57" s="1376"/>
      <c r="EK57" s="1376"/>
      <c r="EL57" s="1376"/>
      <c r="EM57" s="1382">
        <f>EI57+EG57+EE57+EC57+EA57+DY57+DW57+DU57+DS57+DQ57+DO57+EK57</f>
        <v>0</v>
      </c>
      <c r="EN57" s="1385">
        <f t="shared" si="94"/>
        <v>0</v>
      </c>
      <c r="EO57" s="1385">
        <f t="shared" si="95"/>
        <v>0</v>
      </c>
      <c r="EP57" s="1386">
        <f>DQ57+DS57+DU57+DW57+DY57+EA57+EC57+EE57+EG57+EI57+EK57+DO57</f>
        <v>0</v>
      </c>
      <c r="EQ57" s="1385">
        <f>DR57+DT57+DV57+DP57</f>
        <v>0</v>
      </c>
      <c r="ER57" s="1387">
        <f t="shared" si="8"/>
        <v>1</v>
      </c>
      <c r="ES57" s="1387">
        <f t="shared" si="96"/>
        <v>1.0714285714285714</v>
      </c>
      <c r="ET57" s="1387">
        <f t="shared" si="97"/>
        <v>0.99999999999999978</v>
      </c>
      <c r="EU57" s="1388" t="s">
        <v>225</v>
      </c>
      <c r="EV57" s="1387">
        <f t="shared" si="98"/>
        <v>9.9999999999999992E-2</v>
      </c>
      <c r="EW57" s="1354"/>
      <c r="EX57" s="733"/>
      <c r="EY57" s="733"/>
      <c r="EZ57" s="733"/>
      <c r="FA57" s="733"/>
      <c r="FB57" s="770"/>
    </row>
    <row r="58" spans="1:158" s="640" customFormat="1" ht="19.149999999999999" customHeight="1" thickBot="1" x14ac:dyDescent="0.25">
      <c r="A58" s="733"/>
      <c r="B58" s="733"/>
      <c r="C58" s="734"/>
      <c r="D58" s="733"/>
      <c r="E58" s="734"/>
      <c r="F58" s="1367" t="s">
        <v>45</v>
      </c>
      <c r="G58" s="1392">
        <v>2640757000</v>
      </c>
      <c r="H58" s="1393">
        <v>220180000</v>
      </c>
      <c r="I58" s="1394"/>
      <c r="J58" s="1395"/>
      <c r="K58" s="1441">
        <v>220180000</v>
      </c>
      <c r="L58" s="1441">
        <v>0</v>
      </c>
      <c r="M58" s="1441">
        <v>220180000</v>
      </c>
      <c r="N58" s="1441">
        <v>162068000</v>
      </c>
      <c r="O58" s="1441">
        <v>220180000</v>
      </c>
      <c r="P58" s="1441">
        <v>162068000</v>
      </c>
      <c r="Q58" s="1441">
        <v>199997000</v>
      </c>
      <c r="R58" s="1441">
        <v>162068000</v>
      </c>
      <c r="S58" s="1442">
        <v>218352000</v>
      </c>
      <c r="T58" s="1443">
        <v>162068000</v>
      </c>
      <c r="U58" s="1441">
        <v>218352000</v>
      </c>
      <c r="V58" s="1441">
        <v>200757000</v>
      </c>
      <c r="W58" s="1399">
        <f t="shared" si="24"/>
        <v>220180000</v>
      </c>
      <c r="X58" s="1399">
        <f t="shared" si="25"/>
        <v>220180000</v>
      </c>
      <c r="Y58" s="1399">
        <f t="shared" si="26"/>
        <v>200757000</v>
      </c>
      <c r="Z58" s="1399">
        <f t="shared" si="27"/>
        <v>218352000</v>
      </c>
      <c r="AA58" s="1399">
        <f t="shared" si="28"/>
        <v>200757000</v>
      </c>
      <c r="AB58" s="1400">
        <f>+AB53+AB56</f>
        <v>528105067</v>
      </c>
      <c r="AC58" s="1400">
        <f>+AC53+AC56</f>
        <v>18479500</v>
      </c>
      <c r="AD58" s="1400">
        <f>+AD53+AD56</f>
        <v>18479500</v>
      </c>
      <c r="AE58" s="1400">
        <f>+AE53+AE56</f>
        <v>358866300</v>
      </c>
      <c r="AF58" s="1400">
        <f t="shared" ref="AF58:AZ58" si="100">+AF53+AF56</f>
        <v>358866300</v>
      </c>
      <c r="AG58" s="1400">
        <f t="shared" si="100"/>
        <v>103002267</v>
      </c>
      <c r="AH58" s="1400">
        <f t="shared" si="100"/>
        <v>103002267</v>
      </c>
      <c r="AI58" s="1400">
        <f t="shared" si="100"/>
        <v>0</v>
      </c>
      <c r="AJ58" s="1400">
        <f t="shared" si="100"/>
        <v>0</v>
      </c>
      <c r="AK58" s="1400">
        <f t="shared" si="100"/>
        <v>0</v>
      </c>
      <c r="AL58" s="1400">
        <f t="shared" si="100"/>
        <v>0</v>
      </c>
      <c r="AM58" s="1400">
        <f t="shared" si="100"/>
        <v>0</v>
      </c>
      <c r="AN58" s="1400">
        <f t="shared" si="100"/>
        <v>0</v>
      </c>
      <c r="AO58" s="1400">
        <f t="shared" si="100"/>
        <v>0</v>
      </c>
      <c r="AP58" s="1400">
        <f t="shared" si="100"/>
        <v>0</v>
      </c>
      <c r="AQ58" s="1400">
        <f t="shared" si="100"/>
        <v>8646000</v>
      </c>
      <c r="AR58" s="1400">
        <v>0</v>
      </c>
      <c r="AS58" s="1400">
        <f t="shared" si="100"/>
        <v>0</v>
      </c>
      <c r="AT58" s="1400">
        <f t="shared" si="100"/>
        <v>0</v>
      </c>
      <c r="AU58" s="1400">
        <f t="shared" si="100"/>
        <v>0</v>
      </c>
      <c r="AV58" s="1400">
        <f t="shared" si="100"/>
        <v>0</v>
      </c>
      <c r="AW58" s="1400">
        <f t="shared" si="100"/>
        <v>0</v>
      </c>
      <c r="AX58" s="1400">
        <f t="shared" si="100"/>
        <v>0</v>
      </c>
      <c r="AY58" s="1400">
        <f t="shared" si="100"/>
        <v>4041500</v>
      </c>
      <c r="AZ58" s="1400">
        <f t="shared" si="100"/>
        <v>4041500</v>
      </c>
      <c r="BA58" s="1401">
        <f>AY58+AW58+AU58+AS58+AQ58+AO58+AM58+AK58+AI58+AG58+AE58+AC58</f>
        <v>493035567</v>
      </c>
      <c r="BB58" s="1431">
        <f t="shared" si="17"/>
        <v>493035567</v>
      </c>
      <c r="BC58" s="1401">
        <f t="shared" si="11"/>
        <v>484389567</v>
      </c>
      <c r="BD58" s="1401">
        <f t="shared" ref="BD58" si="101">+BD53+BD56</f>
        <v>493035567</v>
      </c>
      <c r="BE58" s="1401">
        <f t="shared" si="6"/>
        <v>484389567</v>
      </c>
      <c r="BF58" s="1394">
        <v>819000000</v>
      </c>
      <c r="BG58" s="1402"/>
      <c r="BH58" s="1402"/>
      <c r="BI58" s="1402"/>
      <c r="BJ58" s="1402"/>
      <c r="BK58" s="1402"/>
      <c r="BL58" s="1402"/>
      <c r="BM58" s="1402"/>
      <c r="BN58" s="1402"/>
      <c r="BO58" s="1402"/>
      <c r="BP58" s="1402"/>
      <c r="BQ58" s="1402"/>
      <c r="BR58" s="1402"/>
      <c r="BS58" s="1402"/>
      <c r="BT58" s="1402"/>
      <c r="BU58" s="1402"/>
      <c r="BV58" s="1402"/>
      <c r="BW58" s="1402"/>
      <c r="BX58" s="1402"/>
      <c r="BY58" s="1402"/>
      <c r="BZ58" s="1402"/>
      <c r="CA58" s="1402"/>
      <c r="CB58" s="1402"/>
      <c r="CC58" s="1402"/>
      <c r="CD58" s="1402"/>
      <c r="CE58" s="1401"/>
      <c r="CF58" s="1403"/>
      <c r="CG58" s="1404"/>
      <c r="CH58" s="1403"/>
      <c r="CI58" s="1403"/>
      <c r="CJ58" s="1398">
        <v>819000000</v>
      </c>
      <c r="CK58" s="1398"/>
      <c r="CL58" s="1398"/>
      <c r="CM58" s="1398"/>
      <c r="CN58" s="1398"/>
      <c r="CO58" s="1398"/>
      <c r="CP58" s="1398"/>
      <c r="CQ58" s="1398"/>
      <c r="CR58" s="1398"/>
      <c r="CS58" s="1398"/>
      <c r="CT58" s="1398"/>
      <c r="CU58" s="1398"/>
      <c r="CV58" s="1398"/>
      <c r="CW58" s="1398"/>
      <c r="CX58" s="1398"/>
      <c r="CY58" s="1398"/>
      <c r="CZ58" s="1398"/>
      <c r="DA58" s="1398"/>
      <c r="DB58" s="1398"/>
      <c r="DC58" s="1398"/>
      <c r="DD58" s="1398"/>
      <c r="DE58" s="1398"/>
      <c r="DF58" s="1398"/>
      <c r="DG58" s="1398"/>
      <c r="DH58" s="1398"/>
      <c r="DI58" s="1401">
        <v>0</v>
      </c>
      <c r="DJ58" s="1403">
        <v>0</v>
      </c>
      <c r="DK58" s="1404">
        <v>0</v>
      </c>
      <c r="DL58" s="1403">
        <v>0</v>
      </c>
      <c r="DM58" s="1403">
        <v>0</v>
      </c>
      <c r="DN58" s="1398">
        <v>319001000</v>
      </c>
      <c r="DO58" s="1398"/>
      <c r="DP58" s="1398"/>
      <c r="DQ58" s="1398"/>
      <c r="DR58" s="1398"/>
      <c r="DS58" s="1398"/>
      <c r="DT58" s="1398"/>
      <c r="DU58" s="1398"/>
      <c r="DV58" s="1398"/>
      <c r="DW58" s="1398"/>
      <c r="DX58" s="1398"/>
      <c r="DY58" s="1398"/>
      <c r="DZ58" s="1398"/>
      <c r="EA58" s="1398"/>
      <c r="EB58" s="1398"/>
      <c r="EC58" s="1398"/>
      <c r="ED58" s="1398"/>
      <c r="EE58" s="1398"/>
      <c r="EF58" s="1398"/>
      <c r="EG58" s="1398"/>
      <c r="EH58" s="1398"/>
      <c r="EI58" s="1398"/>
      <c r="EJ58" s="1398"/>
      <c r="EK58" s="1398"/>
      <c r="EL58" s="1398"/>
      <c r="EM58" s="1401">
        <f>EK58+EI58+EG58+EE58+EC58+EA58+DY58+DW58+DU58+DS58+DQ58+DO58</f>
        <v>0</v>
      </c>
      <c r="EN58" s="1403">
        <f t="shared" ref="EN58" si="102">+EN53+EN56</f>
        <v>0</v>
      </c>
      <c r="EO58" s="1404">
        <f t="shared" ref="EO58" si="103">EO53+EO56</f>
        <v>0</v>
      </c>
      <c r="EP58" s="1403">
        <f t="shared" ref="EP58:EQ58" si="104">+EP53+EP56</f>
        <v>0</v>
      </c>
      <c r="EQ58" s="1403">
        <f t="shared" si="104"/>
        <v>0</v>
      </c>
      <c r="ER58" s="1405" t="e">
        <f t="shared" si="8"/>
        <v>#DIV/0!</v>
      </c>
      <c r="ES58" s="1405">
        <f t="shared" si="96"/>
        <v>0.98246373978127222</v>
      </c>
      <c r="ET58" s="1405">
        <f t="shared" si="97"/>
        <v>0.98246373978127222</v>
      </c>
      <c r="EU58" s="1406">
        <f t="shared" ref="EU58" si="105">(BC58+AA58)/(Z58+BB58)</f>
        <v>0.96311293419048472</v>
      </c>
      <c r="EV58" s="1407">
        <f t="shared" ref="EV58" si="106">(BC58+AA58)/G58</f>
        <v>0.25945081921585361</v>
      </c>
      <c r="EW58" s="1368"/>
      <c r="EX58" s="733"/>
      <c r="EY58" s="733"/>
      <c r="EZ58" s="733"/>
      <c r="FA58" s="733"/>
      <c r="FB58" s="770"/>
    </row>
    <row r="59" spans="1:158" s="603" customFormat="1" ht="19.149999999999999" customHeight="1" x14ac:dyDescent="0.2">
      <c r="A59" s="733"/>
      <c r="B59" s="733">
        <v>8</v>
      </c>
      <c r="C59" s="734" t="s">
        <v>296</v>
      </c>
      <c r="D59" s="733" t="s">
        <v>276</v>
      </c>
      <c r="E59" s="734">
        <v>199</v>
      </c>
      <c r="F59" s="593" t="s">
        <v>41</v>
      </c>
      <c r="G59" s="1411">
        <v>9</v>
      </c>
      <c r="H59" s="1434">
        <v>0.5</v>
      </c>
      <c r="I59" s="1413"/>
      <c r="J59" s="1413"/>
      <c r="K59" s="1414">
        <v>0.5</v>
      </c>
      <c r="L59" s="1415">
        <v>0</v>
      </c>
      <c r="M59" s="1414">
        <v>0.5</v>
      </c>
      <c r="N59" s="1414">
        <v>0</v>
      </c>
      <c r="O59" s="1414">
        <v>0.5</v>
      </c>
      <c r="P59" s="1414">
        <v>0</v>
      </c>
      <c r="Q59" s="1414">
        <v>0.5</v>
      </c>
      <c r="R59" s="1414">
        <v>0.17</v>
      </c>
      <c r="S59" s="1416">
        <v>0.5</v>
      </c>
      <c r="T59" s="1417">
        <v>0.34</v>
      </c>
      <c r="U59" s="1418">
        <v>0.5</v>
      </c>
      <c r="V59" s="1414">
        <v>0.5</v>
      </c>
      <c r="W59" s="1419">
        <f t="shared" si="24"/>
        <v>0.5</v>
      </c>
      <c r="X59" s="1419">
        <f t="shared" si="25"/>
        <v>0.5</v>
      </c>
      <c r="Y59" s="1419">
        <f t="shared" si="26"/>
        <v>0.5</v>
      </c>
      <c r="Z59" s="1419">
        <f t="shared" si="27"/>
        <v>0.5</v>
      </c>
      <c r="AA59" s="1419">
        <f t="shared" si="28"/>
        <v>0.5</v>
      </c>
      <c r="AB59" s="1414">
        <v>1.4</v>
      </c>
      <c r="AC59" s="1420">
        <v>7.0000000000000007E-2</v>
      </c>
      <c r="AD59" s="1420">
        <v>7.0000000000000007E-2</v>
      </c>
      <c r="AE59" s="1420">
        <v>0.126</v>
      </c>
      <c r="AF59" s="1420">
        <v>0.126</v>
      </c>
      <c r="AG59" s="1420">
        <v>0.126</v>
      </c>
      <c r="AH59" s="1420">
        <v>0.126</v>
      </c>
      <c r="AI59" s="1420">
        <v>0.126</v>
      </c>
      <c r="AJ59" s="1420">
        <v>0.126</v>
      </c>
      <c r="AK59" s="1420">
        <v>0.126</v>
      </c>
      <c r="AL59" s="1420">
        <v>0.126</v>
      </c>
      <c r="AM59" s="1420">
        <v>0.126</v>
      </c>
      <c r="AN59" s="1420">
        <v>0.126</v>
      </c>
      <c r="AO59" s="1420">
        <v>0.126</v>
      </c>
      <c r="AP59" s="1420">
        <v>0.126</v>
      </c>
      <c r="AQ59" s="1421">
        <v>0.126</v>
      </c>
      <c r="AR59" s="1420">
        <v>0.126</v>
      </c>
      <c r="AS59" s="1420">
        <v>0.126</v>
      </c>
      <c r="AT59" s="1420">
        <v>0.126</v>
      </c>
      <c r="AU59" s="1420">
        <v>0.126</v>
      </c>
      <c r="AV59" s="1420">
        <v>0.126</v>
      </c>
      <c r="AW59" s="1420">
        <v>0.126</v>
      </c>
      <c r="AX59" s="1420">
        <v>0.126</v>
      </c>
      <c r="AY59" s="1420">
        <v>7.0000000000000007E-2</v>
      </c>
      <c r="AZ59" s="1418">
        <v>7.0000000000000007E-2</v>
      </c>
      <c r="BA59" s="1423">
        <f>AY59+AW59+AU59+AS59+AO59+AM59+AK59+AI59+AG59+AE59+AC59+AQ59</f>
        <v>1.4000000000000004</v>
      </c>
      <c r="BB59" s="1422">
        <f t="shared" si="17"/>
        <v>1.4000000000000001</v>
      </c>
      <c r="BC59" s="1437">
        <f>+AN59+AD59+AF59+AH59+AJ59+AL59+AP59+AR59+AT59+AV59+AX59+AZ59</f>
        <v>1.4000000000000001</v>
      </c>
      <c r="BD59" s="1423">
        <f>BA59</f>
        <v>1.4000000000000004</v>
      </c>
      <c r="BE59" s="1423">
        <f t="shared" si="6"/>
        <v>1.4000000000000001</v>
      </c>
      <c r="BF59" s="1438">
        <v>2.5</v>
      </c>
      <c r="BG59" s="1438"/>
      <c r="BH59" s="1438"/>
      <c r="BI59" s="1438"/>
      <c r="BJ59" s="1438"/>
      <c r="BK59" s="1438"/>
      <c r="BL59" s="1438"/>
      <c r="BM59" s="1438"/>
      <c r="BN59" s="1438"/>
      <c r="BO59" s="1438"/>
      <c r="BP59" s="1438"/>
      <c r="BQ59" s="1438"/>
      <c r="BR59" s="1438"/>
      <c r="BS59" s="1438"/>
      <c r="BT59" s="1438"/>
      <c r="BU59" s="1438"/>
      <c r="BV59" s="1438"/>
      <c r="BW59" s="1438"/>
      <c r="BX59" s="1438"/>
      <c r="BY59" s="1438"/>
      <c r="BZ59" s="1438"/>
      <c r="CA59" s="1438"/>
      <c r="CB59" s="1438"/>
      <c r="CC59" s="1438"/>
      <c r="CD59" s="1438"/>
      <c r="CE59" s="1439"/>
      <c r="CF59" s="1439"/>
      <c r="CG59" s="1439"/>
      <c r="CH59" s="1440"/>
      <c r="CI59" s="1439"/>
      <c r="CJ59" s="1438">
        <v>3.5</v>
      </c>
      <c r="CK59" s="1438"/>
      <c r="CL59" s="1438"/>
      <c r="CM59" s="1438"/>
      <c r="CN59" s="1438"/>
      <c r="CO59" s="1438"/>
      <c r="CP59" s="1438"/>
      <c r="CQ59" s="1438"/>
      <c r="CR59" s="1438"/>
      <c r="CS59" s="1438"/>
      <c r="CT59" s="1438"/>
      <c r="CU59" s="1438"/>
      <c r="CV59" s="1438"/>
      <c r="CW59" s="1438"/>
      <c r="CX59" s="1438"/>
      <c r="CY59" s="1438"/>
      <c r="CZ59" s="1438"/>
      <c r="DA59" s="1438"/>
      <c r="DB59" s="1438"/>
      <c r="DC59" s="1438"/>
      <c r="DD59" s="1438"/>
      <c r="DE59" s="1438"/>
      <c r="DF59" s="1438"/>
      <c r="DG59" s="1438"/>
      <c r="DH59" s="1438"/>
      <c r="DI59" s="1439">
        <f>DG59+DE59+DC59+DA59+CY59+CW59+CU59+CS59+CQ59+CO59+CM59+CK59</f>
        <v>0</v>
      </c>
      <c r="DJ59" s="1439">
        <f t="shared" ref="DJ59:DJ62" si="107">CK59+CM59+CO59+CQ59</f>
        <v>0</v>
      </c>
      <c r="DK59" s="1439">
        <f t="shared" ref="DK59:DK62" si="108">CL59+CN59+CP59+CR59</f>
        <v>0</v>
      </c>
      <c r="DL59" s="1440">
        <f>CM59+CO59+CQ59+CS59+CU59+CW59+CY59+DA59+DC59+DE59+DG59+CK59</f>
        <v>0</v>
      </c>
      <c r="DM59" s="1439">
        <f>CL59+CN59+CP59+CR59</f>
        <v>0</v>
      </c>
      <c r="DN59" s="1438">
        <v>1.1000000000000001</v>
      </c>
      <c r="DO59" s="1413"/>
      <c r="DP59" s="1413"/>
      <c r="DQ59" s="1413"/>
      <c r="DR59" s="1413"/>
      <c r="DS59" s="1413"/>
      <c r="DT59" s="1413"/>
      <c r="DU59" s="1413"/>
      <c r="DV59" s="1413"/>
      <c r="DW59" s="1413"/>
      <c r="DX59" s="1413"/>
      <c r="DY59" s="1413"/>
      <c r="DZ59" s="1413"/>
      <c r="EA59" s="1413"/>
      <c r="EB59" s="1413"/>
      <c r="EC59" s="1413"/>
      <c r="ED59" s="1413"/>
      <c r="EE59" s="1413"/>
      <c r="EF59" s="1413"/>
      <c r="EG59" s="1426"/>
      <c r="EH59" s="1426"/>
      <c r="EI59" s="1426"/>
      <c r="EJ59" s="1426"/>
      <c r="EK59" s="1426"/>
      <c r="EL59" s="1426"/>
      <c r="EM59" s="1411">
        <f>EK59+EI59+EG59+EE59+EC59+EA59+DY59+DW59+DU59+DS59+DQ59+DO59</f>
        <v>0</v>
      </c>
      <c r="EN59" s="1424">
        <f t="shared" ref="EN59:EN63" si="109">DO59+DQ59+DS59+DU59</f>
        <v>0</v>
      </c>
      <c r="EO59" s="1427">
        <f t="shared" ref="EO59:EO64" si="110">DP59+DR59+DT59+DV59</f>
        <v>0</v>
      </c>
      <c r="EP59" s="1428">
        <f>DQ59+DS59+DU59+DW59+DY59+EA59+EC59+EE59+EG59+EI59+EK59+DO59</f>
        <v>0</v>
      </c>
      <c r="EQ59" s="1423">
        <f>DP59+DR59+DT59+DV59</f>
        <v>0</v>
      </c>
      <c r="ER59" s="1429">
        <f t="shared" si="8"/>
        <v>1</v>
      </c>
      <c r="ES59" s="1429">
        <f>BC59/BB59</f>
        <v>1</v>
      </c>
      <c r="ET59" s="1429">
        <f>BE59/BD59</f>
        <v>0.99999999999999989</v>
      </c>
      <c r="EU59" s="1430">
        <f>(BC59+AA59)/(Z59+BB59)</f>
        <v>1</v>
      </c>
      <c r="EV59" s="1429">
        <f>(BC59+AA59)/G59</f>
        <v>0.21111111111111114</v>
      </c>
      <c r="EW59" s="1354" t="s">
        <v>1188</v>
      </c>
      <c r="EX59" s="733" t="s">
        <v>70</v>
      </c>
      <c r="EY59" s="733" t="s">
        <v>70</v>
      </c>
      <c r="EZ59" s="733" t="s">
        <v>695</v>
      </c>
      <c r="FA59" s="733" t="s">
        <v>696</v>
      </c>
      <c r="FB59" s="770"/>
    </row>
    <row r="60" spans="1:158" s="611" customFormat="1" ht="19.149999999999999" customHeight="1" x14ac:dyDescent="0.2">
      <c r="A60" s="733"/>
      <c r="B60" s="733"/>
      <c r="C60" s="734"/>
      <c r="D60" s="733"/>
      <c r="E60" s="734"/>
      <c r="F60" s="604" t="s">
        <v>3</v>
      </c>
      <c r="G60" s="605">
        <f>AA60+BD60+BF60+CJ60+DN60</f>
        <v>1391569000</v>
      </c>
      <c r="H60" s="644">
        <v>159600000</v>
      </c>
      <c r="I60" s="607"/>
      <c r="J60" s="600"/>
      <c r="K60" s="607">
        <v>159600000</v>
      </c>
      <c r="L60" s="600">
        <v>0</v>
      </c>
      <c r="M60" s="607">
        <v>152972000</v>
      </c>
      <c r="N60" s="600">
        <v>101484000</v>
      </c>
      <c r="O60" s="607">
        <v>152972000</v>
      </c>
      <c r="P60" s="600">
        <v>116067000</v>
      </c>
      <c r="Q60" s="607">
        <v>136314000</v>
      </c>
      <c r="R60" s="600">
        <v>116067000</v>
      </c>
      <c r="S60" s="607">
        <v>156172000</v>
      </c>
      <c r="T60" s="645">
        <v>116067000</v>
      </c>
      <c r="U60" s="646">
        <v>156172000</v>
      </c>
      <c r="V60" s="646">
        <v>151311000</v>
      </c>
      <c r="W60" s="598">
        <f t="shared" si="24"/>
        <v>159600000</v>
      </c>
      <c r="X60" s="598">
        <f t="shared" si="25"/>
        <v>159600000</v>
      </c>
      <c r="Y60" s="598">
        <f t="shared" si="26"/>
        <v>151311000</v>
      </c>
      <c r="Z60" s="598">
        <f t="shared" si="27"/>
        <v>156172000</v>
      </c>
      <c r="AA60" s="598">
        <f t="shared" si="28"/>
        <v>151311000</v>
      </c>
      <c r="AB60" s="653">
        <v>250350000</v>
      </c>
      <c r="AC60" s="646">
        <v>0</v>
      </c>
      <c r="AD60" s="600">
        <v>0</v>
      </c>
      <c r="AE60" s="646">
        <v>99990000</v>
      </c>
      <c r="AF60" s="600">
        <v>99990000</v>
      </c>
      <c r="AG60" s="600">
        <f>207261000-AF60</f>
        <v>107271000</v>
      </c>
      <c r="AH60" s="600">
        <v>107271000</v>
      </c>
      <c r="AI60" s="600">
        <f>222016000-AF60-AH60</f>
        <v>14755000</v>
      </c>
      <c r="AJ60" s="600">
        <v>14755000</v>
      </c>
      <c r="AK60" s="600">
        <v>0</v>
      </c>
      <c r="AL60" s="600">
        <v>0</v>
      </c>
      <c r="AM60" s="600">
        <v>43620000</v>
      </c>
      <c r="AN60" s="600">
        <v>0</v>
      </c>
      <c r="AO60" s="600">
        <v>0</v>
      </c>
      <c r="AP60" s="600">
        <v>0</v>
      </c>
      <c r="AQ60" s="607">
        <f>11504067+568933</f>
        <v>12073000</v>
      </c>
      <c r="AR60" s="607">
        <v>34896000</v>
      </c>
      <c r="AS60" s="600">
        <v>0</v>
      </c>
      <c r="AT60" s="607">
        <v>10815500</v>
      </c>
      <c r="AU60" s="607">
        <v>0</v>
      </c>
      <c r="AV60" s="600">
        <v>0</v>
      </c>
      <c r="AW60" s="600">
        <v>0</v>
      </c>
      <c r="AX60" s="600">
        <v>8724000</v>
      </c>
      <c r="AY60" s="600">
        <v>0</v>
      </c>
      <c r="AZ60" s="600">
        <v>0</v>
      </c>
      <c r="BA60" s="594">
        <f>AY60+AW60+AU60+AS60+AQ60+AO60+AM60+AK60+AI60+AG60+AE60+AC60</f>
        <v>277709000</v>
      </c>
      <c r="BB60" s="599">
        <f t="shared" si="17"/>
        <v>277709000</v>
      </c>
      <c r="BC60" s="599">
        <f>+AN60+AD60+AF60+AH60+AJ60+AL60+AP60+AR60+AT60+AV60+AX60+AZ60</f>
        <v>276451500</v>
      </c>
      <c r="BD60" s="599">
        <f>BA60</f>
        <v>277709000</v>
      </c>
      <c r="BE60" s="599">
        <f>AF60+AH60+AJ60+AL60+AD60+AN60+AP60+AR60+AT60+AV60+AX60+AZ60</f>
        <v>276451500</v>
      </c>
      <c r="BF60" s="600">
        <v>289724000</v>
      </c>
      <c r="BG60" s="600"/>
      <c r="BH60" s="600"/>
      <c r="BI60" s="600"/>
      <c r="BJ60" s="600"/>
      <c r="BK60" s="626"/>
      <c r="BL60" s="626"/>
      <c r="BM60" s="626"/>
      <c r="BN60" s="626"/>
      <c r="BO60" s="626"/>
      <c r="BP60" s="626"/>
      <c r="BQ60" s="626"/>
      <c r="BR60" s="600"/>
      <c r="BS60" s="600"/>
      <c r="BT60" s="600"/>
      <c r="BU60" s="626"/>
      <c r="BV60" s="600"/>
      <c r="BW60" s="600"/>
      <c r="BX60" s="600"/>
      <c r="BY60" s="600"/>
      <c r="BZ60" s="600"/>
      <c r="CA60" s="600"/>
      <c r="CB60" s="600"/>
      <c r="CC60" s="600"/>
      <c r="CD60" s="600"/>
      <c r="CE60" s="594"/>
      <c r="CF60" s="610"/>
      <c r="CG60" s="610"/>
      <c r="CH60" s="631"/>
      <c r="CI60" s="610"/>
      <c r="CJ60" s="600">
        <v>513225000</v>
      </c>
      <c r="CK60" s="600"/>
      <c r="CL60" s="600"/>
      <c r="CM60" s="600"/>
      <c r="CN60" s="600"/>
      <c r="CO60" s="600"/>
      <c r="CP60" s="600"/>
      <c r="CQ60" s="600"/>
      <c r="CR60" s="600"/>
      <c r="CS60" s="600"/>
      <c r="CT60" s="600"/>
      <c r="CU60" s="600"/>
      <c r="CV60" s="600"/>
      <c r="CW60" s="600"/>
      <c r="CX60" s="600"/>
      <c r="CY60" s="600"/>
      <c r="CZ60" s="600"/>
      <c r="DA60" s="600"/>
      <c r="DB60" s="600"/>
      <c r="DC60" s="600"/>
      <c r="DD60" s="600"/>
      <c r="DE60" s="600"/>
      <c r="DF60" s="600"/>
      <c r="DG60" s="600"/>
      <c r="DH60" s="600"/>
      <c r="DI60" s="594">
        <f>DG60+DE60+DC60+DA60+CY60+CW60+CU60+CS60+CQ60+CO60+CM60+CK60</f>
        <v>0</v>
      </c>
      <c r="DJ60" s="610">
        <f t="shared" si="107"/>
        <v>0</v>
      </c>
      <c r="DK60" s="610">
        <f t="shared" si="108"/>
        <v>0</v>
      </c>
      <c r="DL60" s="631">
        <f>CM60+CO60+CQ60+CS60+CU60+CW60+CY60+DA60+DC60+DE60+DG60+CK60</f>
        <v>0</v>
      </c>
      <c r="DM60" s="610">
        <f>CL60+CN60+CP60+CR60</f>
        <v>0</v>
      </c>
      <c r="DN60" s="600">
        <v>159600000</v>
      </c>
      <c r="DO60" s="600"/>
      <c r="DP60" s="600"/>
      <c r="DQ60" s="600"/>
      <c r="DR60" s="600"/>
      <c r="DS60" s="600"/>
      <c r="DT60" s="600"/>
      <c r="DU60" s="600"/>
      <c r="DV60" s="600"/>
      <c r="DW60" s="600"/>
      <c r="DX60" s="600"/>
      <c r="DY60" s="600"/>
      <c r="DZ60" s="600"/>
      <c r="EA60" s="600"/>
      <c r="EB60" s="600"/>
      <c r="EC60" s="600"/>
      <c r="ED60" s="600"/>
      <c r="EE60" s="600"/>
      <c r="EF60" s="600"/>
      <c r="EG60" s="600"/>
      <c r="EH60" s="600"/>
      <c r="EI60" s="600"/>
      <c r="EJ60" s="600"/>
      <c r="EK60" s="600"/>
      <c r="EL60" s="600"/>
      <c r="EM60" s="594">
        <f>EK60+EI60+EG60+EE60+EC60+EA60+DY60+DW60+DU60+DS60+DQ60+DO60</f>
        <v>0</v>
      </c>
      <c r="EN60" s="610">
        <f t="shared" si="109"/>
        <v>0</v>
      </c>
      <c r="EO60" s="610">
        <f t="shared" si="110"/>
        <v>0</v>
      </c>
      <c r="EP60" s="631">
        <f>DQ60+DS60+DU60+DW60+DY60+EA60+EC60+EE60+EG60+EI60+EK60+DO60</f>
        <v>0</v>
      </c>
      <c r="EQ60" s="610">
        <f>DP60+DR60+DT60+DV60</f>
        <v>0</v>
      </c>
      <c r="ER60" s="601" t="e">
        <f t="shared" si="8"/>
        <v>#DIV/0!</v>
      </c>
      <c r="ES60" s="601">
        <f>BC60/BB60</f>
        <v>0.99547187883720012</v>
      </c>
      <c r="ET60" s="601">
        <f>BE60/BD60</f>
        <v>0.99547187883720012</v>
      </c>
      <c r="EU60" s="602">
        <f>(BC60+AA60)/(Z60+BB60)</f>
        <v>0.98589820711208831</v>
      </c>
      <c r="EV60" s="601">
        <f>(BC60+AA60)/G60</f>
        <v>0.30739582442552255</v>
      </c>
      <c r="EW60" s="1354"/>
      <c r="EX60" s="733"/>
      <c r="EY60" s="733"/>
      <c r="EZ60" s="733"/>
      <c r="FA60" s="733"/>
      <c r="FB60" s="770"/>
    </row>
    <row r="61" spans="1:158" s="611" customFormat="1" ht="19.149999999999999" customHeight="1" x14ac:dyDescent="0.2">
      <c r="A61" s="733"/>
      <c r="B61" s="733"/>
      <c r="C61" s="734"/>
      <c r="D61" s="733"/>
      <c r="E61" s="734"/>
      <c r="F61" s="546" t="s">
        <v>224</v>
      </c>
      <c r="G61" s="605"/>
      <c r="H61" s="644"/>
      <c r="I61" s="607"/>
      <c r="J61" s="600"/>
      <c r="K61" s="607"/>
      <c r="L61" s="600"/>
      <c r="M61" s="607"/>
      <c r="N61" s="600"/>
      <c r="O61" s="607"/>
      <c r="P61" s="600"/>
      <c r="Q61" s="607"/>
      <c r="R61" s="600"/>
      <c r="S61" s="607"/>
      <c r="T61" s="645"/>
      <c r="U61" s="646"/>
      <c r="V61" s="646"/>
      <c r="W61" s="598">
        <f t="shared" si="24"/>
        <v>0</v>
      </c>
      <c r="X61" s="598">
        <f t="shared" si="25"/>
        <v>0</v>
      </c>
      <c r="Y61" s="598">
        <f t="shared" si="26"/>
        <v>0</v>
      </c>
      <c r="Z61" s="598">
        <f t="shared" si="27"/>
        <v>0</v>
      </c>
      <c r="AA61" s="598">
        <f t="shared" si="28"/>
        <v>0</v>
      </c>
      <c r="AB61" s="646"/>
      <c r="AC61" s="646"/>
      <c r="AD61" s="600"/>
      <c r="AE61" s="646"/>
      <c r="AF61" s="600"/>
      <c r="AG61" s="600">
        <v>5581534</v>
      </c>
      <c r="AH61" s="600">
        <v>5581534</v>
      </c>
      <c r="AI61" s="600">
        <f>22792600-AH61</f>
        <v>17211066</v>
      </c>
      <c r="AJ61" s="600">
        <v>17211066</v>
      </c>
      <c r="AK61" s="600">
        <v>19802834</v>
      </c>
      <c r="AL61" s="600">
        <v>19802834</v>
      </c>
      <c r="AM61" s="600">
        <v>26132141</v>
      </c>
      <c r="AN61" s="600">
        <v>22144000</v>
      </c>
      <c r="AO61" s="600">
        <f>23163681+7270000</f>
        <v>30433681</v>
      </c>
      <c r="AP61" s="600">
        <v>22144000</v>
      </c>
      <c r="AQ61" s="607">
        <v>30433681</v>
      </c>
      <c r="AR61" s="600">
        <v>22144000</v>
      </c>
      <c r="AS61" s="600">
        <v>30433681</v>
      </c>
      <c r="AT61" s="600">
        <v>26132667</v>
      </c>
      <c r="AU61" s="600">
        <v>30433681</v>
      </c>
      <c r="AV61" s="600">
        <v>34704000</v>
      </c>
      <c r="AW61" s="600">
        <f>19305298+7270000</f>
        <v>26575298</v>
      </c>
      <c r="AX61" s="600">
        <v>34704000</v>
      </c>
      <c r="AY61" s="600">
        <v>26575298</v>
      </c>
      <c r="AZ61" s="600">
        <v>36749867</v>
      </c>
      <c r="BA61" s="594">
        <f>AW61+AU61+AS61+AQ61+AO61+AM61+AK61+AI61+AG61+AE61+AC61+AY61</f>
        <v>243612895</v>
      </c>
      <c r="BB61" s="599">
        <f t="shared" si="17"/>
        <v>243612895</v>
      </c>
      <c r="BC61" s="599">
        <f t="shared" si="11"/>
        <v>241317968</v>
      </c>
      <c r="BD61" s="599">
        <f>BA61</f>
        <v>243612895</v>
      </c>
      <c r="BE61" s="599">
        <f t="shared" si="6"/>
        <v>241317968</v>
      </c>
      <c r="BF61" s="626"/>
      <c r="BG61" s="600"/>
      <c r="BH61" s="600"/>
      <c r="BI61" s="600"/>
      <c r="BJ61" s="600"/>
      <c r="BK61" s="600"/>
      <c r="BL61" s="600"/>
      <c r="BM61" s="626"/>
      <c r="BN61" s="600"/>
      <c r="BO61" s="626"/>
      <c r="BP61" s="600"/>
      <c r="BQ61" s="626"/>
      <c r="BR61" s="600"/>
      <c r="BS61" s="626"/>
      <c r="BT61" s="600"/>
      <c r="BU61" s="626"/>
      <c r="BV61" s="600"/>
      <c r="BW61" s="626"/>
      <c r="BX61" s="600"/>
      <c r="BY61" s="626"/>
      <c r="BZ61" s="600"/>
      <c r="CA61" s="600"/>
      <c r="CB61" s="600"/>
      <c r="CC61" s="626"/>
      <c r="CD61" s="600"/>
      <c r="CE61" s="594"/>
      <c r="CF61" s="610"/>
      <c r="CG61" s="610"/>
      <c r="CH61" s="645"/>
      <c r="CI61" s="610"/>
      <c r="CJ61" s="600"/>
      <c r="CK61" s="600"/>
      <c r="CL61" s="600"/>
      <c r="CM61" s="600"/>
      <c r="CN61" s="600"/>
      <c r="CO61" s="600"/>
      <c r="CP61" s="600"/>
      <c r="CQ61" s="600"/>
      <c r="CR61" s="600"/>
      <c r="CS61" s="600"/>
      <c r="CT61" s="600"/>
      <c r="CU61" s="600"/>
      <c r="CV61" s="600"/>
      <c r="CW61" s="600"/>
      <c r="CX61" s="600"/>
      <c r="CY61" s="600"/>
      <c r="CZ61" s="600"/>
      <c r="DA61" s="600"/>
      <c r="DB61" s="600"/>
      <c r="DC61" s="600"/>
      <c r="DD61" s="600"/>
      <c r="DE61" s="600"/>
      <c r="DF61" s="600"/>
      <c r="DG61" s="600"/>
      <c r="DH61" s="600"/>
      <c r="DI61" s="594">
        <f>DE61+DC61+DA61+CY61+CW61+CU61+CS61+CQ61+CO61+CM61+CK61+DG61</f>
        <v>0</v>
      </c>
      <c r="DJ61" s="610">
        <f t="shared" si="107"/>
        <v>0</v>
      </c>
      <c r="DK61" s="610">
        <f t="shared" si="108"/>
        <v>0</v>
      </c>
      <c r="DL61" s="609">
        <f>CM61+CO61+CQ61+CS61+CU61+CW61+CY61+DA61+DC61+DE61+DG61</f>
        <v>0</v>
      </c>
      <c r="DM61" s="610">
        <f>CL61+CN61+CP61+CR61</f>
        <v>0</v>
      </c>
      <c r="DN61" s="600"/>
      <c r="DO61" s="600"/>
      <c r="DP61" s="600"/>
      <c r="DQ61" s="600"/>
      <c r="DR61" s="600"/>
      <c r="DS61" s="600"/>
      <c r="DT61" s="600"/>
      <c r="DU61" s="600"/>
      <c r="DV61" s="600"/>
      <c r="DW61" s="600"/>
      <c r="DX61" s="600"/>
      <c r="DY61" s="600"/>
      <c r="DZ61" s="600"/>
      <c r="EA61" s="600"/>
      <c r="EB61" s="600"/>
      <c r="EC61" s="600"/>
      <c r="ED61" s="600"/>
      <c r="EE61" s="600"/>
      <c r="EF61" s="600"/>
      <c r="EG61" s="600"/>
      <c r="EH61" s="600"/>
      <c r="EI61" s="600"/>
      <c r="EJ61" s="600"/>
      <c r="EK61" s="600"/>
      <c r="EL61" s="600"/>
      <c r="EM61" s="594">
        <f>EI61+EG61+EE61+EC61+EA61+DY61+DW61+DU61+DS61+DQ61+DO61+EK61</f>
        <v>0</v>
      </c>
      <c r="EN61" s="610">
        <f t="shared" si="109"/>
        <v>0</v>
      </c>
      <c r="EO61" s="610">
        <f t="shared" si="110"/>
        <v>0</v>
      </c>
      <c r="EP61" s="609">
        <f>DQ61+DS61+DU61+DW61+DY61+EA61+EC61+EE61+EG61+EI61+EK61</f>
        <v>0</v>
      </c>
      <c r="EQ61" s="610">
        <f>DP61+DR61+DT61+DV61</f>
        <v>0</v>
      </c>
      <c r="ER61" s="601">
        <f t="shared" si="8"/>
        <v>1.1403155602505002</v>
      </c>
      <c r="ES61" s="601">
        <f t="shared" ref="ES61:ES65" si="111">BC61/BB61</f>
        <v>0.99057961607492084</v>
      </c>
      <c r="ET61" s="601">
        <f t="shared" ref="ET61:ET65" si="112">BE61/BD61</f>
        <v>0.99057961607492084</v>
      </c>
      <c r="EU61" s="602" t="s">
        <v>225</v>
      </c>
      <c r="EV61" s="602" t="s">
        <v>225</v>
      </c>
      <c r="EW61" s="1354"/>
      <c r="EX61" s="733"/>
      <c r="EY61" s="733"/>
      <c r="EZ61" s="733"/>
      <c r="FA61" s="733"/>
      <c r="FB61" s="770"/>
    </row>
    <row r="62" spans="1:158" s="603" customFormat="1" ht="19.149999999999999" customHeight="1" x14ac:dyDescent="0.2">
      <c r="A62" s="733"/>
      <c r="B62" s="733"/>
      <c r="C62" s="734"/>
      <c r="D62" s="733"/>
      <c r="E62" s="734"/>
      <c r="F62" s="593" t="s">
        <v>42</v>
      </c>
      <c r="G62" s="613"/>
      <c r="H62" s="654"/>
      <c r="I62" s="613"/>
      <c r="J62" s="613"/>
      <c r="K62" s="613"/>
      <c r="L62" s="613"/>
      <c r="M62" s="613"/>
      <c r="N62" s="613"/>
      <c r="O62" s="613"/>
      <c r="P62" s="613"/>
      <c r="Q62" s="613"/>
      <c r="R62" s="613"/>
      <c r="S62" s="613"/>
      <c r="T62" s="613"/>
      <c r="U62" s="613"/>
      <c r="V62" s="613"/>
      <c r="W62" s="598">
        <f t="shared" si="24"/>
        <v>0</v>
      </c>
      <c r="X62" s="598">
        <f t="shared" si="25"/>
        <v>0</v>
      </c>
      <c r="Y62" s="598">
        <f t="shared" si="26"/>
        <v>0</v>
      </c>
      <c r="Z62" s="598">
        <f t="shared" si="27"/>
        <v>0</v>
      </c>
      <c r="AA62" s="598">
        <f t="shared" si="28"/>
        <v>0</v>
      </c>
      <c r="AB62" s="613"/>
      <c r="AC62" s="613"/>
      <c r="AD62" s="613"/>
      <c r="AE62" s="613"/>
      <c r="AF62" s="613"/>
      <c r="AG62" s="613"/>
      <c r="AH62" s="613"/>
      <c r="AI62" s="613"/>
      <c r="AJ62" s="613"/>
      <c r="AK62" s="596"/>
      <c r="AL62" s="596"/>
      <c r="AM62" s="596"/>
      <c r="AN62" s="596"/>
      <c r="AO62" s="596"/>
      <c r="AP62" s="596"/>
      <c r="AQ62" s="643"/>
      <c r="AR62" s="596"/>
      <c r="AS62" s="596"/>
      <c r="AT62" s="596"/>
      <c r="AU62" s="596"/>
      <c r="AV62" s="596"/>
      <c r="AW62" s="596"/>
      <c r="AX62" s="596"/>
      <c r="AY62" s="596"/>
      <c r="AZ62" s="596"/>
      <c r="BA62" s="594">
        <v>0</v>
      </c>
      <c r="BB62" s="599">
        <f t="shared" si="17"/>
        <v>0</v>
      </c>
      <c r="BC62" s="599">
        <f t="shared" si="11"/>
        <v>0</v>
      </c>
      <c r="BD62" s="599">
        <f>AC62+AE62+AG62+AI62+AK62+AM62+AO62+AQ62+AS62+AU62+AW62+AY62</f>
        <v>0</v>
      </c>
      <c r="BE62" s="599">
        <f t="shared" si="6"/>
        <v>0</v>
      </c>
      <c r="BF62" s="596"/>
      <c r="BG62" s="596"/>
      <c r="BH62" s="596"/>
      <c r="BI62" s="596"/>
      <c r="BJ62" s="596"/>
      <c r="BK62" s="596"/>
      <c r="BL62" s="596"/>
      <c r="BM62" s="596"/>
      <c r="BN62" s="596"/>
      <c r="BO62" s="596"/>
      <c r="BP62" s="596"/>
      <c r="BQ62" s="596"/>
      <c r="BR62" s="596"/>
      <c r="BS62" s="596"/>
      <c r="BT62" s="596"/>
      <c r="BU62" s="596"/>
      <c r="BV62" s="596"/>
      <c r="BW62" s="596"/>
      <c r="BX62" s="596"/>
      <c r="BY62" s="596"/>
      <c r="BZ62" s="596"/>
      <c r="CA62" s="596"/>
      <c r="CB62" s="596"/>
      <c r="CC62" s="596"/>
      <c r="CD62" s="596"/>
      <c r="CE62" s="597"/>
      <c r="CF62" s="634"/>
      <c r="CG62" s="635"/>
      <c r="CH62" s="624"/>
      <c r="CI62" s="647"/>
      <c r="CJ62" s="596"/>
      <c r="CK62" s="596"/>
      <c r="CL62" s="596"/>
      <c r="CM62" s="596"/>
      <c r="CN62" s="596"/>
      <c r="CO62" s="596"/>
      <c r="CP62" s="596"/>
      <c r="CQ62" s="596"/>
      <c r="CR62" s="596"/>
      <c r="CS62" s="596"/>
      <c r="CT62" s="596"/>
      <c r="CU62" s="596"/>
      <c r="CV62" s="596"/>
      <c r="CW62" s="596"/>
      <c r="CX62" s="596"/>
      <c r="CY62" s="596"/>
      <c r="CZ62" s="596"/>
      <c r="DA62" s="596"/>
      <c r="DB62" s="596"/>
      <c r="DC62" s="596"/>
      <c r="DD62" s="596"/>
      <c r="DE62" s="596"/>
      <c r="DF62" s="596"/>
      <c r="DG62" s="596"/>
      <c r="DH62" s="596"/>
      <c r="DI62" s="597">
        <f>DE62+DC62+DA62+CY62+CW62+CU62+CS62+CQ62+CO62+CM62+CK62+DG62</f>
        <v>0</v>
      </c>
      <c r="DJ62" s="634">
        <f t="shared" si="107"/>
        <v>0</v>
      </c>
      <c r="DK62" s="635">
        <f t="shared" si="108"/>
        <v>0</v>
      </c>
      <c r="DL62" s="624">
        <f>CM62+CO62+CQ62+CS62+CU62+CW62+CY62+DA62+DC62+DE62+DG62</f>
        <v>0</v>
      </c>
      <c r="DM62" s="647">
        <v>0</v>
      </c>
      <c r="DN62" s="596"/>
      <c r="DO62" s="596"/>
      <c r="DP62" s="596"/>
      <c r="DQ62" s="596"/>
      <c r="DR62" s="596"/>
      <c r="DS62" s="596"/>
      <c r="DT62" s="596"/>
      <c r="DU62" s="596"/>
      <c r="DV62" s="596"/>
      <c r="DW62" s="596"/>
      <c r="DX62" s="596"/>
      <c r="DY62" s="596"/>
      <c r="DZ62" s="596"/>
      <c r="EA62" s="596"/>
      <c r="EB62" s="596"/>
      <c r="EC62" s="596"/>
      <c r="ED62" s="596"/>
      <c r="EE62" s="596"/>
      <c r="EF62" s="596"/>
      <c r="EG62" s="596"/>
      <c r="EH62" s="596"/>
      <c r="EI62" s="596"/>
      <c r="EJ62" s="596"/>
      <c r="EK62" s="596"/>
      <c r="EL62" s="596"/>
      <c r="EM62" s="597">
        <f>EI62+EG62+EE62+EC62+EA62+DY62+DW62+DU62+DS62+DQ62+DO62+EK62</f>
        <v>0</v>
      </c>
      <c r="EN62" s="634">
        <f t="shared" si="109"/>
        <v>0</v>
      </c>
      <c r="EO62" s="635">
        <f t="shared" si="110"/>
        <v>0</v>
      </c>
      <c r="EP62" s="624">
        <f>DQ62+DS62+DU62+DW62+DY62+EA62+EC62+EE62+EG62+EI62+EK62</f>
        <v>0</v>
      </c>
      <c r="EQ62" s="647">
        <v>0</v>
      </c>
      <c r="ER62" s="601" t="e">
        <f t="shared" si="8"/>
        <v>#DIV/0!</v>
      </c>
      <c r="ES62" s="601" t="e">
        <f t="shared" si="111"/>
        <v>#DIV/0!</v>
      </c>
      <c r="ET62" s="601" t="e">
        <f t="shared" si="112"/>
        <v>#DIV/0!</v>
      </c>
      <c r="EU62" s="602" t="s">
        <v>225</v>
      </c>
      <c r="EV62" s="602" t="s">
        <v>225</v>
      </c>
      <c r="EW62" s="1354"/>
      <c r="EX62" s="733"/>
      <c r="EY62" s="733"/>
      <c r="EZ62" s="733"/>
      <c r="FA62" s="733"/>
      <c r="FB62" s="770"/>
    </row>
    <row r="63" spans="1:158" s="611" customFormat="1" ht="19.149999999999999" customHeight="1" x14ac:dyDescent="0.2">
      <c r="A63" s="733"/>
      <c r="B63" s="733"/>
      <c r="C63" s="734"/>
      <c r="D63" s="733"/>
      <c r="E63" s="734"/>
      <c r="F63" s="604" t="s">
        <v>4</v>
      </c>
      <c r="G63" s="605">
        <f>AA63+BD63+BF63+CJ63+DN63</f>
        <v>46923400</v>
      </c>
      <c r="H63" s="636"/>
      <c r="I63" s="637"/>
      <c r="J63" s="637"/>
      <c r="K63" s="637"/>
      <c r="L63" s="637"/>
      <c r="M63" s="637"/>
      <c r="N63" s="637"/>
      <c r="O63" s="637"/>
      <c r="P63" s="637"/>
      <c r="Q63" s="637"/>
      <c r="R63" s="637"/>
      <c r="S63" s="637"/>
      <c r="T63" s="637"/>
      <c r="U63" s="637"/>
      <c r="V63" s="637"/>
      <c r="W63" s="598">
        <f t="shared" si="24"/>
        <v>0</v>
      </c>
      <c r="X63" s="598">
        <f t="shared" si="25"/>
        <v>0</v>
      </c>
      <c r="Y63" s="598">
        <f t="shared" si="26"/>
        <v>0</v>
      </c>
      <c r="Z63" s="598">
        <f t="shared" si="27"/>
        <v>0</v>
      </c>
      <c r="AA63" s="598">
        <f t="shared" si="28"/>
        <v>0</v>
      </c>
      <c r="AB63" s="619">
        <v>46923400</v>
      </c>
      <c r="AC63" s="619">
        <v>5648300</v>
      </c>
      <c r="AD63" s="619">
        <v>5648300</v>
      </c>
      <c r="AE63" s="619">
        <f>33089933-AD63</f>
        <v>27441633</v>
      </c>
      <c r="AF63" s="619">
        <v>27441633</v>
      </c>
      <c r="AG63" s="619">
        <f>42024000-AD63-AF63</f>
        <v>8934067</v>
      </c>
      <c r="AH63" s="619">
        <v>8934067</v>
      </c>
      <c r="AI63" s="619">
        <f>44906000-AD63-AF63-AH63</f>
        <v>2882000</v>
      </c>
      <c r="AJ63" s="619">
        <v>2882000</v>
      </c>
      <c r="AK63" s="600">
        <f>46923400-AD63-AF63-AH63-AJ63</f>
        <v>2017400</v>
      </c>
      <c r="AL63" s="600">
        <v>2017400</v>
      </c>
      <c r="AM63" s="600">
        <v>0</v>
      </c>
      <c r="AN63" s="600">
        <v>0</v>
      </c>
      <c r="AO63" s="600">
        <v>0</v>
      </c>
      <c r="AP63" s="600">
        <v>0</v>
      </c>
      <c r="AQ63" s="607"/>
      <c r="AR63" s="600"/>
      <c r="AS63" s="600"/>
      <c r="AT63" s="600">
        <v>0</v>
      </c>
      <c r="AU63" s="600"/>
      <c r="AV63" s="600">
        <v>0</v>
      </c>
      <c r="AW63" s="600"/>
      <c r="AX63" s="600"/>
      <c r="AY63" s="600"/>
      <c r="AZ63" s="600"/>
      <c r="BA63" s="594">
        <f>AW63+AU63+AS63+AQ63+AO63+AM63+AK63+AI63+AG63+AE63+AC63+AY63</f>
        <v>46923400</v>
      </c>
      <c r="BB63" s="599">
        <f t="shared" si="17"/>
        <v>46923400</v>
      </c>
      <c r="BC63" s="599">
        <f t="shared" si="11"/>
        <v>46923400</v>
      </c>
      <c r="BD63" s="599">
        <f>BA63</f>
        <v>46923400</v>
      </c>
      <c r="BE63" s="599">
        <f t="shared" si="6"/>
        <v>46923400</v>
      </c>
      <c r="BF63" s="626"/>
      <c r="BG63" s="626"/>
      <c r="BH63" s="626"/>
      <c r="BI63" s="626"/>
      <c r="BJ63" s="626"/>
      <c r="BK63" s="626"/>
      <c r="BL63" s="600"/>
      <c r="BM63" s="600"/>
      <c r="BN63" s="600"/>
      <c r="BO63" s="600"/>
      <c r="BP63" s="600"/>
      <c r="BQ63" s="600"/>
      <c r="BR63" s="600"/>
      <c r="BS63" s="600"/>
      <c r="BT63" s="600"/>
      <c r="BU63" s="600"/>
      <c r="BV63" s="600"/>
      <c r="BW63" s="600"/>
      <c r="BX63" s="600"/>
      <c r="BY63" s="600"/>
      <c r="BZ63" s="600"/>
      <c r="CA63" s="600"/>
      <c r="CB63" s="600"/>
      <c r="CC63" s="600"/>
      <c r="CD63" s="600"/>
      <c r="CE63" s="597"/>
      <c r="CF63" s="610"/>
      <c r="CG63" s="610"/>
      <c r="CH63" s="609"/>
      <c r="CI63" s="610"/>
      <c r="CJ63" s="600"/>
      <c r="CK63" s="600"/>
      <c r="CL63" s="600"/>
      <c r="CM63" s="600"/>
      <c r="CN63" s="600"/>
      <c r="CO63" s="600"/>
      <c r="CP63" s="600"/>
      <c r="CQ63" s="600"/>
      <c r="CR63" s="600"/>
      <c r="CS63" s="600"/>
      <c r="CT63" s="600"/>
      <c r="CU63" s="600"/>
      <c r="CV63" s="600"/>
      <c r="CW63" s="600"/>
      <c r="CX63" s="600"/>
      <c r="CY63" s="600"/>
      <c r="CZ63" s="600"/>
      <c r="DA63" s="600"/>
      <c r="DB63" s="600"/>
      <c r="DC63" s="600"/>
      <c r="DD63" s="600"/>
      <c r="DE63" s="600"/>
      <c r="DF63" s="600"/>
      <c r="DG63" s="600"/>
      <c r="DH63" s="600"/>
      <c r="DI63" s="597"/>
      <c r="DJ63" s="610"/>
      <c r="DK63" s="610"/>
      <c r="DL63" s="609"/>
      <c r="DM63" s="610"/>
      <c r="DN63" s="600"/>
      <c r="DO63" s="600"/>
      <c r="DP63" s="600"/>
      <c r="DQ63" s="600"/>
      <c r="DR63" s="600"/>
      <c r="DS63" s="600"/>
      <c r="DT63" s="600"/>
      <c r="DU63" s="600"/>
      <c r="DV63" s="600"/>
      <c r="DW63" s="600"/>
      <c r="DX63" s="600"/>
      <c r="DY63" s="600"/>
      <c r="DZ63" s="600"/>
      <c r="EA63" s="600"/>
      <c r="EB63" s="600"/>
      <c r="EC63" s="600"/>
      <c r="ED63" s="600"/>
      <c r="EE63" s="600"/>
      <c r="EF63" s="600"/>
      <c r="EG63" s="600"/>
      <c r="EH63" s="600"/>
      <c r="EI63" s="600"/>
      <c r="EJ63" s="600"/>
      <c r="EK63" s="600"/>
      <c r="EL63" s="600"/>
      <c r="EM63" s="597">
        <f>EI63+EG63+EE63+EC63+EA63+DY63+DW63+DU63+DS63+DQ63+DO63+EK63</f>
        <v>0</v>
      </c>
      <c r="EN63" s="610">
        <f t="shared" si="109"/>
        <v>0</v>
      </c>
      <c r="EO63" s="610">
        <f t="shared" si="110"/>
        <v>0</v>
      </c>
      <c r="EP63" s="609">
        <f>DQ63+DS63+DU63+DW63+DY63+EA63+EC63+EE63+EG63+EI63+EK63+DO63</f>
        <v>0</v>
      </c>
      <c r="EQ63" s="610">
        <f>DP63+DR63+DT63+DV63</f>
        <v>0</v>
      </c>
      <c r="ER63" s="601" t="e">
        <f t="shared" si="8"/>
        <v>#DIV/0!</v>
      </c>
      <c r="ES63" s="601">
        <f t="shared" si="111"/>
        <v>1</v>
      </c>
      <c r="ET63" s="601">
        <f t="shared" si="112"/>
        <v>1</v>
      </c>
      <c r="EU63" s="602" t="s">
        <v>225</v>
      </c>
      <c r="EV63" s="601">
        <f t="shared" ref="EV63:EV64" si="113">BE63/G63</f>
        <v>1</v>
      </c>
      <c r="EW63" s="1354"/>
      <c r="EX63" s="733"/>
      <c r="EY63" s="733"/>
      <c r="EZ63" s="733"/>
      <c r="FA63" s="733"/>
      <c r="FB63" s="770"/>
    </row>
    <row r="64" spans="1:158" s="603" customFormat="1" ht="19.149999999999999" customHeight="1" thickBot="1" x14ac:dyDescent="0.25">
      <c r="A64" s="733"/>
      <c r="B64" s="733"/>
      <c r="C64" s="734"/>
      <c r="D64" s="733"/>
      <c r="E64" s="734"/>
      <c r="F64" s="593" t="s">
        <v>43</v>
      </c>
      <c r="G64" s="1369">
        <v>9</v>
      </c>
      <c r="H64" s="1370">
        <v>0.5</v>
      </c>
      <c r="I64" s="1371"/>
      <c r="J64" s="1371"/>
      <c r="K64" s="1372">
        <v>0.5</v>
      </c>
      <c r="L64" s="1372">
        <v>0</v>
      </c>
      <c r="M64" s="1372">
        <v>0.5</v>
      </c>
      <c r="N64" s="1372">
        <v>0</v>
      </c>
      <c r="O64" s="1372">
        <v>0.5</v>
      </c>
      <c r="P64" s="1372">
        <v>0</v>
      </c>
      <c r="Q64" s="1372">
        <v>0.5</v>
      </c>
      <c r="R64" s="1372">
        <v>0.17</v>
      </c>
      <c r="S64" s="1372">
        <v>0.5</v>
      </c>
      <c r="T64" s="1373">
        <v>0.34</v>
      </c>
      <c r="U64" s="1374">
        <v>0.5</v>
      </c>
      <c r="V64" s="1374">
        <v>0.5</v>
      </c>
      <c r="W64" s="1375">
        <f t="shared" si="24"/>
        <v>0.5</v>
      </c>
      <c r="X64" s="1375">
        <f t="shared" si="25"/>
        <v>0.5</v>
      </c>
      <c r="Y64" s="1375">
        <f t="shared" si="26"/>
        <v>0.5</v>
      </c>
      <c r="Z64" s="1375">
        <f t="shared" si="27"/>
        <v>0.5</v>
      </c>
      <c r="AA64" s="1375">
        <f t="shared" si="28"/>
        <v>0.5</v>
      </c>
      <c r="AB64" s="1376">
        <v>1.4</v>
      </c>
      <c r="AC64" s="1377">
        <v>7.0000000000000007E-2</v>
      </c>
      <c r="AD64" s="1377">
        <v>7.0000000000000007E-2</v>
      </c>
      <c r="AE64" s="1377">
        <v>0.126</v>
      </c>
      <c r="AF64" s="1377">
        <v>0.126</v>
      </c>
      <c r="AG64" s="1377">
        <v>0.126</v>
      </c>
      <c r="AH64" s="1377">
        <v>0.126</v>
      </c>
      <c r="AI64" s="1377">
        <v>0.126</v>
      </c>
      <c r="AJ64" s="1377">
        <v>0.126</v>
      </c>
      <c r="AK64" s="1432">
        <v>0.126</v>
      </c>
      <c r="AL64" s="1432">
        <v>0.126</v>
      </c>
      <c r="AM64" s="1432">
        <v>0.126</v>
      </c>
      <c r="AN64" s="1432">
        <v>0.126</v>
      </c>
      <c r="AO64" s="1432">
        <v>0.126</v>
      </c>
      <c r="AP64" s="1432">
        <v>0.126</v>
      </c>
      <c r="AQ64" s="1433">
        <v>0.126</v>
      </c>
      <c r="AR64" s="1432">
        <v>0.126</v>
      </c>
      <c r="AS64" s="1432">
        <v>0.126</v>
      </c>
      <c r="AT64" s="1432">
        <v>0.126</v>
      </c>
      <c r="AU64" s="1432">
        <v>0.126</v>
      </c>
      <c r="AV64" s="1432">
        <v>0.126</v>
      </c>
      <c r="AW64" s="1432">
        <v>0.126</v>
      </c>
      <c r="AX64" s="1432">
        <v>0.126</v>
      </c>
      <c r="AY64" s="1432">
        <v>7.0000000000000007E-2</v>
      </c>
      <c r="AZ64" s="1378">
        <v>7.0000000000000007E-2</v>
      </c>
      <c r="BA64" s="1380">
        <f t="shared" ref="BA64:BD64" si="114">BA59+BA62</f>
        <v>1.4000000000000004</v>
      </c>
      <c r="BB64" s="1381">
        <f t="shared" si="17"/>
        <v>1.4000000000000001</v>
      </c>
      <c r="BC64" s="1381">
        <f t="shared" si="11"/>
        <v>1.4000000000000001</v>
      </c>
      <c r="BD64" s="1381">
        <f t="shared" si="114"/>
        <v>1.4000000000000004</v>
      </c>
      <c r="BE64" s="1381">
        <f t="shared" si="6"/>
        <v>1.4000000000000001</v>
      </c>
      <c r="BF64" s="1383">
        <v>2.5</v>
      </c>
      <c r="BG64" s="1383"/>
      <c r="BH64" s="1383"/>
      <c r="BI64" s="1383"/>
      <c r="BJ64" s="1383"/>
      <c r="BK64" s="1383"/>
      <c r="BL64" s="1383"/>
      <c r="BM64" s="1383"/>
      <c r="BN64" s="1383"/>
      <c r="BO64" s="1383"/>
      <c r="BP64" s="1383"/>
      <c r="BQ64" s="1383"/>
      <c r="BR64" s="1383"/>
      <c r="BS64" s="1383"/>
      <c r="BT64" s="1383"/>
      <c r="BU64" s="1383"/>
      <c r="BV64" s="1383"/>
      <c r="BW64" s="1383"/>
      <c r="BX64" s="1383"/>
      <c r="BY64" s="1383"/>
      <c r="BZ64" s="1383"/>
      <c r="CA64" s="1383"/>
      <c r="CB64" s="1383"/>
      <c r="CC64" s="1383"/>
      <c r="CD64" s="1383"/>
      <c r="CE64" s="1382"/>
      <c r="CF64" s="1384"/>
      <c r="CG64" s="1385"/>
      <c r="CH64" s="1386"/>
      <c r="CI64" s="1385"/>
      <c r="CJ64" s="1383">
        <v>3.5</v>
      </c>
      <c r="CK64" s="1383"/>
      <c r="CL64" s="1383"/>
      <c r="CM64" s="1383"/>
      <c r="CN64" s="1383"/>
      <c r="CO64" s="1383"/>
      <c r="CP64" s="1383"/>
      <c r="CQ64" s="1383"/>
      <c r="CR64" s="1383"/>
      <c r="CS64" s="1383"/>
      <c r="CT64" s="1383"/>
      <c r="CU64" s="1383"/>
      <c r="CV64" s="1383"/>
      <c r="CW64" s="1383"/>
      <c r="CX64" s="1383"/>
      <c r="CY64" s="1383"/>
      <c r="CZ64" s="1383"/>
      <c r="DA64" s="1383"/>
      <c r="DB64" s="1383"/>
      <c r="DC64" s="1383"/>
      <c r="DD64" s="1383"/>
      <c r="DE64" s="1383"/>
      <c r="DF64" s="1383"/>
      <c r="DG64" s="1383"/>
      <c r="DH64" s="1383"/>
      <c r="DI64" s="1382">
        <v>0</v>
      </c>
      <c r="DJ64" s="1384">
        <v>0</v>
      </c>
      <c r="DK64" s="1385">
        <v>0</v>
      </c>
      <c r="DL64" s="1386">
        <v>0</v>
      </c>
      <c r="DM64" s="1385">
        <v>0</v>
      </c>
      <c r="DN64" s="1383">
        <v>0.5</v>
      </c>
      <c r="DO64" s="1378"/>
      <c r="DP64" s="1378"/>
      <c r="DQ64" s="1378"/>
      <c r="DR64" s="1378"/>
      <c r="DS64" s="1378"/>
      <c r="DT64" s="1378"/>
      <c r="DU64" s="1378"/>
      <c r="DV64" s="1378"/>
      <c r="DW64" s="1378"/>
      <c r="DX64" s="1378"/>
      <c r="DY64" s="1378"/>
      <c r="DZ64" s="1378"/>
      <c r="EA64" s="1378"/>
      <c r="EB64" s="1378"/>
      <c r="EC64" s="1378"/>
      <c r="ED64" s="1378"/>
      <c r="EE64" s="1378"/>
      <c r="EF64" s="1378"/>
      <c r="EG64" s="1378"/>
      <c r="EH64" s="1378"/>
      <c r="EI64" s="1378"/>
      <c r="EJ64" s="1378"/>
      <c r="EK64" s="1378"/>
      <c r="EL64" s="1378"/>
      <c r="EM64" s="1382">
        <f>EI64+EG64+EE64+EC64+EA64+DY64+DW64+DU64+DS64+DQ64+DO64+EK64</f>
        <v>0</v>
      </c>
      <c r="EN64" s="1384"/>
      <c r="EO64" s="1385">
        <f t="shared" si="110"/>
        <v>0</v>
      </c>
      <c r="EP64" s="1386">
        <f>DQ64+DS64+DU64+DW64+DY64+EA64+EC64+EE64+EG64+EI64+EK64+DO64</f>
        <v>0</v>
      </c>
      <c r="EQ64" s="1385">
        <f>DR64+DT64+DV64+DP64</f>
        <v>0</v>
      </c>
      <c r="ER64" s="1387">
        <f t="shared" si="8"/>
        <v>1</v>
      </c>
      <c r="ES64" s="1387">
        <f t="shared" si="111"/>
        <v>1</v>
      </c>
      <c r="ET64" s="1387">
        <f t="shared" si="112"/>
        <v>0.99999999999999989</v>
      </c>
      <c r="EU64" s="1388" t="s">
        <v>225</v>
      </c>
      <c r="EV64" s="1387">
        <f t="shared" si="113"/>
        <v>0.15555555555555556</v>
      </c>
      <c r="EW64" s="1354"/>
      <c r="EX64" s="733"/>
      <c r="EY64" s="733"/>
      <c r="EZ64" s="733"/>
      <c r="FA64" s="733"/>
      <c r="FB64" s="770"/>
    </row>
    <row r="65" spans="1:158" s="649" customFormat="1" ht="19.149999999999999" customHeight="1" thickBot="1" x14ac:dyDescent="0.25">
      <c r="A65" s="733"/>
      <c r="B65" s="733"/>
      <c r="C65" s="734"/>
      <c r="D65" s="733"/>
      <c r="E65" s="734"/>
      <c r="F65" s="1367" t="s">
        <v>45</v>
      </c>
      <c r="G65" s="1392">
        <v>1587711000</v>
      </c>
      <c r="H65" s="1393">
        <v>159600000</v>
      </c>
      <c r="I65" s="1394"/>
      <c r="J65" s="1395"/>
      <c r="K65" s="1394">
        <v>159600000</v>
      </c>
      <c r="L65" s="1394">
        <v>0</v>
      </c>
      <c r="M65" s="1394">
        <v>152972000</v>
      </c>
      <c r="N65" s="1394">
        <v>101484000</v>
      </c>
      <c r="O65" s="1394">
        <v>152972000</v>
      </c>
      <c r="P65" s="1394">
        <v>116067000</v>
      </c>
      <c r="Q65" s="1394">
        <v>136314000</v>
      </c>
      <c r="R65" s="1394">
        <v>116067000</v>
      </c>
      <c r="S65" s="1396">
        <v>156172000</v>
      </c>
      <c r="T65" s="1397">
        <v>116067000</v>
      </c>
      <c r="U65" s="1398">
        <v>156172000</v>
      </c>
      <c r="V65" s="1398">
        <v>151311000</v>
      </c>
      <c r="W65" s="1399">
        <f t="shared" si="24"/>
        <v>159600000</v>
      </c>
      <c r="X65" s="1399">
        <f t="shared" si="25"/>
        <v>159600000</v>
      </c>
      <c r="Y65" s="1399">
        <f t="shared" si="26"/>
        <v>151311000</v>
      </c>
      <c r="Z65" s="1399">
        <f t="shared" si="27"/>
        <v>156172000</v>
      </c>
      <c r="AA65" s="1399">
        <f t="shared" si="28"/>
        <v>151311000</v>
      </c>
      <c r="AB65" s="1400">
        <f>+AB60+AB63</f>
        <v>297273400</v>
      </c>
      <c r="AC65" s="1400">
        <f>+AC60+AC63</f>
        <v>5648300</v>
      </c>
      <c r="AD65" s="1400">
        <f>+AD60+AD63</f>
        <v>5648300</v>
      </c>
      <c r="AE65" s="1400">
        <f>+AE60+AE63</f>
        <v>127431633</v>
      </c>
      <c r="AF65" s="1400">
        <f t="shared" ref="AF65:AZ65" si="115">+AF60+AF63</f>
        <v>127431633</v>
      </c>
      <c r="AG65" s="1400">
        <f t="shared" si="115"/>
        <v>116205067</v>
      </c>
      <c r="AH65" s="1400">
        <f t="shared" si="115"/>
        <v>116205067</v>
      </c>
      <c r="AI65" s="1400">
        <f t="shared" si="115"/>
        <v>17637000</v>
      </c>
      <c r="AJ65" s="1400">
        <f t="shared" si="115"/>
        <v>17637000</v>
      </c>
      <c r="AK65" s="1400">
        <f t="shared" si="115"/>
        <v>2017400</v>
      </c>
      <c r="AL65" s="1400">
        <f t="shared" si="115"/>
        <v>2017400</v>
      </c>
      <c r="AM65" s="1400">
        <f t="shared" si="115"/>
        <v>43620000</v>
      </c>
      <c r="AN65" s="1400">
        <f t="shared" si="115"/>
        <v>0</v>
      </c>
      <c r="AO65" s="1400">
        <f t="shared" si="115"/>
        <v>0</v>
      </c>
      <c r="AP65" s="1400">
        <f t="shared" si="115"/>
        <v>0</v>
      </c>
      <c r="AQ65" s="1400">
        <f t="shared" si="115"/>
        <v>12073000</v>
      </c>
      <c r="AR65" s="1400">
        <f t="shared" si="115"/>
        <v>34896000</v>
      </c>
      <c r="AS65" s="1400">
        <f t="shared" si="115"/>
        <v>0</v>
      </c>
      <c r="AT65" s="1400">
        <f t="shared" si="115"/>
        <v>10815500</v>
      </c>
      <c r="AU65" s="1400">
        <f t="shared" si="115"/>
        <v>0</v>
      </c>
      <c r="AV65" s="1400">
        <f t="shared" si="115"/>
        <v>0</v>
      </c>
      <c r="AW65" s="1400">
        <f t="shared" si="115"/>
        <v>0</v>
      </c>
      <c r="AX65" s="1400">
        <f t="shared" si="115"/>
        <v>8724000</v>
      </c>
      <c r="AY65" s="1400">
        <f t="shared" si="115"/>
        <v>0</v>
      </c>
      <c r="AZ65" s="1400">
        <f t="shared" si="115"/>
        <v>0</v>
      </c>
      <c r="BA65" s="1401">
        <f>AY65+AW65+AU65+AS65+AQ65+AO65+AM65+AK65+AI65+AG65+AE65+AC65</f>
        <v>324632400</v>
      </c>
      <c r="BB65" s="1431">
        <f>AC65+AE65+AG65+AI65+AK65+AM65+AO65+AQ65+AS65+AU65+AW65+AY65</f>
        <v>324632400</v>
      </c>
      <c r="BC65" s="1401">
        <f>+AN65+AD65+AF65+AH65+AJ65+AL65+AP65+AR65+AT65+AV65+AX65+AZ65</f>
        <v>323374900</v>
      </c>
      <c r="BD65" s="1401">
        <f t="shared" ref="BD65" si="116">+BD60+BD63</f>
        <v>324632400</v>
      </c>
      <c r="BE65" s="1401">
        <f t="shared" si="6"/>
        <v>323374900</v>
      </c>
      <c r="BF65" s="1394">
        <v>513225000</v>
      </c>
      <c r="BG65" s="1402"/>
      <c r="BH65" s="1402"/>
      <c r="BI65" s="1402"/>
      <c r="BJ65" s="1402"/>
      <c r="BK65" s="1402"/>
      <c r="BL65" s="1402"/>
      <c r="BM65" s="1402"/>
      <c r="BN65" s="1402"/>
      <c r="BO65" s="1402"/>
      <c r="BP65" s="1402"/>
      <c r="BQ65" s="1402"/>
      <c r="BR65" s="1402"/>
      <c r="BS65" s="1402"/>
      <c r="BT65" s="1402"/>
      <c r="BU65" s="1402"/>
      <c r="BV65" s="1402"/>
      <c r="BW65" s="1402"/>
      <c r="BX65" s="1402"/>
      <c r="BY65" s="1402"/>
      <c r="BZ65" s="1402"/>
      <c r="CA65" s="1402"/>
      <c r="CB65" s="1402"/>
      <c r="CC65" s="1402"/>
      <c r="CD65" s="1402"/>
      <c r="CE65" s="1401"/>
      <c r="CF65" s="1403"/>
      <c r="CG65" s="1404"/>
      <c r="CH65" s="1403"/>
      <c r="CI65" s="1403"/>
      <c r="CJ65" s="1398">
        <v>513225000</v>
      </c>
      <c r="CK65" s="1398"/>
      <c r="CL65" s="1398"/>
      <c r="CM65" s="1398"/>
      <c r="CN65" s="1398"/>
      <c r="CO65" s="1398"/>
      <c r="CP65" s="1398"/>
      <c r="CQ65" s="1398"/>
      <c r="CR65" s="1398"/>
      <c r="CS65" s="1398"/>
      <c r="CT65" s="1398"/>
      <c r="CU65" s="1398"/>
      <c r="CV65" s="1398"/>
      <c r="CW65" s="1398"/>
      <c r="CX65" s="1398"/>
      <c r="CY65" s="1398"/>
      <c r="CZ65" s="1398"/>
      <c r="DA65" s="1398"/>
      <c r="DB65" s="1398"/>
      <c r="DC65" s="1398"/>
      <c r="DD65" s="1398"/>
      <c r="DE65" s="1398"/>
      <c r="DF65" s="1398"/>
      <c r="DG65" s="1398"/>
      <c r="DH65" s="1398"/>
      <c r="DI65" s="1401">
        <v>0</v>
      </c>
      <c r="DJ65" s="1403"/>
      <c r="DK65" s="1404">
        <v>0</v>
      </c>
      <c r="DL65" s="1403">
        <v>0</v>
      </c>
      <c r="DM65" s="1403">
        <v>0</v>
      </c>
      <c r="DN65" s="1398">
        <v>159600000</v>
      </c>
      <c r="DO65" s="1398"/>
      <c r="DP65" s="1398"/>
      <c r="DQ65" s="1398"/>
      <c r="DR65" s="1398"/>
      <c r="DS65" s="1398"/>
      <c r="DT65" s="1398"/>
      <c r="DU65" s="1398"/>
      <c r="DV65" s="1398"/>
      <c r="DW65" s="1398"/>
      <c r="DX65" s="1398"/>
      <c r="DY65" s="1398"/>
      <c r="DZ65" s="1398"/>
      <c r="EA65" s="1398"/>
      <c r="EB65" s="1398"/>
      <c r="EC65" s="1398"/>
      <c r="ED65" s="1398"/>
      <c r="EE65" s="1398"/>
      <c r="EF65" s="1398"/>
      <c r="EG65" s="1398"/>
      <c r="EH65" s="1398"/>
      <c r="EI65" s="1398"/>
      <c r="EJ65" s="1398"/>
      <c r="EK65" s="1398"/>
      <c r="EL65" s="1398"/>
      <c r="EM65" s="1401">
        <f>EK65+EI65+EG65+EE65+EC65+EA65+DY65+DW65+DU65+DS65+DQ65+DO65</f>
        <v>0</v>
      </c>
      <c r="EN65" s="1403">
        <f t="shared" ref="EN65" si="117">+EN60+EN63</f>
        <v>0</v>
      </c>
      <c r="EO65" s="1404">
        <f t="shared" ref="EO65" si="118">EO60+EO63</f>
        <v>0</v>
      </c>
      <c r="EP65" s="1403">
        <f t="shared" ref="EP65:EQ65" si="119">+EP60+EP63</f>
        <v>0</v>
      </c>
      <c r="EQ65" s="1403">
        <f t="shared" si="119"/>
        <v>0</v>
      </c>
      <c r="ER65" s="1405" t="e">
        <f t="shared" si="8"/>
        <v>#DIV/0!</v>
      </c>
      <c r="ES65" s="1405">
        <f t="shared" si="111"/>
        <v>0.99612638787748853</v>
      </c>
      <c r="ET65" s="1405">
        <f t="shared" si="112"/>
        <v>0.99612638787748853</v>
      </c>
      <c r="EU65" s="1406">
        <f t="shared" ref="EU65" si="120">(BC65+AA65)/(Z65+BB65)</f>
        <v>0.98727445089936783</v>
      </c>
      <c r="EV65" s="1407">
        <f t="shared" ref="EV65" si="121">(BC65+AA65)/G65</f>
        <v>0.29897500237763674</v>
      </c>
      <c r="EW65" s="1368"/>
      <c r="EX65" s="733"/>
      <c r="EY65" s="733"/>
      <c r="EZ65" s="733"/>
      <c r="FA65" s="733"/>
      <c r="FB65" s="770"/>
    </row>
    <row r="66" spans="1:158" s="603" customFormat="1" ht="19.149999999999999" customHeight="1" x14ac:dyDescent="0.2">
      <c r="A66" s="733" t="s">
        <v>297</v>
      </c>
      <c r="B66" s="733">
        <v>9</v>
      </c>
      <c r="C66" s="734" t="s">
        <v>298</v>
      </c>
      <c r="D66" s="733" t="s">
        <v>276</v>
      </c>
      <c r="E66" s="734">
        <v>198</v>
      </c>
      <c r="F66" s="593" t="s">
        <v>41</v>
      </c>
      <c r="G66" s="1411">
        <v>0.9</v>
      </c>
      <c r="H66" s="1434">
        <v>1</v>
      </c>
      <c r="I66" s="1413"/>
      <c r="J66" s="1413"/>
      <c r="K66" s="1413">
        <v>1</v>
      </c>
      <c r="L66" s="1424">
        <v>0</v>
      </c>
      <c r="M66" s="1413">
        <v>1</v>
      </c>
      <c r="N66" s="1414">
        <v>0</v>
      </c>
      <c r="O66" s="1413">
        <v>1</v>
      </c>
      <c r="P66" s="1414">
        <v>0</v>
      </c>
      <c r="Q66" s="1413">
        <v>1</v>
      </c>
      <c r="R66" s="1420">
        <v>0.5</v>
      </c>
      <c r="S66" s="1435">
        <v>1</v>
      </c>
      <c r="T66" s="1427">
        <v>0.7</v>
      </c>
      <c r="U66" s="1426">
        <v>1</v>
      </c>
      <c r="V66" s="1413">
        <v>0.9</v>
      </c>
      <c r="W66" s="1419">
        <f t="shared" si="24"/>
        <v>1</v>
      </c>
      <c r="X66" s="1419">
        <f t="shared" si="25"/>
        <v>1</v>
      </c>
      <c r="Y66" s="1419">
        <f t="shared" si="26"/>
        <v>0.9</v>
      </c>
      <c r="Z66" s="1419">
        <f t="shared" si="27"/>
        <v>1</v>
      </c>
      <c r="AA66" s="1419">
        <f t="shared" si="28"/>
        <v>0.9</v>
      </c>
      <c r="AB66" s="1414">
        <v>0</v>
      </c>
      <c r="AC66" s="1420">
        <v>0</v>
      </c>
      <c r="AD66" s="1420">
        <v>0</v>
      </c>
      <c r="AE66" s="1420">
        <v>0</v>
      </c>
      <c r="AF66" s="1420">
        <v>0</v>
      </c>
      <c r="AG66" s="1420">
        <v>0</v>
      </c>
      <c r="AH66" s="1420">
        <v>0</v>
      </c>
      <c r="AI66" s="1420">
        <v>0</v>
      </c>
      <c r="AJ66" s="1420">
        <v>0</v>
      </c>
      <c r="AK66" s="1420">
        <v>0</v>
      </c>
      <c r="AL66" s="1420">
        <v>0</v>
      </c>
      <c r="AM66" s="1420">
        <v>0</v>
      </c>
      <c r="AN66" s="1420">
        <v>0</v>
      </c>
      <c r="AO66" s="1420">
        <v>0</v>
      </c>
      <c r="AP66" s="1420">
        <v>0</v>
      </c>
      <c r="AQ66" s="1421">
        <v>0</v>
      </c>
      <c r="AR66" s="1420">
        <v>0</v>
      </c>
      <c r="AS66" s="1420">
        <v>0</v>
      </c>
      <c r="AT66" s="1420">
        <v>0</v>
      </c>
      <c r="AU66" s="1420">
        <v>0</v>
      </c>
      <c r="AV66" s="1420">
        <v>0</v>
      </c>
      <c r="AW66" s="1420">
        <v>0</v>
      </c>
      <c r="AX66" s="1420">
        <v>0</v>
      </c>
      <c r="AY66" s="1420">
        <v>0</v>
      </c>
      <c r="AZ66" s="1420">
        <v>0</v>
      </c>
      <c r="BA66" s="1422">
        <f>AY66+AW66+AU66+AS66+AO66+AM66+AK66+AI66+AG66+AE66+AC66+AQ66</f>
        <v>0</v>
      </c>
      <c r="BB66" s="1422">
        <f t="shared" si="17"/>
        <v>0</v>
      </c>
      <c r="BC66" s="1422">
        <f t="shared" si="11"/>
        <v>0</v>
      </c>
      <c r="BD66" s="1422">
        <f>BA66</f>
        <v>0</v>
      </c>
      <c r="BE66" s="1422">
        <f t="shared" si="6"/>
        <v>0</v>
      </c>
      <c r="BF66" s="1424">
        <v>0</v>
      </c>
      <c r="BG66" s="1424"/>
      <c r="BH66" s="1424"/>
      <c r="BI66" s="1424"/>
      <c r="BJ66" s="1424"/>
      <c r="BK66" s="1411"/>
      <c r="BL66" s="1424"/>
      <c r="BM66" s="1411"/>
      <c r="BN66" s="1411"/>
      <c r="BO66" s="1424"/>
      <c r="BP66" s="1424"/>
      <c r="BQ66" s="1424"/>
      <c r="BR66" s="1424"/>
      <c r="BS66" s="1424"/>
      <c r="BT66" s="1424"/>
      <c r="BU66" s="1424"/>
      <c r="BV66" s="1424"/>
      <c r="BW66" s="1424"/>
      <c r="BX66" s="1424"/>
      <c r="BY66" s="1424"/>
      <c r="BZ66" s="1424"/>
      <c r="CA66" s="1424"/>
      <c r="CB66" s="1424"/>
      <c r="CC66" s="1424"/>
      <c r="CD66" s="1424"/>
      <c r="CE66" s="1411"/>
      <c r="CF66" s="1424"/>
      <c r="CG66" s="1411"/>
      <c r="CH66" s="1425"/>
      <c r="CI66" s="1424"/>
      <c r="CJ66" s="1424">
        <v>0</v>
      </c>
      <c r="CK66" s="1424"/>
      <c r="CL66" s="1424"/>
      <c r="CM66" s="1424"/>
      <c r="CN66" s="1424"/>
      <c r="CO66" s="1424"/>
      <c r="CP66" s="1424"/>
      <c r="CQ66" s="1424"/>
      <c r="CR66" s="1424"/>
      <c r="CS66" s="1424"/>
      <c r="CT66" s="1424"/>
      <c r="CU66" s="1424"/>
      <c r="CV66" s="1424"/>
      <c r="CW66" s="1424"/>
      <c r="CX66" s="1424"/>
      <c r="CY66" s="1424"/>
      <c r="CZ66" s="1424"/>
      <c r="DA66" s="1424"/>
      <c r="DB66" s="1424"/>
      <c r="DC66" s="1424"/>
      <c r="DD66" s="1424"/>
      <c r="DE66" s="1424"/>
      <c r="DF66" s="1424"/>
      <c r="DG66" s="1424"/>
      <c r="DH66" s="1424"/>
      <c r="DI66" s="1411">
        <f>DG66+DE66+DC66+DA66+CY66+CW66+CU66+CS66+CQ66+CO66+CM66+CK66</f>
        <v>0</v>
      </c>
      <c r="DJ66" s="1424">
        <f t="shared" ref="DJ66:DJ71" si="122">CK66+CM66+CO66+CQ66</f>
        <v>0</v>
      </c>
      <c r="DK66" s="1411">
        <f t="shared" ref="DK66:DK71" si="123">CL66+CN66+CP66+CR66</f>
        <v>0</v>
      </c>
      <c r="DL66" s="1425">
        <f>CM66+CO66+CQ66+CS66+CU66+CW66+CY66+DA66+DC66+DE66+DG66+CK66</f>
        <v>0</v>
      </c>
      <c r="DM66" s="1424">
        <f>CL66+CN66+CP66+CR66</f>
        <v>0</v>
      </c>
      <c r="DN66" s="1423">
        <v>0</v>
      </c>
      <c r="DO66" s="1423"/>
      <c r="DP66" s="1423"/>
      <c r="DQ66" s="1423"/>
      <c r="DR66" s="1423"/>
      <c r="DS66" s="1423"/>
      <c r="DT66" s="1423"/>
      <c r="DU66" s="1423"/>
      <c r="DV66" s="1423"/>
      <c r="DW66" s="1423"/>
      <c r="DX66" s="1423"/>
      <c r="DY66" s="1423"/>
      <c r="DZ66" s="1423"/>
      <c r="EA66" s="1423"/>
      <c r="EB66" s="1423"/>
      <c r="EC66" s="1423"/>
      <c r="ED66" s="1423"/>
      <c r="EE66" s="1423"/>
      <c r="EF66" s="1423"/>
      <c r="EG66" s="1424"/>
      <c r="EH66" s="1424"/>
      <c r="EI66" s="1424"/>
      <c r="EJ66" s="1424"/>
      <c r="EK66" s="1424"/>
      <c r="EL66" s="1424"/>
      <c r="EM66" s="1411">
        <f>EK66+EI66+EG66+EE66+EC66+EA66+DY66+DW66+DU66+DS66+DQ66+DO66</f>
        <v>0</v>
      </c>
      <c r="EN66" s="1424">
        <f t="shared" ref="EN66:EN71" si="124">DO66+DQ66+DS66+DU66</f>
        <v>0</v>
      </c>
      <c r="EO66" s="1411">
        <f t="shared" ref="EO66:EO71" si="125">DP66+DR66+DT66+DV66</f>
        <v>0</v>
      </c>
      <c r="EP66" s="1425">
        <f>DQ66+DS66+DU66+DW66+DY66+EA66+EC66+EE66+EG66+EI66+EK66+DO66</f>
        <v>0</v>
      </c>
      <c r="EQ66" s="1424">
        <f>DP66+DR66+DT66+DV66</f>
        <v>0</v>
      </c>
      <c r="ER66" s="1429" t="e">
        <f t="shared" si="8"/>
        <v>#DIV/0!</v>
      </c>
      <c r="ES66" s="1429" t="e">
        <f>BC66/BB66</f>
        <v>#DIV/0!</v>
      </c>
      <c r="ET66" s="1429" t="e">
        <f>BE66/BD66</f>
        <v>#DIV/0!</v>
      </c>
      <c r="EU66" s="1430">
        <f>(BC66+AA66)/(Z66+BB66)</f>
        <v>0.9</v>
      </c>
      <c r="EV66" s="1429">
        <f>(BC66+AA66)/G66</f>
        <v>1</v>
      </c>
      <c r="EW66" s="1354" t="s">
        <v>699</v>
      </c>
      <c r="EX66" s="733" t="s">
        <v>70</v>
      </c>
      <c r="EY66" s="733" t="s">
        <v>70</v>
      </c>
      <c r="EZ66" s="733" t="s">
        <v>700</v>
      </c>
      <c r="FA66" s="733" t="s">
        <v>701</v>
      </c>
      <c r="FB66" s="770"/>
    </row>
    <row r="67" spans="1:158" s="632" customFormat="1" ht="19.149999999999999" customHeight="1" x14ac:dyDescent="0.2">
      <c r="A67" s="733"/>
      <c r="B67" s="733"/>
      <c r="C67" s="734"/>
      <c r="D67" s="733"/>
      <c r="E67" s="734"/>
      <c r="F67" s="604" t="s">
        <v>3</v>
      </c>
      <c r="G67" s="605">
        <f>AA67+BD67+BF67+CJ67+DN67</f>
        <v>424276000</v>
      </c>
      <c r="H67" s="644">
        <v>334120000</v>
      </c>
      <c r="I67" s="607"/>
      <c r="J67" s="600"/>
      <c r="K67" s="607">
        <v>334120000</v>
      </c>
      <c r="L67" s="600">
        <v>40000000</v>
      </c>
      <c r="M67" s="607">
        <v>400424000</v>
      </c>
      <c r="N67" s="600">
        <v>318184000</v>
      </c>
      <c r="O67" s="607">
        <v>478424000</v>
      </c>
      <c r="P67" s="600">
        <v>318184000</v>
      </c>
      <c r="Q67" s="607">
        <v>491805000</v>
      </c>
      <c r="R67" s="600">
        <v>318184000</v>
      </c>
      <c r="S67" s="607">
        <v>463576000</v>
      </c>
      <c r="T67" s="645">
        <v>318184000</v>
      </c>
      <c r="U67" s="646">
        <v>463576000</v>
      </c>
      <c r="V67" s="646">
        <v>424276000</v>
      </c>
      <c r="W67" s="598">
        <f t="shared" si="24"/>
        <v>334120000</v>
      </c>
      <c r="X67" s="598">
        <f t="shared" si="25"/>
        <v>334120000</v>
      </c>
      <c r="Y67" s="598">
        <f t="shared" si="26"/>
        <v>424276000</v>
      </c>
      <c r="Z67" s="598">
        <f t="shared" si="27"/>
        <v>463576000</v>
      </c>
      <c r="AA67" s="598">
        <f t="shared" si="28"/>
        <v>424276000</v>
      </c>
      <c r="AB67" s="646">
        <v>0</v>
      </c>
      <c r="AC67" s="646">
        <v>0</v>
      </c>
      <c r="AD67" s="600">
        <v>0</v>
      </c>
      <c r="AE67" s="646">
        <v>0</v>
      </c>
      <c r="AF67" s="600">
        <v>0</v>
      </c>
      <c r="AG67" s="600">
        <v>0</v>
      </c>
      <c r="AH67" s="600">
        <v>0</v>
      </c>
      <c r="AI67" s="600">
        <v>0</v>
      </c>
      <c r="AJ67" s="600">
        <v>0</v>
      </c>
      <c r="AK67" s="626">
        <v>0</v>
      </c>
      <c r="AL67" s="626">
        <v>0</v>
      </c>
      <c r="AM67" s="626">
        <v>0</v>
      </c>
      <c r="AN67" s="626">
        <v>0</v>
      </c>
      <c r="AO67" s="626">
        <v>0</v>
      </c>
      <c r="AP67" s="626">
        <v>0</v>
      </c>
      <c r="AQ67" s="627">
        <v>0</v>
      </c>
      <c r="AR67" s="626">
        <v>0</v>
      </c>
      <c r="AS67" s="626">
        <v>0</v>
      </c>
      <c r="AT67" s="626">
        <v>0</v>
      </c>
      <c r="AU67" s="626">
        <v>0</v>
      </c>
      <c r="AV67" s="626">
        <v>0</v>
      </c>
      <c r="AW67" s="626">
        <v>0</v>
      </c>
      <c r="AX67" s="626">
        <v>0</v>
      </c>
      <c r="AY67" s="626">
        <v>0</v>
      </c>
      <c r="AZ67" s="630">
        <v>0</v>
      </c>
      <c r="BA67" s="594">
        <f>AY67+AW67+AU67+AS67+AQ67+AO67+AM67+AK67+AI67+AG67+AE67+AC67</f>
        <v>0</v>
      </c>
      <c r="BB67" s="599">
        <f t="shared" si="17"/>
        <v>0</v>
      </c>
      <c r="BC67" s="599">
        <f t="shared" si="11"/>
        <v>0</v>
      </c>
      <c r="BD67" s="599">
        <f>AC67+AE67+AG67+AI67+AK67+AM67+AO67+AQ67+AS67+AU67+AW67+AY67</f>
        <v>0</v>
      </c>
      <c r="BE67" s="599">
        <f t="shared" si="6"/>
        <v>0</v>
      </c>
      <c r="BF67" s="626">
        <v>0</v>
      </c>
      <c r="BG67" s="626"/>
      <c r="BH67" s="626"/>
      <c r="BI67" s="626"/>
      <c r="BJ67" s="626"/>
      <c r="BK67" s="626"/>
      <c r="BL67" s="626"/>
      <c r="BM67" s="626"/>
      <c r="BN67" s="626"/>
      <c r="BO67" s="626"/>
      <c r="BP67" s="626"/>
      <c r="BQ67" s="626"/>
      <c r="BR67" s="626"/>
      <c r="BS67" s="626"/>
      <c r="BT67" s="626"/>
      <c r="BU67" s="626"/>
      <c r="BV67" s="626"/>
      <c r="BW67" s="626"/>
      <c r="BX67" s="626"/>
      <c r="BY67" s="626"/>
      <c r="BZ67" s="626"/>
      <c r="CA67" s="626"/>
      <c r="CB67" s="626"/>
      <c r="CC67" s="626"/>
      <c r="CD67" s="626"/>
      <c r="CE67" s="594"/>
      <c r="CF67" s="610"/>
      <c r="CG67" s="610"/>
      <c r="CH67" s="631"/>
      <c r="CI67" s="610"/>
      <c r="CJ67" s="626">
        <v>0</v>
      </c>
      <c r="CK67" s="626"/>
      <c r="CL67" s="626"/>
      <c r="CM67" s="626"/>
      <c r="CN67" s="626"/>
      <c r="CO67" s="626"/>
      <c r="CP67" s="626"/>
      <c r="CQ67" s="626"/>
      <c r="CR67" s="626"/>
      <c r="CS67" s="626"/>
      <c r="CT67" s="626"/>
      <c r="CU67" s="626"/>
      <c r="CV67" s="626"/>
      <c r="CW67" s="626"/>
      <c r="CX67" s="626"/>
      <c r="CY67" s="626"/>
      <c r="CZ67" s="626"/>
      <c r="DA67" s="626"/>
      <c r="DB67" s="626"/>
      <c r="DC67" s="626"/>
      <c r="DD67" s="626"/>
      <c r="DE67" s="626"/>
      <c r="DF67" s="626"/>
      <c r="DG67" s="626"/>
      <c r="DH67" s="626"/>
      <c r="DI67" s="594">
        <f>DG67+DE67+DC67+DA67+CY67+CW67+CU67+CS67+CQ67+CO67+CM67+CK67</f>
        <v>0</v>
      </c>
      <c r="DJ67" s="610">
        <f t="shared" si="122"/>
        <v>0</v>
      </c>
      <c r="DK67" s="610">
        <f t="shared" si="123"/>
        <v>0</v>
      </c>
      <c r="DL67" s="631">
        <f>CM67+CO67+CQ67+CS67+CU67+CW67+CY67+DA67+DC67+DE67+DG67+CK67</f>
        <v>0</v>
      </c>
      <c r="DM67" s="610">
        <f>CL67+CN67+CP67+CR67</f>
        <v>0</v>
      </c>
      <c r="DN67" s="626">
        <v>0</v>
      </c>
      <c r="DO67" s="626"/>
      <c r="DP67" s="626"/>
      <c r="DQ67" s="626"/>
      <c r="DR67" s="626"/>
      <c r="DS67" s="626"/>
      <c r="DT67" s="626"/>
      <c r="DU67" s="626"/>
      <c r="DV67" s="626"/>
      <c r="DW67" s="626"/>
      <c r="DX67" s="626"/>
      <c r="DY67" s="626"/>
      <c r="DZ67" s="626"/>
      <c r="EA67" s="626"/>
      <c r="EB67" s="626"/>
      <c r="EC67" s="626"/>
      <c r="ED67" s="626"/>
      <c r="EE67" s="626"/>
      <c r="EF67" s="626"/>
      <c r="EG67" s="626"/>
      <c r="EH67" s="626"/>
      <c r="EI67" s="626"/>
      <c r="EJ67" s="626"/>
      <c r="EK67" s="626"/>
      <c r="EL67" s="626"/>
      <c r="EM67" s="594">
        <f>EK67+EI67+EG67+EE67+EC67+EA67+DY67+DW67+DU67+DS67+DQ67+DO67</f>
        <v>0</v>
      </c>
      <c r="EN67" s="610">
        <f t="shared" si="124"/>
        <v>0</v>
      </c>
      <c r="EO67" s="610">
        <f t="shared" si="125"/>
        <v>0</v>
      </c>
      <c r="EP67" s="631">
        <f>DQ67+DS67+DU67+DW67+DY67+EA67+EC67+EE67+EG67+EI67+EK67+DO67</f>
        <v>0</v>
      </c>
      <c r="EQ67" s="610">
        <f>DP67+DR67+DT67+DV67</f>
        <v>0</v>
      </c>
      <c r="ER67" s="601" t="e">
        <f t="shared" si="8"/>
        <v>#DIV/0!</v>
      </c>
      <c r="ES67" s="601" t="e">
        <f>BC67/BB67</f>
        <v>#DIV/0!</v>
      </c>
      <c r="ET67" s="601" t="e">
        <f>BE67/BD67</f>
        <v>#DIV/0!</v>
      </c>
      <c r="EU67" s="602">
        <f>(BC67+AA67)/(Z67+BB67)</f>
        <v>0.91522425664831653</v>
      </c>
      <c r="EV67" s="601">
        <f>(BC67+AA67)/G67</f>
        <v>1</v>
      </c>
      <c r="EW67" s="1354"/>
      <c r="EX67" s="733"/>
      <c r="EY67" s="733"/>
      <c r="EZ67" s="733"/>
      <c r="FA67" s="733" t="s">
        <v>662</v>
      </c>
      <c r="FB67" s="770"/>
    </row>
    <row r="68" spans="1:158" s="632" customFormat="1" ht="19.149999999999999" customHeight="1" x14ac:dyDescent="0.2">
      <c r="A68" s="733"/>
      <c r="B68" s="733"/>
      <c r="C68" s="734"/>
      <c r="D68" s="733"/>
      <c r="E68" s="734"/>
      <c r="F68" s="546" t="s">
        <v>224</v>
      </c>
      <c r="G68" s="605"/>
      <c r="H68" s="644"/>
      <c r="I68" s="607"/>
      <c r="J68" s="600"/>
      <c r="K68" s="607"/>
      <c r="L68" s="600"/>
      <c r="M68" s="607"/>
      <c r="N68" s="600"/>
      <c r="O68" s="607"/>
      <c r="P68" s="600"/>
      <c r="Q68" s="607"/>
      <c r="R68" s="600"/>
      <c r="S68" s="607"/>
      <c r="T68" s="645"/>
      <c r="U68" s="646"/>
      <c r="V68" s="646"/>
      <c r="W68" s="598">
        <f t="shared" si="24"/>
        <v>0</v>
      </c>
      <c r="X68" s="598">
        <f t="shared" si="25"/>
        <v>0</v>
      </c>
      <c r="Y68" s="598">
        <f t="shared" si="26"/>
        <v>0</v>
      </c>
      <c r="Z68" s="598">
        <f t="shared" si="27"/>
        <v>0</v>
      </c>
      <c r="AA68" s="598">
        <f t="shared" si="28"/>
        <v>0</v>
      </c>
      <c r="AB68" s="646"/>
      <c r="AC68" s="646"/>
      <c r="AD68" s="600"/>
      <c r="AE68" s="646"/>
      <c r="AF68" s="600"/>
      <c r="AG68" s="600"/>
      <c r="AH68" s="600"/>
      <c r="AI68" s="600"/>
      <c r="AJ68" s="600"/>
      <c r="AK68" s="626"/>
      <c r="AL68" s="626"/>
      <c r="AM68" s="626"/>
      <c r="AN68" s="626"/>
      <c r="AO68" s="626"/>
      <c r="AP68" s="626"/>
      <c r="AQ68" s="627"/>
      <c r="AR68" s="626"/>
      <c r="AS68" s="626"/>
      <c r="AT68" s="626"/>
      <c r="AU68" s="626"/>
      <c r="AV68" s="626"/>
      <c r="AW68" s="626"/>
      <c r="AX68" s="626"/>
      <c r="AY68" s="626"/>
      <c r="AZ68" s="630"/>
      <c r="BA68" s="594">
        <f>AW68+AU68+AS68+AQ68+AO68+AM68+AK68+AI68+AG68+AE68+AC68+AY68</f>
        <v>0</v>
      </c>
      <c r="BB68" s="599">
        <f t="shared" si="17"/>
        <v>0</v>
      </c>
      <c r="BC68" s="599">
        <f t="shared" si="11"/>
        <v>0</v>
      </c>
      <c r="BD68" s="599">
        <f>AC68+AE68+AG68+AI68+AK68+AM68+AO68+AQ68+AS68+AU68+AW68+AY68</f>
        <v>0</v>
      </c>
      <c r="BE68" s="599">
        <f t="shared" si="6"/>
        <v>0</v>
      </c>
      <c r="BF68" s="626"/>
      <c r="BG68" s="626"/>
      <c r="BH68" s="626"/>
      <c r="BI68" s="626"/>
      <c r="BJ68" s="626"/>
      <c r="BK68" s="626"/>
      <c r="BL68" s="626"/>
      <c r="BM68" s="626"/>
      <c r="BN68" s="626"/>
      <c r="BO68" s="626"/>
      <c r="BP68" s="626"/>
      <c r="BQ68" s="626"/>
      <c r="BR68" s="626"/>
      <c r="BS68" s="626"/>
      <c r="BT68" s="626"/>
      <c r="BU68" s="626"/>
      <c r="BV68" s="626"/>
      <c r="BW68" s="626"/>
      <c r="BX68" s="626"/>
      <c r="BY68" s="626"/>
      <c r="BZ68" s="626"/>
      <c r="CA68" s="626"/>
      <c r="CB68" s="626"/>
      <c r="CC68" s="626"/>
      <c r="CD68" s="626"/>
      <c r="CE68" s="594"/>
      <c r="CF68" s="610"/>
      <c r="CG68" s="610"/>
      <c r="CH68" s="631"/>
      <c r="CI68" s="610"/>
      <c r="CJ68" s="626"/>
      <c r="CK68" s="626"/>
      <c r="CL68" s="626"/>
      <c r="CM68" s="626"/>
      <c r="CN68" s="626"/>
      <c r="CO68" s="626"/>
      <c r="CP68" s="626"/>
      <c r="CQ68" s="626"/>
      <c r="CR68" s="626"/>
      <c r="CS68" s="626"/>
      <c r="CT68" s="626"/>
      <c r="CU68" s="626"/>
      <c r="CV68" s="626"/>
      <c r="CW68" s="626"/>
      <c r="CX68" s="626"/>
      <c r="CY68" s="626"/>
      <c r="CZ68" s="626"/>
      <c r="DA68" s="626"/>
      <c r="DB68" s="626"/>
      <c r="DC68" s="626"/>
      <c r="DD68" s="626"/>
      <c r="DE68" s="626"/>
      <c r="DF68" s="626"/>
      <c r="DG68" s="626"/>
      <c r="DH68" s="626"/>
      <c r="DI68" s="594">
        <f>DE68+DC68+DA68+CY68+CW68+CU68+CS68+CQ68+CO68+CM68+CK68+DG68</f>
        <v>0</v>
      </c>
      <c r="DJ68" s="610">
        <f t="shared" si="122"/>
        <v>0</v>
      </c>
      <c r="DK68" s="610">
        <f t="shared" si="123"/>
        <v>0</v>
      </c>
      <c r="DL68" s="609">
        <f>CM68+CO68+CQ68+CS68+CU68+CW68+CY68+DA68+DC68+DE68+DG68</f>
        <v>0</v>
      </c>
      <c r="DM68" s="610">
        <f>CL68+CN68+CP68+CR68</f>
        <v>0</v>
      </c>
      <c r="DN68" s="626"/>
      <c r="DO68" s="626"/>
      <c r="DP68" s="626"/>
      <c r="DQ68" s="626"/>
      <c r="DR68" s="626"/>
      <c r="DS68" s="626"/>
      <c r="DT68" s="626"/>
      <c r="DU68" s="626"/>
      <c r="DV68" s="626"/>
      <c r="DW68" s="626"/>
      <c r="DX68" s="626"/>
      <c r="DY68" s="626"/>
      <c r="DZ68" s="626"/>
      <c r="EA68" s="626"/>
      <c r="EB68" s="626"/>
      <c r="EC68" s="626"/>
      <c r="ED68" s="626"/>
      <c r="EE68" s="626"/>
      <c r="EF68" s="626"/>
      <c r="EG68" s="626"/>
      <c r="EH68" s="626"/>
      <c r="EI68" s="626"/>
      <c r="EJ68" s="626"/>
      <c r="EK68" s="626"/>
      <c r="EL68" s="626"/>
      <c r="EM68" s="594">
        <f>EI68+EG68+EE68+EC68+EA68+DY68+DW68+DU68+DS68+DQ68+DO68+EK68</f>
        <v>0</v>
      </c>
      <c r="EN68" s="610">
        <f t="shared" si="124"/>
        <v>0</v>
      </c>
      <c r="EO68" s="610">
        <f t="shared" si="125"/>
        <v>0</v>
      </c>
      <c r="EP68" s="609">
        <f>DQ68+DS68+DU68+DW68+DY68+EA68+EC68+EE68+EG68+EI68+EK68</f>
        <v>0</v>
      </c>
      <c r="EQ68" s="610">
        <f>DP68+DR68+DT68+DV68</f>
        <v>0</v>
      </c>
      <c r="ER68" s="601" t="e">
        <f t="shared" si="8"/>
        <v>#DIV/0!</v>
      </c>
      <c r="ES68" s="601" t="e">
        <f t="shared" ref="ES68:ES72" si="126">BC68/BB68</f>
        <v>#DIV/0!</v>
      </c>
      <c r="ET68" s="601" t="e">
        <f t="shared" ref="ET68:ET72" si="127">BE68/BD68</f>
        <v>#DIV/0!</v>
      </c>
      <c r="EU68" s="602" t="s">
        <v>225</v>
      </c>
      <c r="EV68" s="602" t="s">
        <v>225</v>
      </c>
      <c r="EW68" s="1354"/>
      <c r="EX68" s="733"/>
      <c r="EY68" s="733"/>
      <c r="EZ68" s="733"/>
      <c r="FA68" s="733" t="s">
        <v>662</v>
      </c>
      <c r="FB68" s="770"/>
    </row>
    <row r="69" spans="1:158" s="603" customFormat="1" ht="19.149999999999999" customHeight="1" x14ac:dyDescent="0.2">
      <c r="A69" s="733"/>
      <c r="B69" s="733"/>
      <c r="C69" s="734"/>
      <c r="D69" s="733"/>
      <c r="E69" s="734"/>
      <c r="F69" s="593" t="s">
        <v>42</v>
      </c>
      <c r="G69" s="613">
        <v>0.1</v>
      </c>
      <c r="H69" s="654"/>
      <c r="I69" s="613"/>
      <c r="J69" s="613"/>
      <c r="K69" s="613"/>
      <c r="L69" s="613"/>
      <c r="M69" s="613"/>
      <c r="N69" s="613"/>
      <c r="O69" s="613"/>
      <c r="P69" s="613"/>
      <c r="Q69" s="613"/>
      <c r="R69" s="613"/>
      <c r="S69" s="613"/>
      <c r="T69" s="613"/>
      <c r="U69" s="613"/>
      <c r="V69" s="613"/>
      <c r="W69" s="598">
        <f t="shared" si="24"/>
        <v>0</v>
      </c>
      <c r="X69" s="598">
        <f t="shared" si="25"/>
        <v>0</v>
      </c>
      <c r="Y69" s="598">
        <f t="shared" si="26"/>
        <v>0</v>
      </c>
      <c r="Z69" s="598">
        <f t="shared" si="27"/>
        <v>0</v>
      </c>
      <c r="AA69" s="598">
        <f t="shared" si="28"/>
        <v>0</v>
      </c>
      <c r="AB69" s="613">
        <v>0.1</v>
      </c>
      <c r="AC69" s="613">
        <v>0.05</v>
      </c>
      <c r="AD69" s="613">
        <v>0.05</v>
      </c>
      <c r="AE69" s="613">
        <v>0.05</v>
      </c>
      <c r="AF69" s="613">
        <v>0.05</v>
      </c>
      <c r="AG69" s="613">
        <v>0</v>
      </c>
      <c r="AH69" s="613">
        <v>0</v>
      </c>
      <c r="AI69" s="613">
        <v>0</v>
      </c>
      <c r="AJ69" s="613">
        <v>0</v>
      </c>
      <c r="AK69" s="615">
        <v>0</v>
      </c>
      <c r="AL69" s="615">
        <v>0</v>
      </c>
      <c r="AM69" s="615">
        <v>0</v>
      </c>
      <c r="AN69" s="615">
        <v>0</v>
      </c>
      <c r="AO69" s="615">
        <v>0</v>
      </c>
      <c r="AP69" s="615">
        <v>0</v>
      </c>
      <c r="AQ69" s="615">
        <v>0</v>
      </c>
      <c r="AR69" s="615">
        <v>0</v>
      </c>
      <c r="AS69" s="615">
        <v>0</v>
      </c>
      <c r="AT69" s="615">
        <v>0</v>
      </c>
      <c r="AU69" s="615">
        <v>0</v>
      </c>
      <c r="AV69" s="615">
        <v>0</v>
      </c>
      <c r="AW69" s="615">
        <v>0</v>
      </c>
      <c r="AX69" s="615">
        <v>0</v>
      </c>
      <c r="AY69" s="615">
        <v>0</v>
      </c>
      <c r="AZ69" s="615">
        <v>0</v>
      </c>
      <c r="BA69" s="599">
        <f>AW69+AU69+AS69+AQ69+AO69+AM69+AK69+AI69+AG69+AE69+AC69+AY69</f>
        <v>0.1</v>
      </c>
      <c r="BB69" s="599">
        <f t="shared" si="17"/>
        <v>0.1</v>
      </c>
      <c r="BC69" s="599">
        <f t="shared" si="11"/>
        <v>0.1</v>
      </c>
      <c r="BD69" s="599">
        <f>AC69+AE69+AG69+AI69+AK69+AM69+AO69+AQ69+AS69+AU69+AW69+AY69</f>
        <v>0.1</v>
      </c>
      <c r="BE69" s="599">
        <f t="shared" si="6"/>
        <v>0.1</v>
      </c>
      <c r="BF69" s="615"/>
      <c r="BG69" s="615"/>
      <c r="BH69" s="615"/>
      <c r="BI69" s="615"/>
      <c r="BJ69" s="652"/>
      <c r="BK69" s="615"/>
      <c r="BL69" s="615"/>
      <c r="BM69" s="615"/>
      <c r="BN69" s="615"/>
      <c r="BO69" s="615"/>
      <c r="BP69" s="615"/>
      <c r="BQ69" s="615"/>
      <c r="BR69" s="615"/>
      <c r="BS69" s="615"/>
      <c r="BT69" s="615"/>
      <c r="BU69" s="615"/>
      <c r="BV69" s="615"/>
      <c r="BW69" s="615"/>
      <c r="BX69" s="615"/>
      <c r="BY69" s="615"/>
      <c r="BZ69" s="615"/>
      <c r="CA69" s="615"/>
      <c r="CB69" s="615"/>
      <c r="CC69" s="615"/>
      <c r="CD69" s="615"/>
      <c r="CE69" s="597"/>
      <c r="CF69" s="634"/>
      <c r="CG69" s="635"/>
      <c r="CH69" s="624"/>
      <c r="CI69" s="597"/>
      <c r="CJ69" s="615"/>
      <c r="CK69" s="615"/>
      <c r="CL69" s="615"/>
      <c r="CM69" s="615"/>
      <c r="CN69" s="615"/>
      <c r="CO69" s="615"/>
      <c r="CP69" s="615"/>
      <c r="CQ69" s="615"/>
      <c r="CR69" s="615"/>
      <c r="CS69" s="615"/>
      <c r="CT69" s="615"/>
      <c r="CU69" s="615"/>
      <c r="CV69" s="615"/>
      <c r="CW69" s="615"/>
      <c r="CX69" s="615"/>
      <c r="CY69" s="615"/>
      <c r="CZ69" s="615"/>
      <c r="DA69" s="615"/>
      <c r="DB69" s="615"/>
      <c r="DC69" s="615"/>
      <c r="DD69" s="615"/>
      <c r="DE69" s="615"/>
      <c r="DF69" s="615"/>
      <c r="DG69" s="615"/>
      <c r="DH69" s="615"/>
      <c r="DI69" s="597">
        <f>DE69+DC69+DA69+CY69+CW69+CU69+CS69+CQ69+CO69+CM69+CK69+DG69</f>
        <v>0</v>
      </c>
      <c r="DJ69" s="634">
        <f t="shared" si="122"/>
        <v>0</v>
      </c>
      <c r="DK69" s="635">
        <f t="shared" si="123"/>
        <v>0</v>
      </c>
      <c r="DL69" s="624">
        <f>CM69+CO69+CQ69+CS69+CU69+CW69+CY69+DA69+DC69+DE69+DG69</f>
        <v>0</v>
      </c>
      <c r="DM69" s="597">
        <f>CL69+CN69+CP69+CR69</f>
        <v>0</v>
      </c>
      <c r="DN69" s="615"/>
      <c r="DO69" s="615"/>
      <c r="DP69" s="615"/>
      <c r="DQ69" s="615"/>
      <c r="DR69" s="615"/>
      <c r="DS69" s="615"/>
      <c r="DT69" s="615"/>
      <c r="DU69" s="615"/>
      <c r="DV69" s="615"/>
      <c r="DW69" s="615"/>
      <c r="DX69" s="615"/>
      <c r="DY69" s="615"/>
      <c r="DZ69" s="615"/>
      <c r="EA69" s="615"/>
      <c r="EB69" s="615"/>
      <c r="EC69" s="615"/>
      <c r="ED69" s="615"/>
      <c r="EE69" s="615"/>
      <c r="EF69" s="615"/>
      <c r="EG69" s="615"/>
      <c r="EH69" s="615"/>
      <c r="EI69" s="615"/>
      <c r="EJ69" s="615"/>
      <c r="EK69" s="615"/>
      <c r="EL69" s="615"/>
      <c r="EM69" s="597">
        <f>EI69+EG69+EE69+EC69+EA69+DY69+DW69+DU69+DS69+DQ69+DO69+EK69</f>
        <v>0</v>
      </c>
      <c r="EN69" s="634">
        <f t="shared" si="124"/>
        <v>0</v>
      </c>
      <c r="EO69" s="635">
        <f t="shared" si="125"/>
        <v>0</v>
      </c>
      <c r="EP69" s="624">
        <f>DQ69+DS69+DU69+DW69+DY69+EA69+EC69+EE69+EG69+EI69+EK69</f>
        <v>0</v>
      </c>
      <c r="EQ69" s="597">
        <f>DP69+DR69+DT69+DV69</f>
        <v>0</v>
      </c>
      <c r="ER69" s="601" t="e">
        <f t="shared" si="8"/>
        <v>#DIV/0!</v>
      </c>
      <c r="ES69" s="601">
        <f t="shared" si="126"/>
        <v>1</v>
      </c>
      <c r="ET69" s="601">
        <f t="shared" si="127"/>
        <v>1</v>
      </c>
      <c r="EU69" s="602" t="s">
        <v>225</v>
      </c>
      <c r="EV69" s="602" t="s">
        <v>225</v>
      </c>
      <c r="EW69" s="1354"/>
      <c r="EX69" s="733"/>
      <c r="EY69" s="733"/>
      <c r="EZ69" s="733"/>
      <c r="FA69" s="733" t="s">
        <v>662</v>
      </c>
      <c r="FB69" s="770"/>
    </row>
    <row r="70" spans="1:158" s="603" customFormat="1" ht="19.149999999999999" customHeight="1" x14ac:dyDescent="0.2">
      <c r="A70" s="733"/>
      <c r="B70" s="733"/>
      <c r="C70" s="734"/>
      <c r="D70" s="733"/>
      <c r="E70" s="734"/>
      <c r="F70" s="604" t="s">
        <v>4</v>
      </c>
      <c r="G70" s="605">
        <f>AA70+BD70+BF70+CJ70+DN70</f>
        <v>160059853</v>
      </c>
      <c r="H70" s="636"/>
      <c r="I70" s="637"/>
      <c r="J70" s="637"/>
      <c r="K70" s="637"/>
      <c r="L70" s="637"/>
      <c r="M70" s="637"/>
      <c r="N70" s="637"/>
      <c r="O70" s="637"/>
      <c r="P70" s="637"/>
      <c r="Q70" s="637"/>
      <c r="R70" s="637"/>
      <c r="S70" s="637"/>
      <c r="T70" s="637"/>
      <c r="U70" s="637"/>
      <c r="V70" s="637"/>
      <c r="W70" s="598">
        <f t="shared" si="24"/>
        <v>0</v>
      </c>
      <c r="X70" s="598">
        <f t="shared" si="25"/>
        <v>0</v>
      </c>
      <c r="Y70" s="598">
        <f t="shared" si="26"/>
        <v>0</v>
      </c>
      <c r="Z70" s="598">
        <f t="shared" si="27"/>
        <v>0</v>
      </c>
      <c r="AA70" s="598">
        <f t="shared" si="28"/>
        <v>0</v>
      </c>
      <c r="AB70" s="619">
        <v>160059853</v>
      </c>
      <c r="AC70" s="619">
        <v>33914000</v>
      </c>
      <c r="AD70" s="619">
        <v>33914000</v>
      </c>
      <c r="AE70" s="619">
        <f>97735000-AD70</f>
        <v>63821000</v>
      </c>
      <c r="AF70" s="619">
        <v>63821000</v>
      </c>
      <c r="AG70" s="619">
        <f>126122834-AD70-AF70</f>
        <v>28387834</v>
      </c>
      <c r="AH70" s="619">
        <v>28387834</v>
      </c>
      <c r="AI70" s="619">
        <v>0</v>
      </c>
      <c r="AJ70" s="619">
        <v>0</v>
      </c>
      <c r="AK70" s="600">
        <f>157987834-AD70-AF70-AH70-AJ70</f>
        <v>31865000</v>
      </c>
      <c r="AL70" s="600">
        <v>31865000</v>
      </c>
      <c r="AM70" s="600">
        <v>2072019</v>
      </c>
      <c r="AN70" s="600">
        <v>2072019</v>
      </c>
      <c r="AO70" s="600">
        <v>0</v>
      </c>
      <c r="AP70" s="600">
        <v>0</v>
      </c>
      <c r="AQ70" s="607"/>
      <c r="AR70" s="600"/>
      <c r="AS70" s="600"/>
      <c r="AT70" s="600">
        <v>0</v>
      </c>
      <c r="AU70" s="600"/>
      <c r="AV70" s="600">
        <v>0</v>
      </c>
      <c r="AW70" s="600"/>
      <c r="AX70" s="600"/>
      <c r="AY70" s="600"/>
      <c r="AZ70" s="600">
        <v>0</v>
      </c>
      <c r="BA70" s="594">
        <f>AW70+AU70+AS70+AQ70+AO70+AM70+AK70+AI70+AG70+AE70+AC70+AY70</f>
        <v>160059853</v>
      </c>
      <c r="BB70" s="599">
        <f t="shared" si="17"/>
        <v>160059853</v>
      </c>
      <c r="BC70" s="599">
        <f t="shared" si="11"/>
        <v>160059853</v>
      </c>
      <c r="BD70" s="599">
        <f>BA70</f>
        <v>160059853</v>
      </c>
      <c r="BE70" s="599">
        <f>AF70+AH70+AJ70+AL70+AD70+AN70+AP70+AR70+AT70+AV70+AX70+AZ70</f>
        <v>160059853</v>
      </c>
      <c r="BF70" s="626"/>
      <c r="BG70" s="626"/>
      <c r="BH70" s="626"/>
      <c r="BI70" s="626"/>
      <c r="BJ70" s="626"/>
      <c r="BK70" s="626"/>
      <c r="BL70" s="600"/>
      <c r="BM70" s="600"/>
      <c r="BN70" s="600"/>
      <c r="BO70" s="600"/>
      <c r="BP70" s="600"/>
      <c r="BQ70" s="600"/>
      <c r="BR70" s="600"/>
      <c r="BS70" s="600"/>
      <c r="BT70" s="600"/>
      <c r="BU70" s="600"/>
      <c r="BV70" s="600"/>
      <c r="BW70" s="600"/>
      <c r="BX70" s="600"/>
      <c r="BY70" s="600"/>
      <c r="BZ70" s="600"/>
      <c r="CA70" s="600"/>
      <c r="CB70" s="600"/>
      <c r="CC70" s="600"/>
      <c r="CD70" s="600"/>
      <c r="CE70" s="597"/>
      <c r="CF70" s="610"/>
      <c r="CG70" s="610"/>
      <c r="CH70" s="609"/>
      <c r="CI70" s="610"/>
      <c r="CJ70" s="600"/>
      <c r="CK70" s="600"/>
      <c r="CL70" s="600"/>
      <c r="CM70" s="600"/>
      <c r="CN70" s="600"/>
      <c r="CO70" s="600"/>
      <c r="CP70" s="600"/>
      <c r="CQ70" s="600"/>
      <c r="CR70" s="600"/>
      <c r="CS70" s="600"/>
      <c r="CT70" s="600"/>
      <c r="CU70" s="600"/>
      <c r="CV70" s="600"/>
      <c r="CW70" s="600"/>
      <c r="CX70" s="600"/>
      <c r="CY70" s="600"/>
      <c r="CZ70" s="600"/>
      <c r="DA70" s="600"/>
      <c r="DB70" s="600"/>
      <c r="DC70" s="600"/>
      <c r="DD70" s="600"/>
      <c r="DE70" s="600"/>
      <c r="DF70" s="600"/>
      <c r="DG70" s="600"/>
      <c r="DH70" s="600"/>
      <c r="DI70" s="597"/>
      <c r="DJ70" s="610"/>
      <c r="DK70" s="610"/>
      <c r="DL70" s="609"/>
      <c r="DM70" s="610"/>
      <c r="DN70" s="600"/>
      <c r="DO70" s="600"/>
      <c r="DP70" s="600"/>
      <c r="DQ70" s="600"/>
      <c r="DR70" s="600"/>
      <c r="DS70" s="600"/>
      <c r="DT70" s="600"/>
      <c r="DU70" s="600"/>
      <c r="DV70" s="600"/>
      <c r="DW70" s="600"/>
      <c r="DX70" s="600"/>
      <c r="DY70" s="600"/>
      <c r="DZ70" s="600"/>
      <c r="EA70" s="600"/>
      <c r="EB70" s="600"/>
      <c r="EC70" s="600"/>
      <c r="ED70" s="600"/>
      <c r="EE70" s="600"/>
      <c r="EF70" s="600"/>
      <c r="EG70" s="600"/>
      <c r="EH70" s="600"/>
      <c r="EI70" s="600"/>
      <c r="EJ70" s="600"/>
      <c r="EK70" s="600"/>
      <c r="EL70" s="600"/>
      <c r="EM70" s="597">
        <f>EI70+EG70+EE70+EC70+EA70+DY70+DW70+DU70+DS70+DQ70+DO70+EK70</f>
        <v>0</v>
      </c>
      <c r="EN70" s="610">
        <f t="shared" si="124"/>
        <v>0</v>
      </c>
      <c r="EO70" s="610">
        <f t="shared" si="125"/>
        <v>0</v>
      </c>
      <c r="EP70" s="609">
        <f>DQ70+DS70+DU70+DW70+DY70+EA70+EC70+EE70+EG70+EI70+EK70+DO70</f>
        <v>0</v>
      </c>
      <c r="EQ70" s="610">
        <f>DP70+DR70+DT70+DV70</f>
        <v>0</v>
      </c>
      <c r="ER70" s="601" t="e">
        <f t="shared" si="8"/>
        <v>#DIV/0!</v>
      </c>
      <c r="ES70" s="601">
        <f t="shared" si="126"/>
        <v>1</v>
      </c>
      <c r="ET70" s="601">
        <f t="shared" si="127"/>
        <v>1</v>
      </c>
      <c r="EU70" s="602" t="s">
        <v>225</v>
      </c>
      <c r="EV70" s="601">
        <f t="shared" ref="EV70:EV71" si="128">BE70/G70</f>
        <v>1</v>
      </c>
      <c r="EW70" s="1354"/>
      <c r="EX70" s="733"/>
      <c r="EY70" s="733"/>
      <c r="EZ70" s="733"/>
      <c r="FA70" s="733" t="s">
        <v>662</v>
      </c>
      <c r="FB70" s="770"/>
    </row>
    <row r="71" spans="1:158" s="603" customFormat="1" ht="19.149999999999999" customHeight="1" thickBot="1" x14ac:dyDescent="0.25">
      <c r="A71" s="733"/>
      <c r="B71" s="733"/>
      <c r="C71" s="734"/>
      <c r="D71" s="733"/>
      <c r="E71" s="734"/>
      <c r="F71" s="593" t="s">
        <v>43</v>
      </c>
      <c r="G71" s="1369">
        <v>0.9</v>
      </c>
      <c r="H71" s="1370">
        <v>1</v>
      </c>
      <c r="I71" s="1371"/>
      <c r="J71" s="1371"/>
      <c r="K71" s="1371">
        <v>1</v>
      </c>
      <c r="L71" s="1371">
        <v>0</v>
      </c>
      <c r="M71" s="1371">
        <v>1</v>
      </c>
      <c r="N71" s="1408">
        <v>0</v>
      </c>
      <c r="O71" s="1371">
        <v>1</v>
      </c>
      <c r="P71" s="1408">
        <v>0</v>
      </c>
      <c r="Q71" s="1371">
        <v>1</v>
      </c>
      <c r="R71" s="1409">
        <v>0.5</v>
      </c>
      <c r="S71" s="1371">
        <v>1</v>
      </c>
      <c r="T71" s="1410">
        <v>0.7</v>
      </c>
      <c r="U71" s="1369">
        <v>1</v>
      </c>
      <c r="V71" s="1369">
        <v>0.9</v>
      </c>
      <c r="W71" s="1375">
        <f t="shared" si="24"/>
        <v>1</v>
      </c>
      <c r="X71" s="1375">
        <f t="shared" si="25"/>
        <v>1</v>
      </c>
      <c r="Y71" s="1375">
        <f t="shared" si="26"/>
        <v>0.9</v>
      </c>
      <c r="Z71" s="1375">
        <f t="shared" si="27"/>
        <v>1</v>
      </c>
      <c r="AA71" s="1375">
        <f t="shared" si="28"/>
        <v>0.9</v>
      </c>
      <c r="AB71" s="1376">
        <v>0.1</v>
      </c>
      <c r="AC71" s="1377">
        <v>0.05</v>
      </c>
      <c r="AD71" s="1377">
        <v>0.05</v>
      </c>
      <c r="AE71" s="1377">
        <v>0.1</v>
      </c>
      <c r="AF71" s="1377">
        <v>0.1</v>
      </c>
      <c r="AG71" s="1377">
        <v>0</v>
      </c>
      <c r="AH71" s="1377">
        <v>0</v>
      </c>
      <c r="AI71" s="1377">
        <v>0</v>
      </c>
      <c r="AJ71" s="1377">
        <v>0</v>
      </c>
      <c r="AK71" s="1376">
        <v>0</v>
      </c>
      <c r="AL71" s="1376">
        <v>0</v>
      </c>
      <c r="AM71" s="1376"/>
      <c r="AN71" s="1376"/>
      <c r="AO71" s="1376">
        <v>0</v>
      </c>
      <c r="AP71" s="1376">
        <v>0</v>
      </c>
      <c r="AQ71" s="1376"/>
      <c r="AR71" s="1376"/>
      <c r="AS71" s="1376"/>
      <c r="AT71" s="1376"/>
      <c r="AU71" s="1376"/>
      <c r="AV71" s="1376">
        <v>0</v>
      </c>
      <c r="AW71" s="1376"/>
      <c r="AX71" s="1376"/>
      <c r="AY71" s="1376"/>
      <c r="AZ71" s="1376">
        <v>0</v>
      </c>
      <c r="BA71" s="1380">
        <f t="shared" ref="BA71:BD71" si="129">BA66+BA69</f>
        <v>0.1</v>
      </c>
      <c r="BB71" s="1381">
        <f t="shared" si="17"/>
        <v>0.15000000000000002</v>
      </c>
      <c r="BC71" s="1381">
        <f t="shared" si="11"/>
        <v>0.15000000000000002</v>
      </c>
      <c r="BD71" s="1381">
        <f t="shared" si="129"/>
        <v>0.1</v>
      </c>
      <c r="BE71" s="1381">
        <f t="shared" si="6"/>
        <v>0.15000000000000002</v>
      </c>
      <c r="BF71" s="1380">
        <v>0</v>
      </c>
      <c r="BG71" s="1380"/>
      <c r="BH71" s="1380"/>
      <c r="BI71" s="1380"/>
      <c r="BJ71" s="1380"/>
      <c r="BK71" s="1380"/>
      <c r="BL71" s="1380"/>
      <c r="BM71" s="1380"/>
      <c r="BN71" s="1380"/>
      <c r="BO71" s="1380"/>
      <c r="BP71" s="1380"/>
      <c r="BQ71" s="1380"/>
      <c r="BR71" s="1380"/>
      <c r="BS71" s="1380"/>
      <c r="BT71" s="1380"/>
      <c r="BU71" s="1380"/>
      <c r="BV71" s="1380"/>
      <c r="BW71" s="1380"/>
      <c r="BX71" s="1380"/>
      <c r="BY71" s="1380"/>
      <c r="BZ71" s="1380"/>
      <c r="CA71" s="1380"/>
      <c r="CB71" s="1380"/>
      <c r="CC71" s="1380"/>
      <c r="CD71" s="1380"/>
      <c r="CE71" s="1382"/>
      <c r="CF71" s="1385"/>
      <c r="CG71" s="1385"/>
      <c r="CH71" s="1386"/>
      <c r="CI71" s="1385"/>
      <c r="CJ71" s="1380">
        <v>0</v>
      </c>
      <c r="CK71" s="1380"/>
      <c r="CL71" s="1380"/>
      <c r="CM71" s="1380"/>
      <c r="CN71" s="1380"/>
      <c r="CO71" s="1380"/>
      <c r="CP71" s="1380"/>
      <c r="CQ71" s="1380"/>
      <c r="CR71" s="1380"/>
      <c r="CS71" s="1380"/>
      <c r="CT71" s="1380"/>
      <c r="CU71" s="1380"/>
      <c r="CV71" s="1380"/>
      <c r="CW71" s="1380"/>
      <c r="CX71" s="1380"/>
      <c r="CY71" s="1380"/>
      <c r="CZ71" s="1380"/>
      <c r="DA71" s="1380"/>
      <c r="DB71" s="1380"/>
      <c r="DC71" s="1380"/>
      <c r="DD71" s="1380"/>
      <c r="DE71" s="1380"/>
      <c r="DF71" s="1380"/>
      <c r="DG71" s="1380"/>
      <c r="DH71" s="1380"/>
      <c r="DI71" s="1382">
        <f>DE71+DC71+DA71+CY71+CW71+CU71+CS71+CQ71+CO71+CM71+CK71+DG71</f>
        <v>0</v>
      </c>
      <c r="DJ71" s="1385">
        <f t="shared" si="122"/>
        <v>0</v>
      </c>
      <c r="DK71" s="1385">
        <f t="shared" si="123"/>
        <v>0</v>
      </c>
      <c r="DL71" s="1386">
        <f>CM71+CO71+CQ71+CS71+CU71+CW71+CY71+DA71+DC71+DE71+DG71+CK71</f>
        <v>0</v>
      </c>
      <c r="DM71" s="1385">
        <f>CN71+CP71+CR71+CL71</f>
        <v>0</v>
      </c>
      <c r="DN71" s="1380">
        <v>0</v>
      </c>
      <c r="DO71" s="1376"/>
      <c r="DP71" s="1376"/>
      <c r="DQ71" s="1376"/>
      <c r="DR71" s="1376"/>
      <c r="DS71" s="1376"/>
      <c r="DT71" s="1376"/>
      <c r="DU71" s="1376"/>
      <c r="DV71" s="1376"/>
      <c r="DW71" s="1376"/>
      <c r="DX71" s="1376"/>
      <c r="DY71" s="1376"/>
      <c r="DZ71" s="1376"/>
      <c r="EA71" s="1376"/>
      <c r="EB71" s="1376"/>
      <c r="EC71" s="1376"/>
      <c r="ED71" s="1376"/>
      <c r="EE71" s="1376"/>
      <c r="EF71" s="1376"/>
      <c r="EG71" s="1376"/>
      <c r="EH71" s="1376"/>
      <c r="EI71" s="1376"/>
      <c r="EJ71" s="1376"/>
      <c r="EK71" s="1376"/>
      <c r="EL71" s="1376"/>
      <c r="EM71" s="1382">
        <f>EI71+EG71+EE71+EC71+EA71+DY71+DW71+DU71+DS71+DQ71+DO71+EK71</f>
        <v>0</v>
      </c>
      <c r="EN71" s="1385">
        <f t="shared" si="124"/>
        <v>0</v>
      </c>
      <c r="EO71" s="1385">
        <f t="shared" si="125"/>
        <v>0</v>
      </c>
      <c r="EP71" s="1386">
        <f>DQ71+DS71+DU71+DW71+DY71+EA71+EC71+EE71+EG71+EI71+EK71+DO71</f>
        <v>0</v>
      </c>
      <c r="EQ71" s="1385">
        <f>DR71+DT71+DV71+DP71</f>
        <v>0</v>
      </c>
      <c r="ER71" s="1387" t="e">
        <f t="shared" si="8"/>
        <v>#DIV/0!</v>
      </c>
      <c r="ES71" s="1387">
        <f t="shared" si="126"/>
        <v>1</v>
      </c>
      <c r="ET71" s="1387">
        <f t="shared" si="127"/>
        <v>1.5000000000000002</v>
      </c>
      <c r="EU71" s="1388" t="s">
        <v>225</v>
      </c>
      <c r="EV71" s="1387">
        <f t="shared" si="128"/>
        <v>0.16666666666666669</v>
      </c>
      <c r="EW71" s="1354"/>
      <c r="EX71" s="733"/>
      <c r="EY71" s="733"/>
      <c r="EZ71" s="733"/>
      <c r="FA71" s="733" t="s">
        <v>662</v>
      </c>
      <c r="FB71" s="770"/>
    </row>
    <row r="72" spans="1:158" s="640" customFormat="1" ht="19.149999999999999" customHeight="1" thickBot="1" x14ac:dyDescent="0.25">
      <c r="A72" s="733"/>
      <c r="B72" s="733"/>
      <c r="C72" s="734"/>
      <c r="D72" s="733"/>
      <c r="E72" s="734"/>
      <c r="F72" s="1367" t="s">
        <v>45</v>
      </c>
      <c r="G72" s="1392">
        <v>424276000</v>
      </c>
      <c r="H72" s="1393">
        <v>334120000</v>
      </c>
      <c r="I72" s="1394"/>
      <c r="J72" s="1395"/>
      <c r="K72" s="1394">
        <v>334120000</v>
      </c>
      <c r="L72" s="1394">
        <v>40000000</v>
      </c>
      <c r="M72" s="1394">
        <v>400424000</v>
      </c>
      <c r="N72" s="1394">
        <v>318184000</v>
      </c>
      <c r="O72" s="1394">
        <v>400424000</v>
      </c>
      <c r="P72" s="1394">
        <v>318184000</v>
      </c>
      <c r="Q72" s="1394">
        <v>491805000</v>
      </c>
      <c r="R72" s="1394">
        <v>318184000</v>
      </c>
      <c r="S72" s="1396">
        <v>463576000</v>
      </c>
      <c r="T72" s="1397">
        <v>318184000</v>
      </c>
      <c r="U72" s="1398">
        <v>463576000</v>
      </c>
      <c r="V72" s="1398">
        <v>424276000</v>
      </c>
      <c r="W72" s="1399">
        <f t="shared" si="24"/>
        <v>334120000</v>
      </c>
      <c r="X72" s="1399">
        <f t="shared" si="25"/>
        <v>334120000</v>
      </c>
      <c r="Y72" s="1399">
        <f t="shared" si="26"/>
        <v>424276000</v>
      </c>
      <c r="Z72" s="1399">
        <f t="shared" si="27"/>
        <v>463576000</v>
      </c>
      <c r="AA72" s="1399">
        <f t="shared" si="28"/>
        <v>424276000</v>
      </c>
      <c r="AB72" s="1400">
        <f>+AB67+AB70</f>
        <v>160059853</v>
      </c>
      <c r="AC72" s="1400">
        <f>+AC67+AC70</f>
        <v>33914000</v>
      </c>
      <c r="AD72" s="1400">
        <f>+AD67+AD70</f>
        <v>33914000</v>
      </c>
      <c r="AE72" s="1400">
        <f>+AE67+AE70</f>
        <v>63821000</v>
      </c>
      <c r="AF72" s="1400">
        <f t="shared" ref="AF72:AZ72" si="130">+AF67+AF70</f>
        <v>63821000</v>
      </c>
      <c r="AG72" s="1400">
        <f t="shared" si="130"/>
        <v>28387834</v>
      </c>
      <c r="AH72" s="1400">
        <f t="shared" si="130"/>
        <v>28387834</v>
      </c>
      <c r="AI72" s="1400">
        <f t="shared" si="130"/>
        <v>0</v>
      </c>
      <c r="AJ72" s="1400">
        <f t="shared" si="130"/>
        <v>0</v>
      </c>
      <c r="AK72" s="1400">
        <f t="shared" si="130"/>
        <v>31865000</v>
      </c>
      <c r="AL72" s="1400">
        <f t="shared" si="130"/>
        <v>31865000</v>
      </c>
      <c r="AM72" s="1400">
        <f t="shared" si="130"/>
        <v>2072019</v>
      </c>
      <c r="AN72" s="1400">
        <f t="shared" si="130"/>
        <v>2072019</v>
      </c>
      <c r="AO72" s="1400">
        <f t="shared" si="130"/>
        <v>0</v>
      </c>
      <c r="AP72" s="1400">
        <f t="shared" si="130"/>
        <v>0</v>
      </c>
      <c r="AQ72" s="1400">
        <f t="shared" si="130"/>
        <v>0</v>
      </c>
      <c r="AR72" s="1400">
        <f t="shared" si="130"/>
        <v>0</v>
      </c>
      <c r="AS72" s="1400">
        <f t="shared" si="130"/>
        <v>0</v>
      </c>
      <c r="AT72" s="1400">
        <f t="shared" si="130"/>
        <v>0</v>
      </c>
      <c r="AU72" s="1400">
        <f t="shared" si="130"/>
        <v>0</v>
      </c>
      <c r="AV72" s="1400">
        <f t="shared" si="130"/>
        <v>0</v>
      </c>
      <c r="AW72" s="1400">
        <f t="shared" si="130"/>
        <v>0</v>
      </c>
      <c r="AX72" s="1400">
        <f t="shared" si="130"/>
        <v>0</v>
      </c>
      <c r="AY72" s="1400">
        <f t="shared" si="130"/>
        <v>0</v>
      </c>
      <c r="AZ72" s="1400">
        <f t="shared" si="130"/>
        <v>0</v>
      </c>
      <c r="BA72" s="1401">
        <f>AY72+AW72+AU72+AS72+AQ72+AO72+AM72+AK72+AI72+AG72+AE72+AC72</f>
        <v>160059853</v>
      </c>
      <c r="BB72" s="1431">
        <f>AC72+AE72+AG72+AI72+AK72+AM72+AO72+AQ72+AS72+AU72+AW72+AY72</f>
        <v>160059853</v>
      </c>
      <c r="BC72" s="1401">
        <f t="shared" si="11"/>
        <v>160059853</v>
      </c>
      <c r="BD72" s="1401">
        <f t="shared" ref="BD72" si="131">+BD67+BD70</f>
        <v>160059853</v>
      </c>
      <c r="BE72" s="1401">
        <f t="shared" si="6"/>
        <v>160059853</v>
      </c>
      <c r="BF72" s="1394">
        <v>0</v>
      </c>
      <c r="BG72" s="1402"/>
      <c r="BH72" s="1402"/>
      <c r="BI72" s="1402"/>
      <c r="BJ72" s="1402"/>
      <c r="BK72" s="1402"/>
      <c r="BL72" s="1402"/>
      <c r="BM72" s="1402"/>
      <c r="BN72" s="1402"/>
      <c r="BO72" s="1402"/>
      <c r="BP72" s="1402"/>
      <c r="BQ72" s="1402"/>
      <c r="BR72" s="1402"/>
      <c r="BS72" s="1402"/>
      <c r="BT72" s="1402"/>
      <c r="BU72" s="1402"/>
      <c r="BV72" s="1402"/>
      <c r="BW72" s="1402"/>
      <c r="BX72" s="1402"/>
      <c r="BY72" s="1402"/>
      <c r="BZ72" s="1402"/>
      <c r="CA72" s="1402"/>
      <c r="CB72" s="1402"/>
      <c r="CC72" s="1402"/>
      <c r="CD72" s="1402"/>
      <c r="CE72" s="1401"/>
      <c r="CF72" s="1403"/>
      <c r="CG72" s="1404"/>
      <c r="CH72" s="1403"/>
      <c r="CI72" s="1403"/>
      <c r="CJ72" s="1398">
        <v>0</v>
      </c>
      <c r="CK72" s="1398"/>
      <c r="CL72" s="1398"/>
      <c r="CM72" s="1398"/>
      <c r="CN72" s="1398"/>
      <c r="CO72" s="1398"/>
      <c r="CP72" s="1398"/>
      <c r="CQ72" s="1398"/>
      <c r="CR72" s="1398"/>
      <c r="CS72" s="1398"/>
      <c r="CT72" s="1398"/>
      <c r="CU72" s="1398"/>
      <c r="CV72" s="1398"/>
      <c r="CW72" s="1398"/>
      <c r="CX72" s="1398"/>
      <c r="CY72" s="1398"/>
      <c r="CZ72" s="1398"/>
      <c r="DA72" s="1398"/>
      <c r="DB72" s="1398"/>
      <c r="DC72" s="1398"/>
      <c r="DD72" s="1398"/>
      <c r="DE72" s="1398"/>
      <c r="DF72" s="1398"/>
      <c r="DG72" s="1398"/>
      <c r="DH72" s="1398"/>
      <c r="DI72" s="1401">
        <f>DG72+DE72+DC72+DA72+CY72+CW72+CU72+CS72+CQ72+CO72+CM72+CK72</f>
        <v>0</v>
      </c>
      <c r="DJ72" s="1403">
        <f t="shared" ref="DJ72" si="132">+DJ67+DJ70</f>
        <v>0</v>
      </c>
      <c r="DK72" s="1404">
        <f t="shared" ref="DK72" si="133">DK67+DK70</f>
        <v>0</v>
      </c>
      <c r="DL72" s="1403">
        <f t="shared" ref="DL72:DM72" si="134">+DL67+DL70</f>
        <v>0</v>
      </c>
      <c r="DM72" s="1403">
        <f t="shared" si="134"/>
        <v>0</v>
      </c>
      <c r="DN72" s="1398">
        <v>0</v>
      </c>
      <c r="DO72" s="1398"/>
      <c r="DP72" s="1398"/>
      <c r="DQ72" s="1398"/>
      <c r="DR72" s="1398"/>
      <c r="DS72" s="1398"/>
      <c r="DT72" s="1398"/>
      <c r="DU72" s="1398"/>
      <c r="DV72" s="1398"/>
      <c r="DW72" s="1398"/>
      <c r="DX72" s="1398"/>
      <c r="DY72" s="1398"/>
      <c r="DZ72" s="1398"/>
      <c r="EA72" s="1398"/>
      <c r="EB72" s="1398"/>
      <c r="EC72" s="1398"/>
      <c r="ED72" s="1398"/>
      <c r="EE72" s="1398"/>
      <c r="EF72" s="1398"/>
      <c r="EG72" s="1398"/>
      <c r="EH72" s="1398"/>
      <c r="EI72" s="1398"/>
      <c r="EJ72" s="1398"/>
      <c r="EK72" s="1398"/>
      <c r="EL72" s="1398"/>
      <c r="EM72" s="1401">
        <f>EK72+EI72+EG72+EE72+EC72+EA72+DY72+DW72+DU72+DS72+DQ72+DO72</f>
        <v>0</v>
      </c>
      <c r="EN72" s="1403">
        <f t="shared" ref="EN72" si="135">+EN67+EN70</f>
        <v>0</v>
      </c>
      <c r="EO72" s="1404">
        <f t="shared" ref="EO72" si="136">EO67+EO70</f>
        <v>0</v>
      </c>
      <c r="EP72" s="1403">
        <f t="shared" ref="EP72:EQ72" si="137">+EP67+EP70</f>
        <v>0</v>
      </c>
      <c r="EQ72" s="1403">
        <f t="shared" si="137"/>
        <v>0</v>
      </c>
      <c r="ER72" s="1405" t="e">
        <f t="shared" si="8"/>
        <v>#DIV/0!</v>
      </c>
      <c r="ES72" s="1405">
        <f t="shared" si="126"/>
        <v>1</v>
      </c>
      <c r="ET72" s="1405">
        <f t="shared" si="127"/>
        <v>1</v>
      </c>
      <c r="EU72" s="1406">
        <f t="shared" ref="EU72" si="138">(BC72+AA72)/(Z72+BB72)</f>
        <v>0.9369824556895705</v>
      </c>
      <c r="EV72" s="1407">
        <f t="shared" ref="EV72" si="139">(BC72+AA72)/G72</f>
        <v>1.3772540822483477</v>
      </c>
      <c r="EW72" s="1368"/>
      <c r="EX72" s="733"/>
      <c r="EY72" s="733"/>
      <c r="EZ72" s="733"/>
      <c r="FA72" s="733"/>
      <c r="FB72" s="770"/>
    </row>
    <row r="73" spans="1:158" s="603" customFormat="1" ht="19.149999999999999" customHeight="1" x14ac:dyDescent="0.2">
      <c r="A73" s="733"/>
      <c r="B73" s="733">
        <v>10</v>
      </c>
      <c r="C73" s="734" t="s">
        <v>299</v>
      </c>
      <c r="D73" s="733" t="s">
        <v>276</v>
      </c>
      <c r="E73" s="734">
        <v>198</v>
      </c>
      <c r="F73" s="593" t="s">
        <v>41</v>
      </c>
      <c r="G73" s="1411">
        <v>100</v>
      </c>
      <c r="H73" s="1412">
        <v>12.5</v>
      </c>
      <c r="I73" s="1413"/>
      <c r="J73" s="1413"/>
      <c r="K73" s="1414">
        <v>12.5</v>
      </c>
      <c r="L73" s="1415">
        <v>2</v>
      </c>
      <c r="M73" s="1414">
        <v>12.5</v>
      </c>
      <c r="N73" s="1414">
        <v>4.0999999999999996</v>
      </c>
      <c r="O73" s="1414">
        <v>12.5</v>
      </c>
      <c r="P73" s="1414">
        <v>6.2</v>
      </c>
      <c r="Q73" s="1414">
        <v>12.5</v>
      </c>
      <c r="R73" s="1414">
        <v>8.3000000000000007</v>
      </c>
      <c r="S73" s="1416">
        <v>12.5</v>
      </c>
      <c r="T73" s="1417">
        <v>10.4</v>
      </c>
      <c r="U73" s="1418">
        <v>12.5</v>
      </c>
      <c r="V73" s="1414">
        <v>12.5</v>
      </c>
      <c r="W73" s="1419">
        <f t="shared" si="24"/>
        <v>12.5</v>
      </c>
      <c r="X73" s="1419">
        <f t="shared" si="25"/>
        <v>12.5</v>
      </c>
      <c r="Y73" s="1419">
        <f t="shared" si="26"/>
        <v>12.5</v>
      </c>
      <c r="Z73" s="1419">
        <f t="shared" si="27"/>
        <v>12.5</v>
      </c>
      <c r="AA73" s="1419">
        <f t="shared" si="28"/>
        <v>12.5</v>
      </c>
      <c r="AB73" s="1414">
        <v>15</v>
      </c>
      <c r="AC73" s="1420">
        <v>1.25</v>
      </c>
      <c r="AD73" s="1420">
        <v>1.25</v>
      </c>
      <c r="AE73" s="1420">
        <v>1.25</v>
      </c>
      <c r="AF73" s="1420">
        <v>1.25</v>
      </c>
      <c r="AG73" s="1420">
        <v>1.25</v>
      </c>
      <c r="AH73" s="1420">
        <v>1.25</v>
      </c>
      <c r="AI73" s="1420">
        <v>1.25</v>
      </c>
      <c r="AJ73" s="1420">
        <v>1.25</v>
      </c>
      <c r="AK73" s="1420">
        <v>1.25</v>
      </c>
      <c r="AL73" s="1420">
        <v>1.25</v>
      </c>
      <c r="AM73" s="1420">
        <v>1.25</v>
      </c>
      <c r="AN73" s="1420">
        <v>1.25</v>
      </c>
      <c r="AO73" s="1420">
        <v>1.25</v>
      </c>
      <c r="AP73" s="1420">
        <v>1.25</v>
      </c>
      <c r="AQ73" s="1421">
        <v>1.25</v>
      </c>
      <c r="AR73" s="1420">
        <v>1.25</v>
      </c>
      <c r="AS73" s="1420">
        <v>1.25</v>
      </c>
      <c r="AT73" s="1420">
        <v>1.25</v>
      </c>
      <c r="AU73" s="1420">
        <v>1.25</v>
      </c>
      <c r="AV73" s="1420">
        <v>1.25</v>
      </c>
      <c r="AW73" s="1420">
        <v>1.25</v>
      </c>
      <c r="AX73" s="1420">
        <v>1.25</v>
      </c>
      <c r="AY73" s="1420">
        <v>1.25</v>
      </c>
      <c r="AZ73" s="1420">
        <v>1.25</v>
      </c>
      <c r="BA73" s="1422">
        <f>AY73+AW73+AU73+AS73+AO73+AM73+AK73+AI73+AG73+AE73+AC73+AQ73</f>
        <v>15</v>
      </c>
      <c r="BB73" s="1422">
        <f t="shared" si="17"/>
        <v>15</v>
      </c>
      <c r="BC73" s="1423">
        <f t="shared" si="11"/>
        <v>15</v>
      </c>
      <c r="BD73" s="1422">
        <f>BA73</f>
        <v>15</v>
      </c>
      <c r="BE73" s="1423">
        <f t="shared" si="6"/>
        <v>15</v>
      </c>
      <c r="BF73" s="1413">
        <v>25</v>
      </c>
      <c r="BG73" s="1414"/>
      <c r="BH73" s="1414"/>
      <c r="BI73" s="1413"/>
      <c r="BJ73" s="1413"/>
      <c r="BK73" s="1413"/>
      <c r="BL73" s="1413"/>
      <c r="BM73" s="1413"/>
      <c r="BN73" s="1413"/>
      <c r="BO73" s="1413"/>
      <c r="BP73" s="1413"/>
      <c r="BQ73" s="1413"/>
      <c r="BR73" s="1413"/>
      <c r="BS73" s="1413"/>
      <c r="BT73" s="1413"/>
      <c r="BU73" s="1413"/>
      <c r="BV73" s="1413"/>
      <c r="BW73" s="1413"/>
      <c r="BX73" s="1413"/>
      <c r="BY73" s="1413"/>
      <c r="BZ73" s="1413"/>
      <c r="CA73" s="1413"/>
      <c r="CB73" s="1413"/>
      <c r="CC73" s="1414"/>
      <c r="CD73" s="1413"/>
      <c r="CE73" s="1424"/>
      <c r="CF73" s="1424"/>
      <c r="CG73" s="1423"/>
      <c r="CH73" s="1425"/>
      <c r="CI73" s="1423"/>
      <c r="CJ73" s="1413">
        <v>35</v>
      </c>
      <c r="CK73" s="1413"/>
      <c r="CL73" s="1413"/>
      <c r="CM73" s="1413"/>
      <c r="CN73" s="1413"/>
      <c r="CO73" s="1413"/>
      <c r="CP73" s="1413"/>
      <c r="CQ73" s="1413"/>
      <c r="CR73" s="1413"/>
      <c r="CS73" s="1413"/>
      <c r="CT73" s="1413"/>
      <c r="CU73" s="1413"/>
      <c r="CV73" s="1413"/>
      <c r="CW73" s="1413"/>
      <c r="CX73" s="1413"/>
      <c r="CY73" s="1413"/>
      <c r="CZ73" s="1413"/>
      <c r="DA73" s="1413"/>
      <c r="DB73" s="1413"/>
      <c r="DC73" s="1413"/>
      <c r="DD73" s="1413"/>
      <c r="DE73" s="1413"/>
      <c r="DF73" s="1413"/>
      <c r="DG73" s="1413"/>
      <c r="DH73" s="1413"/>
      <c r="DI73" s="1424">
        <f>DG73+DE73+DC73+DA73+CY73+CW73+CU73+CS73+CQ73+CO73+CM73+CK73</f>
        <v>0</v>
      </c>
      <c r="DJ73" s="1424">
        <f t="shared" ref="DJ73:DJ76" si="140">CK73+CM73+CO73+CQ73</f>
        <v>0</v>
      </c>
      <c r="DK73" s="1423">
        <f t="shared" ref="DK73:DK76" si="141">CL73+CN73+CP73+CR73</f>
        <v>0</v>
      </c>
      <c r="DL73" s="1425">
        <f>CM73+CO73+CQ73+CS73+CU73+CW73+CY73+DA73+DC73+DE73+DG73+CK73</f>
        <v>0</v>
      </c>
      <c r="DM73" s="1423">
        <f>CL73+CN73+CP73+CR73</f>
        <v>0</v>
      </c>
      <c r="DN73" s="1413">
        <v>12.5</v>
      </c>
      <c r="DO73" s="1413"/>
      <c r="DP73" s="1413"/>
      <c r="DQ73" s="1413"/>
      <c r="DR73" s="1413"/>
      <c r="DS73" s="1413"/>
      <c r="DT73" s="1413"/>
      <c r="DU73" s="1413"/>
      <c r="DV73" s="1413"/>
      <c r="DW73" s="1413"/>
      <c r="DX73" s="1413"/>
      <c r="DY73" s="1413"/>
      <c r="DZ73" s="1413"/>
      <c r="EA73" s="1413"/>
      <c r="EB73" s="1413"/>
      <c r="EC73" s="1413"/>
      <c r="ED73" s="1413"/>
      <c r="EE73" s="1413"/>
      <c r="EF73" s="1413"/>
      <c r="EG73" s="1426"/>
      <c r="EH73" s="1426"/>
      <c r="EI73" s="1426"/>
      <c r="EJ73" s="1426"/>
      <c r="EK73" s="1426"/>
      <c r="EL73" s="1426"/>
      <c r="EM73" s="1411">
        <f>EK73+EI73+EG73+EE73+EC73+EA73+DY73+DW73+DU73+DS73+DQ73+DO73</f>
        <v>0</v>
      </c>
      <c r="EN73" s="1424">
        <f t="shared" ref="EN73:EN77" si="142">DO73+DQ73+DS73+DU73</f>
        <v>0</v>
      </c>
      <c r="EO73" s="1427">
        <f t="shared" ref="EO73:EO78" si="143">DP73+DR73+DT73+DV73</f>
        <v>0</v>
      </c>
      <c r="EP73" s="1428">
        <f>DQ73+DS73+DU73+DW73+DY73+EA73+EC73+EE73+EG73+EI73+EK73+DO73</f>
        <v>0</v>
      </c>
      <c r="EQ73" s="1423">
        <f>DP73+DR73+DT73+DV73</f>
        <v>0</v>
      </c>
      <c r="ER73" s="1429">
        <f t="shared" si="8"/>
        <v>1</v>
      </c>
      <c r="ES73" s="1429">
        <f>BC73/BB73</f>
        <v>1</v>
      </c>
      <c r="ET73" s="1429">
        <f>BE73/BD73</f>
        <v>1</v>
      </c>
      <c r="EU73" s="1430">
        <f>(BC73+AA73)/(Z73+BB73)</f>
        <v>1</v>
      </c>
      <c r="EV73" s="1429">
        <f>(BC73+AA73)/G73</f>
        <v>0.27500000000000002</v>
      </c>
      <c r="EW73" s="1354" t="s">
        <v>1201</v>
      </c>
      <c r="EX73" s="733" t="s">
        <v>70</v>
      </c>
      <c r="EY73" s="733" t="s">
        <v>70</v>
      </c>
      <c r="EZ73" s="733" t="s">
        <v>702</v>
      </c>
      <c r="FA73" s="733" t="s">
        <v>703</v>
      </c>
      <c r="FB73" s="770"/>
    </row>
    <row r="74" spans="1:158" s="611" customFormat="1" ht="19.149999999999999" customHeight="1" x14ac:dyDescent="0.2">
      <c r="A74" s="733"/>
      <c r="B74" s="733"/>
      <c r="C74" s="734"/>
      <c r="D74" s="733"/>
      <c r="E74" s="734"/>
      <c r="F74" s="604" t="s">
        <v>3</v>
      </c>
      <c r="G74" s="605">
        <f>AA74+BD74+BF74+CJ74+DN74</f>
        <v>3774873774</v>
      </c>
      <c r="H74" s="644">
        <v>381900000</v>
      </c>
      <c r="I74" s="607"/>
      <c r="J74" s="600"/>
      <c r="K74" s="607">
        <v>381900000</v>
      </c>
      <c r="L74" s="600">
        <v>27401143</v>
      </c>
      <c r="M74" s="607">
        <v>381900000</v>
      </c>
      <c r="N74" s="600">
        <v>102981143</v>
      </c>
      <c r="O74" s="607">
        <v>303900000</v>
      </c>
      <c r="P74" s="600">
        <v>119147442</v>
      </c>
      <c r="Q74" s="607">
        <v>225075000</v>
      </c>
      <c r="R74" s="600">
        <v>121576922</v>
      </c>
      <c r="S74" s="607">
        <v>225075000</v>
      </c>
      <c r="T74" s="645">
        <v>168075108</v>
      </c>
      <c r="U74" s="646">
        <v>225075000</v>
      </c>
      <c r="V74" s="646">
        <v>219942147</v>
      </c>
      <c r="W74" s="598">
        <f t="shared" si="24"/>
        <v>381900000</v>
      </c>
      <c r="X74" s="598">
        <f t="shared" si="25"/>
        <v>381900000</v>
      </c>
      <c r="Y74" s="598">
        <f t="shared" si="26"/>
        <v>219942147</v>
      </c>
      <c r="Z74" s="598">
        <f t="shared" si="27"/>
        <v>225075000</v>
      </c>
      <c r="AA74" s="598">
        <f t="shared" si="28"/>
        <v>219942147</v>
      </c>
      <c r="AB74" s="646">
        <v>801561000</v>
      </c>
      <c r="AC74" s="646">
        <v>0</v>
      </c>
      <c r="AD74" s="600">
        <v>0</v>
      </c>
      <c r="AE74" s="646">
        <v>101350694</v>
      </c>
      <c r="AF74" s="600">
        <v>101350694</v>
      </c>
      <c r="AG74" s="600">
        <f>426196694-AF74</f>
        <v>324846000</v>
      </c>
      <c r="AH74" s="600">
        <v>324846000</v>
      </c>
      <c r="AI74" s="600">
        <f>619322694-AF74-AH74</f>
        <v>193126000</v>
      </c>
      <c r="AJ74" s="600">
        <v>193126000</v>
      </c>
      <c r="AK74" s="600">
        <v>0</v>
      </c>
      <c r="AL74" s="600">
        <v>0</v>
      </c>
      <c r="AM74" s="600">
        <v>89679200</v>
      </c>
      <c r="AN74" s="600">
        <v>68271200</v>
      </c>
      <c r="AO74" s="600">
        <v>0</v>
      </c>
      <c r="AP74" s="600">
        <v>778910</v>
      </c>
      <c r="AQ74" s="607">
        <v>0</v>
      </c>
      <c r="AR74" s="607">
        <v>0</v>
      </c>
      <c r="AS74" s="607">
        <v>15000167</v>
      </c>
      <c r="AT74" s="607">
        <v>20000000</v>
      </c>
      <c r="AU74" s="607">
        <v>9525000</v>
      </c>
      <c r="AV74" s="600">
        <f>9930600+11034000</f>
        <v>20964600</v>
      </c>
      <c r="AW74" s="600">
        <v>474833</v>
      </c>
      <c r="AX74" s="600">
        <v>35001627</v>
      </c>
      <c r="AY74" s="600">
        <f>45639733+20990000</f>
        <v>66629733</v>
      </c>
      <c r="AZ74" s="600">
        <v>14668333</v>
      </c>
      <c r="BA74" s="594">
        <f>AY74+AW74+AU74+AS74+AQ74+AO74+AM74+AK74+AI74+AG74+AE74+AC74</f>
        <v>800631627</v>
      </c>
      <c r="BB74" s="599">
        <f>AC74+AE74+AG74+AI74+AK74+AM74+AO74+AQ74+AS74+AU74+AW74+AY74</f>
        <v>800631627</v>
      </c>
      <c r="BC74" s="599">
        <f>+AN74+AD74+AF74+AH74+AJ74+AL74+AP74+AR74+AT74+AV74+AX74+AZ74</f>
        <v>779007364</v>
      </c>
      <c r="BD74" s="599">
        <f>BA74</f>
        <v>800631627</v>
      </c>
      <c r="BE74" s="599">
        <f t="shared" si="6"/>
        <v>779007364</v>
      </c>
      <c r="BF74" s="600">
        <v>783556000</v>
      </c>
      <c r="BG74" s="600"/>
      <c r="BH74" s="600"/>
      <c r="BI74" s="600"/>
      <c r="BJ74" s="600"/>
      <c r="BK74" s="626"/>
      <c r="BL74" s="626"/>
      <c r="BM74" s="626"/>
      <c r="BN74" s="626"/>
      <c r="BO74" s="626"/>
      <c r="BP74" s="626"/>
      <c r="BQ74" s="626"/>
      <c r="BR74" s="600"/>
      <c r="BS74" s="600"/>
      <c r="BT74" s="600"/>
      <c r="BU74" s="626"/>
      <c r="BV74" s="600"/>
      <c r="BW74" s="600"/>
      <c r="BX74" s="600"/>
      <c r="BY74" s="600"/>
      <c r="BZ74" s="600"/>
      <c r="CA74" s="600"/>
      <c r="CB74" s="600"/>
      <c r="CC74" s="600"/>
      <c r="CD74" s="600"/>
      <c r="CE74" s="594"/>
      <c r="CF74" s="610"/>
      <c r="CG74" s="610"/>
      <c r="CH74" s="631"/>
      <c r="CI74" s="610"/>
      <c r="CJ74" s="600">
        <v>1456674000</v>
      </c>
      <c r="CK74" s="600"/>
      <c r="CL74" s="600"/>
      <c r="CM74" s="600"/>
      <c r="CN74" s="600"/>
      <c r="CO74" s="600"/>
      <c r="CP74" s="600"/>
      <c r="CQ74" s="600"/>
      <c r="CR74" s="600"/>
      <c r="CS74" s="600"/>
      <c r="CT74" s="600"/>
      <c r="CU74" s="600"/>
      <c r="CV74" s="600"/>
      <c r="CW74" s="600"/>
      <c r="CX74" s="600"/>
      <c r="CY74" s="600"/>
      <c r="CZ74" s="600"/>
      <c r="DA74" s="600"/>
      <c r="DB74" s="600"/>
      <c r="DC74" s="600"/>
      <c r="DD74" s="600"/>
      <c r="DE74" s="600"/>
      <c r="DF74" s="600"/>
      <c r="DG74" s="600"/>
      <c r="DH74" s="600"/>
      <c r="DI74" s="594">
        <f>DG74+DE74+DC74+DA74+CY74+CW74+CU74+CS74+CQ74+CO74+CM74+CK74</f>
        <v>0</v>
      </c>
      <c r="DJ74" s="610">
        <f t="shared" si="140"/>
        <v>0</v>
      </c>
      <c r="DK74" s="610">
        <f t="shared" si="141"/>
        <v>0</v>
      </c>
      <c r="DL74" s="631">
        <f>CM74+CO74+CQ74+CS74+CU74+CW74+CY74+DA74+DC74+DE74+DG74+CK74</f>
        <v>0</v>
      </c>
      <c r="DM74" s="610">
        <f>CL74+CN74+CP74+CR74</f>
        <v>0</v>
      </c>
      <c r="DN74" s="600">
        <v>514070000</v>
      </c>
      <c r="DO74" s="600"/>
      <c r="DP74" s="600"/>
      <c r="DQ74" s="600"/>
      <c r="DR74" s="600"/>
      <c r="DS74" s="600"/>
      <c r="DT74" s="600"/>
      <c r="DU74" s="600"/>
      <c r="DV74" s="600"/>
      <c r="DW74" s="600"/>
      <c r="DX74" s="600"/>
      <c r="DY74" s="600"/>
      <c r="DZ74" s="600"/>
      <c r="EA74" s="600"/>
      <c r="EB74" s="600"/>
      <c r="EC74" s="600"/>
      <c r="ED74" s="600"/>
      <c r="EE74" s="600"/>
      <c r="EF74" s="600"/>
      <c r="EG74" s="600"/>
      <c r="EH74" s="600"/>
      <c r="EI74" s="600"/>
      <c r="EJ74" s="600"/>
      <c r="EK74" s="600"/>
      <c r="EL74" s="600"/>
      <c r="EM74" s="594">
        <f>EK74+EI74+EG74+EE74+EC74+EA74+DY74+DW74+DU74+DS74+DQ74+DO74</f>
        <v>0</v>
      </c>
      <c r="EN74" s="610">
        <f t="shared" si="142"/>
        <v>0</v>
      </c>
      <c r="EO74" s="610">
        <f t="shared" si="143"/>
        <v>0</v>
      </c>
      <c r="EP74" s="631">
        <f>DQ74+DS74+DU74+DW74+DY74+EA74+EC74+EE74+EG74+EI74+EK74+DO74</f>
        <v>0</v>
      </c>
      <c r="EQ74" s="610">
        <f>DP74+DR74+DT74+DV74</f>
        <v>0</v>
      </c>
      <c r="ER74" s="601">
        <f t="shared" si="8"/>
        <v>2.2010078740157479</v>
      </c>
      <c r="ES74" s="601">
        <f>BC74/BB74</f>
        <v>0.97299099577039316</v>
      </c>
      <c r="ET74" s="601">
        <f>BE74/BD74</f>
        <v>0.97299099577039316</v>
      </c>
      <c r="EU74" s="602">
        <f>(BC74+AA74)/(Z74+BB74)</f>
        <v>0.97391348042835646</v>
      </c>
      <c r="EV74" s="601">
        <f>(BC74+AA74)/G74</f>
        <v>0.26463123558737567</v>
      </c>
      <c r="EW74" s="1354"/>
      <c r="EX74" s="733"/>
      <c r="EY74" s="733"/>
      <c r="EZ74" s="733"/>
      <c r="FA74" s="733"/>
      <c r="FB74" s="770"/>
    </row>
    <row r="75" spans="1:158" s="611" customFormat="1" ht="19.149999999999999" customHeight="1" x14ac:dyDescent="0.2">
      <c r="A75" s="733"/>
      <c r="B75" s="733"/>
      <c r="C75" s="734"/>
      <c r="D75" s="733"/>
      <c r="E75" s="734"/>
      <c r="F75" s="546" t="s">
        <v>224</v>
      </c>
      <c r="G75" s="605"/>
      <c r="H75" s="644"/>
      <c r="I75" s="607"/>
      <c r="J75" s="600"/>
      <c r="K75" s="607"/>
      <c r="L75" s="600"/>
      <c r="M75" s="607"/>
      <c r="N75" s="600"/>
      <c r="O75" s="607"/>
      <c r="P75" s="600"/>
      <c r="Q75" s="607"/>
      <c r="R75" s="600"/>
      <c r="S75" s="607"/>
      <c r="T75" s="645"/>
      <c r="U75" s="646"/>
      <c r="V75" s="646"/>
      <c r="W75" s="598">
        <f t="shared" si="24"/>
        <v>0</v>
      </c>
      <c r="X75" s="598">
        <f t="shared" si="25"/>
        <v>0</v>
      </c>
      <c r="Y75" s="598">
        <f t="shared" si="26"/>
        <v>0</v>
      </c>
      <c r="Z75" s="598">
        <f t="shared" si="27"/>
        <v>0</v>
      </c>
      <c r="AA75" s="598">
        <f t="shared" si="28"/>
        <v>0</v>
      </c>
      <c r="AB75" s="646"/>
      <c r="AC75" s="646"/>
      <c r="AD75" s="600"/>
      <c r="AE75" s="646">
        <v>5482052</v>
      </c>
      <c r="AF75" s="600">
        <v>5482052</v>
      </c>
      <c r="AG75" s="600">
        <f>19474701-AF75</f>
        <v>13992649</v>
      </c>
      <c r="AH75" s="600">
        <v>13992649</v>
      </c>
      <c r="AI75" s="600">
        <f>37130834-AF75-AH75</f>
        <v>17656133</v>
      </c>
      <c r="AJ75" s="600">
        <v>17656133</v>
      </c>
      <c r="AK75" s="600">
        <v>64834987</v>
      </c>
      <c r="AL75" s="600">
        <v>64834987</v>
      </c>
      <c r="AM75" s="600">
        <v>92099105</v>
      </c>
      <c r="AN75" s="600">
        <v>90036040</v>
      </c>
      <c r="AO75" s="600">
        <v>92099105</v>
      </c>
      <c r="AP75" s="600">
        <v>99257443</v>
      </c>
      <c r="AQ75" s="607">
        <v>92099105</v>
      </c>
      <c r="AR75" s="600">
        <v>91189860</v>
      </c>
      <c r="AS75" s="600">
        <v>81324105</v>
      </c>
      <c r="AT75" s="600">
        <v>71767600</v>
      </c>
      <c r="AU75" s="600">
        <v>81324105</v>
      </c>
      <c r="AV75" s="600">
        <f>65907163</f>
        <v>65907163</v>
      </c>
      <c r="AW75" s="600">
        <v>81324105</v>
      </c>
      <c r="AX75" s="600">
        <v>69231628</v>
      </c>
      <c r="AY75" s="600">
        <v>81324105</v>
      </c>
      <c r="AZ75" s="600">
        <v>120544274</v>
      </c>
      <c r="BA75" s="594">
        <f>AW75+AU75+AS75+AQ75+AO75+AM75+AK75+AI75+AG75+AE75+AC75+AY75</f>
        <v>703559556</v>
      </c>
      <c r="BB75" s="599">
        <f t="shared" si="17"/>
        <v>703559556</v>
      </c>
      <c r="BC75" s="599">
        <f>+AN75+AD75+AF75+AH75+AJ75+AL75+AP75+AR75+AT75+AV75+AX75+AZ75</f>
        <v>709899829</v>
      </c>
      <c r="BD75" s="599">
        <f>BA75</f>
        <v>703559556</v>
      </c>
      <c r="BE75" s="599">
        <f t="shared" ref="BE75:BE79" si="144">AF75+AH75+AJ75+AL75+AD75+AN75+AP75+AR75+AT75+AV75+AX75+AZ75</f>
        <v>709899829</v>
      </c>
      <c r="BF75" s="626"/>
      <c r="BG75" s="600"/>
      <c r="BH75" s="600"/>
      <c r="BI75" s="600"/>
      <c r="BJ75" s="600"/>
      <c r="BK75" s="600"/>
      <c r="BL75" s="600"/>
      <c r="BM75" s="626"/>
      <c r="BN75" s="600"/>
      <c r="BO75" s="626"/>
      <c r="BP75" s="600"/>
      <c r="BQ75" s="626"/>
      <c r="BR75" s="600"/>
      <c r="BS75" s="626"/>
      <c r="BT75" s="600"/>
      <c r="BU75" s="626"/>
      <c r="BV75" s="600"/>
      <c r="BW75" s="626"/>
      <c r="BX75" s="600"/>
      <c r="BY75" s="626"/>
      <c r="BZ75" s="600"/>
      <c r="CA75" s="600"/>
      <c r="CB75" s="600"/>
      <c r="CC75" s="626"/>
      <c r="CD75" s="600"/>
      <c r="CE75" s="594"/>
      <c r="CF75" s="610"/>
      <c r="CG75" s="610"/>
      <c r="CH75" s="645"/>
      <c r="CI75" s="610"/>
      <c r="CJ75" s="600"/>
      <c r="CK75" s="600"/>
      <c r="CL75" s="600"/>
      <c r="CM75" s="600"/>
      <c r="CN75" s="600"/>
      <c r="CO75" s="600"/>
      <c r="CP75" s="600"/>
      <c r="CQ75" s="600"/>
      <c r="CR75" s="600"/>
      <c r="CS75" s="600"/>
      <c r="CT75" s="600"/>
      <c r="CU75" s="600"/>
      <c r="CV75" s="600"/>
      <c r="CW75" s="600"/>
      <c r="CX75" s="600"/>
      <c r="CY75" s="600"/>
      <c r="CZ75" s="600"/>
      <c r="DA75" s="600"/>
      <c r="DB75" s="600"/>
      <c r="DC75" s="600"/>
      <c r="DD75" s="600"/>
      <c r="DE75" s="600"/>
      <c r="DF75" s="600"/>
      <c r="DG75" s="600"/>
      <c r="DH75" s="600"/>
      <c r="DI75" s="594">
        <f>DE75+DC75+DA75+CY75+CW75+CU75+CS75+CQ75+CO75+CM75+CK75+DG75</f>
        <v>0</v>
      </c>
      <c r="DJ75" s="610">
        <f t="shared" si="140"/>
        <v>0</v>
      </c>
      <c r="DK75" s="610">
        <f t="shared" si="141"/>
        <v>0</v>
      </c>
      <c r="DL75" s="609">
        <f>CM75+CO75+CQ75+CS75+CU75+CW75+CY75+DA75+DC75+DE75+DG75</f>
        <v>0</v>
      </c>
      <c r="DM75" s="610">
        <f>CL75+CN75+CP75+CR75</f>
        <v>0</v>
      </c>
      <c r="DN75" s="600"/>
      <c r="DO75" s="600"/>
      <c r="DP75" s="600"/>
      <c r="DQ75" s="600"/>
      <c r="DR75" s="600"/>
      <c r="DS75" s="600"/>
      <c r="DT75" s="600"/>
      <c r="DU75" s="600"/>
      <c r="DV75" s="600"/>
      <c r="DW75" s="600"/>
      <c r="DX75" s="600"/>
      <c r="DY75" s="600"/>
      <c r="DZ75" s="600"/>
      <c r="EA75" s="600"/>
      <c r="EB75" s="600"/>
      <c r="EC75" s="600"/>
      <c r="ED75" s="600"/>
      <c r="EE75" s="600"/>
      <c r="EF75" s="600"/>
      <c r="EG75" s="600"/>
      <c r="EH75" s="600"/>
      <c r="EI75" s="600"/>
      <c r="EJ75" s="600"/>
      <c r="EK75" s="600"/>
      <c r="EL75" s="600"/>
      <c r="EM75" s="594">
        <f>EI75+EG75+EE75+EC75+EA75+DY75+DW75+DU75+DS75+DQ75+DO75+EK75</f>
        <v>0</v>
      </c>
      <c r="EN75" s="610">
        <f t="shared" si="142"/>
        <v>0</v>
      </c>
      <c r="EO75" s="610">
        <f t="shared" si="143"/>
        <v>0</v>
      </c>
      <c r="EP75" s="609">
        <f>DQ75+DS75+DU75+DW75+DY75+EA75+EC75+EE75+EG75+EI75+EK75</f>
        <v>0</v>
      </c>
      <c r="EQ75" s="610">
        <f>DP75+DR75+DT75+DV75</f>
        <v>0</v>
      </c>
      <c r="ER75" s="601">
        <f t="shared" ref="ER75:ER79" si="145">AV75/AU75</f>
        <v>0.81042592476117625</v>
      </c>
      <c r="ES75" s="601">
        <f t="shared" ref="ES75:ES79" si="146">BC75/BB75</f>
        <v>1.0090117076030447</v>
      </c>
      <c r="ET75" s="601">
        <f t="shared" ref="ET75:ET79" si="147">BE75/BD75</f>
        <v>1.0090117076030447</v>
      </c>
      <c r="EU75" s="602" t="s">
        <v>225</v>
      </c>
      <c r="EV75" s="602" t="s">
        <v>225</v>
      </c>
      <c r="EW75" s="1354"/>
      <c r="EX75" s="733"/>
      <c r="EY75" s="733"/>
      <c r="EZ75" s="733"/>
      <c r="FA75" s="733"/>
      <c r="FB75" s="770"/>
    </row>
    <row r="76" spans="1:158" s="603" customFormat="1" ht="19.149999999999999" customHeight="1" x14ac:dyDescent="0.2">
      <c r="A76" s="733"/>
      <c r="B76" s="733"/>
      <c r="C76" s="734"/>
      <c r="D76" s="733"/>
      <c r="E76" s="734"/>
      <c r="F76" s="593" t="s">
        <v>42</v>
      </c>
      <c r="G76" s="613"/>
      <c r="H76" s="654"/>
      <c r="I76" s="613"/>
      <c r="J76" s="613"/>
      <c r="K76" s="613"/>
      <c r="L76" s="613"/>
      <c r="M76" s="613"/>
      <c r="N76" s="613"/>
      <c r="O76" s="613"/>
      <c r="P76" s="613"/>
      <c r="Q76" s="613"/>
      <c r="R76" s="613"/>
      <c r="S76" s="613"/>
      <c r="T76" s="613"/>
      <c r="U76" s="613"/>
      <c r="V76" s="613"/>
      <c r="W76" s="598">
        <f t="shared" si="24"/>
        <v>0</v>
      </c>
      <c r="X76" s="598">
        <f t="shared" si="25"/>
        <v>0</v>
      </c>
      <c r="Y76" s="598">
        <f t="shared" si="26"/>
        <v>0</v>
      </c>
      <c r="Z76" s="598">
        <f t="shared" si="27"/>
        <v>0</v>
      </c>
      <c r="AA76" s="598">
        <f t="shared" si="28"/>
        <v>0</v>
      </c>
      <c r="AB76" s="613"/>
      <c r="AC76" s="613"/>
      <c r="AD76" s="613"/>
      <c r="AE76" s="613"/>
      <c r="AF76" s="613"/>
      <c r="AG76" s="613"/>
      <c r="AH76" s="613"/>
      <c r="AI76" s="613"/>
      <c r="AJ76" s="613"/>
      <c r="AK76" s="596"/>
      <c r="AL76" s="596"/>
      <c r="AM76" s="596"/>
      <c r="AN76" s="596"/>
      <c r="AO76" s="596"/>
      <c r="AP76" s="596"/>
      <c r="AQ76" s="643"/>
      <c r="AR76" s="596"/>
      <c r="AS76" s="596"/>
      <c r="AT76" s="596"/>
      <c r="AU76" s="596"/>
      <c r="AV76" s="596"/>
      <c r="AW76" s="596"/>
      <c r="AX76" s="596"/>
      <c r="AY76" s="596"/>
      <c r="AZ76" s="596"/>
      <c r="BA76" s="594">
        <v>0</v>
      </c>
      <c r="BB76" s="599">
        <f t="shared" si="17"/>
        <v>0</v>
      </c>
      <c r="BC76" s="599">
        <f t="shared" ref="BC76:BC78" si="148">+AN76+AD76+AF76+AH76+AJ76+AL76+AP76+AR76+AT76+AV76+AX76+AZ76</f>
        <v>0</v>
      </c>
      <c r="BD76" s="599">
        <f>AC76+AE76+AG76+AI76+AK76+AM76+AO76+AQ76+AS76+AU76+AW76+AY76</f>
        <v>0</v>
      </c>
      <c r="BE76" s="599">
        <f t="shared" si="144"/>
        <v>0</v>
      </c>
      <c r="BF76" s="596"/>
      <c r="BG76" s="596"/>
      <c r="BH76" s="596"/>
      <c r="BI76" s="596"/>
      <c r="BJ76" s="596"/>
      <c r="BK76" s="596"/>
      <c r="BL76" s="596"/>
      <c r="BM76" s="596"/>
      <c r="BN76" s="596"/>
      <c r="BO76" s="596"/>
      <c r="BP76" s="596"/>
      <c r="BQ76" s="596"/>
      <c r="BR76" s="596"/>
      <c r="BS76" s="596"/>
      <c r="BT76" s="596"/>
      <c r="BU76" s="596"/>
      <c r="BV76" s="596"/>
      <c r="BW76" s="596"/>
      <c r="BX76" s="596"/>
      <c r="BY76" s="596"/>
      <c r="BZ76" s="596"/>
      <c r="CA76" s="596"/>
      <c r="CB76" s="596"/>
      <c r="CC76" s="596"/>
      <c r="CD76" s="596"/>
      <c r="CE76" s="597"/>
      <c r="CF76" s="634"/>
      <c r="CG76" s="635"/>
      <c r="CH76" s="624"/>
      <c r="CI76" s="647"/>
      <c r="CJ76" s="596"/>
      <c r="CK76" s="596"/>
      <c r="CL76" s="596"/>
      <c r="CM76" s="596"/>
      <c r="CN76" s="596"/>
      <c r="CO76" s="596"/>
      <c r="CP76" s="596"/>
      <c r="CQ76" s="596"/>
      <c r="CR76" s="596"/>
      <c r="CS76" s="596"/>
      <c r="CT76" s="596"/>
      <c r="CU76" s="596"/>
      <c r="CV76" s="596"/>
      <c r="CW76" s="596"/>
      <c r="CX76" s="596"/>
      <c r="CY76" s="596"/>
      <c r="CZ76" s="596"/>
      <c r="DA76" s="596"/>
      <c r="DB76" s="596"/>
      <c r="DC76" s="596"/>
      <c r="DD76" s="596"/>
      <c r="DE76" s="596"/>
      <c r="DF76" s="596"/>
      <c r="DG76" s="596"/>
      <c r="DH76" s="596"/>
      <c r="DI76" s="597">
        <f>DE76+DC76+DA76+CY76+CW76+CU76+CS76+CQ76+CO76+CM76+CK76+DG76</f>
        <v>0</v>
      </c>
      <c r="DJ76" s="634">
        <f t="shared" si="140"/>
        <v>0</v>
      </c>
      <c r="DK76" s="635">
        <f t="shared" si="141"/>
        <v>0</v>
      </c>
      <c r="DL76" s="624">
        <f>CM76+CO76+CQ76+CS76+CU76+CW76+CY76+DA76+DC76+DE76+DG76</f>
        <v>0</v>
      </c>
      <c r="DM76" s="647">
        <v>0</v>
      </c>
      <c r="DN76" s="596"/>
      <c r="DO76" s="596"/>
      <c r="DP76" s="596"/>
      <c r="DQ76" s="596"/>
      <c r="DR76" s="596"/>
      <c r="DS76" s="596"/>
      <c r="DT76" s="596"/>
      <c r="DU76" s="596"/>
      <c r="DV76" s="596"/>
      <c r="DW76" s="596"/>
      <c r="DX76" s="596"/>
      <c r="DY76" s="596"/>
      <c r="DZ76" s="596"/>
      <c r="EA76" s="596"/>
      <c r="EB76" s="596"/>
      <c r="EC76" s="596"/>
      <c r="ED76" s="596"/>
      <c r="EE76" s="596"/>
      <c r="EF76" s="596"/>
      <c r="EG76" s="596"/>
      <c r="EH76" s="596"/>
      <c r="EI76" s="596"/>
      <c r="EJ76" s="596"/>
      <c r="EK76" s="596"/>
      <c r="EL76" s="596"/>
      <c r="EM76" s="597">
        <f>EI76+EG76+EE76+EC76+EA76+DY76+DW76+DU76+DS76+DQ76+DO76+EK76</f>
        <v>0</v>
      </c>
      <c r="EN76" s="634">
        <f t="shared" si="142"/>
        <v>0</v>
      </c>
      <c r="EO76" s="635">
        <f t="shared" si="143"/>
        <v>0</v>
      </c>
      <c r="EP76" s="624">
        <f>DQ76+DS76+DU76+DW76+DY76+EA76+EC76+EE76+EG76+EI76+EK76</f>
        <v>0</v>
      </c>
      <c r="EQ76" s="647">
        <v>0</v>
      </c>
      <c r="ER76" s="601" t="e">
        <f t="shared" si="145"/>
        <v>#DIV/0!</v>
      </c>
      <c r="ES76" s="601" t="e">
        <f t="shared" si="146"/>
        <v>#DIV/0!</v>
      </c>
      <c r="ET76" s="601" t="e">
        <f t="shared" si="147"/>
        <v>#DIV/0!</v>
      </c>
      <c r="EU76" s="602" t="s">
        <v>225</v>
      </c>
      <c r="EV76" s="602" t="s">
        <v>225</v>
      </c>
      <c r="EW76" s="1354"/>
      <c r="EX76" s="733"/>
      <c r="EY76" s="733"/>
      <c r="EZ76" s="733"/>
      <c r="FA76" s="733"/>
      <c r="FB76" s="770"/>
    </row>
    <row r="77" spans="1:158" s="611" customFormat="1" ht="19.149999999999999" customHeight="1" x14ac:dyDescent="0.2">
      <c r="A77" s="733"/>
      <c r="B77" s="733"/>
      <c r="C77" s="734"/>
      <c r="D77" s="733"/>
      <c r="E77" s="734"/>
      <c r="F77" s="604" t="s">
        <v>4</v>
      </c>
      <c r="G77" s="605">
        <f>AA77+BD77+BF77+CJ77+DN77</f>
        <v>81482633</v>
      </c>
      <c r="H77" s="636"/>
      <c r="I77" s="637"/>
      <c r="J77" s="637"/>
      <c r="K77" s="637"/>
      <c r="L77" s="637"/>
      <c r="M77" s="637"/>
      <c r="N77" s="637"/>
      <c r="O77" s="637"/>
      <c r="P77" s="637"/>
      <c r="Q77" s="637"/>
      <c r="R77" s="637"/>
      <c r="S77" s="637"/>
      <c r="T77" s="637"/>
      <c r="U77" s="637"/>
      <c r="V77" s="637"/>
      <c r="W77" s="598">
        <f t="shared" si="24"/>
        <v>0</v>
      </c>
      <c r="X77" s="598">
        <f t="shared" si="25"/>
        <v>0</v>
      </c>
      <c r="Y77" s="598">
        <f t="shared" si="26"/>
        <v>0</v>
      </c>
      <c r="Z77" s="598">
        <f t="shared" si="27"/>
        <v>0</v>
      </c>
      <c r="AA77" s="598">
        <f t="shared" si="28"/>
        <v>0</v>
      </c>
      <c r="AB77" s="619">
        <v>81973233</v>
      </c>
      <c r="AC77" s="619">
        <v>11357200</v>
      </c>
      <c r="AD77" s="619">
        <v>11357200</v>
      </c>
      <c r="AE77" s="619">
        <f>38726571-AD77</f>
        <v>27369371</v>
      </c>
      <c r="AF77" s="619">
        <v>27369371</v>
      </c>
      <c r="AG77" s="619">
        <f>78539901-AD77-AF77</f>
        <v>39813330</v>
      </c>
      <c r="AH77" s="619">
        <v>39813330</v>
      </c>
      <c r="AI77" s="619">
        <f>80858628-AD77-AF77-AH77</f>
        <v>2318727</v>
      </c>
      <c r="AJ77" s="619">
        <v>2318727</v>
      </c>
      <c r="AK77" s="600">
        <v>0</v>
      </c>
      <c r="AL77" s="600">
        <v>0</v>
      </c>
      <c r="AM77" s="600">
        <v>205640</v>
      </c>
      <c r="AN77" s="600">
        <v>205640</v>
      </c>
      <c r="AO77" s="600">
        <v>908965</v>
      </c>
      <c r="AP77" s="600">
        <v>908965</v>
      </c>
      <c r="AQ77" s="607">
        <v>-490600</v>
      </c>
      <c r="AR77" s="600">
        <v>-490600</v>
      </c>
      <c r="AS77" s="600"/>
      <c r="AT77" s="600">
        <v>0</v>
      </c>
      <c r="AU77" s="600"/>
      <c r="AV77" s="600">
        <v>0</v>
      </c>
      <c r="AW77" s="600"/>
      <c r="AX77" s="600"/>
      <c r="AY77" s="600"/>
      <c r="AZ77" s="600"/>
      <c r="BA77" s="594">
        <f>AW77+AU77+AS77+AQ77+AO77+AM77+AK77+AI77+AG77+AE77+AC77+AY77</f>
        <v>81482633</v>
      </c>
      <c r="BB77" s="599">
        <f t="shared" si="17"/>
        <v>81482633</v>
      </c>
      <c r="BC77" s="599">
        <f>+AN77+AD77+AF77+AH77+AJ77+AL77+AP77+AR77+AT77+AV77+AX77+AZ77</f>
        <v>81482633</v>
      </c>
      <c r="BD77" s="599">
        <f>BA77</f>
        <v>81482633</v>
      </c>
      <c r="BE77" s="599">
        <v>81482633</v>
      </c>
      <c r="BF77" s="626"/>
      <c r="BG77" s="626"/>
      <c r="BH77" s="626"/>
      <c r="BI77" s="626"/>
      <c r="BJ77" s="626"/>
      <c r="BK77" s="626"/>
      <c r="BL77" s="600"/>
      <c r="BM77" s="600"/>
      <c r="BN77" s="600"/>
      <c r="BO77" s="600"/>
      <c r="BP77" s="600"/>
      <c r="BQ77" s="600"/>
      <c r="BR77" s="600"/>
      <c r="BS77" s="600"/>
      <c r="BT77" s="600"/>
      <c r="BU77" s="600"/>
      <c r="BV77" s="600"/>
      <c r="BW77" s="600"/>
      <c r="BX77" s="600"/>
      <c r="BY77" s="600"/>
      <c r="BZ77" s="600"/>
      <c r="CA77" s="600"/>
      <c r="CB77" s="600"/>
      <c r="CC77" s="600"/>
      <c r="CD77" s="600"/>
      <c r="CE77" s="597"/>
      <c r="CF77" s="610"/>
      <c r="CG77" s="610"/>
      <c r="CH77" s="609"/>
      <c r="CI77" s="610"/>
      <c r="CJ77" s="600"/>
      <c r="CK77" s="600"/>
      <c r="CL77" s="600"/>
      <c r="CM77" s="600"/>
      <c r="CN77" s="600"/>
      <c r="CO77" s="600"/>
      <c r="CP77" s="600"/>
      <c r="CQ77" s="600"/>
      <c r="CR77" s="600"/>
      <c r="CS77" s="600"/>
      <c r="CT77" s="600"/>
      <c r="CU77" s="600"/>
      <c r="CV77" s="600"/>
      <c r="CW77" s="600"/>
      <c r="CX77" s="600"/>
      <c r="CY77" s="600"/>
      <c r="CZ77" s="600"/>
      <c r="DA77" s="600"/>
      <c r="DB77" s="600"/>
      <c r="DC77" s="600"/>
      <c r="DD77" s="600"/>
      <c r="DE77" s="600"/>
      <c r="DF77" s="600"/>
      <c r="DG77" s="600"/>
      <c r="DH77" s="600"/>
      <c r="DI77" s="597"/>
      <c r="DJ77" s="610"/>
      <c r="DK77" s="610"/>
      <c r="DL77" s="609"/>
      <c r="DM77" s="610"/>
      <c r="DN77" s="600"/>
      <c r="DO77" s="600"/>
      <c r="DP77" s="600"/>
      <c r="DQ77" s="600"/>
      <c r="DR77" s="600"/>
      <c r="DS77" s="600"/>
      <c r="DT77" s="600"/>
      <c r="DU77" s="600"/>
      <c r="DV77" s="600"/>
      <c r="DW77" s="600"/>
      <c r="DX77" s="600"/>
      <c r="DY77" s="600"/>
      <c r="DZ77" s="600"/>
      <c r="EA77" s="600"/>
      <c r="EB77" s="600"/>
      <c r="EC77" s="600"/>
      <c r="ED77" s="600"/>
      <c r="EE77" s="600"/>
      <c r="EF77" s="600"/>
      <c r="EG77" s="600"/>
      <c r="EH77" s="600"/>
      <c r="EI77" s="600"/>
      <c r="EJ77" s="600"/>
      <c r="EK77" s="600"/>
      <c r="EL77" s="600"/>
      <c r="EM77" s="597">
        <f>EI77+EG77+EE77+EC77+EA77+DY77+DW77+DU77+DS77+DQ77+DO77+EK77</f>
        <v>0</v>
      </c>
      <c r="EN77" s="610">
        <f t="shared" si="142"/>
        <v>0</v>
      </c>
      <c r="EO77" s="610">
        <f t="shared" si="143"/>
        <v>0</v>
      </c>
      <c r="EP77" s="609">
        <f>DQ77+DS77+DU77+DW77+DY77+EA77+EC77+EE77+EG77+EI77+EK77+DO77</f>
        <v>0</v>
      </c>
      <c r="EQ77" s="610">
        <f>DP77+DR77+DT77+DV77</f>
        <v>0</v>
      </c>
      <c r="ER77" s="601" t="e">
        <f t="shared" si="145"/>
        <v>#DIV/0!</v>
      </c>
      <c r="ES77" s="601">
        <f t="shared" si="146"/>
        <v>1</v>
      </c>
      <c r="ET77" s="601">
        <f t="shared" si="147"/>
        <v>1</v>
      </c>
      <c r="EU77" s="602" t="s">
        <v>225</v>
      </c>
      <c r="EV77" s="601">
        <f t="shared" ref="EV77:EV78" si="149">BE77/G77</f>
        <v>1</v>
      </c>
      <c r="EW77" s="1354"/>
      <c r="EX77" s="733"/>
      <c r="EY77" s="733"/>
      <c r="EZ77" s="733"/>
      <c r="FA77" s="733"/>
      <c r="FB77" s="770"/>
    </row>
    <row r="78" spans="1:158" s="603" customFormat="1" ht="19.149999999999999" customHeight="1" thickBot="1" x14ac:dyDescent="0.25">
      <c r="A78" s="733"/>
      <c r="B78" s="733"/>
      <c r="C78" s="734"/>
      <c r="D78" s="733"/>
      <c r="E78" s="734"/>
      <c r="F78" s="593" t="s">
        <v>43</v>
      </c>
      <c r="G78" s="1369">
        <v>100</v>
      </c>
      <c r="H78" s="1370">
        <v>12.5</v>
      </c>
      <c r="I78" s="1371"/>
      <c r="J78" s="1371"/>
      <c r="K78" s="1372">
        <v>12.5</v>
      </c>
      <c r="L78" s="1372">
        <v>2</v>
      </c>
      <c r="M78" s="1372">
        <v>12.5</v>
      </c>
      <c r="N78" s="1372">
        <v>4.0999999999999996</v>
      </c>
      <c r="O78" s="1372">
        <v>12.5</v>
      </c>
      <c r="P78" s="1372">
        <v>6.2</v>
      </c>
      <c r="Q78" s="1372">
        <v>12.5</v>
      </c>
      <c r="R78" s="1372">
        <v>8.3000000000000007</v>
      </c>
      <c r="S78" s="1372">
        <v>12.5</v>
      </c>
      <c r="T78" s="1373">
        <v>10.4</v>
      </c>
      <c r="U78" s="1374">
        <v>12.5</v>
      </c>
      <c r="V78" s="1374">
        <v>12.5</v>
      </c>
      <c r="W78" s="1375">
        <f t="shared" si="24"/>
        <v>12.5</v>
      </c>
      <c r="X78" s="1375">
        <f t="shared" si="25"/>
        <v>12.5</v>
      </c>
      <c r="Y78" s="1375">
        <f t="shared" si="26"/>
        <v>12.5</v>
      </c>
      <c r="Z78" s="1375">
        <f t="shared" si="27"/>
        <v>12.5</v>
      </c>
      <c r="AA78" s="1375">
        <f t="shared" si="28"/>
        <v>12.5</v>
      </c>
      <c r="AB78" s="1376">
        <v>15</v>
      </c>
      <c r="AC78" s="1377">
        <v>1.25</v>
      </c>
      <c r="AD78" s="1377">
        <v>1.25</v>
      </c>
      <c r="AE78" s="1377">
        <v>1.25</v>
      </c>
      <c r="AF78" s="1377">
        <v>1.25</v>
      </c>
      <c r="AG78" s="1377">
        <v>1.25</v>
      </c>
      <c r="AH78" s="1377">
        <v>1.25</v>
      </c>
      <c r="AI78" s="1377">
        <v>1.25</v>
      </c>
      <c r="AJ78" s="1377">
        <v>1.25</v>
      </c>
      <c r="AK78" s="1378">
        <v>1.25</v>
      </c>
      <c r="AL78" s="1378">
        <v>1.25</v>
      </c>
      <c r="AM78" s="1378">
        <v>1.25</v>
      </c>
      <c r="AN78" s="1378"/>
      <c r="AO78" s="1378">
        <v>1.25</v>
      </c>
      <c r="AP78" s="1378">
        <v>1.25</v>
      </c>
      <c r="AQ78" s="1379">
        <v>1.25</v>
      </c>
      <c r="AR78" s="1378">
        <v>1.25</v>
      </c>
      <c r="AS78" s="1378">
        <v>1.25</v>
      </c>
      <c r="AT78" s="1378">
        <v>1.25</v>
      </c>
      <c r="AU78" s="1378">
        <v>1.25</v>
      </c>
      <c r="AV78" s="1378">
        <v>1.25</v>
      </c>
      <c r="AW78" s="1378">
        <v>1.25</v>
      </c>
      <c r="AX78" s="1378">
        <v>1.25</v>
      </c>
      <c r="AY78" s="1378">
        <v>1.25</v>
      </c>
      <c r="AZ78" s="1378"/>
      <c r="BA78" s="1380">
        <f t="shared" ref="BA78:BD78" si="150">BA73+BA76</f>
        <v>15</v>
      </c>
      <c r="BB78" s="1381">
        <f t="shared" si="17"/>
        <v>15</v>
      </c>
      <c r="BC78" s="1381">
        <f t="shared" si="148"/>
        <v>12.5</v>
      </c>
      <c r="BD78" s="1381">
        <f t="shared" si="150"/>
        <v>15</v>
      </c>
      <c r="BE78" s="1382">
        <f>BE73</f>
        <v>15</v>
      </c>
      <c r="BF78" s="1378">
        <v>25</v>
      </c>
      <c r="BG78" s="1383"/>
      <c r="BH78" s="1383"/>
      <c r="BI78" s="1383"/>
      <c r="BJ78" s="1383"/>
      <c r="BK78" s="1383"/>
      <c r="BL78" s="1383"/>
      <c r="BM78" s="1383"/>
      <c r="BN78" s="1383"/>
      <c r="BO78" s="1383"/>
      <c r="BP78" s="1383"/>
      <c r="BQ78" s="1383"/>
      <c r="BR78" s="1383"/>
      <c r="BS78" s="1383"/>
      <c r="BT78" s="1383"/>
      <c r="BU78" s="1383"/>
      <c r="BV78" s="1383"/>
      <c r="BW78" s="1383"/>
      <c r="BX78" s="1383"/>
      <c r="BY78" s="1383"/>
      <c r="BZ78" s="1383"/>
      <c r="CA78" s="1383"/>
      <c r="CB78" s="1383"/>
      <c r="CC78" s="1383"/>
      <c r="CD78" s="1383"/>
      <c r="CE78" s="1382"/>
      <c r="CF78" s="1384"/>
      <c r="CG78" s="1385"/>
      <c r="CH78" s="1386"/>
      <c r="CI78" s="1385"/>
      <c r="CJ78" s="1378">
        <v>35</v>
      </c>
      <c r="CK78" s="1378"/>
      <c r="CL78" s="1378"/>
      <c r="CM78" s="1378"/>
      <c r="CN78" s="1378"/>
      <c r="CO78" s="1378"/>
      <c r="CP78" s="1378"/>
      <c r="CQ78" s="1378"/>
      <c r="CR78" s="1378"/>
      <c r="CS78" s="1378"/>
      <c r="CT78" s="1378"/>
      <c r="CU78" s="1378"/>
      <c r="CV78" s="1378"/>
      <c r="CW78" s="1378"/>
      <c r="CX78" s="1378"/>
      <c r="CY78" s="1378"/>
      <c r="CZ78" s="1378"/>
      <c r="DA78" s="1378"/>
      <c r="DB78" s="1378"/>
      <c r="DC78" s="1378"/>
      <c r="DD78" s="1378"/>
      <c r="DE78" s="1378"/>
      <c r="DF78" s="1378"/>
      <c r="DG78" s="1378"/>
      <c r="DH78" s="1378"/>
      <c r="DI78" s="1382">
        <v>0</v>
      </c>
      <c r="DJ78" s="1384">
        <v>0</v>
      </c>
      <c r="DK78" s="1385">
        <v>0</v>
      </c>
      <c r="DL78" s="1386">
        <v>0</v>
      </c>
      <c r="DM78" s="1385">
        <v>0</v>
      </c>
      <c r="DN78" s="1378">
        <v>12.5</v>
      </c>
      <c r="DO78" s="1378"/>
      <c r="DP78" s="1378"/>
      <c r="DQ78" s="1378"/>
      <c r="DR78" s="1378"/>
      <c r="DS78" s="1378"/>
      <c r="DT78" s="1378"/>
      <c r="DU78" s="1378"/>
      <c r="DV78" s="1378"/>
      <c r="DW78" s="1378"/>
      <c r="DX78" s="1378"/>
      <c r="DY78" s="1378"/>
      <c r="DZ78" s="1378"/>
      <c r="EA78" s="1378"/>
      <c r="EB78" s="1378"/>
      <c r="EC78" s="1378"/>
      <c r="ED78" s="1378"/>
      <c r="EE78" s="1378"/>
      <c r="EF78" s="1378"/>
      <c r="EG78" s="1378"/>
      <c r="EH78" s="1378"/>
      <c r="EI78" s="1378"/>
      <c r="EJ78" s="1378"/>
      <c r="EK78" s="1378"/>
      <c r="EL78" s="1378"/>
      <c r="EM78" s="1382">
        <f>EI78+EG78+EE78+EC78+EA78+DY78+DW78+DU78+DS78+DQ78+DO78+EK78</f>
        <v>0</v>
      </c>
      <c r="EN78" s="1384"/>
      <c r="EO78" s="1385">
        <f t="shared" si="143"/>
        <v>0</v>
      </c>
      <c r="EP78" s="1386">
        <f>DQ78+DS78+DU78+DW78+DY78+EA78+EC78+EE78+EG78+EI78+EK78+DO78</f>
        <v>0</v>
      </c>
      <c r="EQ78" s="1385">
        <f>DR78+DT78+DV78+DP78</f>
        <v>0</v>
      </c>
      <c r="ER78" s="1387">
        <f t="shared" si="145"/>
        <v>1</v>
      </c>
      <c r="ES78" s="1387">
        <f t="shared" si="146"/>
        <v>0.83333333333333337</v>
      </c>
      <c r="ET78" s="1387">
        <f t="shared" si="147"/>
        <v>1</v>
      </c>
      <c r="EU78" s="1388" t="s">
        <v>225</v>
      </c>
      <c r="EV78" s="1387">
        <f t="shared" si="149"/>
        <v>0.15</v>
      </c>
      <c r="EW78" s="1354"/>
      <c r="EX78" s="733"/>
      <c r="EY78" s="733"/>
      <c r="EZ78" s="733"/>
      <c r="FA78" s="733"/>
      <c r="FB78" s="770"/>
    </row>
    <row r="79" spans="1:158" s="649" customFormat="1" ht="19.149999999999999" customHeight="1" thickBot="1" x14ac:dyDescent="0.25">
      <c r="A79" s="733"/>
      <c r="B79" s="733"/>
      <c r="C79" s="734"/>
      <c r="D79" s="733"/>
      <c r="E79" s="734"/>
      <c r="F79" s="1367" t="s">
        <v>45</v>
      </c>
      <c r="G79" s="1392">
        <v>4003922147</v>
      </c>
      <c r="H79" s="1393">
        <v>381900000</v>
      </c>
      <c r="I79" s="1394"/>
      <c r="J79" s="1395"/>
      <c r="K79" s="1394">
        <v>381900000</v>
      </c>
      <c r="L79" s="1394">
        <v>27401143</v>
      </c>
      <c r="M79" s="1394">
        <v>381900000</v>
      </c>
      <c r="N79" s="1394">
        <v>102981143</v>
      </c>
      <c r="O79" s="1394">
        <v>381900000</v>
      </c>
      <c r="P79" s="1394">
        <v>119147442</v>
      </c>
      <c r="Q79" s="1394">
        <v>225075000</v>
      </c>
      <c r="R79" s="1394">
        <v>121576922</v>
      </c>
      <c r="S79" s="1396">
        <v>225075000</v>
      </c>
      <c r="T79" s="1397">
        <v>168075108</v>
      </c>
      <c r="U79" s="1398">
        <v>225075000</v>
      </c>
      <c r="V79" s="1398">
        <v>219942147</v>
      </c>
      <c r="W79" s="1399">
        <f t="shared" si="24"/>
        <v>381900000</v>
      </c>
      <c r="X79" s="1399">
        <f t="shared" si="25"/>
        <v>381900000</v>
      </c>
      <c r="Y79" s="1399">
        <f t="shared" si="26"/>
        <v>219942147</v>
      </c>
      <c r="Z79" s="1399">
        <f t="shared" si="27"/>
        <v>225075000</v>
      </c>
      <c r="AA79" s="1399">
        <f t="shared" si="28"/>
        <v>219942147</v>
      </c>
      <c r="AB79" s="1400">
        <f>+AB74+AB77</f>
        <v>883534233</v>
      </c>
      <c r="AC79" s="1400">
        <f>+AC74+AC77</f>
        <v>11357200</v>
      </c>
      <c r="AD79" s="1400">
        <f>+AD74+AD77</f>
        <v>11357200</v>
      </c>
      <c r="AE79" s="1400">
        <f>+AE74+AE77</f>
        <v>128720065</v>
      </c>
      <c r="AF79" s="1400">
        <f t="shared" ref="AF79:AI79" si="151">+AF74+AF77</f>
        <v>128720065</v>
      </c>
      <c r="AG79" s="1400">
        <f t="shared" si="151"/>
        <v>364659330</v>
      </c>
      <c r="AH79" s="1400">
        <f t="shared" si="151"/>
        <v>364659330</v>
      </c>
      <c r="AI79" s="1400">
        <f t="shared" si="151"/>
        <v>195444727</v>
      </c>
      <c r="AJ79" s="1400">
        <f>+AJ74+AJ77</f>
        <v>195444727</v>
      </c>
      <c r="AK79" s="1400">
        <f>+AK74+AK77</f>
        <v>0</v>
      </c>
      <c r="AL79" s="1400">
        <f t="shared" ref="AL79:AZ79" si="152">+AL74+AL77</f>
        <v>0</v>
      </c>
      <c r="AM79" s="1400">
        <f t="shared" si="152"/>
        <v>89884840</v>
      </c>
      <c r="AN79" s="1400">
        <f t="shared" si="152"/>
        <v>68476840</v>
      </c>
      <c r="AO79" s="1400">
        <f t="shared" si="152"/>
        <v>908965</v>
      </c>
      <c r="AP79" s="1400">
        <f>+AP74+AP77</f>
        <v>1687875</v>
      </c>
      <c r="AQ79" s="1400">
        <f t="shared" si="152"/>
        <v>-490600</v>
      </c>
      <c r="AR79" s="1400">
        <f t="shared" si="152"/>
        <v>-490600</v>
      </c>
      <c r="AS79" s="1400">
        <f t="shared" si="152"/>
        <v>15000167</v>
      </c>
      <c r="AT79" s="1400">
        <f t="shared" si="152"/>
        <v>20000000</v>
      </c>
      <c r="AU79" s="1400">
        <f t="shared" si="152"/>
        <v>9525000</v>
      </c>
      <c r="AV79" s="1400">
        <f t="shared" si="152"/>
        <v>20964600</v>
      </c>
      <c r="AW79" s="1400">
        <f t="shared" si="152"/>
        <v>474833</v>
      </c>
      <c r="AX79" s="1400">
        <f t="shared" si="152"/>
        <v>35001627</v>
      </c>
      <c r="AY79" s="1400">
        <f t="shared" si="152"/>
        <v>66629733</v>
      </c>
      <c r="AZ79" s="1400">
        <f t="shared" si="152"/>
        <v>14668333</v>
      </c>
      <c r="BA79" s="1401">
        <f>AY79+AW79+AU79+AS79+AQ79+AO79+AM79+AK79+AI79+AG79+AE79+AC79</f>
        <v>882114260</v>
      </c>
      <c r="BB79" s="1401">
        <f>AZ79+AX79+AV79+AT79+AR79+AP79+AN79+AL79+AJ79+AH79+AF79+AD79</f>
        <v>860489997</v>
      </c>
      <c r="BC79" s="1401">
        <f>+AN79+AD79+AF79+AH79+AJ79+AL79+AP79+AR79+AT79+AV79+AX79+AZ79</f>
        <v>860489997</v>
      </c>
      <c r="BD79" s="1401">
        <f>+BD74+BD77</f>
        <v>882114260</v>
      </c>
      <c r="BE79" s="1401">
        <f t="shared" si="144"/>
        <v>860489997</v>
      </c>
      <c r="BF79" s="1394">
        <v>1011675000</v>
      </c>
      <c r="BG79" s="1402"/>
      <c r="BH79" s="1402"/>
      <c r="BI79" s="1402"/>
      <c r="BJ79" s="1402"/>
      <c r="BK79" s="1402"/>
      <c r="BL79" s="1402"/>
      <c r="BM79" s="1402"/>
      <c r="BN79" s="1402"/>
      <c r="BO79" s="1402"/>
      <c r="BP79" s="1402"/>
      <c r="BQ79" s="1402"/>
      <c r="BR79" s="1402"/>
      <c r="BS79" s="1402"/>
      <c r="BT79" s="1402"/>
      <c r="BU79" s="1402"/>
      <c r="BV79" s="1402"/>
      <c r="BW79" s="1402"/>
      <c r="BX79" s="1402"/>
      <c r="BY79" s="1402"/>
      <c r="BZ79" s="1402"/>
      <c r="CA79" s="1402"/>
      <c r="CB79" s="1402"/>
      <c r="CC79" s="1402"/>
      <c r="CD79" s="1402"/>
      <c r="CE79" s="1401"/>
      <c r="CF79" s="1403"/>
      <c r="CG79" s="1404"/>
      <c r="CH79" s="1403"/>
      <c r="CI79" s="1403"/>
      <c r="CJ79" s="1398">
        <v>1456674000</v>
      </c>
      <c r="CK79" s="1398"/>
      <c r="CL79" s="1398"/>
      <c r="CM79" s="1398"/>
      <c r="CN79" s="1398"/>
      <c r="CO79" s="1398"/>
      <c r="CP79" s="1398"/>
      <c r="CQ79" s="1398"/>
      <c r="CR79" s="1398"/>
      <c r="CS79" s="1398"/>
      <c r="CT79" s="1398"/>
      <c r="CU79" s="1398"/>
      <c r="CV79" s="1398"/>
      <c r="CW79" s="1398"/>
      <c r="CX79" s="1398"/>
      <c r="CY79" s="1398"/>
      <c r="CZ79" s="1398"/>
      <c r="DA79" s="1398"/>
      <c r="DB79" s="1398"/>
      <c r="DC79" s="1398"/>
      <c r="DD79" s="1398"/>
      <c r="DE79" s="1398"/>
      <c r="DF79" s="1398"/>
      <c r="DG79" s="1398"/>
      <c r="DH79" s="1398"/>
      <c r="DI79" s="1401">
        <v>0</v>
      </c>
      <c r="DJ79" s="1403"/>
      <c r="DK79" s="1404">
        <v>0</v>
      </c>
      <c r="DL79" s="1403">
        <v>0</v>
      </c>
      <c r="DM79" s="1403">
        <v>0</v>
      </c>
      <c r="DN79" s="1398">
        <v>514070000</v>
      </c>
      <c r="DO79" s="1398"/>
      <c r="DP79" s="1398"/>
      <c r="DQ79" s="1398"/>
      <c r="DR79" s="1398"/>
      <c r="DS79" s="1398"/>
      <c r="DT79" s="1398"/>
      <c r="DU79" s="1398"/>
      <c r="DV79" s="1398"/>
      <c r="DW79" s="1398"/>
      <c r="DX79" s="1398"/>
      <c r="DY79" s="1398"/>
      <c r="DZ79" s="1398"/>
      <c r="EA79" s="1398"/>
      <c r="EB79" s="1398"/>
      <c r="EC79" s="1398"/>
      <c r="ED79" s="1398"/>
      <c r="EE79" s="1398"/>
      <c r="EF79" s="1398"/>
      <c r="EG79" s="1398"/>
      <c r="EH79" s="1398"/>
      <c r="EI79" s="1398"/>
      <c r="EJ79" s="1398"/>
      <c r="EK79" s="1398"/>
      <c r="EL79" s="1398"/>
      <c r="EM79" s="1401">
        <f>EK79+EI79+EG79+EE79+EC79+EA79+DY79+DW79+DU79+DS79+DQ79+DO79</f>
        <v>0</v>
      </c>
      <c r="EN79" s="1403">
        <f t="shared" ref="EN79" si="153">+EN74+EN77</f>
        <v>0</v>
      </c>
      <c r="EO79" s="1404">
        <f t="shared" ref="EO79" si="154">EO74+EO77</f>
        <v>0</v>
      </c>
      <c r="EP79" s="1403">
        <f t="shared" ref="EP79:EQ79" si="155">+EP74+EP77</f>
        <v>0</v>
      </c>
      <c r="EQ79" s="1403">
        <f t="shared" si="155"/>
        <v>0</v>
      </c>
      <c r="ER79" s="1405">
        <f t="shared" si="145"/>
        <v>2.2010078740157479</v>
      </c>
      <c r="ES79" s="1405">
        <f t="shared" si="146"/>
        <v>1</v>
      </c>
      <c r="ET79" s="1405">
        <f t="shared" si="147"/>
        <v>0.97548587073062398</v>
      </c>
      <c r="EU79" s="1406">
        <f t="shared" ref="EU79" si="156">(BC79+AA79)/(Z79+BB79)</f>
        <v>0.99527172208556391</v>
      </c>
      <c r="EV79" s="1407">
        <f t="shared" ref="EV79" si="157">(BC79+AA79)/G79</f>
        <v>0.26984344458583698</v>
      </c>
      <c r="EW79" s="1368"/>
      <c r="EX79" s="733"/>
      <c r="EY79" s="733"/>
      <c r="EZ79" s="733"/>
      <c r="FA79" s="733"/>
      <c r="FB79" s="770"/>
    </row>
    <row r="80" spans="1:158" s="657" customFormat="1" ht="19.149999999999999" customHeight="1" x14ac:dyDescent="0.2">
      <c r="A80" s="732" t="s">
        <v>5</v>
      </c>
      <c r="B80" s="732"/>
      <c r="C80" s="732"/>
      <c r="D80" s="732"/>
      <c r="E80" s="732"/>
      <c r="F80" s="655" t="s">
        <v>44</v>
      </c>
      <c r="G80" s="1389">
        <f>+G11+G18+G25+G39+G46+G53+G60+G67+G74</f>
        <v>18103246756</v>
      </c>
      <c r="H80" s="1390">
        <f t="shared" ref="H80:AI80" si="158">+H11+H18+H25+H39+H46+H53+H60+H67+H74</f>
        <v>2430913490</v>
      </c>
      <c r="I80" s="1389">
        <f t="shared" si="158"/>
        <v>0</v>
      </c>
      <c r="J80" s="1389">
        <f t="shared" si="158"/>
        <v>0</v>
      </c>
      <c r="K80" s="1389">
        <f t="shared" si="158"/>
        <v>2430913490</v>
      </c>
      <c r="L80" s="1389">
        <f t="shared" si="158"/>
        <v>536091143</v>
      </c>
      <c r="M80" s="1389">
        <f t="shared" si="158"/>
        <v>2430913490</v>
      </c>
      <c r="N80" s="1389">
        <f t="shared" si="158"/>
        <v>1639621143</v>
      </c>
      <c r="O80" s="1389">
        <f t="shared" si="158"/>
        <v>2430913490</v>
      </c>
      <c r="P80" s="1389">
        <f t="shared" si="158"/>
        <v>1683036442</v>
      </c>
      <c r="Q80" s="1389">
        <f t="shared" si="158"/>
        <v>2430913490</v>
      </c>
      <c r="R80" s="1389">
        <f t="shared" si="158"/>
        <v>1685465922</v>
      </c>
      <c r="S80" s="1389">
        <f t="shared" si="158"/>
        <v>2425566490</v>
      </c>
      <c r="T80" s="1389">
        <f t="shared" si="158"/>
        <v>1856914271</v>
      </c>
      <c r="U80" s="1389">
        <f t="shared" si="158"/>
        <v>2425566490</v>
      </c>
      <c r="V80" s="1389">
        <f t="shared" si="158"/>
        <v>2349308440</v>
      </c>
      <c r="W80" s="1389">
        <f t="shared" si="158"/>
        <v>2430913490</v>
      </c>
      <c r="X80" s="1389">
        <f t="shared" si="158"/>
        <v>2430913490</v>
      </c>
      <c r="Y80" s="1389">
        <f t="shared" si="158"/>
        <v>2349308440</v>
      </c>
      <c r="Z80" s="1389">
        <f t="shared" si="158"/>
        <v>2425566490</v>
      </c>
      <c r="AA80" s="1389">
        <f t="shared" si="158"/>
        <v>2349308440</v>
      </c>
      <c r="AB80" s="1389">
        <f>+AB11+AB18+AB25+AB32+AB39+AB46+AB53+AB60+AB67+AB74</f>
        <v>3459505000</v>
      </c>
      <c r="AC80" s="1389">
        <f t="shared" si="158"/>
        <v>0</v>
      </c>
      <c r="AD80" s="1389">
        <f t="shared" si="158"/>
        <v>0</v>
      </c>
      <c r="AE80" s="1389">
        <f t="shared" si="158"/>
        <v>1382696694</v>
      </c>
      <c r="AF80" s="1389">
        <f t="shared" si="158"/>
        <v>1382696694</v>
      </c>
      <c r="AG80" s="1389">
        <f t="shared" si="158"/>
        <v>1038223000</v>
      </c>
      <c r="AH80" s="1389">
        <f t="shared" si="158"/>
        <v>1038223000</v>
      </c>
      <c r="AI80" s="1389">
        <f t="shared" si="158"/>
        <v>207881000</v>
      </c>
      <c r="AJ80" s="1389">
        <f>+AJ11+AJ18+AJ25+AJ39+AJ46+AJ53+AJ60+AJ67+AJ74</f>
        <v>207881000</v>
      </c>
      <c r="AK80" s="1389">
        <f>+AK11+AK18+AK25+AK39+AK46+AK53+AK60+AK67+AK74</f>
        <v>0</v>
      </c>
      <c r="AL80" s="1389">
        <f t="shared" ref="AL80:AZ80" si="159">+AL11+AL18+AL25+AL39+AL46+AL53+AL60+AL67+AL74</f>
        <v>0</v>
      </c>
      <c r="AM80" s="1389">
        <f>+AM11+AM18+AM25+AM39+AM46+AM53+AM60+AM67+AM74</f>
        <v>141921772</v>
      </c>
      <c r="AN80" s="1391">
        <f t="shared" si="159"/>
        <v>128629200</v>
      </c>
      <c r="AO80" s="1389">
        <f t="shared" si="159"/>
        <v>8622572</v>
      </c>
      <c r="AP80" s="1389">
        <f>+AP11+AP18+AP25+AP39+AP46+AP53+AP60+AP67+AP74</f>
        <v>778910</v>
      </c>
      <c r="AQ80" s="1389">
        <f>+AS11+AQ18+AQ25+AQ39+AQ46+AQ53+AQ60+AQ67+AQ74</f>
        <v>97297856</v>
      </c>
      <c r="AR80" s="1389">
        <f t="shared" si="159"/>
        <v>43542000</v>
      </c>
      <c r="AS80" s="1389">
        <f>+AU11+AS18+AS25+AS39+AS46+AS53+AS60+AS67+AS74</f>
        <v>335789389</v>
      </c>
      <c r="AT80" s="1389">
        <f t="shared" si="159"/>
        <v>265821000</v>
      </c>
      <c r="AU80" s="1389">
        <f>+AU11+AU18+AU25+AU39+AU46+AU53+AU60+AU67+AU74</f>
        <v>105505000</v>
      </c>
      <c r="AV80" s="1389">
        <f t="shared" si="159"/>
        <v>37714900</v>
      </c>
      <c r="AW80" s="1389">
        <f>+AW11+AW18+AW25+AW39+AW46+AW53+AW60+AW67+AW74</f>
        <v>4528833</v>
      </c>
      <c r="AX80" s="1389">
        <f t="shared" si="159"/>
        <v>104244727</v>
      </c>
      <c r="AY80" s="1389">
        <f>+AY11+AY18+AY25+AY39+AY46+AY53+AY60+AY67+AY74</f>
        <v>71252200</v>
      </c>
      <c r="AZ80" s="1389">
        <f t="shared" si="159"/>
        <v>56021733</v>
      </c>
      <c r="BA80" s="1389">
        <f>+BA11+BA18+BA25+BA32+BA39+BA46+BA53+BA60+BA67+BA74</f>
        <v>3454840816</v>
      </c>
      <c r="BB80" s="1389">
        <f>+BB11+BB18+BB25+BB32+BB39+BB46+BB53+BB60+BB67+BB74</f>
        <v>3454840816</v>
      </c>
      <c r="BC80" s="1389">
        <f>+BC11+BC18+BC25+BC32+BC39+BC46+BC53+BC60+BC67+BC74</f>
        <v>3342341664</v>
      </c>
      <c r="BD80" s="1389">
        <f t="shared" ref="BD80" si="160">+BD11+BD18+BD25+BD32+BD39+BD46+BD53+BD60+BD67+BD74</f>
        <v>3454840816</v>
      </c>
      <c r="BE80" s="1389">
        <f>+BE11+BE18+BE25+BE32+BE39+BE46+BE53+BE60+BE67+BE74</f>
        <v>3342341664</v>
      </c>
      <c r="BF80" s="1389">
        <f t="shared" ref="BF80:DN80" si="161">+BF11+BF18+BF25+BF32+BF39+BF46+BF53+BF60+BF67+BF74</f>
        <v>3695776000</v>
      </c>
      <c r="BG80" s="1389">
        <f t="shared" si="161"/>
        <v>0</v>
      </c>
      <c r="BH80" s="1389">
        <f t="shared" si="161"/>
        <v>0</v>
      </c>
      <c r="BI80" s="1389">
        <f t="shared" si="161"/>
        <v>0</v>
      </c>
      <c r="BJ80" s="1389">
        <f t="shared" si="161"/>
        <v>0</v>
      </c>
      <c r="BK80" s="1389">
        <f t="shared" si="161"/>
        <v>0</v>
      </c>
      <c r="BL80" s="1389">
        <f t="shared" si="161"/>
        <v>0</v>
      </c>
      <c r="BM80" s="1389">
        <f t="shared" si="161"/>
        <v>0</v>
      </c>
      <c r="BN80" s="1389">
        <f t="shared" si="161"/>
        <v>0</v>
      </c>
      <c r="BO80" s="1389">
        <f t="shared" si="161"/>
        <v>0</v>
      </c>
      <c r="BP80" s="1389">
        <f t="shared" si="161"/>
        <v>0</v>
      </c>
      <c r="BQ80" s="1389">
        <f t="shared" si="161"/>
        <v>0</v>
      </c>
      <c r="BR80" s="1389">
        <f t="shared" si="161"/>
        <v>0</v>
      </c>
      <c r="BS80" s="1389">
        <f t="shared" si="161"/>
        <v>0</v>
      </c>
      <c r="BT80" s="1389">
        <f t="shared" si="161"/>
        <v>0</v>
      </c>
      <c r="BU80" s="1389">
        <f t="shared" si="161"/>
        <v>0</v>
      </c>
      <c r="BV80" s="1389">
        <f t="shared" si="161"/>
        <v>0</v>
      </c>
      <c r="BW80" s="1389">
        <f t="shared" si="161"/>
        <v>0</v>
      </c>
      <c r="BX80" s="1389">
        <f t="shared" si="161"/>
        <v>0</v>
      </c>
      <c r="BY80" s="1389">
        <f t="shared" si="161"/>
        <v>0</v>
      </c>
      <c r="BZ80" s="1389">
        <f t="shared" si="161"/>
        <v>0</v>
      </c>
      <c r="CA80" s="1389">
        <f t="shared" si="161"/>
        <v>0</v>
      </c>
      <c r="CB80" s="1389">
        <f t="shared" si="161"/>
        <v>0</v>
      </c>
      <c r="CC80" s="1389">
        <f t="shared" si="161"/>
        <v>0</v>
      </c>
      <c r="CD80" s="1389">
        <f t="shared" si="161"/>
        <v>0</v>
      </c>
      <c r="CE80" s="1389">
        <f t="shared" si="161"/>
        <v>0</v>
      </c>
      <c r="CF80" s="1389">
        <f t="shared" si="161"/>
        <v>0</v>
      </c>
      <c r="CG80" s="1389">
        <f t="shared" si="161"/>
        <v>0</v>
      </c>
      <c r="CH80" s="1389">
        <f t="shared" si="161"/>
        <v>0</v>
      </c>
      <c r="CI80" s="1389">
        <f t="shared" si="161"/>
        <v>0</v>
      </c>
      <c r="CJ80" s="1389">
        <f>+CJ11+CJ18+CJ25+CJ32+CJ39+CJ46+CJ53+CJ60+CJ67+CJ74</f>
        <v>6176651000</v>
      </c>
      <c r="CK80" s="1389">
        <f t="shared" si="161"/>
        <v>0</v>
      </c>
      <c r="CL80" s="1389">
        <f t="shared" si="161"/>
        <v>0</v>
      </c>
      <c r="CM80" s="1389">
        <f t="shared" si="161"/>
        <v>0</v>
      </c>
      <c r="CN80" s="1389">
        <f t="shared" si="161"/>
        <v>0</v>
      </c>
      <c r="CO80" s="1389">
        <f t="shared" si="161"/>
        <v>0</v>
      </c>
      <c r="CP80" s="1389">
        <f t="shared" si="161"/>
        <v>0</v>
      </c>
      <c r="CQ80" s="1389">
        <f t="shared" si="161"/>
        <v>0</v>
      </c>
      <c r="CR80" s="1389">
        <f t="shared" si="161"/>
        <v>0</v>
      </c>
      <c r="CS80" s="1389">
        <f t="shared" si="161"/>
        <v>0</v>
      </c>
      <c r="CT80" s="1389">
        <f t="shared" si="161"/>
        <v>0</v>
      </c>
      <c r="CU80" s="1389">
        <f t="shared" si="161"/>
        <v>0</v>
      </c>
      <c r="CV80" s="1389">
        <f t="shared" si="161"/>
        <v>0</v>
      </c>
      <c r="CW80" s="1389">
        <f t="shared" si="161"/>
        <v>0</v>
      </c>
      <c r="CX80" s="1389">
        <f t="shared" si="161"/>
        <v>0</v>
      </c>
      <c r="CY80" s="1389">
        <f t="shared" si="161"/>
        <v>0</v>
      </c>
      <c r="CZ80" s="1389">
        <f t="shared" si="161"/>
        <v>0</v>
      </c>
      <c r="DA80" s="1389">
        <f t="shared" si="161"/>
        <v>0</v>
      </c>
      <c r="DB80" s="1389">
        <f t="shared" si="161"/>
        <v>0</v>
      </c>
      <c r="DC80" s="1389">
        <f t="shared" si="161"/>
        <v>0</v>
      </c>
      <c r="DD80" s="1389">
        <f t="shared" si="161"/>
        <v>0</v>
      </c>
      <c r="DE80" s="1389">
        <f t="shared" si="161"/>
        <v>0</v>
      </c>
      <c r="DF80" s="1389">
        <f t="shared" si="161"/>
        <v>0</v>
      </c>
      <c r="DG80" s="1389">
        <f t="shared" si="161"/>
        <v>0</v>
      </c>
      <c r="DH80" s="1389">
        <f t="shared" si="161"/>
        <v>0</v>
      </c>
      <c r="DI80" s="1389">
        <f t="shared" si="161"/>
        <v>0</v>
      </c>
      <c r="DJ80" s="1389">
        <f t="shared" si="161"/>
        <v>0</v>
      </c>
      <c r="DK80" s="1389">
        <f t="shared" si="161"/>
        <v>0</v>
      </c>
      <c r="DL80" s="1389">
        <f t="shared" si="161"/>
        <v>0</v>
      </c>
      <c r="DM80" s="1389">
        <f t="shared" si="161"/>
        <v>0</v>
      </c>
      <c r="DN80" s="1389">
        <f t="shared" si="161"/>
        <v>2703893000</v>
      </c>
      <c r="DO80" s="1389"/>
      <c r="DP80" s="1389"/>
      <c r="DQ80" s="1389"/>
      <c r="DR80" s="1389"/>
      <c r="DS80" s="1389"/>
      <c r="DT80" s="1389"/>
      <c r="DU80" s="1389"/>
      <c r="DV80" s="1389"/>
      <c r="DW80" s="1389"/>
      <c r="DX80" s="1389"/>
      <c r="DY80" s="1389"/>
      <c r="DZ80" s="1389"/>
      <c r="EA80" s="1389"/>
      <c r="EB80" s="1389"/>
      <c r="EC80" s="1389"/>
      <c r="ED80" s="1389"/>
      <c r="EE80" s="1389"/>
      <c r="EF80" s="1389"/>
      <c r="EG80" s="1389"/>
      <c r="EH80" s="1389"/>
      <c r="EI80" s="1389"/>
      <c r="EJ80" s="1389"/>
      <c r="EK80" s="1389"/>
      <c r="EL80" s="1389"/>
      <c r="EM80" s="1389"/>
      <c r="EN80" s="1389"/>
      <c r="EO80" s="1389"/>
      <c r="EP80" s="1389"/>
      <c r="EQ80" s="1389"/>
      <c r="ER80" s="1359"/>
      <c r="ES80" s="1360"/>
      <c r="ET80" s="1360"/>
      <c r="EU80" s="1360"/>
      <c r="EV80" s="1360"/>
      <c r="EW80" s="1357"/>
      <c r="EX80" s="1357"/>
      <c r="EY80" s="1357"/>
      <c r="EZ80" s="1357"/>
      <c r="FA80" s="1358"/>
    </row>
    <row r="81" spans="1:157" s="657" customFormat="1" ht="19.149999999999999" customHeight="1" x14ac:dyDescent="0.2">
      <c r="A81" s="732"/>
      <c r="B81" s="732"/>
      <c r="C81" s="732"/>
      <c r="D81" s="732"/>
      <c r="E81" s="732"/>
      <c r="F81" s="658" t="s">
        <v>46</v>
      </c>
      <c r="G81" s="639">
        <f>+G14+G21+G28+G35+G42+G49+G56+G63+G70+G77</f>
        <v>793001106</v>
      </c>
      <c r="H81" s="1365">
        <f>+H14+H21+H28+H35+H42+H49+H56+H63+H70+H77</f>
        <v>0</v>
      </c>
      <c r="I81" s="639">
        <f>+I14+I21+I28+I35+I42+I49+I56+I63+I70+I77</f>
        <v>0</v>
      </c>
      <c r="J81" s="639">
        <f>+J14+J21+J28+J35+J42+J49+J56+J63+J70+J77</f>
        <v>0</v>
      </c>
      <c r="K81" s="639">
        <f>+K14+K21+K28+K35+K42+K49+K56+K63+K70+K77</f>
        <v>0</v>
      </c>
      <c r="L81" s="639">
        <f>+L14+L21+L28+L35+L42+L49+L56+L63+L70+L77</f>
        <v>0</v>
      </c>
      <c r="M81" s="639">
        <f>+M14+M21+M28+M35+M42+M49+M56+M63+M70+M77</f>
        <v>0</v>
      </c>
      <c r="N81" s="639">
        <f>+N14+N21+N28+N35+N42+N49+N56+N63+N70+N77</f>
        <v>0</v>
      </c>
      <c r="O81" s="639">
        <f>+O14+O21+O28+O35+O42+O49+O56+O63+O70+O77</f>
        <v>0</v>
      </c>
      <c r="P81" s="639">
        <f>+P14+P21+P28+P35+P42+P49+P56+P63+P70+P77</f>
        <v>0</v>
      </c>
      <c r="Q81" s="639">
        <f>+Q14+Q21+Q28+Q35+Q42+Q49+Q56+Q63+Q70+Q77</f>
        <v>0</v>
      </c>
      <c r="R81" s="639">
        <f>+R14+R21+R28+R35+R42+R49+R56+R63+R70+R77</f>
        <v>0</v>
      </c>
      <c r="S81" s="639">
        <f>+S14+S21+S28+S35+S42+S49+S56+S63+S70+S77</f>
        <v>0</v>
      </c>
      <c r="T81" s="639">
        <f>+T14+T21+T28+T35+T42+T49+T56+T63+T70+T77</f>
        <v>0</v>
      </c>
      <c r="U81" s="639">
        <f>+U14+U21+U28+U35+U42+U49+U56+U63+U70+U77</f>
        <v>0</v>
      </c>
      <c r="V81" s="639">
        <f>+V14+V21+V28+V35+V42+V49+V56+V63+V70+V77</f>
        <v>0</v>
      </c>
      <c r="W81" s="639">
        <f>+W14+W21+W28+W35+W42+W49+W56+W63+W70+W77</f>
        <v>0</v>
      </c>
      <c r="X81" s="639">
        <f>+X14+X21+X28+X35+X42+X49+X56+X63+X70+X77</f>
        <v>0</v>
      </c>
      <c r="Y81" s="639">
        <f>+Y14+Y21+Y28+Y35+Y42+Y49+Y56+Y63+Y70+Y77</f>
        <v>0</v>
      </c>
      <c r="Z81" s="639">
        <f>+Z14+Z21+Z28+Z35+Z42+Z49+Z56+Z63+Z70+Z77</f>
        <v>0</v>
      </c>
      <c r="AA81" s="639">
        <f>+AA14+AA21+AA28+AA35+AA42+AA49+AA56+AA63+AA70+AA77</f>
        <v>0</v>
      </c>
      <c r="AB81" s="639">
        <f>+AB14+AB21+AB28+AB35+AB42+AB49+AB56+AB63+AB70+AB77</f>
        <v>793552573</v>
      </c>
      <c r="AC81" s="639">
        <f>+AC14+AC21+AC28+AC35+AC42+AC49+AC56+AC63+AC70+AC77</f>
        <v>135468608</v>
      </c>
      <c r="AD81" s="639">
        <f>+AD14+AD21+AD28+AD35+AD42+AD49+AD56+AD63+AD70+AD77</f>
        <v>135468608</v>
      </c>
      <c r="AE81" s="639">
        <f>+AE14+AE21+AE28+AE35+AE42+AE49+AE56+AE63+AE70+AE77</f>
        <v>298385908</v>
      </c>
      <c r="AF81" s="639">
        <f>+AF14+AF21+AF28+AF35+AF42+AF49+AF56+AF63+AF70+AF77</f>
        <v>298385908</v>
      </c>
      <c r="AG81" s="639">
        <f>+AG14+AG21+AG28+AG35+AG42+AG49+AG56+AG63+AG70+AG77</f>
        <v>199080222</v>
      </c>
      <c r="AH81" s="639">
        <f>+AH14+AH21+AH28+AH35+AH42+AH49+AH56+AH63+AH70+AH77</f>
        <v>199080222</v>
      </c>
      <c r="AI81" s="639">
        <f>+AI14+AI21+AI28+AI35+AI42+AI49+AI56+AI63+AI70+AI77</f>
        <v>69428367</v>
      </c>
      <c r="AJ81" s="639">
        <f>+AJ14+AJ21+AJ28+AJ35+AJ42+AJ49+AJ56+AJ63+AJ70+AJ77</f>
        <v>69428367</v>
      </c>
      <c r="AK81" s="639">
        <f>+AK14+AK21+AK28+AK35+AK42+AK49+AK56+AK63+AK70+AK77</f>
        <v>33882400</v>
      </c>
      <c r="AL81" s="639">
        <f>+AL14+AL21+AL28+AL35+AL42+AL49+AL56+AL63+AL70+AL77</f>
        <v>33882400</v>
      </c>
      <c r="AM81" s="639">
        <f>+AM14+AM21+AM28+AM35+AM42+AM49+AM56+AM63+AM70+AM77</f>
        <v>24326236</v>
      </c>
      <c r="AN81" s="623">
        <f>+AN14+AN21+AN28+AN35+AN42+AN49+AN56+AN63+AN70+AN77</f>
        <v>24326236</v>
      </c>
      <c r="AO81" s="639">
        <f>+AO14+AO21+AO28+AO35+AO42+AO49+AO56+AO63+AO70+AO77</f>
        <v>32919965</v>
      </c>
      <c r="AP81" s="639">
        <f>+AP14+AP21+AP28+AP35+AP42+AP49+AP56+AP63+AP70+AP77</f>
        <v>32919965</v>
      </c>
      <c r="AQ81" s="639">
        <f>+AQ14+AQ21+AQ28+AQ35+AQ42+AQ49+AQ56+AQ63+AQ70+AQ77</f>
        <v>-429733</v>
      </c>
      <c r="AR81" s="639">
        <f>+AR14+AR21+AR28+AR35+AR42+AR49+AR56+AR63+AR70+AR77</f>
        <v>-490600</v>
      </c>
      <c r="AS81" s="639">
        <f>+AS14+AS21+AS28+AS35+AS42+AS49+AS56+AS63+AS70+AS77</f>
        <v>0</v>
      </c>
      <c r="AT81" s="639">
        <f>+AT14+AT21+AT28+AT35+AT42+AT49+AT56+AT63+AT70+AT77</f>
        <v>0</v>
      </c>
      <c r="AU81" s="639">
        <f>+AU14+AU21+AU28+AU35+AU42+AU49+AU56+AU63+AU70+AU77</f>
        <v>-60867</v>
      </c>
      <c r="AV81" s="656">
        <f>+AV14+AV21+AV28+AV35+AV42+AV49+AV56+AV63+AV70+AV77</f>
        <v>0</v>
      </c>
      <c r="AW81" s="639">
        <f>+AW14+AW21+AW28+AW35+AW42+AW49+AW56+AW63+AW70+AW77</f>
        <v>0</v>
      </c>
      <c r="AX81" s="639">
        <f>+AX14+AX21+AX28+AX35+AX42+AX49+AX56+AX63+AX70+AX77</f>
        <v>0</v>
      </c>
      <c r="AY81" s="639">
        <f>+AY14+AY21+AY28+AY35+AY42+AY49+AY56+AY63+AY70+AY77</f>
        <v>0</v>
      </c>
      <c r="AZ81" s="639">
        <f>+AZ14+AZ21+AZ28+AZ35+AZ42+AZ49+AZ56+AZ63+AZ70+AZ77</f>
        <v>0</v>
      </c>
      <c r="BA81" s="660">
        <f>+BA14+BA21+BA28+BA35+BA42+BA49+BA56+BA63+BA70+BA77</f>
        <v>793001106</v>
      </c>
      <c r="BB81" s="639">
        <f t="shared" ref="BB81:BB82" si="162">AC81+AE81+AG81+AI81+AK81+AM81+AO81+AQ81+AS81+AU81+AW81</f>
        <v>793001106</v>
      </c>
      <c r="BC81" s="639">
        <f>+BC14+BC21+BC28+BC35+BC42+BC49+BC56+BC63+BC70+BC77</f>
        <v>793001106</v>
      </c>
      <c r="BD81" s="639">
        <f>+BD14+BD21+BD28+BD35+BD42+BD49+BD56+BD63+BD70+BD77</f>
        <v>793001106</v>
      </c>
      <c r="BE81" s="639">
        <f>+BE14+BE21+BE28+BE35+BE42+BE49+BE56+BE63+BE70+BE77</f>
        <v>793001106</v>
      </c>
      <c r="BF81" s="639">
        <f t="shared" ref="BF81:DN81" si="163">+BF14+BF21+BF28+BF35+BF42+BF49+BF56+BF63+BF70+BF77</f>
        <v>0</v>
      </c>
      <c r="BG81" s="639">
        <f t="shared" si="163"/>
        <v>0</v>
      </c>
      <c r="BH81" s="639">
        <f t="shared" si="163"/>
        <v>0</v>
      </c>
      <c r="BI81" s="639">
        <f t="shared" si="163"/>
        <v>0</v>
      </c>
      <c r="BJ81" s="639">
        <f t="shared" si="163"/>
        <v>0</v>
      </c>
      <c r="BK81" s="639">
        <f t="shared" si="163"/>
        <v>0</v>
      </c>
      <c r="BL81" s="639">
        <f t="shared" si="163"/>
        <v>0</v>
      </c>
      <c r="BM81" s="639">
        <f t="shared" si="163"/>
        <v>0</v>
      </c>
      <c r="BN81" s="639">
        <f t="shared" si="163"/>
        <v>0</v>
      </c>
      <c r="BO81" s="639">
        <f t="shared" si="163"/>
        <v>0</v>
      </c>
      <c r="BP81" s="639">
        <f t="shared" si="163"/>
        <v>0</v>
      </c>
      <c r="BQ81" s="639">
        <f t="shared" si="163"/>
        <v>0</v>
      </c>
      <c r="BR81" s="639">
        <f t="shared" si="163"/>
        <v>0</v>
      </c>
      <c r="BS81" s="639">
        <f t="shared" si="163"/>
        <v>0</v>
      </c>
      <c r="BT81" s="639">
        <f t="shared" si="163"/>
        <v>0</v>
      </c>
      <c r="BU81" s="639">
        <f t="shared" si="163"/>
        <v>0</v>
      </c>
      <c r="BV81" s="639">
        <f t="shared" si="163"/>
        <v>0</v>
      </c>
      <c r="BW81" s="639">
        <f t="shared" si="163"/>
        <v>0</v>
      </c>
      <c r="BX81" s="639">
        <f t="shared" si="163"/>
        <v>0</v>
      </c>
      <c r="BY81" s="639">
        <f t="shared" si="163"/>
        <v>0</v>
      </c>
      <c r="BZ81" s="639">
        <f t="shared" si="163"/>
        <v>0</v>
      </c>
      <c r="CA81" s="639">
        <f t="shared" si="163"/>
        <v>0</v>
      </c>
      <c r="CB81" s="639">
        <f t="shared" si="163"/>
        <v>0</v>
      </c>
      <c r="CC81" s="639">
        <f t="shared" si="163"/>
        <v>0</v>
      </c>
      <c r="CD81" s="639">
        <f t="shared" si="163"/>
        <v>0</v>
      </c>
      <c r="CE81" s="639">
        <f t="shared" si="163"/>
        <v>0</v>
      </c>
      <c r="CF81" s="639">
        <f t="shared" si="163"/>
        <v>0</v>
      </c>
      <c r="CG81" s="639">
        <f t="shared" si="163"/>
        <v>0</v>
      </c>
      <c r="CH81" s="639">
        <f t="shared" si="163"/>
        <v>0</v>
      </c>
      <c r="CI81" s="639">
        <f t="shared" si="163"/>
        <v>0</v>
      </c>
      <c r="CJ81" s="639">
        <f t="shared" si="163"/>
        <v>0</v>
      </c>
      <c r="CK81" s="639">
        <f t="shared" si="163"/>
        <v>0</v>
      </c>
      <c r="CL81" s="639">
        <f t="shared" si="163"/>
        <v>0</v>
      </c>
      <c r="CM81" s="639">
        <f t="shared" si="163"/>
        <v>0</v>
      </c>
      <c r="CN81" s="639">
        <f t="shared" si="163"/>
        <v>0</v>
      </c>
      <c r="CO81" s="639">
        <f t="shared" si="163"/>
        <v>0</v>
      </c>
      <c r="CP81" s="639">
        <f t="shared" si="163"/>
        <v>0</v>
      </c>
      <c r="CQ81" s="639">
        <f t="shared" si="163"/>
        <v>0</v>
      </c>
      <c r="CR81" s="639">
        <f t="shared" si="163"/>
        <v>0</v>
      </c>
      <c r="CS81" s="639">
        <f t="shared" si="163"/>
        <v>0</v>
      </c>
      <c r="CT81" s="639">
        <f t="shared" si="163"/>
        <v>0</v>
      </c>
      <c r="CU81" s="639">
        <f t="shared" si="163"/>
        <v>0</v>
      </c>
      <c r="CV81" s="639">
        <f t="shared" si="163"/>
        <v>0</v>
      </c>
      <c r="CW81" s="639">
        <f t="shared" si="163"/>
        <v>0</v>
      </c>
      <c r="CX81" s="639">
        <f t="shared" si="163"/>
        <v>0</v>
      </c>
      <c r="CY81" s="639">
        <f t="shared" si="163"/>
        <v>0</v>
      </c>
      <c r="CZ81" s="639">
        <f t="shared" si="163"/>
        <v>0</v>
      </c>
      <c r="DA81" s="639">
        <f t="shared" si="163"/>
        <v>0</v>
      </c>
      <c r="DB81" s="639">
        <f t="shared" si="163"/>
        <v>0</v>
      </c>
      <c r="DC81" s="639">
        <f t="shared" si="163"/>
        <v>0</v>
      </c>
      <c r="DD81" s="639">
        <f t="shared" si="163"/>
        <v>0</v>
      </c>
      <c r="DE81" s="639">
        <f t="shared" si="163"/>
        <v>0</v>
      </c>
      <c r="DF81" s="639">
        <f t="shared" si="163"/>
        <v>0</v>
      </c>
      <c r="DG81" s="639">
        <f t="shared" si="163"/>
        <v>0</v>
      </c>
      <c r="DH81" s="639">
        <f t="shared" si="163"/>
        <v>0</v>
      </c>
      <c r="DI81" s="639">
        <f t="shared" si="163"/>
        <v>0</v>
      </c>
      <c r="DJ81" s="639">
        <f t="shared" si="163"/>
        <v>0</v>
      </c>
      <c r="DK81" s="639">
        <f t="shared" si="163"/>
        <v>0</v>
      </c>
      <c r="DL81" s="639">
        <f t="shared" si="163"/>
        <v>0</v>
      </c>
      <c r="DM81" s="639">
        <f t="shared" si="163"/>
        <v>0</v>
      </c>
      <c r="DN81" s="639">
        <f t="shared" si="163"/>
        <v>0</v>
      </c>
      <c r="DO81" s="639"/>
      <c r="DP81" s="639"/>
      <c r="DQ81" s="639"/>
      <c r="DR81" s="639"/>
      <c r="DS81" s="639"/>
      <c r="DT81" s="639"/>
      <c r="DU81" s="639"/>
      <c r="DV81" s="639"/>
      <c r="DW81" s="639"/>
      <c r="DX81" s="639"/>
      <c r="DY81" s="639"/>
      <c r="DZ81" s="639"/>
      <c r="EA81" s="639"/>
      <c r="EB81" s="639"/>
      <c r="EC81" s="639"/>
      <c r="ED81" s="639"/>
      <c r="EE81" s="639"/>
      <c r="EF81" s="639"/>
      <c r="EG81" s="659"/>
      <c r="EH81" s="659"/>
      <c r="EI81" s="659"/>
      <c r="EJ81" s="659"/>
      <c r="EK81" s="659"/>
      <c r="EL81" s="659"/>
      <c r="EM81" s="639"/>
      <c r="EN81" s="660"/>
      <c r="EO81" s="660"/>
      <c r="EP81" s="660"/>
      <c r="EQ81" s="660"/>
      <c r="ER81" s="1359"/>
      <c r="ES81" s="1360"/>
      <c r="ET81" s="1360"/>
      <c r="EU81" s="1360"/>
      <c r="EV81" s="1360"/>
      <c r="EW81" s="1360"/>
      <c r="EX81" s="1360"/>
      <c r="EY81" s="1360"/>
      <c r="EZ81" s="1360"/>
      <c r="FA81" s="1361"/>
    </row>
    <row r="82" spans="1:157" s="657" customFormat="1" ht="19.149999999999999" customHeight="1" x14ac:dyDescent="0.2">
      <c r="A82" s="732"/>
      <c r="B82" s="732"/>
      <c r="C82" s="732"/>
      <c r="D82" s="732"/>
      <c r="E82" s="732"/>
      <c r="F82" s="655" t="s">
        <v>47</v>
      </c>
      <c r="G82" s="661">
        <v>21297107013</v>
      </c>
      <c r="H82" s="1366"/>
      <c r="I82" s="661"/>
      <c r="J82" s="661"/>
      <c r="K82" s="661"/>
      <c r="L82" s="661"/>
      <c r="M82" s="661"/>
      <c r="N82" s="661"/>
      <c r="O82" s="661"/>
      <c r="P82" s="661"/>
      <c r="Q82" s="661"/>
      <c r="R82" s="661"/>
      <c r="S82" s="661"/>
      <c r="T82" s="661"/>
      <c r="U82" s="661"/>
      <c r="V82" s="661"/>
      <c r="W82" s="661"/>
      <c r="X82" s="661"/>
      <c r="Y82" s="661"/>
      <c r="Z82" s="661"/>
      <c r="AA82" s="661"/>
      <c r="AB82" s="661">
        <f>+AB16+AB23+AB30+AB37+AB44+AB51+AB58+AB65+AB72+AB79</f>
        <v>4253057573</v>
      </c>
      <c r="AC82" s="661">
        <f t="shared" ref="AC82:AJ82" si="164">+AC16+AC23+AC30+AC37+AC44+AC51+AC58+AC65+AC72+AC79</f>
        <v>135468608</v>
      </c>
      <c r="AD82" s="661">
        <f t="shared" si="164"/>
        <v>135468608</v>
      </c>
      <c r="AE82" s="661">
        <f t="shared" si="164"/>
        <v>1681082602</v>
      </c>
      <c r="AF82" s="661">
        <f t="shared" si="164"/>
        <v>1681082602</v>
      </c>
      <c r="AG82" s="661">
        <f t="shared" si="164"/>
        <v>1301967222</v>
      </c>
      <c r="AH82" s="661">
        <f t="shared" si="164"/>
        <v>1301967222</v>
      </c>
      <c r="AI82" s="661">
        <f t="shared" si="164"/>
        <v>277309367</v>
      </c>
      <c r="AJ82" s="661">
        <f t="shared" si="164"/>
        <v>277309367</v>
      </c>
      <c r="AK82" s="661">
        <f t="shared" ref="AK82:BE82" si="165">+AK16+AK23+AK30+AK37+AK44+AK51+AK58+AK65+AK72+AK79</f>
        <v>33882400</v>
      </c>
      <c r="AL82" s="661">
        <f t="shared" si="165"/>
        <v>33882400</v>
      </c>
      <c r="AM82" s="661">
        <f t="shared" si="165"/>
        <v>166248008</v>
      </c>
      <c r="AN82" s="661">
        <f t="shared" si="165"/>
        <v>152955436</v>
      </c>
      <c r="AO82" s="661">
        <f t="shared" si="165"/>
        <v>41542537</v>
      </c>
      <c r="AP82" s="661">
        <f t="shared" si="165"/>
        <v>33698875</v>
      </c>
      <c r="AQ82" s="661">
        <f t="shared" si="165"/>
        <v>96868123</v>
      </c>
      <c r="AR82" s="661">
        <f t="shared" si="165"/>
        <v>34405400</v>
      </c>
      <c r="AS82" s="661">
        <f t="shared" si="165"/>
        <v>347913889</v>
      </c>
      <c r="AT82" s="661">
        <f t="shared" si="165"/>
        <v>265821000</v>
      </c>
      <c r="AU82" s="661">
        <f t="shared" si="165"/>
        <v>105444133</v>
      </c>
      <c r="AV82" s="656">
        <f t="shared" si="165"/>
        <v>23846600</v>
      </c>
      <c r="AW82" s="661">
        <f t="shared" si="165"/>
        <v>4528833</v>
      </c>
      <c r="AX82" s="661">
        <f t="shared" si="165"/>
        <v>116369227</v>
      </c>
      <c r="AY82" s="661">
        <f t="shared" si="165"/>
        <v>71252200</v>
      </c>
      <c r="AZ82" s="661">
        <f t="shared" si="165"/>
        <v>56021733</v>
      </c>
      <c r="BA82" s="662">
        <f t="shared" si="165"/>
        <v>4263507922</v>
      </c>
      <c r="BB82" s="662">
        <f t="shared" si="162"/>
        <v>4192255722</v>
      </c>
      <c r="BC82" s="662">
        <f t="shared" si="165"/>
        <v>4112828470</v>
      </c>
      <c r="BD82" s="662">
        <f t="shared" si="165"/>
        <v>4247841922</v>
      </c>
      <c r="BE82" s="662">
        <f t="shared" si="165"/>
        <v>4112828470</v>
      </c>
      <c r="BF82" s="661">
        <f t="shared" ref="BF82:DN82" si="166">+BF16+BF23+BF30+BF37+BF44+BF51+BF58+BF65+BF72+BF79</f>
        <v>5709038000</v>
      </c>
      <c r="BG82" s="661">
        <f t="shared" si="166"/>
        <v>0</v>
      </c>
      <c r="BH82" s="661">
        <f t="shared" si="166"/>
        <v>0</v>
      </c>
      <c r="BI82" s="661">
        <f t="shared" si="166"/>
        <v>0</v>
      </c>
      <c r="BJ82" s="661">
        <f t="shared" si="166"/>
        <v>0</v>
      </c>
      <c r="BK82" s="661">
        <f t="shared" si="166"/>
        <v>0</v>
      </c>
      <c r="BL82" s="661">
        <f t="shared" si="166"/>
        <v>0</v>
      </c>
      <c r="BM82" s="661">
        <f t="shared" si="166"/>
        <v>0</v>
      </c>
      <c r="BN82" s="661">
        <f t="shared" si="166"/>
        <v>0</v>
      </c>
      <c r="BO82" s="661">
        <f t="shared" si="166"/>
        <v>0</v>
      </c>
      <c r="BP82" s="661">
        <f t="shared" si="166"/>
        <v>0</v>
      </c>
      <c r="BQ82" s="661">
        <f t="shared" si="166"/>
        <v>0</v>
      </c>
      <c r="BR82" s="661">
        <f t="shared" si="166"/>
        <v>0</v>
      </c>
      <c r="BS82" s="661">
        <f t="shared" si="166"/>
        <v>0</v>
      </c>
      <c r="BT82" s="661">
        <f t="shared" si="166"/>
        <v>0</v>
      </c>
      <c r="BU82" s="661">
        <f t="shared" si="166"/>
        <v>0</v>
      </c>
      <c r="BV82" s="661">
        <f t="shared" si="166"/>
        <v>0</v>
      </c>
      <c r="BW82" s="661">
        <f t="shared" si="166"/>
        <v>0</v>
      </c>
      <c r="BX82" s="661">
        <f t="shared" si="166"/>
        <v>0</v>
      </c>
      <c r="BY82" s="661">
        <f t="shared" si="166"/>
        <v>0</v>
      </c>
      <c r="BZ82" s="661">
        <f t="shared" si="166"/>
        <v>0</v>
      </c>
      <c r="CA82" s="661">
        <f t="shared" si="166"/>
        <v>0</v>
      </c>
      <c r="CB82" s="661">
        <f t="shared" si="166"/>
        <v>0</v>
      </c>
      <c r="CC82" s="661">
        <f t="shared" si="166"/>
        <v>0</v>
      </c>
      <c r="CD82" s="661">
        <f t="shared" si="166"/>
        <v>0</v>
      </c>
      <c r="CE82" s="661">
        <f t="shared" si="166"/>
        <v>0</v>
      </c>
      <c r="CF82" s="661">
        <f t="shared" si="166"/>
        <v>0</v>
      </c>
      <c r="CG82" s="661">
        <f t="shared" si="166"/>
        <v>0</v>
      </c>
      <c r="CH82" s="661">
        <f t="shared" si="166"/>
        <v>0</v>
      </c>
      <c r="CI82" s="661">
        <f t="shared" si="166"/>
        <v>0</v>
      </c>
      <c r="CJ82" s="661">
        <f t="shared" si="166"/>
        <v>6186651000</v>
      </c>
      <c r="CK82" s="661">
        <f t="shared" si="166"/>
        <v>0</v>
      </c>
      <c r="CL82" s="661">
        <f t="shared" si="166"/>
        <v>0</v>
      </c>
      <c r="CM82" s="661">
        <f t="shared" si="166"/>
        <v>0</v>
      </c>
      <c r="CN82" s="661">
        <f t="shared" si="166"/>
        <v>0</v>
      </c>
      <c r="CO82" s="661">
        <f t="shared" si="166"/>
        <v>0</v>
      </c>
      <c r="CP82" s="661">
        <f t="shared" si="166"/>
        <v>0</v>
      </c>
      <c r="CQ82" s="661">
        <f t="shared" si="166"/>
        <v>0</v>
      </c>
      <c r="CR82" s="661">
        <f t="shared" si="166"/>
        <v>0</v>
      </c>
      <c r="CS82" s="661">
        <f t="shared" si="166"/>
        <v>0</v>
      </c>
      <c r="CT82" s="661">
        <f t="shared" si="166"/>
        <v>0</v>
      </c>
      <c r="CU82" s="661">
        <f t="shared" si="166"/>
        <v>0</v>
      </c>
      <c r="CV82" s="661">
        <f t="shared" si="166"/>
        <v>0</v>
      </c>
      <c r="CW82" s="661">
        <f t="shared" si="166"/>
        <v>0</v>
      </c>
      <c r="CX82" s="661">
        <f t="shared" si="166"/>
        <v>0</v>
      </c>
      <c r="CY82" s="661">
        <f t="shared" si="166"/>
        <v>0</v>
      </c>
      <c r="CZ82" s="661">
        <f t="shared" si="166"/>
        <v>0</v>
      </c>
      <c r="DA82" s="661">
        <f t="shared" si="166"/>
        <v>0</v>
      </c>
      <c r="DB82" s="661">
        <f t="shared" si="166"/>
        <v>0</v>
      </c>
      <c r="DC82" s="661">
        <f t="shared" si="166"/>
        <v>0</v>
      </c>
      <c r="DD82" s="661">
        <f t="shared" si="166"/>
        <v>0</v>
      </c>
      <c r="DE82" s="661">
        <f t="shared" si="166"/>
        <v>0</v>
      </c>
      <c r="DF82" s="661">
        <f t="shared" si="166"/>
        <v>0</v>
      </c>
      <c r="DG82" s="661">
        <f t="shared" si="166"/>
        <v>0</v>
      </c>
      <c r="DH82" s="661">
        <f t="shared" si="166"/>
        <v>0</v>
      </c>
      <c r="DI82" s="661">
        <f t="shared" si="166"/>
        <v>0</v>
      </c>
      <c r="DJ82" s="661">
        <f t="shared" si="166"/>
        <v>0</v>
      </c>
      <c r="DK82" s="661">
        <f t="shared" si="166"/>
        <v>0</v>
      </c>
      <c r="DL82" s="661">
        <f t="shared" si="166"/>
        <v>0</v>
      </c>
      <c r="DM82" s="661">
        <f t="shared" si="166"/>
        <v>0</v>
      </c>
      <c r="DN82" s="661">
        <f t="shared" si="166"/>
        <v>2703893000</v>
      </c>
      <c r="DO82" s="661"/>
      <c r="DP82" s="661"/>
      <c r="DQ82" s="661"/>
      <c r="DR82" s="661"/>
      <c r="DS82" s="661"/>
      <c r="DT82" s="661"/>
      <c r="DU82" s="661"/>
      <c r="DV82" s="661"/>
      <c r="DW82" s="661"/>
      <c r="DX82" s="661"/>
      <c r="DY82" s="661"/>
      <c r="DZ82" s="661"/>
      <c r="EA82" s="661"/>
      <c r="EB82" s="661"/>
      <c r="EC82" s="661"/>
      <c r="ED82" s="661"/>
      <c r="EE82" s="661"/>
      <c r="EF82" s="661"/>
      <c r="EG82" s="661"/>
      <c r="EH82" s="661"/>
      <c r="EI82" s="661"/>
      <c r="EJ82" s="661"/>
      <c r="EK82" s="661"/>
      <c r="EL82" s="661"/>
      <c r="EM82" s="662"/>
      <c r="EN82" s="662"/>
      <c r="EO82" s="662"/>
      <c r="EP82" s="662"/>
      <c r="EQ82" s="662"/>
      <c r="ER82" s="1362"/>
      <c r="ES82" s="1363"/>
      <c r="ET82" s="1363"/>
      <c r="EU82" s="1363"/>
      <c r="EV82" s="1363"/>
      <c r="EW82" s="1363"/>
      <c r="EX82" s="1363"/>
      <c r="EY82" s="1363"/>
      <c r="EZ82" s="1363"/>
      <c r="FA82" s="1364"/>
    </row>
    <row r="83" spans="1:157" ht="19.149999999999999" customHeight="1" x14ac:dyDescent="0.25">
      <c r="H83" s="549"/>
      <c r="I83" s="549"/>
      <c r="J83" s="549"/>
      <c r="K83" s="549"/>
      <c r="L83" s="549"/>
      <c r="M83" s="549"/>
      <c r="N83" s="549"/>
      <c r="O83" s="549"/>
      <c r="P83" s="549"/>
      <c r="Q83" s="549"/>
      <c r="R83" s="549"/>
      <c r="S83" s="549"/>
      <c r="T83" s="549"/>
      <c r="U83" s="549"/>
      <c r="V83" s="549"/>
      <c r="W83" s="549"/>
      <c r="X83" s="549"/>
      <c r="Y83" s="549"/>
      <c r="Z83" s="549"/>
      <c r="AA83" s="549"/>
      <c r="AB83" s="549"/>
      <c r="AC83" s="549"/>
      <c r="AD83" s="549"/>
      <c r="AE83" s="549"/>
      <c r="AF83" s="549"/>
      <c r="AG83" s="549"/>
      <c r="AH83" s="549"/>
      <c r="AI83" s="549"/>
      <c r="AJ83" s="549"/>
      <c r="AK83" s="549"/>
      <c r="AL83" s="549"/>
      <c r="AM83" s="549"/>
      <c r="AN83" s="550"/>
      <c r="AO83" s="549"/>
      <c r="AP83" s="549"/>
      <c r="AQ83" s="551"/>
      <c r="AR83" s="549"/>
      <c r="AS83" s="549"/>
      <c r="AT83" s="552"/>
      <c r="AU83" s="549"/>
      <c r="AV83" s="549"/>
      <c r="AW83" s="549"/>
      <c r="AX83" s="552"/>
      <c r="AY83" s="549"/>
      <c r="AZ83" s="549"/>
      <c r="BA83" s="549"/>
      <c r="BB83" s="553"/>
      <c r="BC83" s="549"/>
      <c r="BD83" s="549"/>
      <c r="BE83" s="549"/>
      <c r="BF83" s="549"/>
      <c r="BG83" s="549"/>
      <c r="BH83" s="549"/>
      <c r="BI83" s="549"/>
      <c r="BJ83" s="549"/>
      <c r="BK83" s="549"/>
      <c r="BL83" s="549"/>
      <c r="BM83" s="549"/>
      <c r="BN83" s="549"/>
      <c r="BO83" s="549"/>
      <c r="BP83" s="549"/>
      <c r="BQ83" s="549"/>
      <c r="BR83" s="549"/>
      <c r="BS83" s="549"/>
      <c r="BT83" s="549"/>
      <c r="BU83" s="549"/>
      <c r="BV83" s="549"/>
      <c r="BW83" s="549"/>
      <c r="BX83" s="549"/>
      <c r="BY83" s="549"/>
      <c r="BZ83" s="549"/>
      <c r="CA83" s="549"/>
      <c r="CB83" s="549"/>
      <c r="CC83" s="549"/>
      <c r="CD83" s="549"/>
      <c r="CE83" s="549"/>
      <c r="CF83" s="549"/>
      <c r="CG83" s="549"/>
      <c r="CH83" s="549"/>
      <c r="CI83" s="549"/>
      <c r="CJ83" s="549"/>
      <c r="CK83" s="549"/>
      <c r="CL83" s="549"/>
      <c r="CM83" s="549"/>
      <c r="CN83" s="549"/>
      <c r="CO83" s="549"/>
      <c r="CP83" s="549"/>
      <c r="CQ83" s="549"/>
      <c r="CR83" s="549"/>
      <c r="CS83" s="549"/>
      <c r="CT83" s="549"/>
      <c r="CU83" s="549"/>
      <c r="CV83" s="549"/>
      <c r="CW83" s="549"/>
      <c r="CX83" s="549"/>
      <c r="CY83" s="549"/>
      <c r="CZ83" s="549"/>
      <c r="DA83" s="549"/>
      <c r="DB83" s="549"/>
      <c r="DC83" s="549"/>
      <c r="DD83" s="549"/>
      <c r="DE83" s="549"/>
      <c r="DF83" s="549"/>
      <c r="DG83" s="549"/>
      <c r="DH83" s="549"/>
      <c r="DI83" s="549"/>
      <c r="DJ83" s="549"/>
      <c r="DK83" s="549"/>
      <c r="DL83" s="549"/>
      <c r="DM83" s="549"/>
      <c r="DN83" s="549"/>
      <c r="DO83" s="549"/>
      <c r="DP83" s="549"/>
      <c r="DQ83" s="549"/>
      <c r="DR83" s="549"/>
      <c r="DS83" s="549"/>
      <c r="DT83" s="549"/>
      <c r="DU83" s="549"/>
      <c r="DV83" s="549"/>
      <c r="DW83" s="549"/>
      <c r="DX83" s="549"/>
      <c r="DY83" s="549"/>
      <c r="DZ83" s="549"/>
      <c r="EA83" s="549"/>
      <c r="EB83" s="549"/>
      <c r="EC83" s="549"/>
      <c r="ED83" s="549"/>
      <c r="EE83" s="549"/>
      <c r="EF83" s="549"/>
      <c r="EW83" s="522"/>
      <c r="EX83" s="522"/>
      <c r="EY83" s="522"/>
    </row>
    <row r="84" spans="1:157" ht="19.149999999999999" customHeight="1" x14ac:dyDescent="0.25">
      <c r="H84" s="549"/>
      <c r="I84" s="549"/>
      <c r="J84" s="549"/>
      <c r="K84" s="549"/>
      <c r="L84" s="549"/>
      <c r="M84" s="549"/>
      <c r="N84" s="549"/>
      <c r="O84" s="549"/>
      <c r="P84" s="549"/>
      <c r="Q84" s="549"/>
      <c r="R84" s="549"/>
      <c r="S84" s="549"/>
      <c r="T84" s="549"/>
      <c r="U84" s="549"/>
      <c r="V84" s="549"/>
      <c r="W84" s="549"/>
      <c r="X84" s="549"/>
      <c r="Y84" s="549"/>
      <c r="Z84" s="549"/>
      <c r="AA84" s="549"/>
      <c r="AB84" s="549"/>
      <c r="AC84" s="549"/>
      <c r="AD84" s="549"/>
      <c r="AE84" s="549"/>
      <c r="AF84" s="549"/>
      <c r="AG84" s="549"/>
      <c r="AH84" s="549"/>
      <c r="AI84" s="549"/>
      <c r="AJ84" s="549"/>
      <c r="AK84" s="549"/>
      <c r="AL84" s="549"/>
      <c r="AM84" s="551"/>
      <c r="AN84" s="551"/>
      <c r="AO84" s="549"/>
      <c r="AP84" s="549"/>
      <c r="AQ84" s="551"/>
      <c r="AR84" s="555"/>
      <c r="AS84" s="549"/>
      <c r="AT84" s="552"/>
      <c r="AU84" s="549"/>
      <c r="AV84" s="549"/>
      <c r="AW84" s="549"/>
      <c r="AX84" s="552"/>
      <c r="AY84" s="549"/>
      <c r="AZ84" s="549"/>
      <c r="BA84" s="549"/>
      <c r="BB84" s="553"/>
      <c r="BC84" s="549"/>
      <c r="BD84" s="553"/>
      <c r="BE84" s="549"/>
      <c r="BF84" s="549"/>
      <c r="BG84" s="549"/>
      <c r="BH84" s="549"/>
      <c r="BI84" s="549"/>
      <c r="BJ84" s="549"/>
      <c r="BK84" s="549"/>
      <c r="BL84" s="549"/>
      <c r="BM84" s="549"/>
      <c r="BN84" s="549"/>
      <c r="BO84" s="549"/>
      <c r="BP84" s="549"/>
      <c r="BQ84" s="549"/>
      <c r="BR84" s="549"/>
      <c r="BS84" s="549"/>
      <c r="BT84" s="549"/>
      <c r="BU84" s="549"/>
      <c r="BV84" s="549"/>
      <c r="BW84" s="549"/>
      <c r="BX84" s="549"/>
      <c r="BY84" s="549"/>
      <c r="BZ84" s="549"/>
      <c r="CA84" s="549"/>
      <c r="CB84" s="549"/>
      <c r="CC84" s="549"/>
      <c r="CD84" s="549"/>
      <c r="CE84" s="549"/>
      <c r="CF84" s="549"/>
      <c r="CG84" s="549"/>
      <c r="CH84" s="549"/>
      <c r="CI84" s="549"/>
      <c r="CJ84" s="549"/>
      <c r="CK84" s="549"/>
      <c r="CL84" s="549"/>
      <c r="CM84" s="549"/>
      <c r="CN84" s="549"/>
      <c r="CO84" s="549"/>
      <c r="CP84" s="549"/>
      <c r="CQ84" s="549"/>
      <c r="CR84" s="549"/>
      <c r="CS84" s="549"/>
      <c r="CT84" s="549"/>
      <c r="CU84" s="549"/>
      <c r="CV84" s="549"/>
      <c r="CW84" s="549"/>
      <c r="CX84" s="549"/>
      <c r="CY84" s="549"/>
      <c r="CZ84" s="549"/>
      <c r="DA84" s="549"/>
      <c r="DB84" s="549"/>
      <c r="DC84" s="549"/>
      <c r="DD84" s="549"/>
      <c r="DE84" s="549"/>
      <c r="DF84" s="549"/>
      <c r="DG84" s="549"/>
      <c r="DH84" s="549"/>
      <c r="DI84" s="549"/>
      <c r="DJ84" s="549"/>
      <c r="DK84" s="549"/>
      <c r="DL84" s="549"/>
      <c r="DM84" s="549"/>
      <c r="DN84" s="549"/>
      <c r="DO84" s="549"/>
      <c r="DP84" s="549"/>
      <c r="DQ84" s="549"/>
      <c r="DR84" s="549"/>
      <c r="DS84" s="549"/>
      <c r="DT84" s="549"/>
      <c r="DU84" s="549"/>
      <c r="DV84" s="549"/>
      <c r="DW84" s="549"/>
      <c r="DX84" s="549"/>
      <c r="DY84" s="549"/>
      <c r="DZ84" s="549"/>
      <c r="EA84" s="549"/>
      <c r="EB84" s="549"/>
      <c r="EC84" s="549"/>
      <c r="ED84" s="549"/>
      <c r="EE84" s="549"/>
      <c r="EF84" s="549"/>
      <c r="EW84" s="522"/>
      <c r="EX84" s="522"/>
      <c r="EY84" s="522"/>
    </row>
    <row r="85" spans="1:157" ht="19.149999999999999" customHeight="1" x14ac:dyDescent="0.35">
      <c r="F85" s="556" t="s">
        <v>35</v>
      </c>
      <c r="G85" s="557"/>
      <c r="H85" s="557"/>
      <c r="I85" s="557"/>
      <c r="J85" s="557"/>
      <c r="K85" s="558"/>
      <c r="L85" s="558"/>
      <c r="M85" s="558"/>
      <c r="N85" s="558"/>
      <c r="O85" s="558"/>
      <c r="P85" s="558"/>
      <c r="Q85" s="558"/>
      <c r="R85" s="558"/>
      <c r="S85" s="558"/>
      <c r="T85" s="558"/>
      <c r="U85" s="558"/>
      <c r="V85" s="554"/>
      <c r="W85" s="554"/>
      <c r="X85" s="554"/>
      <c r="Y85" s="554"/>
      <c r="Z85" s="554"/>
      <c r="AA85" s="559"/>
      <c r="AB85" s="560"/>
      <c r="AC85" s="561"/>
      <c r="AD85" s="554"/>
      <c r="AE85" s="560"/>
      <c r="AF85" s="554"/>
      <c r="AG85" s="554"/>
      <c r="AH85" s="554"/>
      <c r="AI85" s="554"/>
      <c r="AJ85" s="554"/>
      <c r="AK85" s="554"/>
      <c r="AL85" s="554"/>
      <c r="AM85" s="554"/>
      <c r="AN85" s="554"/>
      <c r="AO85" s="554"/>
      <c r="AP85" s="554"/>
      <c r="AQ85" s="554"/>
      <c r="AR85" s="554"/>
      <c r="AS85" s="554"/>
      <c r="AT85" s="562"/>
      <c r="AU85" s="554"/>
      <c r="AV85" s="554"/>
      <c r="AW85" s="554"/>
      <c r="AX85" s="563"/>
      <c r="AY85" s="564"/>
      <c r="AZ85" s="564"/>
      <c r="BA85" s="564"/>
      <c r="BB85" s="564"/>
      <c r="BC85" s="564"/>
      <c r="BD85" s="564"/>
      <c r="BE85" s="564"/>
      <c r="BF85" s="564"/>
      <c r="BG85" s="564"/>
      <c r="BH85" s="564"/>
      <c r="BI85" s="564"/>
      <c r="BW85" s="522"/>
      <c r="BX85" s="522"/>
      <c r="BY85" s="522"/>
      <c r="BZ85" s="522"/>
      <c r="CA85" s="522"/>
      <c r="CB85" s="522"/>
      <c r="CC85" s="522"/>
      <c r="CD85" s="522"/>
      <c r="CE85" s="522"/>
      <c r="CF85" s="522"/>
      <c r="CG85" s="522"/>
      <c r="CH85" s="522"/>
      <c r="CI85" s="522"/>
      <c r="EW85" s="522"/>
      <c r="EX85" s="522"/>
      <c r="EY85" s="522"/>
    </row>
    <row r="86" spans="1:157" ht="19.149999999999999" customHeight="1" x14ac:dyDescent="0.25">
      <c r="F86" s="565" t="s">
        <v>36</v>
      </c>
      <c r="G86" s="730" t="s">
        <v>37</v>
      </c>
      <c r="H86" s="730"/>
      <c r="I86" s="730"/>
      <c r="J86" s="730"/>
      <c r="K86" s="730"/>
      <c r="L86" s="730"/>
      <c r="M86" s="731" t="s">
        <v>38</v>
      </c>
      <c r="N86" s="731"/>
      <c r="O86" s="731"/>
      <c r="P86" s="731"/>
      <c r="Q86" s="731"/>
      <c r="R86" s="731"/>
      <c r="S86" s="731"/>
      <c r="T86" s="731"/>
      <c r="U86" s="731"/>
      <c r="V86" s="558"/>
      <c r="W86" s="558"/>
      <c r="X86" s="558"/>
      <c r="Y86" s="558"/>
      <c r="Z86" s="558"/>
      <c r="AA86" s="558"/>
      <c r="AB86" s="566"/>
      <c r="AC86" s="558"/>
      <c r="AD86" s="558"/>
      <c r="AE86" s="558"/>
      <c r="AF86" s="558"/>
      <c r="AG86" s="558"/>
      <c r="AH86" s="558"/>
      <c r="AI86" s="558"/>
      <c r="AJ86" s="558"/>
      <c r="AK86" s="558"/>
      <c r="AL86" s="558"/>
      <c r="AM86" s="558"/>
      <c r="AN86" s="558"/>
      <c r="AO86" s="558"/>
      <c r="AP86" s="558"/>
      <c r="AQ86" s="558"/>
      <c r="AR86" s="558"/>
      <c r="AS86" s="558"/>
      <c r="AT86" s="562"/>
      <c r="AU86" s="558"/>
      <c r="AV86" s="554"/>
      <c r="AW86" s="558"/>
      <c r="AX86" s="562"/>
      <c r="AY86" s="558"/>
      <c r="AZ86" s="664"/>
      <c r="BA86" s="558"/>
      <c r="BB86" s="558"/>
      <c r="BC86" s="558"/>
      <c r="BD86" s="558"/>
      <c r="BE86" s="558"/>
      <c r="BF86" s="558"/>
      <c r="BG86" s="558"/>
      <c r="BH86" s="558"/>
      <c r="BI86" s="558"/>
      <c r="EW86" s="522"/>
      <c r="EX86" s="522"/>
      <c r="EY86" s="522"/>
    </row>
    <row r="87" spans="1:157" ht="19.149999999999999" customHeight="1" x14ac:dyDescent="0.25">
      <c r="F87" s="567">
        <v>13</v>
      </c>
      <c r="G87" s="718" t="s">
        <v>82</v>
      </c>
      <c r="H87" s="718"/>
      <c r="I87" s="718"/>
      <c r="J87" s="718"/>
      <c r="K87" s="718"/>
      <c r="L87" s="718"/>
      <c r="M87" s="719" t="s">
        <v>83</v>
      </c>
      <c r="N87" s="719"/>
      <c r="O87" s="719"/>
      <c r="P87" s="719"/>
      <c r="Q87" s="719"/>
      <c r="R87" s="719"/>
      <c r="S87" s="719"/>
      <c r="T87" s="719"/>
      <c r="U87" s="719"/>
      <c r="V87" s="558"/>
      <c r="W87" s="558"/>
      <c r="X87" s="558"/>
      <c r="Y87" s="558"/>
      <c r="Z87" s="558"/>
      <c r="AA87" s="720"/>
      <c r="AB87" s="721"/>
      <c r="AC87" s="721"/>
      <c r="AD87" s="721"/>
      <c r="AE87" s="721"/>
      <c r="AF87" s="721"/>
      <c r="AG87" s="721"/>
      <c r="AH87" s="721"/>
      <c r="AI87" s="721"/>
      <c r="AJ87" s="721"/>
      <c r="AK87" s="721"/>
      <c r="AL87" s="721"/>
      <c r="AM87" s="721"/>
      <c r="AN87" s="721"/>
      <c r="AO87" s="721"/>
      <c r="AP87" s="721"/>
      <c r="AQ87" s="721"/>
      <c r="AR87" s="721"/>
      <c r="AS87" s="721"/>
      <c r="AT87" s="721"/>
      <c r="AU87" s="721"/>
      <c r="AV87" s="722"/>
      <c r="AW87" s="721"/>
      <c r="AX87" s="721"/>
      <c r="AY87" s="721"/>
      <c r="AZ87" s="721"/>
      <c r="BA87" s="721"/>
      <c r="BB87" s="721"/>
      <c r="BC87" s="721"/>
      <c r="BD87" s="721"/>
      <c r="BE87" s="721"/>
      <c r="BF87" s="721"/>
      <c r="BG87" s="721"/>
      <c r="BH87" s="721"/>
      <c r="BI87" s="721"/>
      <c r="EW87" s="522"/>
      <c r="EX87" s="522"/>
      <c r="EY87" s="522"/>
    </row>
    <row r="88" spans="1:157" ht="19.149999999999999" customHeight="1" x14ac:dyDescent="0.25">
      <c r="F88" s="567">
        <v>14</v>
      </c>
      <c r="G88" s="718" t="s">
        <v>875</v>
      </c>
      <c r="H88" s="718"/>
      <c r="I88" s="718"/>
      <c r="J88" s="718"/>
      <c r="K88" s="718"/>
      <c r="L88" s="718"/>
      <c r="M88" s="719" t="s">
        <v>876</v>
      </c>
      <c r="N88" s="719"/>
      <c r="O88" s="719"/>
      <c r="P88" s="719"/>
      <c r="Q88" s="719"/>
      <c r="R88" s="719"/>
      <c r="S88" s="719"/>
      <c r="T88" s="719"/>
      <c r="U88" s="719"/>
      <c r="V88" s="558"/>
      <c r="W88" s="558"/>
      <c r="X88" s="558"/>
      <c r="Y88" s="558"/>
      <c r="Z88" s="558"/>
      <c r="AA88" s="558"/>
      <c r="AB88" s="558"/>
      <c r="AC88" s="558"/>
      <c r="AD88" s="558"/>
      <c r="AE88" s="558"/>
      <c r="AF88" s="558"/>
      <c r="AG88" s="558"/>
      <c r="AH88" s="558"/>
      <c r="AI88" s="558"/>
      <c r="AJ88" s="558"/>
      <c r="AK88" s="558"/>
      <c r="AL88" s="558"/>
      <c r="AM88" s="558"/>
      <c r="AN88" s="558"/>
      <c r="AO88" s="558"/>
      <c r="AP88" s="558"/>
      <c r="AQ88" s="558"/>
      <c r="AR88" s="558"/>
      <c r="AS88" s="558"/>
      <c r="AT88" s="562"/>
      <c r="AU88" s="558"/>
      <c r="AV88" s="554"/>
      <c r="AW88" s="558"/>
      <c r="AX88" s="562"/>
      <c r="AY88" s="558"/>
      <c r="AZ88" s="664"/>
      <c r="BA88" s="558"/>
      <c r="BB88" s="558"/>
      <c r="BC88" s="558"/>
      <c r="BD88" s="558"/>
      <c r="BE88" s="558"/>
      <c r="BF88" s="558"/>
      <c r="BG88" s="558"/>
      <c r="BH88" s="558"/>
      <c r="BI88" s="558"/>
      <c r="EW88" s="522"/>
      <c r="EX88" s="522"/>
      <c r="EY88" s="522"/>
    </row>
    <row r="89" spans="1:157" ht="19.149999999999999" customHeight="1" x14ac:dyDescent="0.25">
      <c r="AH89" s="568"/>
      <c r="AI89" s="568"/>
      <c r="AJ89" s="568"/>
      <c r="AK89" s="568"/>
      <c r="AL89" s="568"/>
      <c r="AM89" s="568"/>
      <c r="AN89" s="569"/>
      <c r="AO89" s="568"/>
      <c r="AP89" s="568"/>
      <c r="AQ89" s="568"/>
      <c r="AR89" s="568"/>
      <c r="AS89" s="568"/>
      <c r="AT89" s="570"/>
      <c r="AU89" s="568"/>
      <c r="AV89" s="568"/>
      <c r="AW89" s="568"/>
      <c r="AX89" s="570"/>
      <c r="AZ89" s="528"/>
      <c r="BF89" s="571"/>
      <c r="BG89" s="572"/>
      <c r="BH89" s="572"/>
      <c r="BI89" s="572"/>
      <c r="BJ89" s="572"/>
      <c r="BK89" s="572"/>
      <c r="BL89" s="572"/>
      <c r="BM89" s="572"/>
      <c r="BN89" s="572"/>
      <c r="BO89" s="572"/>
      <c r="BP89" s="572"/>
      <c r="BQ89" s="572"/>
      <c r="BR89" s="572"/>
      <c r="BS89" s="572"/>
      <c r="BT89" s="572"/>
      <c r="BU89" s="572"/>
      <c r="BV89" s="572"/>
      <c r="BW89" s="572"/>
      <c r="BX89" s="572"/>
      <c r="BY89" s="572"/>
      <c r="BZ89" s="572"/>
      <c r="CA89" s="572"/>
      <c r="CB89" s="572"/>
      <c r="CC89" s="572"/>
      <c r="CD89" s="572"/>
      <c r="CE89" s="572"/>
      <c r="CF89" s="572"/>
      <c r="CG89" s="572"/>
      <c r="CH89" s="572"/>
      <c r="CI89" s="572"/>
      <c r="CJ89" s="573"/>
      <c r="CK89" s="573"/>
      <c r="CL89" s="573"/>
      <c r="CM89" s="573"/>
      <c r="CN89" s="573"/>
      <c r="CO89" s="573"/>
      <c r="CP89" s="573"/>
      <c r="CQ89" s="573"/>
      <c r="CR89" s="573"/>
      <c r="CS89" s="573"/>
      <c r="CT89" s="573"/>
      <c r="CU89" s="573"/>
      <c r="CV89" s="573"/>
      <c r="CW89" s="573"/>
      <c r="CX89" s="573"/>
      <c r="CY89" s="573"/>
      <c r="CZ89" s="573"/>
      <c r="DA89" s="573"/>
      <c r="DB89" s="573"/>
      <c r="DC89" s="573"/>
      <c r="DD89" s="573"/>
      <c r="DE89" s="573"/>
      <c r="DF89" s="573"/>
      <c r="DG89" s="573"/>
      <c r="DH89" s="573"/>
      <c r="DI89" s="572"/>
      <c r="DJ89" s="572"/>
      <c r="DK89" s="572"/>
      <c r="DL89" s="572"/>
      <c r="DM89" s="572"/>
      <c r="DN89" s="572"/>
      <c r="DO89" s="572"/>
      <c r="DP89" s="572"/>
      <c r="DQ89" s="572"/>
      <c r="DR89" s="572"/>
      <c r="DS89" s="572"/>
      <c r="DT89" s="572"/>
      <c r="DU89" s="572"/>
      <c r="DV89" s="572"/>
      <c r="DW89" s="572"/>
      <c r="DX89" s="572"/>
      <c r="DY89" s="572"/>
      <c r="DZ89" s="572"/>
      <c r="EA89" s="572"/>
      <c r="EB89" s="572"/>
      <c r="EC89" s="572"/>
      <c r="ED89" s="572"/>
      <c r="EE89" s="572"/>
      <c r="EF89" s="572"/>
      <c r="EW89" s="522"/>
      <c r="EX89" s="522"/>
      <c r="EY89" s="522"/>
    </row>
    <row r="90" spans="1:157" ht="19.149999999999999" customHeight="1" x14ac:dyDescent="0.25">
      <c r="AP90" s="528"/>
      <c r="AZ90" s="528"/>
      <c r="BF90" s="575"/>
      <c r="BG90" s="572"/>
      <c r="BH90" s="572"/>
      <c r="BI90" s="572"/>
      <c r="BJ90" s="572"/>
      <c r="BK90" s="572"/>
      <c r="BL90" s="572"/>
      <c r="BM90" s="572"/>
      <c r="BN90" s="572"/>
      <c r="BO90" s="572"/>
      <c r="BP90" s="572"/>
      <c r="BQ90" s="572"/>
      <c r="BR90" s="572"/>
      <c r="BS90" s="572"/>
      <c r="BT90" s="572"/>
      <c r="BU90" s="572"/>
      <c r="BV90" s="572"/>
      <c r="BW90" s="572"/>
      <c r="BX90" s="572"/>
      <c r="BY90" s="572"/>
      <c r="BZ90" s="572"/>
      <c r="CA90" s="572"/>
      <c r="CB90" s="572"/>
      <c r="CC90" s="572"/>
      <c r="CD90" s="572"/>
      <c r="CE90" s="572"/>
      <c r="CF90" s="572"/>
      <c r="CG90" s="572"/>
      <c r="CH90" s="572"/>
      <c r="CI90" s="572"/>
      <c r="CJ90" s="573"/>
      <c r="CK90" s="573"/>
      <c r="CL90" s="573"/>
      <c r="CM90" s="573"/>
      <c r="CN90" s="573"/>
      <c r="CO90" s="573"/>
      <c r="CP90" s="573"/>
      <c r="CQ90" s="573"/>
      <c r="CR90" s="573"/>
      <c r="CS90" s="573"/>
      <c r="CT90" s="573"/>
      <c r="CU90" s="573"/>
      <c r="CV90" s="573"/>
      <c r="CW90" s="573"/>
      <c r="CX90" s="573"/>
      <c r="CY90" s="573"/>
      <c r="CZ90" s="573"/>
      <c r="DA90" s="573"/>
      <c r="DB90" s="573"/>
      <c r="DC90" s="573"/>
      <c r="DD90" s="573"/>
      <c r="DE90" s="573"/>
      <c r="DF90" s="573"/>
      <c r="DG90" s="573"/>
      <c r="DH90" s="573"/>
      <c r="DI90" s="572"/>
      <c r="DJ90" s="572"/>
      <c r="DK90" s="572"/>
      <c r="DL90" s="572"/>
      <c r="DM90" s="572"/>
      <c r="DN90" s="572"/>
      <c r="DO90" s="572"/>
      <c r="DP90" s="572"/>
      <c r="DQ90" s="572"/>
      <c r="DR90" s="572"/>
      <c r="DS90" s="572"/>
      <c r="DT90" s="572"/>
      <c r="DU90" s="572"/>
      <c r="DV90" s="572"/>
      <c r="DW90" s="572"/>
      <c r="DX90" s="572"/>
      <c r="DY90" s="572"/>
      <c r="DZ90" s="572"/>
      <c r="EA90" s="572"/>
      <c r="EB90" s="572"/>
      <c r="EC90" s="572"/>
      <c r="ED90" s="572"/>
      <c r="EE90" s="572"/>
      <c r="EF90" s="572"/>
      <c r="EW90" s="522"/>
      <c r="EX90" s="522"/>
      <c r="EY90" s="522"/>
    </row>
    <row r="91" spans="1:157" ht="19.149999999999999" customHeight="1" x14ac:dyDescent="0.25">
      <c r="G91" s="576"/>
      <c r="AP91" s="528"/>
      <c r="AZ91" s="528"/>
      <c r="BA91" s="577"/>
      <c r="BF91" s="572"/>
      <c r="BG91" s="572"/>
      <c r="BH91" s="572"/>
      <c r="BI91" s="572"/>
      <c r="BJ91" s="572"/>
      <c r="BK91" s="572"/>
      <c r="BL91" s="572"/>
      <c r="BM91" s="572"/>
      <c r="BN91" s="572"/>
      <c r="BO91" s="572"/>
      <c r="BP91" s="572"/>
      <c r="BQ91" s="572"/>
      <c r="BR91" s="572"/>
      <c r="BS91" s="572"/>
      <c r="BT91" s="572"/>
      <c r="BU91" s="572"/>
      <c r="BV91" s="572"/>
      <c r="BW91" s="572"/>
      <c r="BX91" s="572"/>
      <c r="BY91" s="572"/>
      <c r="BZ91" s="572"/>
      <c r="CA91" s="572"/>
      <c r="CB91" s="572"/>
      <c r="CC91" s="572"/>
      <c r="CD91" s="572"/>
      <c r="CE91" s="572"/>
      <c r="CF91" s="572"/>
      <c r="CG91" s="572"/>
      <c r="CH91" s="572"/>
      <c r="CI91" s="572"/>
      <c r="CJ91" s="573"/>
      <c r="CK91" s="573"/>
      <c r="CL91" s="573"/>
      <c r="CM91" s="573"/>
      <c r="CN91" s="573"/>
      <c r="CO91" s="573"/>
      <c r="CP91" s="573"/>
      <c r="CQ91" s="573"/>
      <c r="CR91" s="573"/>
      <c r="CS91" s="573"/>
      <c r="CT91" s="573"/>
      <c r="CU91" s="573"/>
      <c r="CV91" s="573"/>
      <c r="CW91" s="573"/>
      <c r="CX91" s="573"/>
      <c r="CY91" s="573"/>
      <c r="CZ91" s="573"/>
      <c r="DA91" s="573"/>
      <c r="DB91" s="573"/>
      <c r="DC91" s="573"/>
      <c r="DD91" s="573"/>
      <c r="DE91" s="573"/>
      <c r="DF91" s="573"/>
      <c r="DG91" s="573"/>
      <c r="DH91" s="573"/>
      <c r="DI91" s="572"/>
      <c r="DJ91" s="572"/>
      <c r="DK91" s="572"/>
      <c r="DL91" s="572"/>
      <c r="DM91" s="572"/>
      <c r="DN91" s="573"/>
      <c r="DO91" s="573"/>
      <c r="DP91" s="573"/>
      <c r="DQ91" s="573"/>
      <c r="DR91" s="573"/>
      <c r="DS91" s="573"/>
      <c r="DT91" s="573"/>
      <c r="DU91" s="573"/>
      <c r="DV91" s="573"/>
      <c r="DW91" s="573"/>
      <c r="DX91" s="573"/>
      <c r="DY91" s="573"/>
      <c r="DZ91" s="573"/>
      <c r="EA91" s="573"/>
      <c r="EB91" s="573"/>
      <c r="EC91" s="573"/>
      <c r="ED91" s="573"/>
      <c r="EE91" s="573"/>
      <c r="EF91" s="573"/>
      <c r="EW91" s="522"/>
      <c r="EX91" s="522"/>
      <c r="EY91" s="522"/>
    </row>
    <row r="92" spans="1:157" ht="19.149999999999999" customHeight="1" x14ac:dyDescent="0.25">
      <c r="AP92" s="528"/>
      <c r="AZ92" s="528"/>
      <c r="BF92" s="578"/>
      <c r="BG92" s="572"/>
      <c r="BH92" s="572"/>
      <c r="BI92" s="572"/>
      <c r="BJ92" s="572"/>
      <c r="BK92" s="572"/>
      <c r="BL92" s="572"/>
      <c r="BM92" s="572"/>
      <c r="BN92" s="572"/>
      <c r="BO92" s="572"/>
      <c r="BP92" s="572"/>
      <c r="BQ92" s="572"/>
      <c r="BR92" s="572"/>
      <c r="BS92" s="572"/>
      <c r="BT92" s="572"/>
      <c r="BU92" s="572"/>
      <c r="BV92" s="572"/>
      <c r="BW92" s="572"/>
      <c r="BX92" s="572"/>
      <c r="BY92" s="572"/>
      <c r="BZ92" s="572"/>
      <c r="CA92" s="572"/>
      <c r="CB92" s="572"/>
      <c r="CC92" s="572"/>
      <c r="CD92" s="572"/>
      <c r="CE92" s="572"/>
      <c r="CF92" s="572"/>
      <c r="CG92" s="572"/>
      <c r="CH92" s="572"/>
      <c r="CI92" s="572"/>
      <c r="CJ92" s="573"/>
      <c r="CK92" s="573"/>
      <c r="CL92" s="573"/>
      <c r="CM92" s="573"/>
      <c r="CN92" s="573"/>
      <c r="CO92" s="573"/>
      <c r="CP92" s="573"/>
      <c r="CQ92" s="573"/>
      <c r="CR92" s="573"/>
      <c r="CS92" s="573"/>
      <c r="CT92" s="573"/>
      <c r="CU92" s="573"/>
      <c r="CV92" s="573"/>
      <c r="CW92" s="573"/>
      <c r="CX92" s="573"/>
      <c r="CY92" s="573"/>
      <c r="CZ92" s="573"/>
      <c r="DA92" s="573"/>
      <c r="DB92" s="573"/>
      <c r="DC92" s="573"/>
      <c r="DD92" s="573"/>
      <c r="DE92" s="573"/>
      <c r="DF92" s="573"/>
      <c r="DG92" s="573"/>
      <c r="DH92" s="573"/>
      <c r="DI92" s="572"/>
      <c r="DJ92" s="572"/>
      <c r="DK92" s="572"/>
      <c r="DL92" s="572"/>
      <c r="DM92" s="572"/>
      <c r="DN92" s="572"/>
      <c r="DO92" s="572"/>
      <c r="DP92" s="572"/>
      <c r="DQ92" s="572"/>
      <c r="DR92" s="572"/>
      <c r="DS92" s="572"/>
      <c r="DT92" s="572"/>
      <c r="DU92" s="572"/>
      <c r="DV92" s="572"/>
      <c r="DW92" s="572"/>
      <c r="DX92" s="572"/>
      <c r="DY92" s="572"/>
      <c r="DZ92" s="572"/>
      <c r="EA92" s="572"/>
      <c r="EB92" s="572"/>
      <c r="EC92" s="572"/>
      <c r="ED92" s="572"/>
      <c r="EE92" s="572"/>
      <c r="EF92" s="572"/>
      <c r="EW92" s="522"/>
      <c r="EX92" s="522"/>
      <c r="EY92" s="522"/>
    </row>
    <row r="93" spans="1:157" ht="19.149999999999999" customHeight="1" x14ac:dyDescent="0.25">
      <c r="G93" s="576"/>
      <c r="Q93" s="576"/>
      <c r="AP93" s="528"/>
      <c r="AZ93" s="528"/>
      <c r="EW93" s="522"/>
      <c r="EX93" s="522"/>
      <c r="EY93" s="522"/>
    </row>
    <row r="94" spans="1:157" ht="19.149999999999999" customHeight="1" x14ac:dyDescent="0.25">
      <c r="AP94" s="528"/>
      <c r="AZ94" s="528"/>
      <c r="BF94" s="568"/>
      <c r="CJ94" s="579"/>
      <c r="CK94" s="579"/>
      <c r="CL94" s="579"/>
      <c r="CM94" s="579"/>
      <c r="CN94" s="579"/>
      <c r="CO94" s="579"/>
      <c r="CP94" s="579"/>
      <c r="CQ94" s="579"/>
      <c r="CR94" s="579"/>
      <c r="CS94" s="579"/>
      <c r="CT94" s="579"/>
      <c r="CU94" s="579"/>
      <c r="CV94" s="579"/>
      <c r="CW94" s="579"/>
      <c r="CX94" s="579"/>
      <c r="CY94" s="579"/>
      <c r="CZ94" s="579"/>
      <c r="DA94" s="579"/>
      <c r="DB94" s="579"/>
      <c r="DC94" s="579"/>
      <c r="DD94" s="579"/>
      <c r="DE94" s="579"/>
      <c r="DF94" s="579"/>
      <c r="DG94" s="579"/>
      <c r="DH94" s="579"/>
      <c r="EW94" s="522"/>
      <c r="EX94" s="522"/>
      <c r="EY94" s="522"/>
    </row>
    <row r="95" spans="1:157" ht="19.149999999999999" customHeight="1" x14ac:dyDescent="0.25">
      <c r="AP95" s="528"/>
      <c r="AZ95" s="528"/>
      <c r="EW95" s="522"/>
      <c r="EX95" s="522"/>
      <c r="EY95" s="522"/>
    </row>
    <row r="96" spans="1:157" ht="19.149999999999999" customHeight="1" x14ac:dyDescent="0.25">
      <c r="AP96" s="528"/>
      <c r="AZ96" s="528"/>
      <c r="BF96" s="568"/>
      <c r="CJ96" s="568"/>
      <c r="CK96" s="568"/>
      <c r="CL96" s="568"/>
      <c r="CM96" s="568"/>
      <c r="CN96" s="568"/>
      <c r="CO96" s="568"/>
      <c r="CP96" s="568"/>
      <c r="CQ96" s="568"/>
      <c r="CR96" s="568"/>
      <c r="CS96" s="568"/>
      <c r="CT96" s="568"/>
      <c r="CU96" s="568"/>
      <c r="CV96" s="568"/>
      <c r="CW96" s="568"/>
      <c r="CX96" s="568"/>
      <c r="CY96" s="568"/>
      <c r="CZ96" s="568"/>
      <c r="DA96" s="568"/>
      <c r="DB96" s="568"/>
      <c r="DC96" s="568"/>
      <c r="DD96" s="568"/>
      <c r="DE96" s="568"/>
      <c r="DF96" s="568"/>
      <c r="DG96" s="568"/>
      <c r="DH96" s="568"/>
      <c r="EW96" s="522"/>
      <c r="EX96" s="522"/>
      <c r="EY96" s="522"/>
    </row>
    <row r="97" spans="40:155" ht="19.149999999999999" customHeight="1" x14ac:dyDescent="0.25">
      <c r="AP97" s="528"/>
      <c r="AZ97" s="528"/>
      <c r="EW97" s="522"/>
      <c r="EX97" s="522"/>
      <c r="EY97" s="522"/>
    </row>
    <row r="98" spans="40:155" ht="19.149999999999999" customHeight="1" x14ac:dyDescent="0.25">
      <c r="AP98" s="528"/>
      <c r="AZ98" s="528"/>
      <c r="EW98" s="522"/>
      <c r="EX98" s="522"/>
      <c r="EY98" s="522"/>
    </row>
    <row r="99" spans="40:155" ht="19.149999999999999" customHeight="1" x14ac:dyDescent="0.25">
      <c r="AP99" s="528"/>
      <c r="AZ99" s="528"/>
      <c r="EW99" s="522"/>
      <c r="EX99" s="522"/>
      <c r="EY99" s="522"/>
    </row>
    <row r="100" spans="40:155" ht="19.149999999999999" customHeight="1" x14ac:dyDescent="0.25">
      <c r="AP100" s="528"/>
      <c r="AZ100" s="528"/>
      <c r="EW100" s="522"/>
      <c r="EX100" s="522"/>
      <c r="EY100" s="522"/>
    </row>
    <row r="101" spans="40:155" ht="19.149999999999999" customHeight="1" x14ac:dyDescent="0.25">
      <c r="AP101" s="528"/>
      <c r="AZ101" s="528"/>
      <c r="EW101" s="522"/>
      <c r="EX101" s="522"/>
      <c r="EY101" s="522"/>
    </row>
    <row r="102" spans="40:155" ht="19.149999999999999" customHeight="1" x14ac:dyDescent="0.25">
      <c r="AP102" s="528"/>
      <c r="AZ102" s="528"/>
      <c r="EW102" s="522"/>
      <c r="EX102" s="522"/>
      <c r="EY102" s="522"/>
    </row>
    <row r="103" spans="40:155" ht="19.149999999999999" customHeight="1" x14ac:dyDescent="0.25">
      <c r="AN103" s="580"/>
      <c r="AO103" s="572"/>
      <c r="AP103" s="572"/>
      <c r="AQ103" s="572"/>
      <c r="AR103" s="572"/>
      <c r="AS103" s="572"/>
      <c r="AT103" s="581"/>
      <c r="AU103" s="572"/>
      <c r="AV103" s="572"/>
      <c r="AW103" s="572"/>
      <c r="AX103" s="581"/>
      <c r="AY103" s="572"/>
      <c r="AZ103" s="572"/>
      <c r="BA103" s="572"/>
      <c r="EW103" s="522"/>
      <c r="EX103" s="522"/>
      <c r="EY103" s="522"/>
    </row>
    <row r="104" spans="40:155" ht="19.149999999999999" customHeight="1" x14ac:dyDescent="0.25">
      <c r="AN104" s="582"/>
      <c r="AO104" s="583"/>
      <c r="AP104" s="723"/>
      <c r="AQ104" s="723"/>
      <c r="AR104" s="724"/>
      <c r="AS104" s="724"/>
      <c r="AT104" s="724"/>
      <c r="AU104" s="724"/>
      <c r="AV104" s="724"/>
      <c r="AW104" s="724"/>
      <c r="AX104" s="581"/>
      <c r="AY104" s="572"/>
      <c r="AZ104" s="572"/>
      <c r="BA104" s="572"/>
      <c r="EW104" s="522"/>
      <c r="EX104" s="522"/>
      <c r="EY104" s="522"/>
    </row>
    <row r="105" spans="40:155" ht="19.149999999999999" customHeight="1" x14ac:dyDescent="0.25">
      <c r="AN105" s="584"/>
      <c r="AO105" s="585"/>
      <c r="AP105" s="585"/>
      <c r="AQ105" s="586"/>
      <c r="AR105" s="585"/>
      <c r="AS105" s="586"/>
      <c r="AT105" s="587"/>
      <c r="AU105" s="586"/>
      <c r="AV105" s="585"/>
      <c r="AW105" s="586"/>
      <c r="AX105" s="581"/>
      <c r="AY105" s="572"/>
      <c r="AZ105" s="572"/>
      <c r="BA105" s="572"/>
      <c r="EW105" s="522"/>
      <c r="EX105" s="522"/>
      <c r="EY105" s="522"/>
    </row>
    <row r="106" spans="40:155" ht="19.149999999999999" customHeight="1" x14ac:dyDescent="0.25">
      <c r="AN106" s="584"/>
      <c r="AO106" s="585"/>
      <c r="AP106" s="585"/>
      <c r="AQ106" s="586"/>
      <c r="AR106" s="585"/>
      <c r="AS106" s="586"/>
      <c r="AT106" s="587"/>
      <c r="AU106" s="586"/>
      <c r="AV106" s="585"/>
      <c r="AW106" s="586"/>
      <c r="AX106" s="581"/>
      <c r="AY106" s="572"/>
      <c r="AZ106" s="572"/>
      <c r="BA106" s="572"/>
      <c r="EW106" s="522"/>
      <c r="EX106" s="522"/>
      <c r="EY106" s="522"/>
    </row>
    <row r="107" spans="40:155" ht="19.149999999999999" customHeight="1" x14ac:dyDescent="0.25">
      <c r="AN107" s="584"/>
      <c r="AO107" s="585"/>
      <c r="AP107" s="585"/>
      <c r="AQ107" s="586"/>
      <c r="AR107" s="585"/>
      <c r="AS107" s="586"/>
      <c r="AT107" s="587"/>
      <c r="AU107" s="586"/>
      <c r="AV107" s="585"/>
      <c r="AW107" s="586"/>
      <c r="AX107" s="581"/>
      <c r="AY107" s="572"/>
      <c r="AZ107" s="572"/>
      <c r="BA107" s="572"/>
      <c r="EW107" s="522"/>
      <c r="EX107" s="522"/>
      <c r="EY107" s="522"/>
    </row>
    <row r="108" spans="40:155" ht="19.149999999999999" customHeight="1" x14ac:dyDescent="0.25">
      <c r="AN108" s="584"/>
      <c r="AO108" s="585"/>
      <c r="AP108" s="585"/>
      <c r="AQ108" s="586"/>
      <c r="AR108" s="585"/>
      <c r="AS108" s="586"/>
      <c r="AT108" s="587"/>
      <c r="AU108" s="586"/>
      <c r="AV108" s="585"/>
      <c r="AW108" s="586"/>
      <c r="AX108" s="581"/>
      <c r="AY108" s="572"/>
      <c r="AZ108" s="572"/>
      <c r="BA108" s="572"/>
      <c r="EW108" s="522"/>
      <c r="EX108" s="522"/>
      <c r="EY108" s="522"/>
    </row>
    <row r="109" spans="40:155" ht="19.149999999999999" customHeight="1" x14ac:dyDescent="0.25">
      <c r="AN109" s="584"/>
      <c r="AO109" s="585"/>
      <c r="AP109" s="585"/>
      <c r="AQ109" s="586"/>
      <c r="AR109" s="585"/>
      <c r="AS109" s="586"/>
      <c r="AT109" s="587"/>
      <c r="AU109" s="586"/>
      <c r="AV109" s="585"/>
      <c r="AW109" s="586"/>
      <c r="AX109" s="581"/>
      <c r="AY109" s="572"/>
      <c r="AZ109" s="572"/>
      <c r="BA109" s="572"/>
      <c r="EW109" s="522"/>
      <c r="EX109" s="522"/>
      <c r="EY109" s="522"/>
    </row>
    <row r="110" spans="40:155" ht="19.149999999999999" customHeight="1" x14ac:dyDescent="0.25">
      <c r="AN110" s="584"/>
      <c r="AO110" s="585"/>
      <c r="AP110" s="585"/>
      <c r="AQ110" s="586"/>
      <c r="AR110" s="585"/>
      <c r="AS110" s="586"/>
      <c r="AT110" s="587"/>
      <c r="AU110" s="586"/>
      <c r="AV110" s="585"/>
      <c r="AW110" s="586"/>
      <c r="AX110" s="581"/>
      <c r="AY110" s="572"/>
      <c r="AZ110" s="572"/>
      <c r="BA110" s="572"/>
      <c r="EW110" s="522"/>
      <c r="EX110" s="522"/>
      <c r="EY110" s="522"/>
    </row>
    <row r="111" spans="40:155" ht="19.149999999999999" customHeight="1" x14ac:dyDescent="0.25">
      <c r="AN111" s="584"/>
      <c r="AO111" s="585"/>
      <c r="AP111" s="585"/>
      <c r="AQ111" s="586"/>
      <c r="AR111" s="585"/>
      <c r="AS111" s="586"/>
      <c r="AT111" s="587"/>
      <c r="AU111" s="586"/>
      <c r="AV111" s="585"/>
      <c r="AW111" s="586"/>
      <c r="AX111" s="581"/>
      <c r="AY111" s="572"/>
      <c r="AZ111" s="572"/>
      <c r="BA111" s="572"/>
      <c r="EW111" s="522"/>
      <c r="EX111" s="522"/>
      <c r="EY111" s="522"/>
    </row>
    <row r="112" spans="40:155" ht="19.149999999999999" customHeight="1" x14ac:dyDescent="0.25">
      <c r="AN112" s="584"/>
      <c r="AO112" s="585"/>
      <c r="AP112" s="585"/>
      <c r="AQ112" s="586"/>
      <c r="AR112" s="585"/>
      <c r="AS112" s="586"/>
      <c r="AT112" s="587"/>
      <c r="AU112" s="586"/>
      <c r="AV112" s="585"/>
      <c r="AW112" s="586"/>
      <c r="AX112" s="581"/>
      <c r="AY112" s="572"/>
      <c r="AZ112" s="572"/>
      <c r="BA112" s="572"/>
      <c r="EW112" s="522"/>
      <c r="EX112" s="522"/>
      <c r="EY112" s="522"/>
    </row>
    <row r="113" spans="40:155" ht="19.149999999999999" customHeight="1" x14ac:dyDescent="0.25">
      <c r="AN113" s="584"/>
      <c r="AO113" s="585"/>
      <c r="AP113" s="585"/>
      <c r="AQ113" s="586"/>
      <c r="AR113" s="585"/>
      <c r="AS113" s="586"/>
      <c r="AT113" s="587"/>
      <c r="AU113" s="586"/>
      <c r="AV113" s="585"/>
      <c r="AW113" s="586"/>
      <c r="AX113" s="581"/>
      <c r="AY113" s="572"/>
      <c r="AZ113" s="572"/>
      <c r="BA113" s="572"/>
      <c r="EW113" s="522"/>
      <c r="EX113" s="522"/>
      <c r="EY113" s="522"/>
    </row>
    <row r="114" spans="40:155" ht="19.149999999999999" customHeight="1" x14ac:dyDescent="0.25">
      <c r="AN114" s="588"/>
      <c r="AO114" s="589"/>
      <c r="AP114" s="589"/>
      <c r="AQ114" s="590"/>
      <c r="AR114" s="589"/>
      <c r="AS114" s="590"/>
      <c r="AT114" s="591"/>
      <c r="AU114" s="590"/>
      <c r="AV114" s="589"/>
      <c r="AW114" s="590"/>
      <c r="AX114" s="581"/>
      <c r="AY114" s="572"/>
      <c r="AZ114" s="572"/>
      <c r="BA114" s="572"/>
      <c r="EW114" s="522"/>
      <c r="EX114" s="522"/>
      <c r="EY114" s="522"/>
    </row>
    <row r="115" spans="40:155" ht="19.149999999999999" customHeight="1" x14ac:dyDescent="0.25">
      <c r="AN115" s="580"/>
      <c r="AO115" s="572"/>
      <c r="AP115" s="572"/>
      <c r="AQ115" s="572"/>
      <c r="AR115" s="572"/>
      <c r="AS115" s="572"/>
      <c r="AT115" s="581"/>
      <c r="AU115" s="572"/>
      <c r="AV115" s="572"/>
      <c r="AW115" s="572"/>
      <c r="AX115" s="581"/>
      <c r="AY115" s="572"/>
      <c r="AZ115" s="572"/>
      <c r="BA115" s="572"/>
      <c r="EW115" s="522"/>
      <c r="EX115" s="522"/>
      <c r="EY115" s="522"/>
    </row>
    <row r="116" spans="40:155" ht="19.149999999999999" customHeight="1" x14ac:dyDescent="0.25">
      <c r="AN116" s="580"/>
      <c r="AO116" s="572"/>
      <c r="AP116" s="572"/>
      <c r="AQ116" s="572"/>
      <c r="AR116" s="572"/>
      <c r="AS116" s="572"/>
      <c r="AT116" s="581"/>
      <c r="AU116" s="572"/>
      <c r="AV116" s="572"/>
      <c r="AW116" s="572"/>
      <c r="AX116" s="581"/>
      <c r="AY116" s="572"/>
      <c r="AZ116" s="572"/>
      <c r="BA116" s="572"/>
      <c r="EW116" s="522"/>
      <c r="EX116" s="522"/>
      <c r="EY116" s="522"/>
    </row>
    <row r="117" spans="40:155" ht="19.149999999999999" customHeight="1" x14ac:dyDescent="0.25">
      <c r="AN117" s="580"/>
      <c r="AO117" s="572"/>
      <c r="AP117" s="572"/>
      <c r="AQ117" s="572"/>
      <c r="AR117" s="572"/>
      <c r="AS117" s="572"/>
      <c r="AT117" s="581"/>
      <c r="AU117" s="572"/>
      <c r="AV117" s="572"/>
      <c r="AW117" s="572"/>
      <c r="AX117" s="581"/>
      <c r="AY117" s="572"/>
      <c r="AZ117" s="572"/>
      <c r="BA117" s="572"/>
      <c r="EW117" s="522"/>
      <c r="EX117" s="522"/>
      <c r="EY117" s="522"/>
    </row>
    <row r="118" spans="40:155" ht="19.149999999999999" customHeight="1" x14ac:dyDescent="0.25">
      <c r="AN118" s="580"/>
      <c r="AO118" s="572"/>
      <c r="AP118" s="572"/>
      <c r="AQ118" s="572"/>
      <c r="AR118" s="572"/>
      <c r="AS118" s="572"/>
      <c r="AT118" s="581"/>
      <c r="AU118" s="572"/>
      <c r="AV118" s="572"/>
      <c r="AW118" s="572"/>
      <c r="AX118" s="581"/>
      <c r="AY118" s="572"/>
      <c r="AZ118" s="572"/>
      <c r="BA118" s="572"/>
      <c r="EW118" s="522"/>
      <c r="EX118" s="522"/>
      <c r="EY118" s="522"/>
    </row>
    <row r="119" spans="40:155" ht="19.149999999999999" customHeight="1" x14ac:dyDescent="0.25">
      <c r="AN119" s="580"/>
      <c r="AO119" s="572"/>
      <c r="AP119" s="572"/>
      <c r="AQ119" s="572"/>
      <c r="AR119" s="572"/>
      <c r="AS119" s="572"/>
      <c r="AT119" s="581"/>
      <c r="AU119" s="572"/>
      <c r="AV119" s="572"/>
      <c r="AW119" s="572"/>
      <c r="AX119" s="581"/>
      <c r="AY119" s="572"/>
      <c r="AZ119" s="572"/>
      <c r="BA119" s="572"/>
      <c r="EW119" s="522"/>
      <c r="EX119" s="522"/>
      <c r="EY119" s="522"/>
    </row>
    <row r="120" spans="40:155" ht="19.149999999999999" customHeight="1" x14ac:dyDescent="0.25">
      <c r="AN120" s="580"/>
      <c r="AO120" s="572"/>
      <c r="AP120" s="572"/>
      <c r="AQ120" s="572"/>
      <c r="AR120" s="572"/>
      <c r="AS120" s="572"/>
      <c r="AT120" s="581"/>
      <c r="AU120" s="572"/>
      <c r="AV120" s="572"/>
      <c r="AW120" s="572"/>
      <c r="AX120" s="581"/>
      <c r="AY120" s="572"/>
      <c r="AZ120" s="572"/>
      <c r="BA120" s="572"/>
      <c r="EW120" s="522"/>
      <c r="EX120" s="522"/>
      <c r="EY120" s="522"/>
    </row>
    <row r="121" spans="40:155" ht="19.149999999999999" customHeight="1" x14ac:dyDescent="0.25">
      <c r="AN121" s="580"/>
      <c r="AO121" s="572"/>
      <c r="AP121" s="572"/>
      <c r="AQ121" s="572"/>
      <c r="AR121" s="572"/>
      <c r="AS121" s="572"/>
      <c r="AT121" s="581"/>
      <c r="AU121" s="572"/>
      <c r="AV121" s="572"/>
      <c r="AW121" s="572"/>
      <c r="AX121" s="581"/>
      <c r="AY121" s="572"/>
      <c r="AZ121" s="572"/>
      <c r="BA121" s="572"/>
      <c r="EW121" s="522"/>
      <c r="EX121" s="522"/>
      <c r="EY121" s="522"/>
    </row>
    <row r="122" spans="40:155" ht="19.149999999999999" customHeight="1" x14ac:dyDescent="0.25">
      <c r="AN122" s="580"/>
      <c r="AO122" s="572"/>
      <c r="AP122" s="572"/>
      <c r="AQ122" s="572"/>
      <c r="AR122" s="572"/>
      <c r="AS122" s="572"/>
      <c r="AT122" s="581"/>
      <c r="AU122" s="572"/>
      <c r="AV122" s="572"/>
      <c r="AW122" s="572"/>
      <c r="AX122" s="581"/>
      <c r="AY122" s="572"/>
      <c r="AZ122" s="572"/>
      <c r="BA122" s="572"/>
      <c r="EW122" s="522"/>
      <c r="EX122" s="522"/>
      <c r="EY122" s="522"/>
    </row>
    <row r="123" spans="40:155" ht="19.149999999999999" customHeight="1" x14ac:dyDescent="0.25">
      <c r="AN123" s="580"/>
      <c r="AO123" s="572"/>
      <c r="AP123" s="572"/>
      <c r="AQ123" s="572"/>
      <c r="AR123" s="572"/>
      <c r="AS123" s="572"/>
      <c r="AT123" s="581"/>
      <c r="AU123" s="572"/>
      <c r="AV123" s="572"/>
      <c r="AW123" s="572"/>
      <c r="AX123" s="581"/>
      <c r="AY123" s="572"/>
      <c r="AZ123" s="572"/>
      <c r="BA123" s="572"/>
      <c r="EW123" s="522"/>
      <c r="EX123" s="522"/>
      <c r="EY123" s="522"/>
    </row>
    <row r="124" spans="40:155" ht="19.149999999999999" customHeight="1" x14ac:dyDescent="0.25">
      <c r="AN124" s="580"/>
      <c r="AO124" s="572"/>
      <c r="AP124" s="572"/>
      <c r="AQ124" s="572"/>
      <c r="AR124" s="572"/>
      <c r="AS124" s="572"/>
      <c r="AT124" s="581"/>
      <c r="AU124" s="572"/>
      <c r="AV124" s="572"/>
      <c r="AW124" s="572"/>
      <c r="AX124" s="581"/>
      <c r="AY124" s="572"/>
      <c r="AZ124" s="572"/>
      <c r="BA124" s="572"/>
      <c r="EW124" s="522"/>
      <c r="EX124" s="522"/>
      <c r="EY124" s="522"/>
    </row>
    <row r="125" spans="40:155" ht="19.149999999999999" customHeight="1" x14ac:dyDescent="0.25">
      <c r="AN125" s="580"/>
      <c r="AO125" s="572"/>
      <c r="AP125" s="572"/>
      <c r="AQ125" s="572"/>
      <c r="AR125" s="572"/>
      <c r="AS125" s="572"/>
      <c r="AT125" s="581"/>
      <c r="AU125" s="572"/>
      <c r="AV125" s="572"/>
      <c r="AW125" s="572"/>
      <c r="AX125" s="581"/>
      <c r="AY125" s="572"/>
      <c r="AZ125" s="572"/>
      <c r="BA125" s="572"/>
      <c r="EW125" s="522"/>
      <c r="EX125" s="522"/>
      <c r="EY125" s="522"/>
    </row>
    <row r="126" spans="40:155" ht="19.149999999999999" customHeight="1" x14ac:dyDescent="0.25">
      <c r="AN126" s="580"/>
      <c r="AO126" s="572"/>
      <c r="AP126" s="572"/>
      <c r="AQ126" s="572"/>
      <c r="AR126" s="572"/>
      <c r="AS126" s="572"/>
      <c r="AT126" s="581"/>
      <c r="AU126" s="572"/>
      <c r="AV126" s="572"/>
      <c r="AW126" s="572"/>
      <c r="AX126" s="581"/>
      <c r="AY126" s="572"/>
      <c r="AZ126" s="572"/>
      <c r="BA126" s="572"/>
      <c r="EW126" s="522"/>
      <c r="EX126" s="522"/>
      <c r="EY126" s="522"/>
    </row>
    <row r="127" spans="40:155" ht="19.149999999999999" customHeight="1" x14ac:dyDescent="0.25">
      <c r="AN127" s="580"/>
      <c r="AO127" s="572"/>
      <c r="AP127" s="572"/>
      <c r="AQ127" s="572"/>
      <c r="AR127" s="572"/>
      <c r="AS127" s="572"/>
      <c r="AT127" s="581"/>
      <c r="AU127" s="572"/>
      <c r="AV127" s="572"/>
      <c r="AW127" s="572"/>
      <c r="AX127" s="581"/>
      <c r="AY127" s="572"/>
      <c r="AZ127" s="572"/>
      <c r="BA127" s="572"/>
      <c r="EW127" s="522"/>
      <c r="EX127" s="522"/>
      <c r="EY127" s="522"/>
    </row>
    <row r="128" spans="40:155" ht="19.149999999999999" customHeight="1" x14ac:dyDescent="0.25">
      <c r="AN128" s="580"/>
      <c r="AO128" s="572"/>
      <c r="AP128" s="572"/>
      <c r="AQ128" s="572"/>
      <c r="AR128" s="572"/>
      <c r="AS128" s="572"/>
      <c r="AT128" s="581"/>
      <c r="AU128" s="572"/>
      <c r="AV128" s="572"/>
      <c r="AW128" s="572"/>
      <c r="AX128" s="581"/>
      <c r="AY128" s="572"/>
      <c r="AZ128" s="572"/>
      <c r="BA128" s="572"/>
      <c r="EW128" s="522"/>
      <c r="EX128" s="522"/>
      <c r="EY128" s="522"/>
    </row>
    <row r="129" spans="40:155" ht="19.149999999999999" customHeight="1" x14ac:dyDescent="0.25">
      <c r="AN129" s="580"/>
      <c r="AO129" s="572"/>
      <c r="AP129" s="572"/>
      <c r="AQ129" s="572"/>
      <c r="AR129" s="572"/>
      <c r="AS129" s="572"/>
      <c r="AT129" s="581"/>
      <c r="AU129" s="572"/>
      <c r="AV129" s="572"/>
      <c r="AW129" s="572"/>
      <c r="AX129" s="581"/>
      <c r="AY129" s="572"/>
      <c r="AZ129" s="572"/>
      <c r="BA129" s="572"/>
      <c r="EW129" s="522"/>
      <c r="EX129" s="522"/>
      <c r="EY129" s="522"/>
    </row>
    <row r="130" spans="40:155" ht="19.149999999999999" customHeight="1" x14ac:dyDescent="0.25">
      <c r="AN130" s="580"/>
      <c r="AO130" s="572"/>
      <c r="AP130" s="572"/>
      <c r="AQ130" s="572"/>
      <c r="AR130" s="572"/>
      <c r="AS130" s="572"/>
      <c r="AT130" s="581"/>
      <c r="AU130" s="572"/>
      <c r="AV130" s="572"/>
      <c r="AW130" s="572"/>
      <c r="AX130" s="581"/>
      <c r="AY130" s="572"/>
      <c r="AZ130" s="572"/>
      <c r="BA130" s="572"/>
      <c r="EW130" s="522"/>
      <c r="EX130" s="522"/>
      <c r="EY130" s="522"/>
    </row>
    <row r="131" spans="40:155" ht="19.149999999999999" customHeight="1" x14ac:dyDescent="0.25">
      <c r="AN131" s="580"/>
      <c r="AO131" s="572"/>
      <c r="AP131" s="572"/>
      <c r="AQ131" s="572"/>
      <c r="AR131" s="572"/>
      <c r="AS131" s="572"/>
      <c r="AT131" s="581"/>
      <c r="AU131" s="572"/>
      <c r="AV131" s="572"/>
      <c r="AW131" s="572"/>
      <c r="AX131" s="581"/>
      <c r="AY131" s="572"/>
      <c r="AZ131" s="572"/>
      <c r="BA131" s="572"/>
      <c r="EW131" s="522"/>
      <c r="EX131" s="522"/>
      <c r="EY131" s="522"/>
    </row>
    <row r="132" spans="40:155" ht="19.149999999999999" customHeight="1" x14ac:dyDescent="0.25">
      <c r="AN132" s="580"/>
      <c r="AO132" s="572"/>
      <c r="AP132" s="572"/>
      <c r="AQ132" s="572"/>
      <c r="AR132" s="572"/>
      <c r="AS132" s="572"/>
      <c r="AT132" s="581"/>
      <c r="AU132" s="572"/>
      <c r="AV132" s="572"/>
      <c r="AW132" s="572"/>
      <c r="AX132" s="581"/>
      <c r="AY132" s="572"/>
      <c r="AZ132" s="572"/>
      <c r="BA132" s="572"/>
      <c r="EW132" s="522"/>
      <c r="EX132" s="522"/>
      <c r="EY132" s="522"/>
    </row>
    <row r="133" spans="40:155" ht="19.149999999999999" customHeight="1" x14ac:dyDescent="0.25">
      <c r="AN133" s="580"/>
      <c r="AO133" s="572"/>
      <c r="AP133" s="572"/>
      <c r="AQ133" s="572"/>
      <c r="AR133" s="572"/>
      <c r="AS133" s="572"/>
      <c r="AT133" s="581"/>
      <c r="AU133" s="572"/>
      <c r="AV133" s="572"/>
      <c r="AW133" s="572"/>
      <c r="AX133" s="581"/>
      <c r="AY133" s="572"/>
      <c r="AZ133" s="572"/>
      <c r="BA133" s="572"/>
      <c r="EW133" s="522"/>
      <c r="EX133" s="522"/>
      <c r="EY133" s="522"/>
    </row>
    <row r="134" spans="40:155" ht="19.149999999999999" customHeight="1" x14ac:dyDescent="0.25">
      <c r="AN134" s="580"/>
      <c r="AO134" s="572"/>
      <c r="AP134" s="572"/>
      <c r="AQ134" s="572"/>
      <c r="AR134" s="572"/>
      <c r="AS134" s="572"/>
      <c r="AT134" s="581"/>
      <c r="AU134" s="572"/>
      <c r="AV134" s="572"/>
      <c r="AW134" s="572"/>
      <c r="AX134" s="581"/>
      <c r="AY134" s="572"/>
      <c r="AZ134" s="572"/>
      <c r="BA134" s="572"/>
      <c r="EW134" s="522"/>
      <c r="EX134" s="522"/>
      <c r="EY134" s="522"/>
    </row>
    <row r="135" spans="40:155" ht="19.149999999999999" customHeight="1" x14ac:dyDescent="0.25">
      <c r="AN135" s="580"/>
      <c r="AO135" s="572"/>
      <c r="AP135" s="572"/>
      <c r="AQ135" s="572"/>
      <c r="AR135" s="572"/>
      <c r="AS135" s="572"/>
      <c r="AT135" s="581"/>
      <c r="AU135" s="572"/>
      <c r="AV135" s="572"/>
      <c r="AW135" s="572"/>
      <c r="AX135" s="581"/>
      <c r="AY135" s="572"/>
      <c r="AZ135" s="572"/>
      <c r="BA135" s="572"/>
      <c r="EW135" s="522"/>
      <c r="EX135" s="522"/>
      <c r="EY135" s="522"/>
    </row>
    <row r="136" spans="40:155" ht="19.149999999999999" customHeight="1" x14ac:dyDescent="0.25">
      <c r="AN136" s="580"/>
      <c r="AO136" s="572"/>
      <c r="AP136" s="572"/>
      <c r="AQ136" s="572"/>
      <c r="AR136" s="572"/>
      <c r="AS136" s="572"/>
      <c r="AT136" s="581"/>
      <c r="AU136" s="572"/>
      <c r="AV136" s="572"/>
      <c r="AW136" s="572"/>
      <c r="AX136" s="581"/>
      <c r="AY136" s="572"/>
      <c r="AZ136" s="572"/>
      <c r="BA136" s="572"/>
      <c r="EW136" s="522"/>
      <c r="EX136" s="522"/>
      <c r="EY136" s="522"/>
    </row>
    <row r="137" spans="40:155" ht="19.149999999999999" customHeight="1" x14ac:dyDescent="0.25">
      <c r="AN137" s="580"/>
      <c r="AO137" s="572"/>
      <c r="AP137" s="572"/>
      <c r="AQ137" s="572"/>
      <c r="AR137" s="572"/>
      <c r="AS137" s="572"/>
      <c r="AT137" s="581"/>
      <c r="AU137" s="572"/>
      <c r="AV137" s="572"/>
      <c r="AW137" s="572"/>
      <c r="AX137" s="581"/>
      <c r="AY137" s="572"/>
      <c r="AZ137" s="572"/>
      <c r="BA137" s="572"/>
      <c r="EW137" s="522"/>
      <c r="EX137" s="522"/>
      <c r="EY137" s="522"/>
    </row>
    <row r="138" spans="40:155" ht="19.149999999999999" customHeight="1" x14ac:dyDescent="0.25">
      <c r="AN138" s="580"/>
      <c r="AO138" s="572"/>
      <c r="AP138" s="572"/>
      <c r="AQ138" s="572"/>
      <c r="AR138" s="572"/>
      <c r="AS138" s="572"/>
      <c r="AT138" s="581"/>
      <c r="AU138" s="572"/>
      <c r="AV138" s="572"/>
      <c r="AW138" s="572"/>
      <c r="AX138" s="581"/>
      <c r="AY138" s="572"/>
      <c r="AZ138" s="572"/>
      <c r="BA138" s="572"/>
      <c r="EW138" s="522"/>
      <c r="EX138" s="522"/>
      <c r="EY138" s="522"/>
    </row>
    <row r="139" spans="40:155" ht="19.149999999999999" customHeight="1" x14ac:dyDescent="0.25">
      <c r="AN139" s="580"/>
      <c r="AO139" s="572"/>
      <c r="AP139" s="572"/>
      <c r="AQ139" s="572"/>
      <c r="AR139" s="572"/>
      <c r="AS139" s="572"/>
      <c r="AT139" s="581"/>
      <c r="AU139" s="572"/>
      <c r="AV139" s="572"/>
      <c r="AW139" s="572"/>
      <c r="AX139" s="581"/>
      <c r="AY139" s="572"/>
      <c r="AZ139" s="572"/>
      <c r="BA139" s="572"/>
      <c r="EW139" s="522"/>
      <c r="EX139" s="522"/>
      <c r="EY139" s="522"/>
    </row>
    <row r="140" spans="40:155" ht="19.149999999999999" customHeight="1" x14ac:dyDescent="0.25">
      <c r="AN140" s="580"/>
      <c r="AO140" s="572"/>
      <c r="AP140" s="572"/>
      <c r="AQ140" s="572"/>
      <c r="AR140" s="572"/>
      <c r="AS140" s="572"/>
      <c r="AT140" s="581"/>
      <c r="AU140" s="572"/>
      <c r="AV140" s="572"/>
      <c r="AW140" s="572"/>
      <c r="AX140" s="581"/>
      <c r="AY140" s="572"/>
      <c r="AZ140" s="572"/>
      <c r="BA140" s="572"/>
      <c r="EW140" s="522"/>
      <c r="EX140" s="522"/>
      <c r="EY140" s="522"/>
    </row>
    <row r="141" spans="40:155" ht="19.149999999999999" customHeight="1" x14ac:dyDescent="0.25">
      <c r="AN141" s="580"/>
      <c r="AO141" s="572"/>
      <c r="AP141" s="572"/>
      <c r="AQ141" s="572"/>
      <c r="AR141" s="572"/>
      <c r="AS141" s="572"/>
      <c r="AT141" s="581"/>
      <c r="AU141" s="572"/>
      <c r="AV141" s="572"/>
      <c r="AW141" s="572"/>
      <c r="AX141" s="581"/>
      <c r="AY141" s="572"/>
      <c r="AZ141" s="572"/>
      <c r="BA141" s="572"/>
      <c r="EW141" s="522"/>
      <c r="EX141" s="522"/>
      <c r="EY141" s="522"/>
    </row>
    <row r="142" spans="40:155" ht="19.149999999999999" customHeight="1" x14ac:dyDescent="0.25">
      <c r="AN142" s="580"/>
      <c r="AO142" s="572"/>
      <c r="AP142" s="572"/>
      <c r="AQ142" s="572"/>
      <c r="AR142" s="572"/>
      <c r="AS142" s="572"/>
      <c r="AT142" s="581"/>
      <c r="AU142" s="572"/>
      <c r="AV142" s="572"/>
      <c r="AW142" s="572"/>
      <c r="AX142" s="581"/>
      <c r="AY142" s="572"/>
      <c r="AZ142" s="572"/>
      <c r="BA142" s="572"/>
      <c r="EW142" s="522"/>
      <c r="EX142" s="522"/>
      <c r="EY142" s="522"/>
    </row>
    <row r="143" spans="40:155" ht="19.149999999999999" customHeight="1" x14ac:dyDescent="0.25">
      <c r="AN143" s="580"/>
      <c r="AO143" s="572"/>
      <c r="AP143" s="572"/>
      <c r="AQ143" s="572"/>
      <c r="AR143" s="572"/>
      <c r="AS143" s="572"/>
      <c r="AT143" s="581"/>
      <c r="AU143" s="572"/>
      <c r="AV143" s="572"/>
      <c r="AW143" s="572"/>
      <c r="AX143" s="581"/>
      <c r="AY143" s="572"/>
      <c r="AZ143" s="572"/>
      <c r="BA143" s="572"/>
      <c r="EW143" s="522"/>
      <c r="EX143" s="522"/>
      <c r="EY143" s="522"/>
    </row>
    <row r="144" spans="40:155" ht="19.149999999999999" customHeight="1" x14ac:dyDescent="0.25">
      <c r="AN144" s="580"/>
      <c r="AO144" s="572"/>
      <c r="AP144" s="572"/>
      <c r="AQ144" s="572"/>
      <c r="AR144" s="572"/>
      <c r="AS144" s="572"/>
      <c r="AT144" s="581"/>
      <c r="AU144" s="572"/>
      <c r="AV144" s="572"/>
      <c r="AW144" s="572"/>
      <c r="AX144" s="581"/>
      <c r="AY144" s="572"/>
      <c r="AZ144" s="572"/>
      <c r="BA144" s="572"/>
      <c r="EW144" s="522"/>
      <c r="EX144" s="522"/>
      <c r="EY144" s="522"/>
    </row>
    <row r="145" spans="40:155" ht="19.149999999999999" customHeight="1" x14ac:dyDescent="0.25">
      <c r="AN145" s="580"/>
      <c r="AO145" s="572"/>
      <c r="AP145" s="572"/>
      <c r="AQ145" s="572"/>
      <c r="AR145" s="572"/>
      <c r="AS145" s="572"/>
      <c r="AT145" s="581"/>
      <c r="AU145" s="572"/>
      <c r="AV145" s="572"/>
      <c r="AW145" s="572"/>
      <c r="AX145" s="581"/>
      <c r="AY145" s="572"/>
      <c r="AZ145" s="572"/>
      <c r="BA145" s="572"/>
      <c r="EW145" s="522"/>
      <c r="EX145" s="522"/>
      <c r="EY145" s="522"/>
    </row>
    <row r="146" spans="40:155" ht="19.149999999999999" customHeight="1" x14ac:dyDescent="0.25">
      <c r="AN146" s="580"/>
      <c r="AO146" s="572"/>
      <c r="AP146" s="572"/>
      <c r="AQ146" s="572"/>
      <c r="AR146" s="572"/>
      <c r="AS146" s="572"/>
      <c r="AT146" s="581"/>
      <c r="AU146" s="572"/>
      <c r="AV146" s="572"/>
      <c r="AW146" s="572"/>
      <c r="AX146" s="581"/>
      <c r="AY146" s="572"/>
      <c r="AZ146" s="572"/>
      <c r="BA146" s="572"/>
      <c r="EW146" s="522"/>
      <c r="EX146" s="522"/>
      <c r="EY146" s="522"/>
    </row>
    <row r="147" spans="40:155" ht="19.149999999999999" customHeight="1" x14ac:dyDescent="0.25">
      <c r="AN147" s="580"/>
      <c r="AO147" s="572"/>
      <c r="AP147" s="572"/>
      <c r="AQ147" s="572"/>
      <c r="AR147" s="572"/>
      <c r="AS147" s="572"/>
      <c r="AT147" s="581"/>
      <c r="AU147" s="572"/>
      <c r="AV147" s="572"/>
      <c r="AW147" s="572"/>
      <c r="AX147" s="581"/>
      <c r="AY147" s="572"/>
      <c r="AZ147" s="572"/>
      <c r="BA147" s="572"/>
      <c r="EW147" s="522"/>
      <c r="EX147" s="522"/>
      <c r="EY147" s="522"/>
    </row>
    <row r="148" spans="40:155" ht="19.149999999999999" customHeight="1" x14ac:dyDescent="0.25">
      <c r="AN148" s="580"/>
      <c r="AO148" s="572"/>
      <c r="AP148" s="572"/>
      <c r="AQ148" s="572"/>
      <c r="AR148" s="572"/>
      <c r="AS148" s="572"/>
      <c r="AT148" s="581"/>
      <c r="AU148" s="572"/>
      <c r="AV148" s="572"/>
      <c r="AW148" s="572"/>
      <c r="AX148" s="581"/>
      <c r="AY148" s="572"/>
      <c r="AZ148" s="572"/>
      <c r="BA148" s="572"/>
      <c r="EW148" s="522"/>
      <c r="EX148" s="522"/>
      <c r="EY148" s="522"/>
    </row>
    <row r="149" spans="40:155" ht="19.149999999999999" customHeight="1" x14ac:dyDescent="0.25">
      <c r="AN149" s="580"/>
      <c r="AO149" s="572"/>
      <c r="AP149" s="572"/>
      <c r="AQ149" s="572"/>
      <c r="AR149" s="572"/>
      <c r="AS149" s="572"/>
      <c r="AT149" s="581"/>
      <c r="AU149" s="572"/>
      <c r="AV149" s="572"/>
      <c r="AW149" s="572"/>
      <c r="AX149" s="581"/>
      <c r="AY149" s="572"/>
      <c r="AZ149" s="572"/>
      <c r="BA149" s="572"/>
      <c r="EW149" s="522"/>
      <c r="EX149" s="522"/>
      <c r="EY149" s="522"/>
    </row>
    <row r="150" spans="40:155" ht="19.149999999999999" customHeight="1" x14ac:dyDescent="0.25">
      <c r="AN150" s="580"/>
      <c r="AO150" s="572"/>
      <c r="AP150" s="572"/>
      <c r="AQ150" s="572"/>
      <c r="AR150" s="572"/>
      <c r="AS150" s="572"/>
      <c r="AT150" s="581"/>
      <c r="AU150" s="572"/>
      <c r="AV150" s="572"/>
      <c r="AW150" s="572"/>
      <c r="AX150" s="581"/>
      <c r="AY150" s="572"/>
      <c r="AZ150" s="572"/>
      <c r="BA150" s="572"/>
      <c r="EW150" s="522"/>
      <c r="EX150" s="522"/>
      <c r="EY150" s="522"/>
    </row>
    <row r="151" spans="40:155" ht="19.149999999999999" customHeight="1" x14ac:dyDescent="0.25">
      <c r="AN151" s="580"/>
      <c r="AO151" s="572"/>
      <c r="AP151" s="572"/>
      <c r="AQ151" s="572"/>
      <c r="AR151" s="572"/>
      <c r="AS151" s="572"/>
      <c r="AT151" s="581"/>
      <c r="AU151" s="572"/>
      <c r="AV151" s="572"/>
      <c r="AW151" s="572"/>
      <c r="AX151" s="581"/>
      <c r="AY151" s="572"/>
      <c r="AZ151" s="572"/>
      <c r="BA151" s="572"/>
      <c r="EW151" s="522"/>
      <c r="EX151" s="522"/>
      <c r="EY151" s="522"/>
    </row>
    <row r="152" spans="40:155" ht="19.149999999999999" customHeight="1" x14ac:dyDescent="0.25">
      <c r="AN152" s="580"/>
      <c r="AO152" s="572"/>
      <c r="AP152" s="572"/>
      <c r="AQ152" s="572"/>
      <c r="AR152" s="572"/>
      <c r="AS152" s="572"/>
      <c r="AT152" s="581"/>
      <c r="AU152" s="572"/>
      <c r="AV152" s="572"/>
      <c r="AW152" s="572"/>
      <c r="AX152" s="581"/>
      <c r="AY152" s="572"/>
      <c r="AZ152" s="572"/>
      <c r="BA152" s="572"/>
      <c r="EW152" s="522"/>
      <c r="EX152" s="522"/>
      <c r="EY152" s="522"/>
    </row>
    <row r="153" spans="40:155" ht="19.149999999999999" customHeight="1" x14ac:dyDescent="0.25">
      <c r="AN153" s="580"/>
      <c r="AO153" s="572"/>
      <c r="AP153" s="572"/>
      <c r="AQ153" s="572"/>
      <c r="AR153" s="572"/>
      <c r="AS153" s="572"/>
      <c r="AT153" s="581"/>
      <c r="AU153" s="572"/>
      <c r="AV153" s="572"/>
      <c r="AW153" s="572"/>
      <c r="AX153" s="581"/>
      <c r="AY153" s="572"/>
      <c r="AZ153" s="572"/>
      <c r="BA153" s="572"/>
      <c r="EW153" s="522"/>
      <c r="EX153" s="522"/>
      <c r="EY153" s="522"/>
    </row>
    <row r="154" spans="40:155" ht="19.149999999999999" customHeight="1" x14ac:dyDescent="0.25">
      <c r="AN154" s="580"/>
      <c r="AO154" s="572"/>
      <c r="AP154" s="572"/>
      <c r="AQ154" s="572"/>
      <c r="AR154" s="572"/>
      <c r="AS154" s="572"/>
      <c r="AT154" s="581"/>
      <c r="AU154" s="572"/>
      <c r="AV154" s="572"/>
      <c r="AW154" s="572"/>
      <c r="AX154" s="581"/>
      <c r="AY154" s="572"/>
      <c r="AZ154" s="572"/>
      <c r="BA154" s="572"/>
      <c r="EW154" s="522"/>
      <c r="EX154" s="522"/>
      <c r="EY154" s="522"/>
    </row>
    <row r="155" spans="40:155" ht="19.149999999999999" customHeight="1" x14ac:dyDescent="0.25">
      <c r="AN155" s="580"/>
      <c r="AO155" s="572"/>
      <c r="AP155" s="572"/>
      <c r="AQ155" s="572"/>
      <c r="AR155" s="572"/>
      <c r="AS155" s="572"/>
      <c r="AT155" s="581"/>
      <c r="AU155" s="572"/>
      <c r="AV155" s="572"/>
      <c r="AW155" s="572"/>
      <c r="AX155" s="581"/>
      <c r="AY155" s="572"/>
      <c r="AZ155" s="572"/>
      <c r="BA155" s="572"/>
      <c r="EW155" s="522"/>
      <c r="EX155" s="522"/>
      <c r="EY155" s="522"/>
    </row>
    <row r="156" spans="40:155" ht="19.149999999999999" customHeight="1" x14ac:dyDescent="0.25">
      <c r="AN156" s="580"/>
      <c r="AO156" s="572"/>
      <c r="AP156" s="572"/>
      <c r="AQ156" s="572"/>
      <c r="AR156" s="572"/>
      <c r="AS156" s="572"/>
      <c r="AT156" s="581"/>
      <c r="AU156" s="572"/>
      <c r="AV156" s="572"/>
      <c r="AW156" s="572"/>
      <c r="AX156" s="581"/>
      <c r="AY156" s="572"/>
      <c r="AZ156" s="572"/>
      <c r="BA156" s="572"/>
      <c r="EW156" s="522"/>
      <c r="EX156" s="522"/>
      <c r="EY156" s="522"/>
    </row>
    <row r="157" spans="40:155" ht="19.149999999999999" customHeight="1" x14ac:dyDescent="0.25">
      <c r="AN157" s="580"/>
      <c r="AO157" s="572"/>
      <c r="AP157" s="572"/>
      <c r="AQ157" s="572"/>
      <c r="AR157" s="572"/>
      <c r="AS157" s="572"/>
      <c r="AT157" s="581"/>
      <c r="AU157" s="572"/>
      <c r="AV157" s="572"/>
      <c r="AW157" s="572"/>
      <c r="AX157" s="581"/>
      <c r="AY157" s="572"/>
      <c r="AZ157" s="572"/>
      <c r="BA157" s="572"/>
      <c r="EW157" s="522"/>
      <c r="EX157" s="522"/>
      <c r="EY157" s="522"/>
    </row>
    <row r="158" spans="40:155" ht="19.149999999999999" customHeight="1" x14ac:dyDescent="0.25">
      <c r="AN158" s="580"/>
      <c r="AO158" s="572"/>
      <c r="AP158" s="572"/>
      <c r="AQ158" s="572"/>
      <c r="AR158" s="572"/>
      <c r="AS158" s="572"/>
      <c r="AT158" s="581"/>
      <c r="AU158" s="572"/>
      <c r="AV158" s="572"/>
      <c r="AW158" s="572"/>
      <c r="AX158" s="581"/>
      <c r="AY158" s="572"/>
      <c r="AZ158" s="572"/>
      <c r="BA158" s="572"/>
      <c r="EW158" s="522"/>
      <c r="EX158" s="522"/>
      <c r="EY158" s="522"/>
    </row>
    <row r="159" spans="40:155" ht="19.149999999999999" customHeight="1" x14ac:dyDescent="0.25">
      <c r="AN159" s="580"/>
      <c r="AO159" s="572"/>
      <c r="AP159" s="572"/>
      <c r="AQ159" s="572"/>
      <c r="AR159" s="572"/>
      <c r="AS159" s="572"/>
      <c r="AT159" s="581"/>
      <c r="AU159" s="572"/>
      <c r="AV159" s="572"/>
      <c r="AW159" s="572"/>
      <c r="AX159" s="581"/>
      <c r="AY159" s="572"/>
      <c r="AZ159" s="572"/>
      <c r="BA159" s="572"/>
      <c r="EW159" s="522"/>
      <c r="EX159" s="522"/>
      <c r="EY159" s="522"/>
    </row>
    <row r="160" spans="40:155" ht="19.149999999999999" customHeight="1" x14ac:dyDescent="0.25">
      <c r="AN160" s="580"/>
      <c r="AO160" s="572"/>
      <c r="AP160" s="572"/>
      <c r="AQ160" s="572"/>
      <c r="AR160" s="572"/>
      <c r="AS160" s="572"/>
      <c r="AT160" s="581"/>
      <c r="AU160" s="572"/>
      <c r="AV160" s="572"/>
      <c r="AW160" s="572"/>
      <c r="AX160" s="581"/>
      <c r="AY160" s="572"/>
      <c r="AZ160" s="572"/>
      <c r="BA160" s="572"/>
      <c r="EW160" s="522"/>
      <c r="EX160" s="522"/>
      <c r="EY160" s="522"/>
    </row>
    <row r="161" spans="40:155" ht="19.149999999999999" customHeight="1" x14ac:dyDescent="0.25">
      <c r="AN161" s="580"/>
      <c r="AO161" s="572"/>
      <c r="AP161" s="572"/>
      <c r="AQ161" s="572"/>
      <c r="AR161" s="572"/>
      <c r="AS161" s="572"/>
      <c r="AT161" s="581"/>
      <c r="AU161" s="572"/>
      <c r="AV161" s="572"/>
      <c r="AW161" s="572"/>
      <c r="AX161" s="581"/>
      <c r="AY161" s="572"/>
      <c r="AZ161" s="572"/>
      <c r="BA161" s="572"/>
      <c r="EW161" s="522"/>
      <c r="EX161" s="522"/>
      <c r="EY161" s="522"/>
    </row>
    <row r="162" spans="40:155" ht="19.149999999999999" customHeight="1" x14ac:dyDescent="0.25">
      <c r="AN162" s="580"/>
      <c r="AO162" s="572"/>
      <c r="AP162" s="572"/>
      <c r="AQ162" s="572"/>
      <c r="AR162" s="572"/>
      <c r="AS162" s="572"/>
      <c r="AT162" s="581"/>
      <c r="AU162" s="572"/>
      <c r="AV162" s="572"/>
      <c r="AW162" s="572"/>
      <c r="AX162" s="581"/>
      <c r="AY162" s="572"/>
      <c r="AZ162" s="572"/>
      <c r="BA162" s="572"/>
      <c r="EW162" s="522"/>
      <c r="EX162" s="522"/>
      <c r="EY162" s="522"/>
    </row>
    <row r="163" spans="40:155" ht="19.149999999999999" customHeight="1" x14ac:dyDescent="0.25">
      <c r="AN163" s="580"/>
      <c r="AO163" s="572"/>
      <c r="AP163" s="572"/>
      <c r="AQ163" s="572"/>
      <c r="AR163" s="572"/>
      <c r="AS163" s="572"/>
      <c r="AT163" s="581"/>
      <c r="AU163" s="572"/>
      <c r="AV163" s="572"/>
      <c r="AW163" s="572"/>
      <c r="AX163" s="581"/>
      <c r="AY163" s="572"/>
      <c r="AZ163" s="572"/>
      <c r="BA163" s="572"/>
      <c r="EW163" s="522"/>
      <c r="EX163" s="522"/>
      <c r="EY163" s="522"/>
    </row>
    <row r="164" spans="40:155" ht="19.149999999999999" customHeight="1" x14ac:dyDescent="0.25">
      <c r="AN164" s="580"/>
      <c r="AO164" s="572"/>
      <c r="AP164" s="572"/>
      <c r="AQ164" s="572"/>
      <c r="AR164" s="572"/>
      <c r="AS164" s="572"/>
      <c r="AT164" s="581"/>
      <c r="AU164" s="572"/>
      <c r="AV164" s="572"/>
      <c r="AW164" s="572"/>
      <c r="AX164" s="581"/>
      <c r="AY164" s="572"/>
      <c r="AZ164" s="572"/>
      <c r="BA164" s="572"/>
      <c r="EW164" s="522"/>
      <c r="EX164" s="522"/>
      <c r="EY164" s="522"/>
    </row>
    <row r="165" spans="40:155" ht="19.149999999999999" customHeight="1" x14ac:dyDescent="0.25">
      <c r="AN165" s="580"/>
      <c r="AO165" s="572"/>
      <c r="AP165" s="572"/>
      <c r="AQ165" s="572"/>
      <c r="AR165" s="572"/>
      <c r="AS165" s="572"/>
      <c r="AT165" s="581"/>
      <c r="AU165" s="572"/>
      <c r="AV165" s="572"/>
      <c r="AW165" s="572"/>
      <c r="AX165" s="581"/>
      <c r="AY165" s="572"/>
      <c r="AZ165" s="572"/>
      <c r="BA165" s="572"/>
      <c r="EW165" s="522"/>
      <c r="EX165" s="522"/>
      <c r="EY165" s="522"/>
    </row>
    <row r="166" spans="40:155" ht="19.149999999999999" customHeight="1" x14ac:dyDescent="0.25">
      <c r="AN166" s="580"/>
      <c r="AO166" s="572"/>
      <c r="AP166" s="572"/>
      <c r="AQ166" s="572"/>
      <c r="AR166" s="572"/>
      <c r="AS166" s="572"/>
      <c r="AT166" s="581"/>
      <c r="AU166" s="572"/>
      <c r="AV166" s="572"/>
      <c r="AW166" s="572"/>
      <c r="AX166" s="581"/>
      <c r="AY166" s="572"/>
      <c r="AZ166" s="572"/>
      <c r="BA166" s="572"/>
      <c r="EW166" s="522"/>
      <c r="EX166" s="522"/>
      <c r="EY166" s="522"/>
    </row>
    <row r="167" spans="40:155" ht="19.149999999999999" customHeight="1" x14ac:dyDescent="0.25">
      <c r="AN167" s="580"/>
      <c r="AO167" s="572"/>
      <c r="AP167" s="572"/>
      <c r="AQ167" s="572"/>
      <c r="AR167" s="572"/>
      <c r="AS167" s="572"/>
      <c r="AT167" s="581"/>
      <c r="AU167" s="572"/>
      <c r="AV167" s="572"/>
      <c r="AW167" s="572"/>
      <c r="AX167" s="581"/>
      <c r="AY167" s="572"/>
      <c r="AZ167" s="572"/>
      <c r="BA167" s="572"/>
      <c r="EW167" s="522"/>
      <c r="EX167" s="522"/>
      <c r="EY167" s="522"/>
    </row>
    <row r="168" spans="40:155" ht="19.149999999999999" customHeight="1" x14ac:dyDescent="0.25">
      <c r="AN168" s="580"/>
      <c r="AO168" s="572"/>
      <c r="AP168" s="572"/>
      <c r="AQ168" s="572"/>
      <c r="AR168" s="572"/>
      <c r="AS168" s="572"/>
      <c r="AT168" s="581"/>
      <c r="AU168" s="572"/>
      <c r="AV168" s="572"/>
      <c r="AW168" s="572"/>
      <c r="AX168" s="581"/>
      <c r="AY168" s="572"/>
      <c r="AZ168" s="572"/>
      <c r="BA168" s="572"/>
      <c r="EW168" s="522"/>
      <c r="EX168" s="522"/>
      <c r="EY168" s="522"/>
    </row>
    <row r="169" spans="40:155" ht="19.149999999999999" customHeight="1" x14ac:dyDescent="0.25">
      <c r="AN169" s="580"/>
      <c r="AO169" s="572"/>
      <c r="AP169" s="572"/>
      <c r="AQ169" s="572"/>
      <c r="AR169" s="572"/>
      <c r="AS169" s="572"/>
      <c r="AT169" s="581"/>
      <c r="AU169" s="572"/>
      <c r="AV169" s="572"/>
      <c r="AW169" s="572"/>
      <c r="AX169" s="581"/>
      <c r="AY169" s="572"/>
      <c r="AZ169" s="572"/>
      <c r="BA169" s="572"/>
      <c r="EW169" s="522"/>
      <c r="EX169" s="522"/>
      <c r="EY169" s="522"/>
    </row>
    <row r="170" spans="40:155" ht="19.149999999999999" customHeight="1" x14ac:dyDescent="0.25">
      <c r="AN170" s="580"/>
      <c r="AO170" s="572"/>
      <c r="AP170" s="572"/>
      <c r="AQ170" s="572"/>
      <c r="AR170" s="572"/>
      <c r="AS170" s="572"/>
      <c r="AT170" s="581"/>
      <c r="AU170" s="572"/>
      <c r="AV170" s="572"/>
      <c r="AW170" s="572"/>
      <c r="AX170" s="581"/>
      <c r="AY170" s="572"/>
      <c r="AZ170" s="572"/>
      <c r="BA170" s="572"/>
      <c r="EW170" s="522"/>
      <c r="EX170" s="522"/>
      <c r="EY170" s="522"/>
    </row>
    <row r="171" spans="40:155" ht="19.149999999999999" customHeight="1" x14ac:dyDescent="0.25">
      <c r="AN171" s="580"/>
      <c r="AO171" s="572"/>
      <c r="AP171" s="572"/>
      <c r="AQ171" s="572"/>
      <c r="AR171" s="572"/>
      <c r="AS171" s="572"/>
      <c r="AT171" s="581"/>
      <c r="AU171" s="572"/>
      <c r="AV171" s="572"/>
      <c r="AW171" s="572"/>
      <c r="AX171" s="581"/>
      <c r="AY171" s="572"/>
      <c r="AZ171" s="572"/>
      <c r="BA171" s="572"/>
      <c r="EW171" s="522"/>
      <c r="EX171" s="522"/>
      <c r="EY171" s="522"/>
    </row>
    <row r="172" spans="40:155" ht="19.149999999999999" customHeight="1" x14ac:dyDescent="0.25">
      <c r="AN172" s="580"/>
      <c r="AO172" s="572"/>
      <c r="AP172" s="572"/>
      <c r="AQ172" s="572"/>
      <c r="AR172" s="572"/>
      <c r="AS172" s="572"/>
      <c r="AT172" s="581"/>
      <c r="AU172" s="572"/>
      <c r="AV172" s="572"/>
      <c r="AW172" s="572"/>
      <c r="AX172" s="581"/>
      <c r="AY172" s="572"/>
      <c r="AZ172" s="572"/>
      <c r="BA172" s="572"/>
      <c r="EW172" s="522"/>
      <c r="EX172" s="522"/>
      <c r="EY172" s="522"/>
    </row>
    <row r="173" spans="40:155" ht="19.149999999999999" customHeight="1" x14ac:dyDescent="0.25">
      <c r="AN173" s="580"/>
      <c r="AO173" s="572"/>
      <c r="AP173" s="572"/>
      <c r="AQ173" s="572"/>
      <c r="AR173" s="572"/>
      <c r="AS173" s="572"/>
      <c r="AT173" s="581"/>
      <c r="AU173" s="572"/>
      <c r="AV173" s="572"/>
      <c r="AW173" s="572"/>
      <c r="AX173" s="581"/>
      <c r="AY173" s="572"/>
      <c r="AZ173" s="572"/>
      <c r="BA173" s="572"/>
      <c r="EW173" s="522"/>
      <c r="EX173" s="522"/>
      <c r="EY173" s="522"/>
    </row>
    <row r="174" spans="40:155" ht="19.149999999999999" customHeight="1" x14ac:dyDescent="0.25">
      <c r="AN174" s="580"/>
      <c r="AO174" s="572"/>
      <c r="AP174" s="572"/>
      <c r="AQ174" s="572"/>
      <c r="AR174" s="572"/>
      <c r="AS174" s="572"/>
      <c r="AT174" s="581"/>
      <c r="AU174" s="572"/>
      <c r="AV174" s="572"/>
      <c r="AW174" s="572"/>
      <c r="AX174" s="581"/>
      <c r="AY174" s="572"/>
      <c r="AZ174" s="572"/>
      <c r="BA174" s="572"/>
      <c r="EW174" s="522"/>
      <c r="EX174" s="522"/>
      <c r="EY174" s="522"/>
    </row>
    <row r="175" spans="40:155" ht="19.149999999999999" customHeight="1" x14ac:dyDescent="0.25">
      <c r="AN175" s="580"/>
      <c r="AO175" s="572"/>
      <c r="AP175" s="572"/>
      <c r="AQ175" s="572"/>
      <c r="AR175" s="572"/>
      <c r="AS175" s="572"/>
      <c r="AT175" s="581"/>
      <c r="AU175" s="572"/>
      <c r="AV175" s="572"/>
      <c r="AW175" s="572"/>
      <c r="AX175" s="581"/>
      <c r="AY175" s="572"/>
      <c r="AZ175" s="572"/>
      <c r="BA175" s="572"/>
      <c r="EW175" s="522"/>
      <c r="EX175" s="522"/>
      <c r="EY175" s="522"/>
    </row>
    <row r="176" spans="40:155" ht="19.149999999999999" customHeight="1" x14ac:dyDescent="0.25">
      <c r="AN176" s="580"/>
      <c r="AO176" s="572"/>
      <c r="AP176" s="572"/>
      <c r="AQ176" s="572"/>
      <c r="AR176" s="572"/>
      <c r="AS176" s="572"/>
      <c r="AT176" s="581"/>
      <c r="AU176" s="572"/>
      <c r="AV176" s="572"/>
      <c r="AW176" s="572"/>
      <c r="AX176" s="581"/>
      <c r="AY176" s="572"/>
      <c r="AZ176" s="572"/>
      <c r="BA176" s="572"/>
      <c r="EW176" s="522"/>
      <c r="EX176" s="522"/>
      <c r="EY176" s="522"/>
    </row>
    <row r="177" spans="40:155" ht="19.149999999999999" customHeight="1" x14ac:dyDescent="0.25">
      <c r="AN177" s="580"/>
      <c r="AO177" s="572"/>
      <c r="AP177" s="572"/>
      <c r="AQ177" s="572"/>
      <c r="AR177" s="572"/>
      <c r="AS177" s="572"/>
      <c r="AT177" s="581"/>
      <c r="AU177" s="572"/>
      <c r="AV177" s="572"/>
      <c r="AW177" s="572"/>
      <c r="AX177" s="581"/>
      <c r="AY177" s="572"/>
      <c r="AZ177" s="572"/>
      <c r="BA177" s="572"/>
      <c r="EW177" s="522"/>
      <c r="EX177" s="522"/>
      <c r="EY177" s="522"/>
    </row>
    <row r="178" spans="40:155" ht="19.149999999999999" customHeight="1" x14ac:dyDescent="0.25">
      <c r="AN178" s="580"/>
      <c r="AO178" s="572"/>
      <c r="AP178" s="572"/>
      <c r="AQ178" s="572"/>
      <c r="AR178" s="572"/>
      <c r="AS178" s="572"/>
      <c r="AT178" s="581"/>
      <c r="AU178" s="572"/>
      <c r="AV178" s="572"/>
      <c r="AW178" s="572"/>
      <c r="AX178" s="581"/>
      <c r="AY178" s="572"/>
      <c r="AZ178" s="572"/>
      <c r="BA178" s="572"/>
      <c r="EW178" s="522"/>
      <c r="EX178" s="522"/>
      <c r="EY178" s="522"/>
    </row>
    <row r="179" spans="40:155" ht="19.149999999999999" customHeight="1" x14ac:dyDescent="0.25">
      <c r="AN179" s="580"/>
      <c r="AO179" s="572"/>
      <c r="AP179" s="572"/>
      <c r="AQ179" s="572"/>
      <c r="AR179" s="572"/>
      <c r="AS179" s="572"/>
      <c r="AT179" s="581"/>
      <c r="AU179" s="572"/>
      <c r="AV179" s="572"/>
      <c r="AW179" s="572"/>
      <c r="AX179" s="581"/>
      <c r="AY179" s="572"/>
      <c r="AZ179" s="572"/>
      <c r="BA179" s="572"/>
      <c r="EW179" s="522"/>
      <c r="EX179" s="522"/>
      <c r="EY179" s="522"/>
    </row>
    <row r="180" spans="40:155" ht="19.149999999999999" customHeight="1" x14ac:dyDescent="0.25">
      <c r="AN180" s="580"/>
      <c r="AO180" s="572"/>
      <c r="AP180" s="572"/>
      <c r="AQ180" s="572"/>
      <c r="AR180" s="572"/>
      <c r="AS180" s="572"/>
      <c r="AT180" s="581"/>
      <c r="AU180" s="572"/>
      <c r="AV180" s="572"/>
      <c r="AW180" s="572"/>
      <c r="AX180" s="581"/>
      <c r="AY180" s="572"/>
      <c r="AZ180" s="572"/>
      <c r="BA180" s="572"/>
      <c r="EW180" s="522"/>
      <c r="EX180" s="522"/>
      <c r="EY180" s="522"/>
    </row>
    <row r="181" spans="40:155" ht="19.149999999999999" customHeight="1" x14ac:dyDescent="0.25">
      <c r="AN181" s="580"/>
      <c r="AO181" s="572"/>
      <c r="AP181" s="572"/>
      <c r="AQ181" s="572"/>
      <c r="AR181" s="572"/>
      <c r="AS181" s="572"/>
      <c r="AT181" s="581"/>
      <c r="AU181" s="572"/>
      <c r="AV181" s="572"/>
      <c r="AW181" s="572"/>
      <c r="AX181" s="581"/>
      <c r="AY181" s="572"/>
      <c r="AZ181" s="572"/>
      <c r="BA181" s="572"/>
      <c r="EW181" s="522"/>
      <c r="EX181" s="522"/>
      <c r="EY181" s="522"/>
    </row>
    <row r="182" spans="40:155" ht="19.149999999999999" customHeight="1" x14ac:dyDescent="0.25">
      <c r="AN182" s="580"/>
      <c r="AO182" s="572"/>
      <c r="AP182" s="572"/>
      <c r="AQ182" s="572"/>
      <c r="AR182" s="572"/>
      <c r="AS182" s="572"/>
      <c r="AT182" s="581"/>
      <c r="AU182" s="572"/>
      <c r="AV182" s="572"/>
      <c r="AW182" s="572"/>
      <c r="AX182" s="581"/>
      <c r="AY182" s="572"/>
      <c r="AZ182" s="572"/>
      <c r="BA182" s="572"/>
      <c r="EW182" s="522"/>
      <c r="EX182" s="522"/>
      <c r="EY182" s="522"/>
    </row>
    <row r="183" spans="40:155" ht="19.149999999999999" customHeight="1" x14ac:dyDescent="0.25">
      <c r="AN183" s="580"/>
      <c r="AO183" s="572"/>
      <c r="AP183" s="572"/>
      <c r="AQ183" s="572"/>
      <c r="AR183" s="572"/>
      <c r="AS183" s="572"/>
      <c r="AT183" s="581"/>
      <c r="AU183" s="572"/>
      <c r="AV183" s="572"/>
      <c r="AW183" s="572"/>
      <c r="AX183" s="581"/>
      <c r="AY183" s="572"/>
      <c r="AZ183" s="572"/>
      <c r="BA183" s="572"/>
      <c r="EW183" s="522"/>
      <c r="EX183" s="522"/>
      <c r="EY183" s="522"/>
    </row>
    <row r="184" spans="40:155" ht="19.149999999999999" customHeight="1" x14ac:dyDescent="0.25">
      <c r="AN184" s="580"/>
      <c r="AO184" s="572"/>
      <c r="AP184" s="572"/>
      <c r="AQ184" s="572"/>
      <c r="AR184" s="572"/>
      <c r="AS184" s="572"/>
      <c r="AT184" s="581"/>
      <c r="AU184" s="572"/>
      <c r="AV184" s="572"/>
      <c r="AW184" s="572"/>
      <c r="AX184" s="581"/>
      <c r="AY184" s="572"/>
      <c r="AZ184" s="572"/>
      <c r="BA184" s="572"/>
      <c r="EW184" s="522"/>
      <c r="EX184" s="522"/>
      <c r="EY184" s="522"/>
    </row>
    <row r="185" spans="40:155" ht="19.149999999999999" customHeight="1" x14ac:dyDescent="0.25">
      <c r="AN185" s="580"/>
      <c r="AO185" s="572"/>
      <c r="AP185" s="572"/>
      <c r="AQ185" s="572"/>
      <c r="AR185" s="572"/>
      <c r="AS185" s="572"/>
      <c r="AT185" s="581"/>
      <c r="AU185" s="572"/>
      <c r="AV185" s="572"/>
      <c r="AW185" s="572"/>
      <c r="AX185" s="581"/>
      <c r="AY185" s="572"/>
      <c r="AZ185" s="572"/>
      <c r="BA185" s="572"/>
      <c r="EW185" s="522"/>
      <c r="EX185" s="522"/>
      <c r="EY185" s="522"/>
    </row>
    <row r="186" spans="40:155" ht="19.149999999999999" customHeight="1" x14ac:dyDescent="0.25">
      <c r="AN186" s="580"/>
      <c r="AO186" s="572"/>
      <c r="AP186" s="572"/>
      <c r="AQ186" s="572"/>
      <c r="AR186" s="572"/>
      <c r="AS186" s="572"/>
      <c r="AT186" s="581"/>
      <c r="AU186" s="572"/>
      <c r="AV186" s="572"/>
      <c r="AW186" s="572"/>
      <c r="AX186" s="581"/>
      <c r="AY186" s="572"/>
      <c r="AZ186" s="572"/>
      <c r="BA186" s="572"/>
      <c r="EW186" s="522"/>
      <c r="EX186" s="522"/>
      <c r="EY186" s="522"/>
    </row>
    <row r="187" spans="40:155" ht="19.149999999999999" customHeight="1" x14ac:dyDescent="0.25">
      <c r="AN187" s="580"/>
      <c r="AO187" s="572"/>
      <c r="AP187" s="572"/>
      <c r="AQ187" s="572"/>
      <c r="AR187" s="572"/>
      <c r="AS187" s="572"/>
      <c r="AT187" s="581"/>
      <c r="AU187" s="572"/>
      <c r="AV187" s="572"/>
      <c r="AW187" s="572"/>
      <c r="AX187" s="581"/>
      <c r="AY187" s="572"/>
      <c r="AZ187" s="572"/>
      <c r="BA187" s="572"/>
      <c r="EW187" s="522"/>
      <c r="EX187" s="522"/>
      <c r="EY187" s="522"/>
    </row>
    <row r="188" spans="40:155" ht="19.149999999999999" customHeight="1" x14ac:dyDescent="0.25">
      <c r="AN188" s="580"/>
      <c r="AO188" s="572"/>
      <c r="AP188" s="572"/>
      <c r="AQ188" s="572"/>
      <c r="AR188" s="572"/>
      <c r="AS188" s="572"/>
      <c r="AT188" s="581"/>
      <c r="AU188" s="572"/>
      <c r="AV188" s="572"/>
      <c r="AW188" s="572"/>
      <c r="AX188" s="581"/>
      <c r="AY188" s="572"/>
      <c r="AZ188" s="572"/>
      <c r="BA188" s="572"/>
      <c r="EW188" s="522"/>
      <c r="EX188" s="522"/>
      <c r="EY188" s="522"/>
    </row>
    <row r="189" spans="40:155" ht="19.149999999999999" customHeight="1" x14ac:dyDescent="0.25">
      <c r="AN189" s="580"/>
      <c r="AO189" s="572"/>
      <c r="AP189" s="572"/>
      <c r="AQ189" s="572"/>
      <c r="AR189" s="572"/>
      <c r="AS189" s="572"/>
      <c r="AT189" s="581"/>
      <c r="AU189" s="572"/>
      <c r="AV189" s="572"/>
      <c r="AW189" s="572"/>
      <c r="AX189" s="581"/>
      <c r="AY189" s="572"/>
      <c r="AZ189" s="572"/>
      <c r="BA189" s="572"/>
      <c r="EW189" s="522"/>
      <c r="EX189" s="522"/>
      <c r="EY189" s="522"/>
    </row>
    <row r="190" spans="40:155" ht="19.149999999999999" customHeight="1" x14ac:dyDescent="0.25">
      <c r="AN190" s="580"/>
      <c r="AO190" s="572"/>
      <c r="AP190" s="572"/>
      <c r="AQ190" s="572"/>
      <c r="AR190" s="572"/>
      <c r="AS190" s="572"/>
      <c r="AT190" s="581"/>
      <c r="AU190" s="572"/>
      <c r="AV190" s="572"/>
      <c r="AW190" s="572"/>
      <c r="AX190" s="581"/>
      <c r="AY190" s="572"/>
      <c r="AZ190" s="572"/>
      <c r="BA190" s="572"/>
      <c r="EW190" s="522"/>
      <c r="EX190" s="522"/>
      <c r="EY190" s="522"/>
    </row>
    <row r="191" spans="40:155" ht="19.149999999999999" customHeight="1" x14ac:dyDescent="0.25">
      <c r="AN191" s="580"/>
      <c r="AO191" s="572"/>
      <c r="AP191" s="572"/>
      <c r="AQ191" s="572"/>
      <c r="AR191" s="572"/>
      <c r="AS191" s="572"/>
      <c r="AT191" s="581"/>
      <c r="AU191" s="572"/>
      <c r="AV191" s="572"/>
      <c r="AW191" s="572"/>
      <c r="AX191" s="581"/>
      <c r="AY191" s="572"/>
      <c r="AZ191" s="572"/>
      <c r="BA191" s="572"/>
      <c r="EW191" s="522"/>
      <c r="EX191" s="522"/>
      <c r="EY191" s="522"/>
    </row>
    <row r="192" spans="40:155" ht="19.149999999999999" customHeight="1" x14ac:dyDescent="0.25">
      <c r="AN192" s="580"/>
      <c r="AO192" s="572"/>
      <c r="AP192" s="572"/>
      <c r="AQ192" s="572"/>
      <c r="AR192" s="572"/>
      <c r="AS192" s="572"/>
      <c r="AT192" s="581"/>
      <c r="AU192" s="572"/>
      <c r="AV192" s="572"/>
      <c r="AW192" s="572"/>
      <c r="AX192" s="581"/>
      <c r="AY192" s="572"/>
      <c r="AZ192" s="572"/>
      <c r="BA192" s="572"/>
      <c r="EW192" s="522"/>
      <c r="EX192" s="522"/>
      <c r="EY192" s="522"/>
    </row>
    <row r="193" spans="40:155" ht="19.149999999999999" customHeight="1" x14ac:dyDescent="0.25">
      <c r="AN193" s="580"/>
      <c r="AO193" s="572"/>
      <c r="AP193" s="572"/>
      <c r="AQ193" s="572"/>
      <c r="AR193" s="572"/>
      <c r="AS193" s="572"/>
      <c r="AT193" s="581"/>
      <c r="AU193" s="572"/>
      <c r="AV193" s="572"/>
      <c r="AW193" s="572"/>
      <c r="AX193" s="581"/>
      <c r="AY193" s="572"/>
      <c r="AZ193" s="572"/>
      <c r="BA193" s="572"/>
      <c r="EW193" s="522"/>
      <c r="EX193" s="522"/>
      <c r="EY193" s="522"/>
    </row>
    <row r="194" spans="40:155" ht="19.149999999999999" customHeight="1" x14ac:dyDescent="0.25">
      <c r="AN194" s="580"/>
      <c r="AO194" s="572"/>
      <c r="AP194" s="572"/>
      <c r="AQ194" s="572"/>
      <c r="AR194" s="572"/>
      <c r="AS194" s="572"/>
      <c r="AT194" s="581"/>
      <c r="AU194" s="572"/>
      <c r="AV194" s="572"/>
      <c r="AW194" s="572"/>
      <c r="AX194" s="581"/>
      <c r="AY194" s="572"/>
      <c r="AZ194" s="572"/>
      <c r="BA194" s="572"/>
      <c r="EW194" s="522"/>
      <c r="EX194" s="522"/>
      <c r="EY194" s="522"/>
    </row>
    <row r="195" spans="40:155" ht="19.149999999999999" customHeight="1" x14ac:dyDescent="0.25">
      <c r="AN195" s="580"/>
      <c r="AO195" s="572"/>
      <c r="AP195" s="572"/>
      <c r="AQ195" s="572"/>
      <c r="AR195" s="572"/>
      <c r="AS195" s="572"/>
      <c r="AT195" s="581"/>
      <c r="AU195" s="572"/>
      <c r="AV195" s="572"/>
      <c r="AW195" s="572"/>
      <c r="AX195" s="581"/>
      <c r="AY195" s="572"/>
      <c r="AZ195" s="572"/>
      <c r="BA195" s="572"/>
      <c r="EW195" s="522"/>
      <c r="EX195" s="522"/>
      <c r="EY195" s="522"/>
    </row>
    <row r="196" spans="40:155" ht="19.149999999999999" customHeight="1" x14ac:dyDescent="0.25">
      <c r="AN196" s="580"/>
      <c r="AO196" s="572"/>
      <c r="AP196" s="572"/>
      <c r="AQ196" s="572"/>
      <c r="AR196" s="572"/>
      <c r="AS196" s="572"/>
      <c r="AT196" s="581"/>
      <c r="AU196" s="572"/>
      <c r="AV196" s="572"/>
      <c r="AW196" s="572"/>
      <c r="AX196" s="581"/>
      <c r="AY196" s="572"/>
      <c r="AZ196" s="572"/>
      <c r="BA196" s="572"/>
      <c r="EW196" s="522"/>
      <c r="EX196" s="522"/>
      <c r="EY196" s="522"/>
    </row>
    <row r="197" spans="40:155" ht="19.149999999999999" customHeight="1" x14ac:dyDescent="0.25">
      <c r="AN197" s="580"/>
      <c r="AO197" s="572"/>
      <c r="AP197" s="572"/>
      <c r="AQ197" s="572"/>
      <c r="AR197" s="572"/>
      <c r="AS197" s="572"/>
      <c r="AT197" s="581"/>
      <c r="AU197" s="572"/>
      <c r="AV197" s="572"/>
      <c r="AW197" s="572"/>
      <c r="AX197" s="581"/>
      <c r="AY197" s="572"/>
      <c r="AZ197" s="572"/>
      <c r="BA197" s="572"/>
      <c r="EW197" s="522"/>
      <c r="EX197" s="522"/>
      <c r="EY197" s="522"/>
    </row>
    <row r="198" spans="40:155" ht="19.149999999999999" customHeight="1" x14ac:dyDescent="0.25">
      <c r="AN198" s="580"/>
      <c r="AO198" s="572"/>
      <c r="AP198" s="572"/>
      <c r="AQ198" s="572"/>
      <c r="AR198" s="572"/>
      <c r="AS198" s="572"/>
      <c r="AT198" s="581"/>
      <c r="AU198" s="572"/>
      <c r="AV198" s="572"/>
      <c r="AW198" s="572"/>
      <c r="AX198" s="581"/>
      <c r="AY198" s="572"/>
      <c r="AZ198" s="572"/>
      <c r="BA198" s="572"/>
      <c r="EW198" s="522"/>
      <c r="EX198" s="522"/>
      <c r="EY198" s="522"/>
    </row>
    <row r="199" spans="40:155" ht="19.149999999999999" customHeight="1" x14ac:dyDescent="0.25">
      <c r="AN199" s="580"/>
      <c r="AO199" s="572"/>
      <c r="AP199" s="572"/>
      <c r="AQ199" s="572"/>
      <c r="AR199" s="572"/>
      <c r="AS199" s="572"/>
      <c r="AT199" s="581"/>
      <c r="AU199" s="572"/>
      <c r="AV199" s="572"/>
      <c r="AW199" s="572"/>
      <c r="AX199" s="581"/>
      <c r="AY199" s="572"/>
      <c r="AZ199" s="572"/>
      <c r="BA199" s="572"/>
      <c r="EW199" s="522"/>
      <c r="EX199" s="522"/>
      <c r="EY199" s="522"/>
    </row>
    <row r="200" spans="40:155" ht="19.149999999999999" customHeight="1" x14ac:dyDescent="0.25">
      <c r="AN200" s="580"/>
      <c r="AO200" s="572"/>
      <c r="AP200" s="572"/>
      <c r="AQ200" s="572"/>
      <c r="AR200" s="572"/>
      <c r="AS200" s="572"/>
      <c r="AT200" s="581"/>
      <c r="AU200" s="572"/>
      <c r="AV200" s="572"/>
      <c r="AW200" s="572"/>
      <c r="AX200" s="581"/>
      <c r="AY200" s="572"/>
      <c r="AZ200" s="572"/>
      <c r="BA200" s="572"/>
      <c r="EW200" s="522"/>
      <c r="EX200" s="522"/>
      <c r="EY200" s="522"/>
    </row>
    <row r="201" spans="40:155" ht="19.149999999999999" customHeight="1" x14ac:dyDescent="0.25">
      <c r="AN201" s="580"/>
      <c r="AO201" s="572"/>
      <c r="AP201" s="572"/>
      <c r="AQ201" s="572"/>
      <c r="AR201" s="572"/>
      <c r="AS201" s="572"/>
      <c r="AT201" s="581"/>
      <c r="AU201" s="572"/>
      <c r="AV201" s="572"/>
      <c r="AW201" s="572"/>
      <c r="AX201" s="581"/>
      <c r="AY201" s="572"/>
      <c r="AZ201" s="572"/>
      <c r="BA201" s="572"/>
      <c r="EW201" s="522"/>
      <c r="EX201" s="522"/>
      <c r="EY201" s="522"/>
    </row>
    <row r="202" spans="40:155" ht="19.149999999999999" customHeight="1" x14ac:dyDescent="0.25">
      <c r="AN202" s="580"/>
      <c r="AO202" s="572"/>
      <c r="AP202" s="572"/>
      <c r="AQ202" s="572"/>
      <c r="AR202" s="572"/>
      <c r="AS202" s="572"/>
      <c r="AT202" s="581"/>
      <c r="AU202" s="572"/>
      <c r="AV202" s="572"/>
      <c r="AW202" s="572"/>
      <c r="AX202" s="581"/>
      <c r="AY202" s="572"/>
      <c r="AZ202" s="572"/>
      <c r="BA202" s="572"/>
      <c r="EW202" s="522"/>
      <c r="EX202" s="522"/>
      <c r="EY202" s="522"/>
    </row>
    <row r="203" spans="40:155" ht="19.149999999999999" customHeight="1" x14ac:dyDescent="0.25">
      <c r="AN203" s="580"/>
      <c r="AO203" s="572"/>
      <c r="AP203" s="572"/>
      <c r="AQ203" s="572"/>
      <c r="AR203" s="572"/>
      <c r="AS203" s="572"/>
      <c r="AT203" s="581"/>
      <c r="AU203" s="572"/>
      <c r="AV203" s="572"/>
      <c r="AW203" s="572"/>
      <c r="AX203" s="581"/>
      <c r="AY203" s="572"/>
      <c r="AZ203" s="572"/>
      <c r="BA203" s="572"/>
      <c r="EW203" s="522"/>
      <c r="EX203" s="522"/>
      <c r="EY203" s="522"/>
    </row>
    <row r="204" spans="40:155" ht="19.149999999999999" customHeight="1" x14ac:dyDescent="0.25">
      <c r="AN204" s="580"/>
      <c r="AO204" s="572"/>
      <c r="AP204" s="572"/>
      <c r="AQ204" s="572"/>
      <c r="AR204" s="572"/>
      <c r="AS204" s="572"/>
      <c r="AT204" s="581"/>
      <c r="AU204" s="572"/>
      <c r="AV204" s="572"/>
      <c r="AW204" s="572"/>
      <c r="AX204" s="581"/>
      <c r="AY204" s="572"/>
      <c r="AZ204" s="572"/>
      <c r="BA204" s="572"/>
      <c r="EW204" s="522"/>
      <c r="EX204" s="522"/>
      <c r="EY204" s="522"/>
    </row>
    <row r="205" spans="40:155" ht="19.149999999999999" customHeight="1" x14ac:dyDescent="0.25">
      <c r="AN205" s="580"/>
      <c r="AO205" s="572"/>
      <c r="AP205" s="572"/>
      <c r="AQ205" s="572"/>
      <c r="AR205" s="572"/>
      <c r="AS205" s="572"/>
      <c r="AT205" s="581"/>
      <c r="AU205" s="572"/>
      <c r="AV205" s="572"/>
      <c r="AW205" s="572"/>
      <c r="AX205" s="581"/>
      <c r="AY205" s="572"/>
      <c r="AZ205" s="572"/>
      <c r="BA205" s="572"/>
      <c r="EW205" s="522"/>
      <c r="EX205" s="522"/>
      <c r="EY205" s="522"/>
    </row>
    <row r="206" spans="40:155" ht="19.149999999999999" customHeight="1" x14ac:dyDescent="0.25">
      <c r="AN206" s="580"/>
      <c r="AO206" s="572"/>
      <c r="AP206" s="572"/>
      <c r="AQ206" s="572"/>
      <c r="AR206" s="572"/>
      <c r="AS206" s="572"/>
      <c r="AT206" s="581"/>
      <c r="AU206" s="572"/>
      <c r="AV206" s="572"/>
      <c r="AW206" s="572"/>
      <c r="AX206" s="581"/>
      <c r="AY206" s="572"/>
      <c r="AZ206" s="572"/>
      <c r="BA206" s="572"/>
      <c r="EW206" s="522"/>
      <c r="EX206" s="522"/>
      <c r="EY206" s="522"/>
    </row>
    <row r="207" spans="40:155" ht="19.149999999999999" customHeight="1" x14ac:dyDescent="0.25">
      <c r="AN207" s="580"/>
      <c r="AO207" s="572"/>
      <c r="AP207" s="572"/>
      <c r="AQ207" s="572"/>
      <c r="AR207" s="572"/>
      <c r="AS207" s="572"/>
      <c r="AT207" s="581"/>
      <c r="AU207" s="572"/>
      <c r="AV207" s="572"/>
      <c r="AW207" s="572"/>
      <c r="AX207" s="581"/>
      <c r="AY207" s="572"/>
      <c r="AZ207" s="572"/>
      <c r="BA207" s="572"/>
      <c r="EW207" s="522"/>
      <c r="EX207" s="522"/>
      <c r="EY207" s="522"/>
    </row>
    <row r="208" spans="40:155" ht="19.149999999999999" customHeight="1" x14ac:dyDescent="0.25">
      <c r="AN208" s="580"/>
      <c r="AO208" s="572"/>
      <c r="AP208" s="572"/>
      <c r="AQ208" s="572"/>
      <c r="AR208" s="572"/>
      <c r="AS208" s="572"/>
      <c r="AT208" s="581"/>
      <c r="AU208" s="572"/>
      <c r="AV208" s="572"/>
      <c r="AW208" s="572"/>
      <c r="AX208" s="581"/>
      <c r="AY208" s="572"/>
      <c r="AZ208" s="572"/>
      <c r="BA208" s="572"/>
      <c r="EW208" s="522"/>
      <c r="EX208" s="522"/>
      <c r="EY208" s="522"/>
    </row>
    <row r="209" spans="40:155" ht="19.149999999999999" customHeight="1" x14ac:dyDescent="0.25">
      <c r="AN209" s="580"/>
      <c r="AO209" s="572"/>
      <c r="AP209" s="572"/>
      <c r="AQ209" s="572"/>
      <c r="AR209" s="572"/>
      <c r="AS209" s="572"/>
      <c r="AT209" s="581"/>
      <c r="AU209" s="572"/>
      <c r="AV209" s="572"/>
      <c r="AW209" s="572"/>
      <c r="AX209" s="581"/>
      <c r="AY209" s="572"/>
      <c r="AZ209" s="572"/>
      <c r="BA209" s="572"/>
      <c r="EW209" s="522"/>
      <c r="EX209" s="522"/>
      <c r="EY209" s="522"/>
    </row>
    <row r="210" spans="40:155" ht="19.149999999999999" customHeight="1" x14ac:dyDescent="0.25">
      <c r="AN210" s="580"/>
      <c r="AO210" s="572"/>
      <c r="AP210" s="572"/>
      <c r="AQ210" s="572"/>
      <c r="AR210" s="572"/>
      <c r="AS210" s="572"/>
      <c r="AT210" s="581"/>
      <c r="AU210" s="572"/>
      <c r="AV210" s="572"/>
      <c r="AW210" s="572"/>
      <c r="AX210" s="581"/>
      <c r="AY210" s="572"/>
      <c r="AZ210" s="572"/>
      <c r="BA210" s="572"/>
      <c r="EW210" s="522"/>
      <c r="EX210" s="522"/>
      <c r="EY210" s="522"/>
    </row>
    <row r="211" spans="40:155" ht="19.149999999999999" customHeight="1" x14ac:dyDescent="0.25">
      <c r="AN211" s="580"/>
      <c r="AO211" s="572"/>
      <c r="AP211" s="572"/>
      <c r="AQ211" s="572"/>
      <c r="AR211" s="572"/>
      <c r="AS211" s="572"/>
      <c r="AT211" s="581"/>
      <c r="AU211" s="572"/>
      <c r="AV211" s="572"/>
      <c r="AW211" s="572"/>
      <c r="AX211" s="581"/>
      <c r="AY211" s="572"/>
      <c r="AZ211" s="572"/>
      <c r="BA211" s="572"/>
      <c r="EW211" s="522"/>
      <c r="EX211" s="522"/>
      <c r="EY211" s="522"/>
    </row>
    <row r="212" spans="40:155" ht="19.149999999999999" customHeight="1" x14ac:dyDescent="0.25">
      <c r="AN212" s="580"/>
      <c r="AO212" s="572"/>
      <c r="AP212" s="572"/>
      <c r="AQ212" s="572"/>
      <c r="AR212" s="572"/>
      <c r="AS212" s="572"/>
      <c r="AT212" s="581"/>
      <c r="AU212" s="572"/>
      <c r="AV212" s="572"/>
      <c r="AW212" s="572"/>
      <c r="AX212" s="581"/>
      <c r="AY212" s="572"/>
      <c r="AZ212" s="572"/>
      <c r="BA212" s="572"/>
      <c r="EW212" s="522"/>
      <c r="EX212" s="522"/>
      <c r="EY212" s="522"/>
    </row>
    <row r="213" spans="40:155" ht="19.149999999999999" customHeight="1" x14ac:dyDescent="0.25">
      <c r="AN213" s="580"/>
      <c r="AO213" s="572"/>
      <c r="AP213" s="572"/>
      <c r="AQ213" s="572"/>
      <c r="AR213" s="572"/>
      <c r="AS213" s="572"/>
      <c r="AT213" s="581"/>
      <c r="AU213" s="572"/>
      <c r="AV213" s="572"/>
      <c r="AW213" s="572"/>
      <c r="AX213" s="581"/>
      <c r="AY213" s="572"/>
      <c r="AZ213" s="572"/>
      <c r="BA213" s="572"/>
      <c r="EW213" s="522"/>
      <c r="EX213" s="522"/>
      <c r="EY213" s="522"/>
    </row>
    <row r="214" spans="40:155" ht="19.149999999999999" customHeight="1" x14ac:dyDescent="0.25">
      <c r="AN214" s="580"/>
      <c r="AO214" s="572"/>
      <c r="AP214" s="572"/>
      <c r="AQ214" s="572"/>
      <c r="AR214" s="572"/>
      <c r="AS214" s="572"/>
      <c r="AT214" s="581"/>
      <c r="AU214" s="572"/>
      <c r="AV214" s="572"/>
      <c r="AW214" s="572"/>
      <c r="AX214" s="581"/>
      <c r="AY214" s="572"/>
      <c r="AZ214" s="572"/>
      <c r="BA214" s="572"/>
      <c r="EW214" s="522"/>
      <c r="EX214" s="522"/>
      <c r="EY214" s="522"/>
    </row>
    <row r="215" spans="40:155" ht="19.149999999999999" customHeight="1" x14ac:dyDescent="0.25">
      <c r="AN215" s="580"/>
      <c r="AO215" s="572"/>
      <c r="AP215" s="572"/>
      <c r="AQ215" s="572"/>
      <c r="AR215" s="572"/>
      <c r="AS215" s="572"/>
      <c r="AT215" s="581"/>
      <c r="AU215" s="572"/>
      <c r="AV215" s="572"/>
      <c r="AW215" s="572"/>
      <c r="AX215" s="581"/>
      <c r="AY215" s="572"/>
      <c r="AZ215" s="572"/>
      <c r="BA215" s="572"/>
      <c r="EW215" s="522"/>
      <c r="EX215" s="522"/>
      <c r="EY215" s="522"/>
    </row>
    <row r="216" spans="40:155" ht="19.149999999999999" customHeight="1" x14ac:dyDescent="0.25">
      <c r="AN216" s="580"/>
      <c r="AO216" s="572"/>
      <c r="AP216" s="572"/>
      <c r="AQ216" s="572"/>
      <c r="AR216" s="572"/>
      <c r="AS216" s="572"/>
      <c r="AT216" s="581"/>
      <c r="AU216" s="572"/>
      <c r="AV216" s="572"/>
      <c r="AW216" s="572"/>
      <c r="AX216" s="581"/>
      <c r="AY216" s="572"/>
      <c r="AZ216" s="572"/>
      <c r="BA216" s="572"/>
      <c r="EW216" s="522"/>
      <c r="EX216" s="522"/>
      <c r="EY216" s="522"/>
    </row>
    <row r="217" spans="40:155" ht="19.149999999999999" customHeight="1" x14ac:dyDescent="0.25">
      <c r="AN217" s="580"/>
      <c r="AO217" s="572"/>
      <c r="AP217" s="572"/>
      <c r="AQ217" s="572"/>
      <c r="AR217" s="572"/>
      <c r="AS217" s="572"/>
      <c r="AT217" s="581"/>
      <c r="AU217" s="572"/>
      <c r="AV217" s="572"/>
      <c r="AW217" s="572"/>
      <c r="AX217" s="581"/>
      <c r="AY217" s="572"/>
      <c r="AZ217" s="572"/>
      <c r="BA217" s="572"/>
      <c r="EW217" s="522"/>
      <c r="EX217" s="522"/>
      <c r="EY217" s="522"/>
    </row>
    <row r="218" spans="40:155" ht="19.149999999999999" customHeight="1" x14ac:dyDescent="0.25">
      <c r="AN218" s="580"/>
      <c r="AO218" s="572"/>
      <c r="AP218" s="572"/>
      <c r="AQ218" s="572"/>
      <c r="AR218" s="572"/>
      <c r="AS218" s="572"/>
      <c r="AT218" s="581"/>
      <c r="AU218" s="572"/>
      <c r="AV218" s="572"/>
      <c r="AW218" s="572"/>
      <c r="AX218" s="581"/>
      <c r="AY218" s="572"/>
      <c r="AZ218" s="572"/>
      <c r="BA218" s="572"/>
      <c r="EW218" s="522"/>
      <c r="EX218" s="522"/>
      <c r="EY218" s="522"/>
    </row>
    <row r="219" spans="40:155" ht="19.149999999999999" customHeight="1" x14ac:dyDescent="0.25">
      <c r="AN219" s="580"/>
      <c r="AO219" s="572"/>
      <c r="AP219" s="572"/>
      <c r="AQ219" s="572"/>
      <c r="AR219" s="572"/>
      <c r="AS219" s="572"/>
      <c r="AT219" s="581"/>
      <c r="AU219" s="572"/>
      <c r="AV219" s="572"/>
      <c r="AW219" s="572"/>
      <c r="AX219" s="581"/>
      <c r="AY219" s="572"/>
      <c r="AZ219" s="572"/>
      <c r="BA219" s="572"/>
      <c r="EW219" s="522"/>
      <c r="EX219" s="522"/>
      <c r="EY219" s="522"/>
    </row>
    <row r="220" spans="40:155" ht="19.149999999999999" customHeight="1" x14ac:dyDescent="0.25">
      <c r="AN220" s="580"/>
      <c r="AO220" s="572"/>
      <c r="AP220" s="572"/>
      <c r="AQ220" s="572"/>
      <c r="AR220" s="572"/>
      <c r="AS220" s="572"/>
      <c r="AT220" s="581"/>
      <c r="AU220" s="572"/>
      <c r="AV220" s="572"/>
      <c r="AW220" s="572"/>
      <c r="AX220" s="581"/>
      <c r="AY220" s="572"/>
      <c r="AZ220" s="572"/>
      <c r="BA220" s="572"/>
      <c r="EW220" s="522"/>
      <c r="EX220" s="522"/>
      <c r="EY220" s="522"/>
    </row>
    <row r="221" spans="40:155" ht="19.149999999999999" customHeight="1" x14ac:dyDescent="0.25">
      <c r="AN221" s="580"/>
      <c r="AO221" s="572"/>
      <c r="AP221" s="572"/>
      <c r="AQ221" s="572"/>
      <c r="AR221" s="572"/>
      <c r="AS221" s="572"/>
      <c r="AT221" s="581"/>
      <c r="AU221" s="572"/>
      <c r="AV221" s="572"/>
      <c r="AW221" s="572"/>
      <c r="AX221" s="581"/>
      <c r="AY221" s="572"/>
      <c r="AZ221" s="572"/>
      <c r="BA221" s="572"/>
      <c r="EW221" s="522"/>
      <c r="EX221" s="522"/>
      <c r="EY221" s="522"/>
    </row>
    <row r="222" spans="40:155" ht="19.149999999999999" customHeight="1" x14ac:dyDescent="0.25">
      <c r="AN222" s="580"/>
      <c r="AO222" s="572"/>
      <c r="AP222" s="572"/>
      <c r="AQ222" s="572"/>
      <c r="AR222" s="572"/>
      <c r="AS222" s="572"/>
      <c r="AT222" s="581"/>
      <c r="AU222" s="572"/>
      <c r="AV222" s="572"/>
      <c r="AW222" s="572"/>
      <c r="AX222" s="581"/>
      <c r="AY222" s="572"/>
      <c r="AZ222" s="572"/>
      <c r="BA222" s="572"/>
      <c r="EW222" s="522"/>
      <c r="EX222" s="522"/>
      <c r="EY222" s="522"/>
    </row>
    <row r="223" spans="40:155" ht="19.149999999999999" customHeight="1" x14ac:dyDescent="0.25">
      <c r="AN223" s="580"/>
      <c r="AO223" s="572"/>
      <c r="AP223" s="572"/>
      <c r="AQ223" s="572"/>
      <c r="AR223" s="572"/>
      <c r="AS223" s="572"/>
      <c r="AT223" s="581"/>
      <c r="AU223" s="572"/>
      <c r="AV223" s="572"/>
      <c r="AW223" s="572"/>
      <c r="AX223" s="581"/>
      <c r="AY223" s="572"/>
      <c r="AZ223" s="572"/>
      <c r="BA223" s="572"/>
      <c r="EW223" s="522"/>
      <c r="EX223" s="522"/>
      <c r="EY223" s="522"/>
    </row>
    <row r="224" spans="40:155" ht="19.149999999999999" customHeight="1" x14ac:dyDescent="0.25">
      <c r="AN224" s="580"/>
      <c r="AO224" s="572"/>
      <c r="AP224" s="572"/>
      <c r="AQ224" s="572"/>
      <c r="AR224" s="572"/>
      <c r="AS224" s="572"/>
      <c r="AT224" s="581"/>
      <c r="AU224" s="572"/>
      <c r="AV224" s="572"/>
      <c r="AW224" s="572"/>
      <c r="AX224" s="581"/>
      <c r="AY224" s="572"/>
      <c r="AZ224" s="572"/>
      <c r="BA224" s="572"/>
      <c r="EW224" s="522"/>
      <c r="EX224" s="522"/>
      <c r="EY224" s="522"/>
    </row>
    <row r="225" spans="40:155" ht="19.149999999999999" customHeight="1" x14ac:dyDescent="0.25">
      <c r="AN225" s="580"/>
      <c r="AO225" s="572"/>
      <c r="AP225" s="572"/>
      <c r="AQ225" s="572"/>
      <c r="AR225" s="572"/>
      <c r="AS225" s="572"/>
      <c r="AT225" s="581"/>
      <c r="AU225" s="572"/>
      <c r="AV225" s="572"/>
      <c r="AW225" s="572"/>
      <c r="AX225" s="581"/>
      <c r="AY225" s="572"/>
      <c r="AZ225" s="572"/>
      <c r="BA225" s="572"/>
      <c r="EW225" s="522"/>
      <c r="EX225" s="522"/>
      <c r="EY225" s="522"/>
    </row>
    <row r="226" spans="40:155" ht="19.149999999999999" customHeight="1" x14ac:dyDescent="0.25">
      <c r="AN226" s="580"/>
      <c r="AO226" s="572"/>
      <c r="AP226" s="572"/>
      <c r="AQ226" s="572"/>
      <c r="AR226" s="572"/>
      <c r="AS226" s="572"/>
      <c r="AT226" s="581"/>
      <c r="AU226" s="572"/>
      <c r="AV226" s="572"/>
      <c r="AW226" s="572"/>
      <c r="AX226" s="581"/>
      <c r="AY226" s="572"/>
      <c r="AZ226" s="572"/>
      <c r="BA226" s="572"/>
      <c r="EW226" s="522"/>
      <c r="EX226" s="522"/>
      <c r="EY226" s="522"/>
    </row>
    <row r="227" spans="40:155" ht="19.149999999999999" customHeight="1" x14ac:dyDescent="0.25">
      <c r="AN227" s="580"/>
      <c r="AO227" s="572"/>
      <c r="AP227" s="572"/>
      <c r="AQ227" s="572"/>
      <c r="AR227" s="572"/>
      <c r="AS227" s="572"/>
      <c r="AT227" s="581"/>
      <c r="AU227" s="572"/>
      <c r="AV227" s="572"/>
      <c r="AW227" s="572"/>
      <c r="AX227" s="581"/>
      <c r="AY227" s="572"/>
      <c r="AZ227" s="572"/>
      <c r="BA227" s="572"/>
      <c r="EW227" s="522"/>
      <c r="EX227" s="522"/>
      <c r="EY227" s="522"/>
    </row>
    <row r="228" spans="40:155" ht="19.149999999999999" customHeight="1" x14ac:dyDescent="0.25">
      <c r="AN228" s="580"/>
      <c r="AO228" s="572"/>
      <c r="AP228" s="572"/>
      <c r="AQ228" s="572"/>
      <c r="AR228" s="572"/>
      <c r="AS228" s="572"/>
      <c r="AT228" s="581"/>
      <c r="AU228" s="572"/>
      <c r="AV228" s="572"/>
      <c r="AW228" s="572"/>
      <c r="AX228" s="581"/>
      <c r="AY228" s="572"/>
      <c r="AZ228" s="572"/>
      <c r="BA228" s="572"/>
      <c r="EW228" s="522"/>
      <c r="EX228" s="522"/>
      <c r="EY228" s="522"/>
    </row>
    <row r="229" spans="40:155" ht="19.149999999999999" customHeight="1" x14ac:dyDescent="0.25">
      <c r="AN229" s="580"/>
      <c r="AO229" s="572"/>
      <c r="AP229" s="572"/>
      <c r="AQ229" s="572"/>
      <c r="AR229" s="572"/>
      <c r="AS229" s="572"/>
      <c r="AT229" s="581"/>
      <c r="AU229" s="572"/>
      <c r="AV229" s="572"/>
      <c r="AW229" s="572"/>
      <c r="AX229" s="581"/>
      <c r="AY229" s="572"/>
      <c r="AZ229" s="572"/>
      <c r="BA229" s="572"/>
      <c r="EW229" s="522"/>
      <c r="EX229" s="522"/>
      <c r="EY229" s="522"/>
    </row>
    <row r="230" spans="40:155" ht="19.149999999999999" customHeight="1" x14ac:dyDescent="0.25">
      <c r="AN230" s="580"/>
      <c r="AO230" s="572"/>
      <c r="AP230" s="572"/>
      <c r="AQ230" s="572"/>
      <c r="AR230" s="572"/>
      <c r="AS230" s="572"/>
      <c r="AT230" s="581"/>
      <c r="AU230" s="572"/>
      <c r="AV230" s="572"/>
      <c r="AW230" s="572"/>
      <c r="AX230" s="581"/>
      <c r="AY230" s="572"/>
      <c r="AZ230" s="572"/>
      <c r="BA230" s="572"/>
      <c r="EW230" s="522"/>
      <c r="EX230" s="522"/>
      <c r="EY230" s="522"/>
    </row>
    <row r="231" spans="40:155" ht="19.149999999999999" customHeight="1" x14ac:dyDescent="0.25">
      <c r="AN231" s="580"/>
      <c r="AO231" s="572"/>
      <c r="AP231" s="572"/>
      <c r="AQ231" s="572"/>
      <c r="AR231" s="572"/>
      <c r="AS231" s="572"/>
      <c r="AT231" s="581"/>
      <c r="AU231" s="572"/>
      <c r="AV231" s="572"/>
      <c r="AW231" s="572"/>
      <c r="AX231" s="581"/>
      <c r="AY231" s="572"/>
      <c r="AZ231" s="572"/>
      <c r="BA231" s="572"/>
      <c r="EW231" s="522"/>
      <c r="EX231" s="522"/>
      <c r="EY231" s="522"/>
    </row>
    <row r="232" spans="40:155" ht="19.149999999999999" customHeight="1" x14ac:dyDescent="0.25">
      <c r="AN232" s="580"/>
      <c r="AO232" s="572"/>
      <c r="AP232" s="572"/>
      <c r="AQ232" s="572"/>
      <c r="AR232" s="572"/>
      <c r="AS232" s="572"/>
      <c r="AT232" s="581"/>
      <c r="AU232" s="572"/>
      <c r="AV232" s="572"/>
      <c r="AW232" s="572"/>
      <c r="AX232" s="581"/>
      <c r="AY232" s="572"/>
      <c r="AZ232" s="572"/>
      <c r="BA232" s="572"/>
      <c r="EW232" s="522"/>
      <c r="EX232" s="522"/>
      <c r="EY232" s="522"/>
    </row>
    <row r="233" spans="40:155" ht="19.149999999999999" customHeight="1" x14ac:dyDescent="0.25">
      <c r="AN233" s="580"/>
      <c r="AO233" s="572"/>
      <c r="AP233" s="572"/>
      <c r="AQ233" s="572"/>
      <c r="AR233" s="572"/>
      <c r="AS233" s="572"/>
      <c r="AT233" s="581"/>
      <c r="AU233" s="572"/>
      <c r="AV233" s="572"/>
      <c r="AW233" s="572"/>
      <c r="AX233" s="581"/>
      <c r="AY233" s="572"/>
      <c r="AZ233" s="572"/>
      <c r="BA233" s="572"/>
      <c r="EW233" s="522"/>
      <c r="EX233" s="522"/>
      <c r="EY233" s="522"/>
    </row>
    <row r="234" spans="40:155" ht="19.149999999999999" customHeight="1" x14ac:dyDescent="0.25">
      <c r="AN234" s="580"/>
      <c r="AO234" s="572"/>
      <c r="AP234" s="572"/>
      <c r="AQ234" s="572"/>
      <c r="AR234" s="572"/>
      <c r="AS234" s="572"/>
      <c r="AT234" s="581"/>
      <c r="AU234" s="572"/>
      <c r="AV234" s="572"/>
      <c r="AW234" s="572"/>
      <c r="AX234" s="581"/>
      <c r="AY234" s="572"/>
      <c r="AZ234" s="572"/>
      <c r="BA234" s="572"/>
      <c r="EW234" s="522"/>
      <c r="EX234" s="522"/>
      <c r="EY234" s="522"/>
    </row>
    <row r="235" spans="40:155" ht="19.149999999999999" customHeight="1" x14ac:dyDescent="0.25">
      <c r="AN235" s="580"/>
      <c r="AO235" s="572"/>
      <c r="AP235" s="572"/>
      <c r="AQ235" s="572"/>
      <c r="AR235" s="572"/>
      <c r="AS235" s="572"/>
      <c r="AT235" s="581"/>
      <c r="AU235" s="572"/>
      <c r="AV235" s="572"/>
      <c r="AW235" s="572"/>
      <c r="AX235" s="581"/>
      <c r="AY235" s="572"/>
      <c r="AZ235" s="572"/>
      <c r="BA235" s="572"/>
      <c r="EW235" s="522"/>
      <c r="EX235" s="522"/>
      <c r="EY235" s="522"/>
    </row>
    <row r="236" spans="40:155" ht="19.149999999999999" customHeight="1" x14ac:dyDescent="0.25">
      <c r="AN236" s="580"/>
      <c r="AO236" s="572"/>
      <c r="AP236" s="572"/>
      <c r="AQ236" s="572"/>
      <c r="AR236" s="572"/>
      <c r="AS236" s="572"/>
      <c r="AT236" s="581"/>
      <c r="AU236" s="572"/>
      <c r="AV236" s="572"/>
      <c r="AW236" s="572"/>
      <c r="AX236" s="581"/>
      <c r="AY236" s="572"/>
      <c r="AZ236" s="572"/>
      <c r="BA236" s="572"/>
      <c r="EW236" s="522"/>
      <c r="EX236" s="522"/>
      <c r="EY236" s="522"/>
    </row>
    <row r="237" spans="40:155" ht="19.149999999999999" customHeight="1" x14ac:dyDescent="0.25">
      <c r="AN237" s="580"/>
      <c r="AO237" s="572"/>
      <c r="AP237" s="572"/>
      <c r="AQ237" s="572"/>
      <c r="AR237" s="572"/>
      <c r="AS237" s="572"/>
      <c r="AT237" s="581"/>
      <c r="AU237" s="572"/>
      <c r="AV237" s="572"/>
      <c r="AW237" s="572"/>
      <c r="AX237" s="581"/>
      <c r="AY237" s="572"/>
      <c r="AZ237" s="572"/>
      <c r="BA237" s="572"/>
      <c r="EW237" s="522"/>
      <c r="EX237" s="522"/>
      <c r="EY237" s="522"/>
    </row>
    <row r="238" spans="40:155" ht="19.149999999999999" customHeight="1" x14ac:dyDescent="0.25">
      <c r="AN238" s="580"/>
      <c r="AO238" s="572"/>
      <c r="AP238" s="572"/>
      <c r="AQ238" s="572"/>
      <c r="AR238" s="572"/>
      <c r="AS238" s="572"/>
      <c r="AT238" s="581"/>
      <c r="AU238" s="572"/>
      <c r="AV238" s="572"/>
      <c r="AW238" s="572"/>
      <c r="AX238" s="581"/>
      <c r="AY238" s="572"/>
      <c r="AZ238" s="572"/>
      <c r="BA238" s="572"/>
      <c r="EW238" s="522"/>
      <c r="EX238" s="522"/>
      <c r="EY238" s="522"/>
    </row>
    <row r="239" spans="40:155" ht="19.149999999999999" customHeight="1" x14ac:dyDescent="0.25">
      <c r="AN239" s="580"/>
      <c r="AO239" s="572"/>
      <c r="AP239" s="572"/>
      <c r="AQ239" s="572"/>
      <c r="AR239" s="572"/>
      <c r="AS239" s="572"/>
      <c r="AT239" s="581"/>
      <c r="AU239" s="572"/>
      <c r="AV239" s="572"/>
      <c r="AW239" s="572"/>
      <c r="AX239" s="581"/>
      <c r="AY239" s="572"/>
      <c r="AZ239" s="572"/>
      <c r="BA239" s="572"/>
      <c r="EW239" s="522"/>
      <c r="EX239" s="522"/>
      <c r="EY239" s="522"/>
    </row>
    <row r="240" spans="40:155" ht="19.149999999999999" customHeight="1" x14ac:dyDescent="0.25">
      <c r="AN240" s="580"/>
      <c r="AO240" s="572"/>
      <c r="AP240" s="572"/>
      <c r="AQ240" s="572"/>
      <c r="AR240" s="572"/>
      <c r="AS240" s="572"/>
      <c r="AT240" s="581"/>
      <c r="AU240" s="572"/>
      <c r="AV240" s="572"/>
      <c r="AW240" s="572"/>
      <c r="AX240" s="581"/>
      <c r="AY240" s="572"/>
      <c r="AZ240" s="572"/>
      <c r="BA240" s="572"/>
      <c r="EW240" s="522"/>
      <c r="EX240" s="522"/>
      <c r="EY240" s="522"/>
    </row>
    <row r="241" spans="40:155" ht="19.149999999999999" customHeight="1" x14ac:dyDescent="0.25">
      <c r="AN241" s="580"/>
      <c r="AO241" s="572"/>
      <c r="AP241" s="572"/>
      <c r="AQ241" s="572"/>
      <c r="AR241" s="572"/>
      <c r="AS241" s="572"/>
      <c r="AT241" s="581"/>
      <c r="AU241" s="572"/>
      <c r="AV241" s="572"/>
      <c r="AW241" s="572"/>
      <c r="AX241" s="581"/>
      <c r="AY241" s="572"/>
      <c r="AZ241" s="572"/>
      <c r="BA241" s="572"/>
      <c r="EW241" s="522"/>
      <c r="EX241" s="522"/>
      <c r="EY241" s="522"/>
    </row>
    <row r="242" spans="40:155" ht="19.149999999999999" customHeight="1" x14ac:dyDescent="0.25">
      <c r="AN242" s="580"/>
      <c r="AO242" s="572"/>
      <c r="AP242" s="572"/>
      <c r="AQ242" s="572"/>
      <c r="AR242" s="572"/>
      <c r="AS242" s="572"/>
      <c r="AT242" s="581"/>
      <c r="AU242" s="572"/>
      <c r="AV242" s="572"/>
      <c r="AW242" s="572"/>
      <c r="AX242" s="581"/>
      <c r="AY242" s="572"/>
      <c r="AZ242" s="572"/>
      <c r="BA242" s="572"/>
      <c r="EW242" s="522"/>
      <c r="EX242" s="522"/>
      <c r="EY242" s="522"/>
    </row>
    <row r="243" spans="40:155" ht="19.149999999999999" customHeight="1" x14ac:dyDescent="0.25">
      <c r="AN243" s="580"/>
      <c r="AO243" s="572"/>
      <c r="AP243" s="572"/>
      <c r="AQ243" s="572"/>
      <c r="AR243" s="572"/>
      <c r="AS243" s="572"/>
      <c r="AT243" s="581"/>
      <c r="AU243" s="572"/>
      <c r="AV243" s="572"/>
      <c r="AW243" s="572"/>
      <c r="AX243" s="581"/>
      <c r="AY243" s="572"/>
      <c r="AZ243" s="572"/>
      <c r="BA243" s="572"/>
      <c r="EW243" s="522"/>
      <c r="EX243" s="522"/>
      <c r="EY243" s="522"/>
    </row>
    <row r="244" spans="40:155" ht="19.149999999999999" customHeight="1" x14ac:dyDescent="0.25">
      <c r="AN244" s="580"/>
      <c r="AO244" s="572"/>
      <c r="AP244" s="572"/>
      <c r="AQ244" s="572"/>
      <c r="AR244" s="572"/>
      <c r="AS244" s="572"/>
      <c r="AT244" s="581"/>
      <c r="AU244" s="572"/>
      <c r="AV244" s="572"/>
      <c r="AW244" s="572"/>
      <c r="AX244" s="581"/>
      <c r="AY244" s="572"/>
      <c r="AZ244" s="572"/>
      <c r="BA244" s="572"/>
      <c r="EW244" s="522"/>
      <c r="EX244" s="522"/>
      <c r="EY244" s="522"/>
    </row>
    <row r="245" spans="40:155" ht="19.149999999999999" customHeight="1" x14ac:dyDescent="0.25">
      <c r="AN245" s="580"/>
      <c r="AO245" s="572"/>
      <c r="AP245" s="572"/>
      <c r="AQ245" s="572"/>
      <c r="AR245" s="572"/>
      <c r="AS245" s="572"/>
      <c r="AT245" s="581"/>
      <c r="AU245" s="572"/>
      <c r="AV245" s="572"/>
      <c r="AW245" s="572"/>
      <c r="AX245" s="581"/>
      <c r="AY245" s="572"/>
      <c r="AZ245" s="572"/>
      <c r="BA245" s="572"/>
      <c r="EW245" s="522"/>
      <c r="EX245" s="522"/>
      <c r="EY245" s="522"/>
    </row>
    <row r="246" spans="40:155" ht="19.149999999999999" customHeight="1" x14ac:dyDescent="0.25">
      <c r="AN246" s="580"/>
      <c r="AO246" s="572"/>
      <c r="AP246" s="572"/>
      <c r="AQ246" s="572"/>
      <c r="AR246" s="572"/>
      <c r="AS246" s="572"/>
      <c r="AT246" s="581"/>
      <c r="AU246" s="572"/>
      <c r="AV246" s="572"/>
      <c r="AW246" s="572"/>
      <c r="AX246" s="581"/>
      <c r="AY246" s="572"/>
      <c r="AZ246" s="572"/>
      <c r="BA246" s="572"/>
      <c r="EW246" s="522"/>
      <c r="EX246" s="522"/>
      <c r="EY246" s="522"/>
    </row>
    <row r="247" spans="40:155" ht="19.149999999999999" customHeight="1" x14ac:dyDescent="0.25">
      <c r="AN247" s="580"/>
      <c r="AO247" s="572"/>
      <c r="AP247" s="572"/>
      <c r="AQ247" s="572"/>
      <c r="AR247" s="572"/>
      <c r="AS247" s="572"/>
      <c r="AT247" s="581"/>
      <c r="AU247" s="572"/>
      <c r="AV247" s="572"/>
      <c r="AW247" s="572"/>
      <c r="AX247" s="581"/>
      <c r="AY247" s="572"/>
      <c r="AZ247" s="572"/>
      <c r="BA247" s="572"/>
      <c r="EW247" s="522"/>
      <c r="EX247" s="522"/>
      <c r="EY247" s="522"/>
    </row>
    <row r="248" spans="40:155" ht="19.149999999999999" customHeight="1" x14ac:dyDescent="0.25">
      <c r="AZ248" s="528"/>
      <c r="EW248" s="522"/>
      <c r="EX248" s="522"/>
      <c r="EY248" s="522"/>
    </row>
    <row r="249" spans="40:155" ht="19.149999999999999" customHeight="1" x14ac:dyDescent="0.25">
      <c r="AZ249" s="528"/>
      <c r="EW249" s="522"/>
      <c r="EX249" s="522"/>
      <c r="EY249" s="522"/>
    </row>
    <row r="250" spans="40:155" ht="19.149999999999999" customHeight="1" x14ac:dyDescent="0.25">
      <c r="AZ250" s="528"/>
      <c r="EW250" s="522"/>
      <c r="EX250" s="522"/>
      <c r="EY250" s="522"/>
    </row>
    <row r="251" spans="40:155" ht="19.149999999999999" customHeight="1" x14ac:dyDescent="0.25">
      <c r="AZ251" s="528"/>
      <c r="EW251" s="522"/>
      <c r="EX251" s="522"/>
      <c r="EY251" s="522"/>
    </row>
    <row r="252" spans="40:155" ht="19.149999999999999" customHeight="1" x14ac:dyDescent="0.25">
      <c r="AZ252" s="528"/>
      <c r="EW252" s="522"/>
      <c r="EX252" s="522"/>
      <c r="EY252" s="522"/>
    </row>
    <row r="253" spans="40:155" ht="19.149999999999999" customHeight="1" x14ac:dyDescent="0.25">
      <c r="AZ253" s="528"/>
      <c r="EW253" s="522"/>
      <c r="EX253" s="522"/>
      <c r="EY253" s="522"/>
    </row>
    <row r="254" spans="40:155" ht="19.149999999999999" customHeight="1" x14ac:dyDescent="0.25">
      <c r="AZ254" s="528"/>
      <c r="EW254" s="522"/>
      <c r="EX254" s="522"/>
      <c r="EY254" s="522"/>
    </row>
    <row r="255" spans="40:155" ht="19.149999999999999" customHeight="1" x14ac:dyDescent="0.25">
      <c r="AZ255" s="528"/>
      <c r="EW255" s="522"/>
      <c r="EX255" s="522"/>
      <c r="EY255" s="522"/>
    </row>
    <row r="256" spans="40:155" ht="19.149999999999999" customHeight="1" x14ac:dyDescent="0.25">
      <c r="AZ256" s="528"/>
      <c r="EW256" s="522"/>
      <c r="EX256" s="522"/>
      <c r="EY256" s="522"/>
    </row>
    <row r="257" spans="52:155" ht="19.149999999999999" customHeight="1" x14ac:dyDescent="0.25">
      <c r="AZ257" s="528"/>
      <c r="EW257" s="522"/>
      <c r="EX257" s="522"/>
      <c r="EY257" s="522"/>
    </row>
    <row r="258" spans="52:155" ht="19.149999999999999" customHeight="1" x14ac:dyDescent="0.25">
      <c r="AZ258" s="528"/>
      <c r="EW258" s="522"/>
      <c r="EX258" s="522"/>
      <c r="EY258" s="522"/>
    </row>
    <row r="259" spans="52:155" ht="19.149999999999999" customHeight="1" x14ac:dyDescent="0.25">
      <c r="AZ259" s="528"/>
      <c r="EW259" s="522"/>
      <c r="EX259" s="522"/>
      <c r="EY259" s="522"/>
    </row>
    <row r="260" spans="52:155" ht="19.149999999999999" customHeight="1" x14ac:dyDescent="0.25">
      <c r="AZ260" s="528"/>
      <c r="EW260" s="522"/>
      <c r="EX260" s="522"/>
      <c r="EY260" s="522"/>
    </row>
    <row r="261" spans="52:155" ht="19.149999999999999" customHeight="1" x14ac:dyDescent="0.25">
      <c r="AZ261" s="528"/>
      <c r="EW261" s="522"/>
      <c r="EX261" s="522"/>
      <c r="EY261" s="522"/>
    </row>
    <row r="262" spans="52:155" ht="19.149999999999999" customHeight="1" x14ac:dyDescent="0.25">
      <c r="AZ262" s="528"/>
      <c r="EW262" s="522"/>
      <c r="EX262" s="522"/>
      <c r="EY262" s="522"/>
    </row>
    <row r="263" spans="52:155" ht="19.149999999999999" customHeight="1" x14ac:dyDescent="0.25">
      <c r="AZ263" s="528"/>
      <c r="EW263" s="522"/>
      <c r="EX263" s="522"/>
      <c r="EY263" s="522"/>
    </row>
    <row r="264" spans="52:155" ht="19.149999999999999" customHeight="1" x14ac:dyDescent="0.25">
      <c r="AZ264" s="528"/>
      <c r="EW264" s="522"/>
      <c r="EX264" s="522"/>
      <c r="EY264" s="522"/>
    </row>
    <row r="265" spans="52:155" ht="19.149999999999999" customHeight="1" x14ac:dyDescent="0.25">
      <c r="AZ265" s="528"/>
      <c r="EW265" s="522"/>
      <c r="EX265" s="522"/>
      <c r="EY265" s="522"/>
    </row>
    <row r="266" spans="52:155" ht="19.149999999999999" customHeight="1" x14ac:dyDescent="0.25">
      <c r="AZ266" s="528"/>
      <c r="EW266" s="522"/>
      <c r="EX266" s="522"/>
      <c r="EY266" s="522"/>
    </row>
    <row r="267" spans="52:155" ht="19.149999999999999" customHeight="1" x14ac:dyDescent="0.25">
      <c r="AZ267" s="528"/>
      <c r="EW267" s="522"/>
      <c r="EX267" s="522"/>
      <c r="EY267" s="522"/>
    </row>
    <row r="268" spans="52:155" ht="19.149999999999999" customHeight="1" x14ac:dyDescent="0.25">
      <c r="AZ268" s="528"/>
      <c r="EW268" s="522"/>
      <c r="EX268" s="522"/>
      <c r="EY268" s="522"/>
    </row>
    <row r="269" spans="52:155" ht="19.149999999999999" customHeight="1" x14ac:dyDescent="0.25">
      <c r="AZ269" s="528"/>
      <c r="EW269" s="522"/>
      <c r="EX269" s="522"/>
      <c r="EY269" s="522"/>
    </row>
    <row r="270" spans="52:155" ht="19.149999999999999" customHeight="1" x14ac:dyDescent="0.25">
      <c r="AZ270" s="528"/>
      <c r="EW270" s="522"/>
      <c r="EX270" s="522"/>
      <c r="EY270" s="522"/>
    </row>
    <row r="271" spans="52:155" ht="19.149999999999999" customHeight="1" x14ac:dyDescent="0.25">
      <c r="AZ271" s="528"/>
      <c r="EW271" s="522"/>
      <c r="EX271" s="522"/>
      <c r="EY271" s="522"/>
    </row>
    <row r="272" spans="52:155" ht="19.149999999999999" customHeight="1" x14ac:dyDescent="0.25">
      <c r="AZ272" s="528"/>
      <c r="EW272" s="522"/>
      <c r="EX272" s="522"/>
      <c r="EY272" s="522"/>
    </row>
    <row r="273" spans="52:155" ht="19.149999999999999" customHeight="1" x14ac:dyDescent="0.25">
      <c r="AZ273" s="528"/>
      <c r="EW273" s="522"/>
      <c r="EX273" s="522"/>
      <c r="EY273" s="522"/>
    </row>
    <row r="274" spans="52:155" ht="19.149999999999999" customHeight="1" x14ac:dyDescent="0.25">
      <c r="AZ274" s="528"/>
      <c r="EW274" s="522"/>
      <c r="EX274" s="522"/>
      <c r="EY274" s="522"/>
    </row>
    <row r="275" spans="52:155" ht="19.149999999999999" customHeight="1" x14ac:dyDescent="0.25">
      <c r="AZ275" s="528"/>
      <c r="EW275" s="522"/>
      <c r="EX275" s="522"/>
      <c r="EY275" s="522"/>
    </row>
    <row r="276" spans="52:155" ht="19.149999999999999" customHeight="1" x14ac:dyDescent="0.25">
      <c r="AZ276" s="528"/>
      <c r="EW276" s="522"/>
      <c r="EX276" s="522"/>
      <c r="EY276" s="522"/>
    </row>
    <row r="277" spans="52:155" ht="19.149999999999999" customHeight="1" x14ac:dyDescent="0.25">
      <c r="AZ277" s="528"/>
      <c r="EW277" s="522"/>
      <c r="EX277" s="522"/>
      <c r="EY277" s="522"/>
    </row>
    <row r="278" spans="52:155" ht="19.149999999999999" customHeight="1" x14ac:dyDescent="0.25">
      <c r="AZ278" s="528"/>
      <c r="EW278" s="522"/>
      <c r="EX278" s="522"/>
      <c r="EY278" s="522"/>
    </row>
    <row r="279" spans="52:155" ht="19.149999999999999" customHeight="1" x14ac:dyDescent="0.25">
      <c r="AZ279" s="528"/>
      <c r="EW279" s="522"/>
      <c r="EX279" s="522"/>
      <c r="EY279" s="522"/>
    </row>
    <row r="280" spans="52:155" ht="19.149999999999999" customHeight="1" x14ac:dyDescent="0.25">
      <c r="AZ280" s="528"/>
      <c r="EW280" s="522"/>
      <c r="EX280" s="522"/>
      <c r="EY280" s="522"/>
    </row>
    <row r="281" spans="52:155" ht="19.149999999999999" customHeight="1" x14ac:dyDescent="0.25">
      <c r="AZ281" s="528"/>
      <c r="EW281" s="522"/>
      <c r="EX281" s="522"/>
      <c r="EY281" s="522"/>
    </row>
    <row r="282" spans="52:155" ht="19.149999999999999" customHeight="1" x14ac:dyDescent="0.25">
      <c r="AZ282" s="528"/>
      <c r="EW282" s="522"/>
      <c r="EX282" s="522"/>
      <c r="EY282" s="522"/>
    </row>
    <row r="283" spans="52:155" ht="19.149999999999999" customHeight="1" x14ac:dyDescent="0.25">
      <c r="AZ283" s="528"/>
      <c r="EW283" s="522"/>
      <c r="EX283" s="522"/>
      <c r="EY283" s="522"/>
    </row>
    <row r="284" spans="52:155" ht="19.149999999999999" customHeight="1" x14ac:dyDescent="0.25">
      <c r="AZ284" s="528"/>
      <c r="EW284" s="522"/>
      <c r="EX284" s="522"/>
      <c r="EY284" s="522"/>
    </row>
    <row r="285" spans="52:155" ht="19.149999999999999" customHeight="1" x14ac:dyDescent="0.25">
      <c r="AZ285" s="528"/>
      <c r="EW285" s="522"/>
      <c r="EX285" s="522"/>
      <c r="EY285" s="522"/>
    </row>
    <row r="286" spans="52:155" ht="19.149999999999999" customHeight="1" x14ac:dyDescent="0.25">
      <c r="AZ286" s="528"/>
      <c r="EW286" s="522"/>
      <c r="EX286" s="522"/>
      <c r="EY286" s="522"/>
    </row>
    <row r="287" spans="52:155" ht="19.149999999999999" customHeight="1" x14ac:dyDescent="0.25">
      <c r="AZ287" s="528"/>
      <c r="EW287" s="522"/>
      <c r="EX287" s="522"/>
      <c r="EY287" s="522"/>
    </row>
    <row r="288" spans="52:155" ht="19.149999999999999" customHeight="1" x14ac:dyDescent="0.25">
      <c r="AZ288" s="528"/>
      <c r="EW288" s="522"/>
      <c r="EX288" s="522"/>
      <c r="EY288" s="522"/>
    </row>
    <row r="289" spans="52:155" ht="19.149999999999999" customHeight="1" x14ac:dyDescent="0.25">
      <c r="AZ289" s="528"/>
      <c r="EW289" s="522"/>
      <c r="EX289" s="522"/>
      <c r="EY289" s="522"/>
    </row>
    <row r="290" spans="52:155" ht="19.149999999999999" customHeight="1" x14ac:dyDescent="0.25">
      <c r="AZ290" s="528"/>
      <c r="EW290" s="522"/>
      <c r="EX290" s="522"/>
      <c r="EY290" s="522"/>
    </row>
    <row r="291" spans="52:155" ht="19.149999999999999" customHeight="1" x14ac:dyDescent="0.25">
      <c r="AZ291" s="528"/>
      <c r="EW291" s="522"/>
      <c r="EX291" s="522"/>
      <c r="EY291" s="522"/>
    </row>
    <row r="292" spans="52:155" ht="19.149999999999999" customHeight="1" x14ac:dyDescent="0.25">
      <c r="AZ292" s="528"/>
      <c r="EW292" s="522"/>
      <c r="EX292" s="522"/>
      <c r="EY292" s="522"/>
    </row>
    <row r="293" spans="52:155" ht="19.149999999999999" customHeight="1" x14ac:dyDescent="0.25">
      <c r="AZ293" s="528"/>
      <c r="EW293" s="522"/>
      <c r="EX293" s="522"/>
      <c r="EY293" s="522"/>
    </row>
    <row r="294" spans="52:155" ht="19.149999999999999" customHeight="1" x14ac:dyDescent="0.25">
      <c r="AZ294" s="528"/>
      <c r="EW294" s="522"/>
      <c r="EX294" s="522"/>
      <c r="EY294" s="522"/>
    </row>
    <row r="295" spans="52:155" ht="19.149999999999999" customHeight="1" x14ac:dyDescent="0.25">
      <c r="AZ295" s="528"/>
      <c r="EW295" s="522"/>
      <c r="EX295" s="522"/>
      <c r="EY295" s="522"/>
    </row>
    <row r="296" spans="52:155" ht="19.149999999999999" customHeight="1" x14ac:dyDescent="0.25">
      <c r="AZ296" s="528"/>
      <c r="EW296" s="522"/>
      <c r="EX296" s="522"/>
      <c r="EY296" s="522"/>
    </row>
    <row r="297" spans="52:155" ht="19.149999999999999" customHeight="1" x14ac:dyDescent="0.25">
      <c r="AZ297" s="528"/>
      <c r="EW297" s="522"/>
      <c r="EX297" s="522"/>
      <c r="EY297" s="522"/>
    </row>
    <row r="298" spans="52:155" ht="19.149999999999999" customHeight="1" x14ac:dyDescent="0.25">
      <c r="AZ298" s="528"/>
      <c r="EW298" s="522"/>
      <c r="EX298" s="522"/>
      <c r="EY298" s="522"/>
    </row>
    <row r="299" spans="52:155" ht="19.149999999999999" customHeight="1" x14ac:dyDescent="0.25">
      <c r="AZ299" s="528"/>
      <c r="EW299" s="522"/>
      <c r="EX299" s="522"/>
      <c r="EY299" s="522"/>
    </row>
    <row r="300" spans="52:155" ht="19.149999999999999" customHeight="1" x14ac:dyDescent="0.25">
      <c r="AZ300" s="528"/>
      <c r="EW300" s="522"/>
      <c r="EX300" s="522"/>
      <c r="EY300" s="522"/>
    </row>
    <row r="301" spans="52:155" ht="19.149999999999999" customHeight="1" x14ac:dyDescent="0.25">
      <c r="AZ301" s="528"/>
      <c r="EW301" s="522"/>
      <c r="EX301" s="522"/>
      <c r="EY301" s="522"/>
    </row>
    <row r="302" spans="52:155" ht="19.149999999999999" customHeight="1" x14ac:dyDescent="0.25">
      <c r="AZ302" s="528"/>
      <c r="EW302" s="522"/>
      <c r="EX302" s="522"/>
      <c r="EY302" s="522"/>
    </row>
    <row r="303" spans="52:155" ht="19.149999999999999" customHeight="1" x14ac:dyDescent="0.25">
      <c r="AZ303" s="528"/>
      <c r="EW303" s="522"/>
      <c r="EX303" s="522"/>
      <c r="EY303" s="522"/>
    </row>
    <row r="304" spans="52:155" ht="19.149999999999999" customHeight="1" x14ac:dyDescent="0.25">
      <c r="AZ304" s="528"/>
      <c r="EW304" s="522"/>
      <c r="EX304" s="522"/>
      <c r="EY304" s="522"/>
    </row>
    <row r="305" spans="52:155" ht="19.149999999999999" customHeight="1" x14ac:dyDescent="0.25">
      <c r="AZ305" s="528"/>
      <c r="EW305" s="522"/>
      <c r="EX305" s="522"/>
      <c r="EY305" s="522"/>
    </row>
    <row r="306" spans="52:155" ht="19.149999999999999" customHeight="1" x14ac:dyDescent="0.25">
      <c r="AZ306" s="528"/>
      <c r="EW306" s="522"/>
      <c r="EX306" s="522"/>
      <c r="EY306" s="522"/>
    </row>
    <row r="307" spans="52:155" ht="19.149999999999999" customHeight="1" x14ac:dyDescent="0.25">
      <c r="AZ307" s="528"/>
      <c r="EW307" s="522"/>
      <c r="EX307" s="522"/>
      <c r="EY307" s="522"/>
    </row>
    <row r="308" spans="52:155" ht="19.149999999999999" customHeight="1" x14ac:dyDescent="0.25">
      <c r="AZ308" s="528"/>
      <c r="EW308" s="522"/>
      <c r="EX308" s="522"/>
      <c r="EY308" s="522"/>
    </row>
    <row r="309" spans="52:155" ht="19.149999999999999" customHeight="1" x14ac:dyDescent="0.25">
      <c r="AZ309" s="528"/>
      <c r="EW309" s="522"/>
      <c r="EX309" s="522"/>
      <c r="EY309" s="522"/>
    </row>
    <row r="310" spans="52:155" ht="19.149999999999999" customHeight="1" x14ac:dyDescent="0.25">
      <c r="AZ310" s="528"/>
      <c r="EW310" s="522"/>
      <c r="EX310" s="522"/>
      <c r="EY310" s="522"/>
    </row>
    <row r="311" spans="52:155" ht="19.149999999999999" customHeight="1" x14ac:dyDescent="0.25">
      <c r="AZ311" s="528"/>
      <c r="EW311" s="522"/>
      <c r="EX311" s="522"/>
      <c r="EY311" s="522"/>
    </row>
    <row r="312" spans="52:155" ht="19.149999999999999" customHeight="1" x14ac:dyDescent="0.25">
      <c r="AZ312" s="528"/>
      <c r="EW312" s="522"/>
      <c r="EX312" s="522"/>
      <c r="EY312" s="522"/>
    </row>
    <row r="313" spans="52:155" ht="19.149999999999999" customHeight="1" x14ac:dyDescent="0.25">
      <c r="AZ313" s="528"/>
      <c r="EW313" s="522"/>
      <c r="EX313" s="522"/>
      <c r="EY313" s="522"/>
    </row>
    <row r="314" spans="52:155" ht="19.149999999999999" customHeight="1" x14ac:dyDescent="0.25">
      <c r="AZ314" s="528"/>
      <c r="EW314" s="522"/>
      <c r="EX314" s="522"/>
      <c r="EY314" s="522"/>
    </row>
    <row r="315" spans="52:155" ht="19.149999999999999" customHeight="1" x14ac:dyDescent="0.25">
      <c r="AZ315" s="528"/>
      <c r="EW315" s="522"/>
      <c r="EX315" s="522"/>
      <c r="EY315" s="522"/>
    </row>
    <row r="316" spans="52:155" ht="19.149999999999999" customHeight="1" x14ac:dyDescent="0.25">
      <c r="AZ316" s="528"/>
      <c r="EW316" s="522"/>
      <c r="EX316" s="522"/>
      <c r="EY316" s="522"/>
    </row>
    <row r="317" spans="52:155" ht="19.149999999999999" customHeight="1" x14ac:dyDescent="0.25">
      <c r="AZ317" s="528"/>
      <c r="EW317" s="522"/>
      <c r="EX317" s="522"/>
      <c r="EY317" s="522"/>
    </row>
    <row r="318" spans="52:155" ht="19.149999999999999" customHeight="1" x14ac:dyDescent="0.25">
      <c r="AZ318" s="528"/>
      <c r="EW318" s="522"/>
      <c r="EX318" s="522"/>
      <c r="EY318" s="522"/>
    </row>
    <row r="319" spans="52:155" ht="19.149999999999999" customHeight="1" x14ac:dyDescent="0.25">
      <c r="AZ319" s="528"/>
      <c r="EW319" s="522"/>
      <c r="EX319" s="522"/>
      <c r="EY319" s="522"/>
    </row>
    <row r="320" spans="52:155" ht="19.149999999999999" customHeight="1" x14ac:dyDescent="0.25">
      <c r="AZ320" s="528"/>
      <c r="EW320" s="522"/>
      <c r="EX320" s="522"/>
      <c r="EY320" s="522"/>
    </row>
    <row r="321" spans="52:155" ht="19.149999999999999" customHeight="1" x14ac:dyDescent="0.25">
      <c r="AZ321" s="528"/>
      <c r="EW321" s="522"/>
      <c r="EX321" s="522"/>
      <c r="EY321" s="522"/>
    </row>
    <row r="322" spans="52:155" ht="19.149999999999999" customHeight="1" x14ac:dyDescent="0.25">
      <c r="AZ322" s="528"/>
      <c r="EW322" s="522"/>
      <c r="EX322" s="522"/>
      <c r="EY322" s="522"/>
    </row>
    <row r="323" spans="52:155" ht="19.149999999999999" customHeight="1" x14ac:dyDescent="0.25">
      <c r="AZ323" s="528"/>
      <c r="EW323" s="522"/>
      <c r="EX323" s="522"/>
      <c r="EY323" s="522"/>
    </row>
    <row r="324" spans="52:155" ht="19.149999999999999" customHeight="1" x14ac:dyDescent="0.25">
      <c r="AZ324" s="528"/>
      <c r="EW324" s="522"/>
      <c r="EX324" s="522"/>
      <c r="EY324" s="522"/>
    </row>
    <row r="325" spans="52:155" ht="19.149999999999999" customHeight="1" x14ac:dyDescent="0.25">
      <c r="AZ325" s="528"/>
      <c r="EW325" s="522"/>
      <c r="EX325" s="522"/>
      <c r="EY325" s="522"/>
    </row>
    <row r="326" spans="52:155" ht="19.149999999999999" customHeight="1" x14ac:dyDescent="0.25">
      <c r="AZ326" s="528"/>
      <c r="EW326" s="522"/>
      <c r="EX326" s="522"/>
      <c r="EY326" s="522"/>
    </row>
    <row r="327" spans="52:155" ht="19.149999999999999" customHeight="1" x14ac:dyDescent="0.25">
      <c r="AZ327" s="528"/>
      <c r="EW327" s="522"/>
      <c r="EX327" s="522"/>
      <c r="EY327" s="522"/>
    </row>
    <row r="328" spans="52:155" ht="19.149999999999999" customHeight="1" x14ac:dyDescent="0.25">
      <c r="AZ328" s="528"/>
      <c r="EW328" s="522"/>
      <c r="EX328" s="522"/>
      <c r="EY328" s="522"/>
    </row>
    <row r="329" spans="52:155" ht="19.149999999999999" customHeight="1" x14ac:dyDescent="0.25">
      <c r="AZ329" s="528"/>
      <c r="EW329" s="522"/>
      <c r="EX329" s="522"/>
      <c r="EY329" s="522"/>
    </row>
    <row r="330" spans="52:155" ht="19.149999999999999" customHeight="1" x14ac:dyDescent="0.25">
      <c r="AZ330" s="528"/>
      <c r="EW330" s="522"/>
      <c r="EX330" s="522"/>
      <c r="EY330" s="522"/>
    </row>
    <row r="331" spans="52:155" ht="19.149999999999999" customHeight="1" x14ac:dyDescent="0.25">
      <c r="AZ331" s="528"/>
      <c r="EW331" s="522"/>
      <c r="EX331" s="522"/>
      <c r="EY331" s="522"/>
    </row>
    <row r="332" spans="52:155" ht="19.149999999999999" customHeight="1" x14ac:dyDescent="0.25">
      <c r="AZ332" s="528"/>
      <c r="EW332" s="522"/>
      <c r="EX332" s="522"/>
      <c r="EY332" s="522"/>
    </row>
    <row r="333" spans="52:155" ht="19.149999999999999" customHeight="1" x14ac:dyDescent="0.25">
      <c r="AZ333" s="528"/>
      <c r="EW333" s="522"/>
      <c r="EX333" s="522"/>
      <c r="EY333" s="522"/>
    </row>
    <row r="334" spans="52:155" ht="19.149999999999999" customHeight="1" x14ac:dyDescent="0.25">
      <c r="AZ334" s="528"/>
      <c r="EW334" s="522"/>
      <c r="EX334" s="522"/>
      <c r="EY334" s="522"/>
    </row>
    <row r="335" spans="52:155" ht="19.149999999999999" customHeight="1" x14ac:dyDescent="0.25">
      <c r="AZ335" s="528"/>
      <c r="EW335" s="522"/>
      <c r="EX335" s="522"/>
      <c r="EY335" s="522"/>
    </row>
    <row r="336" spans="52:155" ht="19.149999999999999" customHeight="1" x14ac:dyDescent="0.25">
      <c r="AZ336" s="528"/>
      <c r="EW336" s="522"/>
      <c r="EX336" s="522"/>
      <c r="EY336" s="522"/>
    </row>
    <row r="337" spans="52:155" ht="19.149999999999999" customHeight="1" x14ac:dyDescent="0.25">
      <c r="AZ337" s="528"/>
      <c r="EW337" s="522"/>
      <c r="EX337" s="522"/>
      <c r="EY337" s="522"/>
    </row>
    <row r="338" spans="52:155" ht="19.149999999999999" customHeight="1" x14ac:dyDescent="0.25">
      <c r="AZ338" s="528"/>
      <c r="EW338" s="522"/>
      <c r="EX338" s="522"/>
      <c r="EY338" s="522"/>
    </row>
    <row r="339" spans="52:155" ht="19.149999999999999" customHeight="1" x14ac:dyDescent="0.25">
      <c r="AZ339" s="528"/>
      <c r="EW339" s="522"/>
      <c r="EX339" s="522"/>
      <c r="EY339" s="522"/>
    </row>
    <row r="340" spans="52:155" ht="19.149999999999999" customHeight="1" x14ac:dyDescent="0.25">
      <c r="AZ340" s="528"/>
      <c r="EW340" s="522"/>
      <c r="EX340" s="522"/>
      <c r="EY340" s="522"/>
    </row>
    <row r="341" spans="52:155" ht="19.149999999999999" customHeight="1" x14ac:dyDescent="0.25">
      <c r="AZ341" s="528"/>
      <c r="EW341" s="522"/>
      <c r="EX341" s="522"/>
      <c r="EY341" s="522"/>
    </row>
    <row r="342" spans="52:155" ht="19.149999999999999" customHeight="1" x14ac:dyDescent="0.25">
      <c r="AZ342" s="528"/>
      <c r="EW342" s="522"/>
      <c r="EX342" s="522"/>
      <c r="EY342" s="522"/>
    </row>
    <row r="343" spans="52:155" ht="19.149999999999999" customHeight="1" x14ac:dyDescent="0.25">
      <c r="AZ343" s="528"/>
      <c r="EW343" s="522"/>
      <c r="EX343" s="522"/>
      <c r="EY343" s="522"/>
    </row>
    <row r="344" spans="52:155" ht="19.149999999999999" customHeight="1" x14ac:dyDescent="0.25">
      <c r="AZ344" s="528"/>
      <c r="EW344" s="522"/>
      <c r="EX344" s="522"/>
      <c r="EY344" s="522"/>
    </row>
    <row r="345" spans="52:155" ht="19.149999999999999" customHeight="1" x14ac:dyDescent="0.25">
      <c r="AZ345" s="528"/>
      <c r="EW345" s="522"/>
      <c r="EX345" s="522"/>
      <c r="EY345" s="522"/>
    </row>
    <row r="346" spans="52:155" ht="19.149999999999999" customHeight="1" x14ac:dyDescent="0.25">
      <c r="AZ346" s="528"/>
      <c r="EW346" s="522"/>
      <c r="EX346" s="522"/>
      <c r="EY346" s="522"/>
    </row>
    <row r="347" spans="52:155" ht="19.149999999999999" customHeight="1" x14ac:dyDescent="0.25">
      <c r="AZ347" s="528"/>
      <c r="EW347" s="522"/>
      <c r="EX347" s="522"/>
      <c r="EY347" s="522"/>
    </row>
    <row r="348" spans="52:155" ht="19.149999999999999" customHeight="1" x14ac:dyDescent="0.25">
      <c r="AZ348" s="528"/>
      <c r="EW348" s="522"/>
      <c r="EX348" s="522"/>
      <c r="EY348" s="522"/>
    </row>
    <row r="349" spans="52:155" ht="19.149999999999999" customHeight="1" x14ac:dyDescent="0.25">
      <c r="AZ349" s="528"/>
      <c r="EW349" s="522"/>
      <c r="EX349" s="522"/>
      <c r="EY349" s="522"/>
    </row>
    <row r="350" spans="52:155" ht="19.149999999999999" customHeight="1" x14ac:dyDescent="0.25">
      <c r="AZ350" s="528"/>
      <c r="EW350" s="522"/>
      <c r="EX350" s="522"/>
      <c r="EY350" s="522"/>
    </row>
    <row r="351" spans="52:155" ht="19.149999999999999" customHeight="1" x14ac:dyDescent="0.25">
      <c r="AZ351" s="528"/>
      <c r="EW351" s="522"/>
      <c r="EX351" s="522"/>
      <c r="EY351" s="522"/>
    </row>
    <row r="352" spans="52:155" ht="19.149999999999999" customHeight="1" x14ac:dyDescent="0.25">
      <c r="AZ352" s="528"/>
      <c r="EW352" s="522"/>
      <c r="EX352" s="522"/>
      <c r="EY352" s="522"/>
    </row>
    <row r="353" spans="52:155" ht="19.149999999999999" customHeight="1" x14ac:dyDescent="0.25">
      <c r="AZ353" s="528"/>
      <c r="EW353" s="522"/>
      <c r="EX353" s="522"/>
      <c r="EY353" s="522"/>
    </row>
    <row r="354" spans="52:155" ht="19.149999999999999" customHeight="1" x14ac:dyDescent="0.25">
      <c r="AZ354" s="528"/>
      <c r="EW354" s="522"/>
      <c r="EX354" s="522"/>
      <c r="EY354" s="522"/>
    </row>
    <row r="355" spans="52:155" ht="19.149999999999999" customHeight="1" x14ac:dyDescent="0.25">
      <c r="AZ355" s="528"/>
      <c r="EW355" s="522"/>
      <c r="EX355" s="522"/>
      <c r="EY355" s="522"/>
    </row>
    <row r="356" spans="52:155" ht="19.149999999999999" customHeight="1" x14ac:dyDescent="0.25">
      <c r="AZ356" s="528"/>
      <c r="EW356" s="522"/>
      <c r="EX356" s="522"/>
      <c r="EY356" s="522"/>
    </row>
    <row r="357" spans="52:155" ht="19.149999999999999" customHeight="1" x14ac:dyDescent="0.25">
      <c r="AZ357" s="528"/>
      <c r="EW357" s="522"/>
      <c r="EX357" s="522"/>
      <c r="EY357" s="522"/>
    </row>
    <row r="358" spans="52:155" ht="19.149999999999999" customHeight="1" x14ac:dyDescent="0.25">
      <c r="AZ358" s="528"/>
      <c r="EW358" s="522"/>
      <c r="EX358" s="522"/>
      <c r="EY358" s="522"/>
    </row>
    <row r="359" spans="52:155" ht="19.149999999999999" customHeight="1" x14ac:dyDescent="0.25">
      <c r="AZ359" s="528"/>
      <c r="EW359" s="522"/>
      <c r="EX359" s="522"/>
      <c r="EY359" s="522"/>
    </row>
    <row r="360" spans="52:155" ht="19.149999999999999" customHeight="1" x14ac:dyDescent="0.25">
      <c r="AZ360" s="528"/>
      <c r="EW360" s="522"/>
      <c r="EX360" s="522"/>
      <c r="EY360" s="522"/>
    </row>
    <row r="361" spans="52:155" ht="19.149999999999999" customHeight="1" x14ac:dyDescent="0.25">
      <c r="AZ361" s="528"/>
      <c r="EW361" s="522"/>
      <c r="EX361" s="522"/>
      <c r="EY361" s="522"/>
    </row>
    <row r="362" spans="52:155" ht="19.149999999999999" customHeight="1" x14ac:dyDescent="0.25">
      <c r="AZ362" s="528"/>
      <c r="EW362" s="522"/>
      <c r="EX362" s="522"/>
      <c r="EY362" s="522"/>
    </row>
    <row r="363" spans="52:155" ht="19.149999999999999" customHeight="1" x14ac:dyDescent="0.25">
      <c r="AZ363" s="528"/>
      <c r="EW363" s="522"/>
      <c r="EX363" s="522"/>
      <c r="EY363" s="522"/>
    </row>
    <row r="364" spans="52:155" ht="19.149999999999999" customHeight="1" x14ac:dyDescent="0.25">
      <c r="AZ364" s="528"/>
      <c r="EW364" s="522"/>
      <c r="EX364" s="522"/>
      <c r="EY364" s="522"/>
    </row>
    <row r="365" spans="52:155" ht="19.149999999999999" customHeight="1" x14ac:dyDescent="0.25">
      <c r="AZ365" s="528"/>
      <c r="EW365" s="522"/>
      <c r="EX365" s="522"/>
      <c r="EY365" s="522"/>
    </row>
    <row r="366" spans="52:155" ht="19.149999999999999" customHeight="1" x14ac:dyDescent="0.25">
      <c r="AZ366" s="528"/>
      <c r="EW366" s="522"/>
      <c r="EX366" s="522"/>
      <c r="EY366" s="522"/>
    </row>
    <row r="367" spans="52:155" ht="19.149999999999999" customHeight="1" x14ac:dyDescent="0.25">
      <c r="AZ367" s="528"/>
      <c r="EW367" s="522"/>
      <c r="EX367" s="522"/>
      <c r="EY367" s="522"/>
    </row>
    <row r="368" spans="52:155" ht="19.149999999999999" customHeight="1" x14ac:dyDescent="0.25">
      <c r="AZ368" s="528"/>
      <c r="EW368" s="522"/>
      <c r="EX368" s="522"/>
      <c r="EY368" s="522"/>
    </row>
    <row r="369" spans="52:155" ht="19.149999999999999" customHeight="1" x14ac:dyDescent="0.25">
      <c r="AZ369" s="528"/>
      <c r="EW369" s="522"/>
      <c r="EX369" s="522"/>
      <c r="EY369" s="522"/>
    </row>
    <row r="370" spans="52:155" ht="19.149999999999999" customHeight="1" x14ac:dyDescent="0.25">
      <c r="AZ370" s="528"/>
      <c r="EW370" s="522"/>
      <c r="EX370" s="522"/>
      <c r="EY370" s="522"/>
    </row>
    <row r="371" spans="52:155" ht="19.149999999999999" customHeight="1" x14ac:dyDescent="0.25">
      <c r="AZ371" s="528"/>
      <c r="EW371" s="522"/>
      <c r="EX371" s="522"/>
      <c r="EY371" s="522"/>
    </row>
    <row r="372" spans="52:155" ht="19.149999999999999" customHeight="1" x14ac:dyDescent="0.25">
      <c r="AZ372" s="528"/>
      <c r="EW372" s="522"/>
      <c r="EX372" s="522"/>
      <c r="EY372" s="522"/>
    </row>
    <row r="373" spans="52:155" ht="19.149999999999999" customHeight="1" x14ac:dyDescent="0.25">
      <c r="AZ373" s="528"/>
      <c r="EW373" s="522"/>
      <c r="EX373" s="522"/>
      <c r="EY373" s="522"/>
    </row>
    <row r="374" spans="52:155" ht="19.149999999999999" customHeight="1" x14ac:dyDescent="0.25">
      <c r="AZ374" s="528"/>
      <c r="EW374" s="522"/>
      <c r="EX374" s="522"/>
      <c r="EY374" s="522"/>
    </row>
    <row r="375" spans="52:155" ht="19.149999999999999" customHeight="1" x14ac:dyDescent="0.25">
      <c r="AZ375" s="528"/>
      <c r="EW375" s="522"/>
      <c r="EX375" s="522"/>
      <c r="EY375" s="522"/>
    </row>
    <row r="376" spans="52:155" ht="19.149999999999999" customHeight="1" x14ac:dyDescent="0.25">
      <c r="AZ376" s="528"/>
      <c r="EW376" s="522"/>
      <c r="EX376" s="522"/>
      <c r="EY376" s="522"/>
    </row>
    <row r="377" spans="52:155" ht="19.149999999999999" customHeight="1" x14ac:dyDescent="0.25">
      <c r="AZ377" s="528"/>
      <c r="EW377" s="522"/>
      <c r="EX377" s="522"/>
      <c r="EY377" s="522"/>
    </row>
    <row r="378" spans="52:155" ht="19.149999999999999" customHeight="1" x14ac:dyDescent="0.25">
      <c r="AZ378" s="528"/>
      <c r="EW378" s="522"/>
      <c r="EX378" s="522"/>
      <c r="EY378" s="522"/>
    </row>
    <row r="379" spans="52:155" ht="19.149999999999999" customHeight="1" x14ac:dyDescent="0.25">
      <c r="AZ379" s="528"/>
      <c r="EW379" s="522"/>
      <c r="EX379" s="522"/>
      <c r="EY379" s="522"/>
    </row>
    <row r="380" spans="52:155" ht="19.149999999999999" customHeight="1" x14ac:dyDescent="0.25">
      <c r="AZ380" s="528"/>
      <c r="EW380" s="522"/>
      <c r="EX380" s="522"/>
      <c r="EY380" s="522"/>
    </row>
    <row r="381" spans="52:155" ht="19.149999999999999" customHeight="1" x14ac:dyDescent="0.25">
      <c r="AZ381" s="528"/>
      <c r="EW381" s="522"/>
      <c r="EX381" s="522"/>
      <c r="EY381" s="522"/>
    </row>
    <row r="382" spans="52:155" ht="19.149999999999999" customHeight="1" x14ac:dyDescent="0.25">
      <c r="AZ382" s="528"/>
      <c r="EW382" s="522"/>
      <c r="EX382" s="522"/>
      <c r="EY382" s="522"/>
    </row>
    <row r="383" spans="52:155" ht="19.149999999999999" customHeight="1" x14ac:dyDescent="0.25">
      <c r="AZ383" s="528"/>
      <c r="EW383" s="522"/>
      <c r="EX383" s="522"/>
      <c r="EY383" s="522"/>
    </row>
    <row r="384" spans="52:155" ht="19.149999999999999" customHeight="1" x14ac:dyDescent="0.25">
      <c r="AZ384" s="528"/>
      <c r="EW384" s="522"/>
      <c r="EX384" s="522"/>
      <c r="EY384" s="522"/>
    </row>
    <row r="385" spans="52:155" ht="19.149999999999999" customHeight="1" x14ac:dyDescent="0.25">
      <c r="AZ385" s="528"/>
      <c r="EW385" s="522"/>
      <c r="EX385" s="522"/>
      <c r="EY385" s="522"/>
    </row>
    <row r="386" spans="52:155" ht="19.149999999999999" customHeight="1" x14ac:dyDescent="0.25">
      <c r="AZ386" s="528"/>
      <c r="EW386" s="522"/>
      <c r="EX386" s="522"/>
      <c r="EY386" s="522"/>
    </row>
    <row r="387" spans="52:155" ht="19.149999999999999" customHeight="1" x14ac:dyDescent="0.25">
      <c r="AZ387" s="528"/>
      <c r="EW387" s="522"/>
      <c r="EX387" s="522"/>
      <c r="EY387" s="522"/>
    </row>
    <row r="388" spans="52:155" ht="19.149999999999999" customHeight="1" x14ac:dyDescent="0.25">
      <c r="AZ388" s="528"/>
      <c r="EW388" s="522"/>
      <c r="EX388" s="522"/>
      <c r="EY388" s="522"/>
    </row>
    <row r="389" spans="52:155" ht="19.149999999999999" customHeight="1" x14ac:dyDescent="0.25">
      <c r="AZ389" s="528"/>
      <c r="EW389" s="522"/>
      <c r="EX389" s="522"/>
      <c r="EY389" s="522"/>
    </row>
    <row r="390" spans="52:155" ht="19.149999999999999" customHeight="1" x14ac:dyDescent="0.25">
      <c r="AZ390" s="528"/>
      <c r="EW390" s="522"/>
      <c r="EX390" s="522"/>
      <c r="EY390" s="522"/>
    </row>
    <row r="391" spans="52:155" ht="19.149999999999999" customHeight="1" x14ac:dyDescent="0.25">
      <c r="AZ391" s="528"/>
      <c r="EW391" s="522"/>
      <c r="EX391" s="522"/>
      <c r="EY391" s="522"/>
    </row>
    <row r="392" spans="52:155" ht="19.149999999999999" customHeight="1" x14ac:dyDescent="0.25">
      <c r="AZ392" s="528"/>
      <c r="EW392" s="522"/>
      <c r="EX392" s="522"/>
      <c r="EY392" s="522"/>
    </row>
    <row r="393" spans="52:155" ht="19.149999999999999" customHeight="1" x14ac:dyDescent="0.25">
      <c r="AZ393" s="528"/>
      <c r="EW393" s="522"/>
      <c r="EX393" s="522"/>
      <c r="EY393" s="522"/>
    </row>
    <row r="394" spans="52:155" ht="19.149999999999999" customHeight="1" x14ac:dyDescent="0.25">
      <c r="AZ394" s="528"/>
      <c r="EW394" s="522"/>
      <c r="EX394" s="522"/>
      <c r="EY394" s="522"/>
    </row>
    <row r="395" spans="52:155" ht="19.149999999999999" customHeight="1" x14ac:dyDescent="0.25">
      <c r="AZ395" s="528"/>
      <c r="EW395" s="522"/>
      <c r="EX395" s="522"/>
      <c r="EY395" s="522"/>
    </row>
    <row r="396" spans="52:155" ht="19.149999999999999" customHeight="1" x14ac:dyDescent="0.25">
      <c r="AZ396" s="528"/>
      <c r="EW396" s="522"/>
      <c r="EX396" s="522"/>
      <c r="EY396" s="522"/>
    </row>
    <row r="397" spans="52:155" ht="19.149999999999999" customHeight="1" x14ac:dyDescent="0.25">
      <c r="AZ397" s="528"/>
      <c r="EW397" s="522"/>
      <c r="EX397" s="522"/>
      <c r="EY397" s="522"/>
    </row>
    <row r="398" spans="52:155" ht="19.149999999999999" customHeight="1" x14ac:dyDescent="0.25">
      <c r="AZ398" s="528"/>
      <c r="EW398" s="522"/>
      <c r="EX398" s="522"/>
      <c r="EY398" s="522"/>
    </row>
    <row r="399" spans="52:155" ht="19.149999999999999" customHeight="1" x14ac:dyDescent="0.25">
      <c r="AZ399" s="528"/>
      <c r="EW399" s="522"/>
      <c r="EX399" s="522"/>
      <c r="EY399" s="522"/>
    </row>
    <row r="400" spans="52:155" ht="19.149999999999999" customHeight="1" x14ac:dyDescent="0.25">
      <c r="AZ400" s="528"/>
      <c r="EW400" s="522"/>
      <c r="EX400" s="522"/>
      <c r="EY400" s="522"/>
    </row>
    <row r="401" spans="52:155" ht="19.149999999999999" customHeight="1" x14ac:dyDescent="0.25">
      <c r="AZ401" s="528"/>
      <c r="EW401" s="522"/>
      <c r="EX401" s="522"/>
      <c r="EY401" s="522"/>
    </row>
    <row r="402" spans="52:155" ht="19.149999999999999" customHeight="1" x14ac:dyDescent="0.25">
      <c r="AZ402" s="528"/>
      <c r="EW402" s="522"/>
      <c r="EX402" s="522"/>
      <c r="EY402" s="522"/>
    </row>
    <row r="403" spans="52:155" ht="19.149999999999999" customHeight="1" x14ac:dyDescent="0.25">
      <c r="AZ403" s="528"/>
      <c r="EW403" s="522"/>
      <c r="EX403" s="522"/>
      <c r="EY403" s="522"/>
    </row>
    <row r="404" spans="52:155" ht="19.149999999999999" customHeight="1" x14ac:dyDescent="0.25">
      <c r="AZ404" s="528"/>
      <c r="EW404" s="522"/>
      <c r="EX404" s="522"/>
      <c r="EY404" s="522"/>
    </row>
    <row r="405" spans="52:155" ht="19.149999999999999" customHeight="1" x14ac:dyDescent="0.25">
      <c r="AZ405" s="528"/>
      <c r="EW405" s="522"/>
      <c r="EX405" s="522"/>
      <c r="EY405" s="522"/>
    </row>
    <row r="406" spans="52:155" ht="19.149999999999999" customHeight="1" x14ac:dyDescent="0.25">
      <c r="AZ406" s="528"/>
      <c r="EW406" s="522"/>
      <c r="EX406" s="522"/>
      <c r="EY406" s="522"/>
    </row>
    <row r="407" spans="52:155" ht="19.149999999999999" customHeight="1" x14ac:dyDescent="0.25">
      <c r="AZ407" s="528"/>
      <c r="EW407" s="522"/>
      <c r="EX407" s="522"/>
      <c r="EY407" s="522"/>
    </row>
    <row r="408" spans="52:155" ht="19.149999999999999" customHeight="1" x14ac:dyDescent="0.25">
      <c r="AZ408" s="528"/>
      <c r="EW408" s="522"/>
      <c r="EX408" s="522"/>
      <c r="EY408" s="522"/>
    </row>
    <row r="409" spans="52:155" ht="19.149999999999999" customHeight="1" x14ac:dyDescent="0.25">
      <c r="AZ409" s="528"/>
      <c r="EW409" s="522"/>
      <c r="EX409" s="522"/>
      <c r="EY409" s="522"/>
    </row>
    <row r="410" spans="52:155" ht="19.149999999999999" customHeight="1" x14ac:dyDescent="0.25">
      <c r="AZ410" s="528"/>
      <c r="EW410" s="522"/>
      <c r="EX410" s="522"/>
      <c r="EY410" s="522"/>
    </row>
    <row r="411" spans="52:155" ht="19.149999999999999" customHeight="1" x14ac:dyDescent="0.25">
      <c r="AZ411" s="528"/>
      <c r="EW411" s="522"/>
      <c r="EX411" s="522"/>
      <c r="EY411" s="522"/>
    </row>
    <row r="412" spans="52:155" ht="19.149999999999999" customHeight="1" x14ac:dyDescent="0.25">
      <c r="AZ412" s="528"/>
      <c r="EW412" s="522"/>
      <c r="EX412" s="522"/>
      <c r="EY412" s="522"/>
    </row>
    <row r="413" spans="52:155" ht="19.149999999999999" customHeight="1" x14ac:dyDescent="0.25">
      <c r="AZ413" s="528"/>
      <c r="EW413" s="522"/>
      <c r="EX413" s="522"/>
      <c r="EY413" s="522"/>
    </row>
    <row r="414" spans="52:155" ht="19.149999999999999" customHeight="1" x14ac:dyDescent="0.25">
      <c r="AZ414" s="528"/>
      <c r="EW414" s="522"/>
      <c r="EX414" s="522"/>
      <c r="EY414" s="522"/>
    </row>
    <row r="415" spans="52:155" ht="19.149999999999999" customHeight="1" x14ac:dyDescent="0.25">
      <c r="AZ415" s="528"/>
      <c r="EW415" s="522"/>
      <c r="EX415" s="522"/>
      <c r="EY415" s="522"/>
    </row>
    <row r="416" spans="52:155" ht="19.149999999999999" customHeight="1" x14ac:dyDescent="0.25">
      <c r="AZ416" s="528"/>
      <c r="EW416" s="522"/>
      <c r="EX416" s="522"/>
      <c r="EY416" s="522"/>
    </row>
    <row r="417" spans="52:155" ht="19.149999999999999" customHeight="1" x14ac:dyDescent="0.25">
      <c r="AZ417" s="528"/>
      <c r="EW417" s="522"/>
      <c r="EX417" s="522"/>
      <c r="EY417" s="522"/>
    </row>
    <row r="418" spans="52:155" ht="19.149999999999999" customHeight="1" x14ac:dyDescent="0.25">
      <c r="AZ418" s="528"/>
      <c r="EW418" s="522"/>
      <c r="EX418" s="522"/>
      <c r="EY418" s="522"/>
    </row>
    <row r="419" spans="52:155" ht="19.149999999999999" customHeight="1" x14ac:dyDescent="0.25">
      <c r="AZ419" s="528"/>
      <c r="EW419" s="522"/>
      <c r="EX419" s="522"/>
      <c r="EY419" s="522"/>
    </row>
    <row r="420" spans="52:155" ht="19.149999999999999" customHeight="1" x14ac:dyDescent="0.25">
      <c r="AZ420" s="528"/>
      <c r="EW420" s="522"/>
      <c r="EX420" s="522"/>
      <c r="EY420" s="522"/>
    </row>
    <row r="421" spans="52:155" ht="19.149999999999999" customHeight="1" x14ac:dyDescent="0.25">
      <c r="AZ421" s="528"/>
      <c r="EW421" s="522"/>
      <c r="EX421" s="522"/>
      <c r="EY421" s="522"/>
    </row>
    <row r="422" spans="52:155" ht="19.149999999999999" customHeight="1" x14ac:dyDescent="0.25">
      <c r="AZ422" s="528"/>
      <c r="EW422" s="522"/>
      <c r="EX422" s="522"/>
      <c r="EY422" s="522"/>
    </row>
    <row r="423" spans="52:155" ht="19.149999999999999" customHeight="1" x14ac:dyDescent="0.25">
      <c r="AZ423" s="528"/>
      <c r="EW423" s="522"/>
      <c r="EX423" s="522"/>
      <c r="EY423" s="522"/>
    </row>
    <row r="424" spans="52:155" ht="19.149999999999999" customHeight="1" x14ac:dyDescent="0.25">
      <c r="AZ424" s="528"/>
      <c r="EW424" s="522"/>
      <c r="EX424" s="522"/>
      <c r="EY424" s="522"/>
    </row>
    <row r="425" spans="52:155" ht="19.149999999999999" customHeight="1" x14ac:dyDescent="0.25">
      <c r="AZ425" s="528"/>
      <c r="EW425" s="522"/>
      <c r="EX425" s="522"/>
      <c r="EY425" s="522"/>
    </row>
    <row r="426" spans="52:155" ht="19.149999999999999" customHeight="1" x14ac:dyDescent="0.25">
      <c r="AZ426" s="528"/>
      <c r="EW426" s="522"/>
      <c r="EX426" s="522"/>
      <c r="EY426" s="522"/>
    </row>
    <row r="427" spans="52:155" ht="19.149999999999999" customHeight="1" x14ac:dyDescent="0.25">
      <c r="AZ427" s="528"/>
      <c r="EW427" s="522"/>
      <c r="EX427" s="522"/>
      <c r="EY427" s="522"/>
    </row>
    <row r="428" spans="52:155" ht="19.149999999999999" customHeight="1" x14ac:dyDescent="0.25">
      <c r="AZ428" s="528"/>
      <c r="EW428" s="522"/>
      <c r="EX428" s="522"/>
      <c r="EY428" s="522"/>
    </row>
    <row r="429" spans="52:155" ht="19.149999999999999" customHeight="1" x14ac:dyDescent="0.25">
      <c r="AZ429" s="528"/>
      <c r="EW429" s="522"/>
      <c r="EX429" s="522"/>
      <c r="EY429" s="522"/>
    </row>
    <row r="430" spans="52:155" ht="19.149999999999999" customHeight="1" x14ac:dyDescent="0.25">
      <c r="AZ430" s="528"/>
      <c r="EW430" s="522"/>
      <c r="EX430" s="522"/>
      <c r="EY430" s="522"/>
    </row>
    <row r="431" spans="52:155" ht="19.149999999999999" customHeight="1" x14ac:dyDescent="0.25">
      <c r="AZ431" s="528"/>
      <c r="EW431" s="522"/>
      <c r="EX431" s="522"/>
      <c r="EY431" s="522"/>
    </row>
    <row r="432" spans="52:155" ht="19.149999999999999" customHeight="1" x14ac:dyDescent="0.25">
      <c r="AZ432" s="528"/>
      <c r="EW432" s="522"/>
      <c r="EX432" s="522"/>
      <c r="EY432" s="522"/>
    </row>
    <row r="433" spans="52:155" ht="19.149999999999999" customHeight="1" x14ac:dyDescent="0.25">
      <c r="AZ433" s="528"/>
      <c r="EW433" s="522"/>
      <c r="EX433" s="522"/>
      <c r="EY433" s="522"/>
    </row>
    <row r="434" spans="52:155" ht="19.149999999999999" customHeight="1" x14ac:dyDescent="0.25">
      <c r="AZ434" s="528"/>
      <c r="EW434" s="522"/>
      <c r="EX434" s="522"/>
      <c r="EY434" s="522"/>
    </row>
    <row r="435" spans="52:155" ht="19.149999999999999" customHeight="1" x14ac:dyDescent="0.25">
      <c r="AZ435" s="528"/>
      <c r="EW435" s="522"/>
      <c r="EX435" s="522"/>
      <c r="EY435" s="522"/>
    </row>
    <row r="436" spans="52:155" ht="19.149999999999999" customHeight="1" x14ac:dyDescent="0.25">
      <c r="AZ436" s="528"/>
      <c r="EW436" s="522"/>
      <c r="EX436" s="522"/>
      <c r="EY436" s="522"/>
    </row>
    <row r="437" spans="52:155" ht="19.149999999999999" customHeight="1" x14ac:dyDescent="0.25">
      <c r="AZ437" s="528"/>
      <c r="EW437" s="522"/>
      <c r="EX437" s="522"/>
      <c r="EY437" s="522"/>
    </row>
    <row r="438" spans="52:155" ht="19.149999999999999" customHeight="1" x14ac:dyDescent="0.25">
      <c r="AZ438" s="528"/>
      <c r="EW438" s="522"/>
      <c r="EX438" s="522"/>
      <c r="EY438" s="522"/>
    </row>
    <row r="439" spans="52:155" ht="19.149999999999999" customHeight="1" x14ac:dyDescent="0.25">
      <c r="AZ439" s="528"/>
      <c r="EW439" s="522"/>
      <c r="EX439" s="522"/>
      <c r="EY439" s="522"/>
    </row>
    <row r="440" spans="52:155" ht="19.149999999999999" customHeight="1" x14ac:dyDescent="0.25">
      <c r="AZ440" s="528"/>
      <c r="EW440" s="522"/>
      <c r="EX440" s="522"/>
      <c r="EY440" s="522"/>
    </row>
    <row r="441" spans="52:155" ht="19.149999999999999" customHeight="1" x14ac:dyDescent="0.25">
      <c r="AZ441" s="528"/>
      <c r="EW441" s="522"/>
      <c r="EX441" s="522"/>
      <c r="EY441" s="522"/>
    </row>
    <row r="442" spans="52:155" ht="19.149999999999999" customHeight="1" x14ac:dyDescent="0.25">
      <c r="AZ442" s="528"/>
      <c r="EW442" s="522"/>
      <c r="EX442" s="522"/>
      <c r="EY442" s="522"/>
    </row>
    <row r="443" spans="52:155" ht="19.149999999999999" customHeight="1" x14ac:dyDescent="0.25">
      <c r="AZ443" s="528"/>
      <c r="EW443" s="522"/>
      <c r="EX443" s="522"/>
      <c r="EY443" s="522"/>
    </row>
    <row r="444" spans="52:155" ht="19.149999999999999" customHeight="1" x14ac:dyDescent="0.25">
      <c r="AZ444" s="528"/>
      <c r="EW444" s="522"/>
      <c r="EX444" s="522"/>
      <c r="EY444" s="522"/>
    </row>
    <row r="445" spans="52:155" ht="19.149999999999999" customHeight="1" x14ac:dyDescent="0.25">
      <c r="AZ445" s="528"/>
      <c r="EW445" s="522"/>
      <c r="EX445" s="522"/>
      <c r="EY445" s="522"/>
    </row>
    <row r="446" spans="52:155" ht="19.149999999999999" customHeight="1" x14ac:dyDescent="0.25">
      <c r="AZ446" s="528"/>
      <c r="EW446" s="522"/>
      <c r="EX446" s="522"/>
      <c r="EY446" s="522"/>
    </row>
    <row r="447" spans="52:155" ht="19.149999999999999" customHeight="1" x14ac:dyDescent="0.25">
      <c r="AZ447" s="528"/>
      <c r="EW447" s="522"/>
      <c r="EX447" s="522"/>
      <c r="EY447" s="522"/>
    </row>
    <row r="448" spans="52:155" ht="19.149999999999999" customHeight="1" x14ac:dyDescent="0.25">
      <c r="AZ448" s="528"/>
      <c r="EW448" s="522"/>
      <c r="EX448" s="522"/>
      <c r="EY448" s="522"/>
    </row>
    <row r="449" spans="52:155" ht="19.149999999999999" customHeight="1" x14ac:dyDescent="0.25">
      <c r="AZ449" s="528"/>
      <c r="EW449" s="522"/>
      <c r="EX449" s="522"/>
      <c r="EY449" s="522"/>
    </row>
    <row r="450" spans="52:155" ht="19.149999999999999" customHeight="1" x14ac:dyDescent="0.25">
      <c r="AZ450" s="528"/>
      <c r="EW450" s="522"/>
      <c r="EX450" s="522"/>
      <c r="EY450" s="522"/>
    </row>
    <row r="451" spans="52:155" ht="19.149999999999999" customHeight="1" x14ac:dyDescent="0.25">
      <c r="AZ451" s="528"/>
      <c r="EW451" s="522"/>
      <c r="EX451" s="522"/>
      <c r="EY451" s="522"/>
    </row>
    <row r="452" spans="52:155" ht="19.149999999999999" customHeight="1" x14ac:dyDescent="0.25">
      <c r="AZ452" s="528"/>
      <c r="EW452" s="522"/>
      <c r="EX452" s="522"/>
      <c r="EY452" s="522"/>
    </row>
    <row r="453" spans="52:155" ht="19.149999999999999" customHeight="1" x14ac:dyDescent="0.25">
      <c r="AZ453" s="528"/>
      <c r="EW453" s="522"/>
      <c r="EX453" s="522"/>
      <c r="EY453" s="522"/>
    </row>
    <row r="454" spans="52:155" ht="19.149999999999999" customHeight="1" x14ac:dyDescent="0.25">
      <c r="AZ454" s="528"/>
      <c r="EW454" s="522"/>
      <c r="EX454" s="522"/>
      <c r="EY454" s="522"/>
    </row>
    <row r="455" spans="52:155" ht="19.149999999999999" customHeight="1" x14ac:dyDescent="0.25">
      <c r="AZ455" s="528"/>
      <c r="EW455" s="522"/>
      <c r="EX455" s="522"/>
      <c r="EY455" s="522"/>
    </row>
    <row r="456" spans="52:155" ht="19.149999999999999" customHeight="1" x14ac:dyDescent="0.25">
      <c r="AZ456" s="528"/>
      <c r="EW456" s="522"/>
      <c r="EX456" s="522"/>
      <c r="EY456" s="522"/>
    </row>
    <row r="457" spans="52:155" ht="19.149999999999999" customHeight="1" x14ac:dyDescent="0.25">
      <c r="AZ457" s="528"/>
      <c r="EW457" s="522"/>
      <c r="EX457" s="522"/>
      <c r="EY457" s="522"/>
    </row>
    <row r="458" spans="52:155" ht="19.149999999999999" customHeight="1" x14ac:dyDescent="0.25">
      <c r="AZ458" s="528"/>
      <c r="EW458" s="522"/>
      <c r="EX458" s="522"/>
      <c r="EY458" s="522"/>
    </row>
    <row r="459" spans="52:155" ht="19.149999999999999" customHeight="1" x14ac:dyDescent="0.25">
      <c r="AZ459" s="528"/>
      <c r="EW459" s="522"/>
      <c r="EX459" s="522"/>
      <c r="EY459" s="522"/>
    </row>
    <row r="460" spans="52:155" ht="19.149999999999999" customHeight="1" x14ac:dyDescent="0.25">
      <c r="AZ460" s="528"/>
      <c r="EW460" s="522"/>
      <c r="EX460" s="522"/>
      <c r="EY460" s="522"/>
    </row>
    <row r="461" spans="52:155" ht="19.149999999999999" customHeight="1" x14ac:dyDescent="0.25">
      <c r="AZ461" s="528"/>
      <c r="EW461" s="522"/>
      <c r="EX461" s="522"/>
      <c r="EY461" s="522"/>
    </row>
    <row r="462" spans="52:155" ht="19.149999999999999" customHeight="1" x14ac:dyDescent="0.25">
      <c r="AZ462" s="528"/>
      <c r="EW462" s="522"/>
      <c r="EX462" s="522"/>
      <c r="EY462" s="522"/>
    </row>
    <row r="463" spans="52:155" ht="19.149999999999999" customHeight="1" x14ac:dyDescent="0.25">
      <c r="AZ463" s="528"/>
      <c r="EW463" s="522"/>
      <c r="EX463" s="522"/>
      <c r="EY463" s="522"/>
    </row>
    <row r="464" spans="52:155" ht="19.149999999999999" customHeight="1" x14ac:dyDescent="0.25">
      <c r="AZ464" s="528"/>
      <c r="EW464" s="522"/>
      <c r="EX464" s="522"/>
      <c r="EY464" s="522"/>
    </row>
    <row r="465" spans="52:155" ht="19.149999999999999" customHeight="1" x14ac:dyDescent="0.25">
      <c r="AZ465" s="528"/>
      <c r="EW465" s="522"/>
      <c r="EX465" s="522"/>
      <c r="EY465" s="522"/>
    </row>
    <row r="466" spans="52:155" ht="19.149999999999999" customHeight="1" x14ac:dyDescent="0.25">
      <c r="AZ466" s="528"/>
      <c r="EW466" s="522"/>
      <c r="EX466" s="522"/>
      <c r="EY466" s="522"/>
    </row>
    <row r="467" spans="52:155" ht="19.149999999999999" customHeight="1" x14ac:dyDescent="0.25">
      <c r="AZ467" s="528"/>
      <c r="EW467" s="522"/>
      <c r="EX467" s="522"/>
      <c r="EY467" s="522"/>
    </row>
    <row r="468" spans="52:155" ht="19.149999999999999" customHeight="1" x14ac:dyDescent="0.25">
      <c r="AZ468" s="528"/>
      <c r="EW468" s="522"/>
      <c r="EX468" s="522"/>
      <c r="EY468" s="522"/>
    </row>
    <row r="469" spans="52:155" ht="19.149999999999999" customHeight="1" x14ac:dyDescent="0.25">
      <c r="AZ469" s="528"/>
      <c r="EW469" s="522"/>
      <c r="EX469" s="522"/>
      <c r="EY469" s="522"/>
    </row>
    <row r="470" spans="52:155" ht="19.149999999999999" customHeight="1" x14ac:dyDescent="0.25">
      <c r="AZ470" s="528"/>
      <c r="EW470" s="522"/>
      <c r="EX470" s="522"/>
      <c r="EY470" s="522"/>
    </row>
    <row r="471" spans="52:155" ht="19.149999999999999" customHeight="1" x14ac:dyDescent="0.25">
      <c r="AZ471" s="528"/>
      <c r="EW471" s="522"/>
      <c r="EX471" s="522"/>
      <c r="EY471" s="522"/>
    </row>
    <row r="472" spans="52:155" ht="19.149999999999999" customHeight="1" x14ac:dyDescent="0.25">
      <c r="AZ472" s="528"/>
      <c r="EW472" s="522"/>
      <c r="EX472" s="522"/>
      <c r="EY472" s="522"/>
    </row>
    <row r="473" spans="52:155" ht="19.149999999999999" customHeight="1" x14ac:dyDescent="0.25">
      <c r="AZ473" s="528"/>
      <c r="EW473" s="522"/>
      <c r="EX473" s="522"/>
      <c r="EY473" s="522"/>
    </row>
    <row r="474" spans="52:155" ht="19.149999999999999" customHeight="1" x14ac:dyDescent="0.25">
      <c r="AZ474" s="528"/>
      <c r="EW474" s="522"/>
      <c r="EX474" s="522"/>
      <c r="EY474" s="522"/>
    </row>
    <row r="475" spans="52:155" ht="19.149999999999999" customHeight="1" x14ac:dyDescent="0.25">
      <c r="AZ475" s="528"/>
      <c r="EW475" s="522"/>
      <c r="EX475" s="522"/>
      <c r="EY475" s="522"/>
    </row>
    <row r="476" spans="52:155" ht="19.149999999999999" customHeight="1" x14ac:dyDescent="0.25">
      <c r="AZ476" s="528"/>
      <c r="EW476" s="522"/>
      <c r="EX476" s="522"/>
      <c r="EY476" s="522"/>
    </row>
    <row r="477" spans="52:155" ht="19.149999999999999" customHeight="1" x14ac:dyDescent="0.25">
      <c r="AZ477" s="528"/>
      <c r="EW477" s="522"/>
      <c r="EX477" s="522"/>
      <c r="EY477" s="522"/>
    </row>
    <row r="478" spans="52:155" ht="19.149999999999999" customHeight="1" x14ac:dyDescent="0.25">
      <c r="AZ478" s="528"/>
      <c r="EW478" s="522"/>
      <c r="EX478" s="522"/>
      <c r="EY478" s="522"/>
    </row>
    <row r="479" spans="52:155" ht="19.149999999999999" customHeight="1" x14ac:dyDescent="0.25">
      <c r="AZ479" s="528"/>
      <c r="EW479" s="522"/>
      <c r="EX479" s="522"/>
      <c r="EY479" s="522"/>
    </row>
    <row r="480" spans="52:155" ht="19.149999999999999" customHeight="1" x14ac:dyDescent="0.25">
      <c r="AZ480" s="528"/>
      <c r="EW480" s="522"/>
      <c r="EX480" s="522"/>
      <c r="EY480" s="522"/>
    </row>
    <row r="481" spans="52:155" ht="19.149999999999999" customHeight="1" x14ac:dyDescent="0.25">
      <c r="AZ481" s="528"/>
      <c r="EW481" s="522"/>
      <c r="EX481" s="522"/>
      <c r="EY481" s="522"/>
    </row>
    <row r="482" spans="52:155" ht="19.149999999999999" customHeight="1" x14ac:dyDescent="0.25">
      <c r="AZ482" s="528"/>
      <c r="EW482" s="522"/>
      <c r="EX482" s="522"/>
      <c r="EY482" s="522"/>
    </row>
    <row r="483" spans="52:155" ht="19.149999999999999" customHeight="1" x14ac:dyDescent="0.25">
      <c r="AZ483" s="528"/>
      <c r="EW483" s="522"/>
      <c r="EX483" s="522"/>
      <c r="EY483" s="522"/>
    </row>
    <row r="484" spans="52:155" ht="19.149999999999999" customHeight="1" x14ac:dyDescent="0.25">
      <c r="AZ484" s="528"/>
      <c r="EW484" s="522"/>
      <c r="EX484" s="522"/>
      <c r="EY484" s="522"/>
    </row>
    <row r="485" spans="52:155" ht="19.149999999999999" customHeight="1" x14ac:dyDescent="0.25">
      <c r="AZ485" s="528"/>
      <c r="EW485" s="522"/>
      <c r="EX485" s="522"/>
      <c r="EY485" s="522"/>
    </row>
    <row r="486" spans="52:155" ht="19.149999999999999" customHeight="1" x14ac:dyDescent="0.25">
      <c r="AZ486" s="528"/>
      <c r="EW486" s="522"/>
      <c r="EX486" s="522"/>
      <c r="EY486" s="522"/>
    </row>
    <row r="487" spans="52:155" ht="19.149999999999999" customHeight="1" x14ac:dyDescent="0.25">
      <c r="AZ487" s="528"/>
      <c r="EW487" s="522"/>
      <c r="EX487" s="522"/>
      <c r="EY487" s="522"/>
    </row>
    <row r="488" spans="52:155" ht="19.149999999999999" customHeight="1" x14ac:dyDescent="0.25">
      <c r="AZ488" s="528"/>
      <c r="EW488" s="522"/>
      <c r="EX488" s="522"/>
      <c r="EY488" s="522"/>
    </row>
    <row r="489" spans="52:155" ht="19.149999999999999" customHeight="1" x14ac:dyDescent="0.25">
      <c r="AZ489" s="528"/>
      <c r="EW489" s="522"/>
      <c r="EX489" s="522"/>
      <c r="EY489" s="522"/>
    </row>
    <row r="490" spans="52:155" ht="19.149999999999999" customHeight="1" x14ac:dyDescent="0.25">
      <c r="AZ490" s="528"/>
      <c r="EW490" s="522"/>
      <c r="EX490" s="522"/>
      <c r="EY490" s="522"/>
    </row>
    <row r="491" spans="52:155" ht="19.149999999999999" customHeight="1" x14ac:dyDescent="0.25">
      <c r="AZ491" s="528"/>
      <c r="EW491" s="522"/>
      <c r="EX491" s="522"/>
      <c r="EY491" s="522"/>
    </row>
    <row r="492" spans="52:155" ht="19.149999999999999" customHeight="1" x14ac:dyDescent="0.25">
      <c r="AZ492" s="528"/>
      <c r="EW492" s="522"/>
      <c r="EX492" s="522"/>
      <c r="EY492" s="522"/>
    </row>
    <row r="493" spans="52:155" ht="19.149999999999999" customHeight="1" x14ac:dyDescent="0.25">
      <c r="AZ493" s="528"/>
      <c r="EW493" s="522"/>
      <c r="EX493" s="522"/>
      <c r="EY493" s="522"/>
    </row>
    <row r="494" spans="52:155" ht="19.149999999999999" customHeight="1" x14ac:dyDescent="0.25">
      <c r="AZ494" s="528"/>
      <c r="EW494" s="522"/>
      <c r="EX494" s="522"/>
      <c r="EY494" s="522"/>
    </row>
    <row r="495" spans="52:155" ht="19.149999999999999" customHeight="1" x14ac:dyDescent="0.25">
      <c r="AZ495" s="528"/>
      <c r="EW495" s="522"/>
      <c r="EX495" s="522"/>
      <c r="EY495" s="522"/>
    </row>
    <row r="496" spans="52:155" ht="19.149999999999999" customHeight="1" x14ac:dyDescent="0.25">
      <c r="AZ496" s="528"/>
      <c r="EW496" s="522"/>
      <c r="EX496" s="522"/>
      <c r="EY496" s="522"/>
    </row>
    <row r="497" spans="52:155" ht="19.149999999999999" customHeight="1" x14ac:dyDescent="0.25">
      <c r="AZ497" s="528"/>
      <c r="EW497" s="522"/>
      <c r="EX497" s="522"/>
      <c r="EY497" s="522"/>
    </row>
    <row r="498" spans="52:155" ht="19.149999999999999" customHeight="1" x14ac:dyDescent="0.25">
      <c r="AZ498" s="528"/>
      <c r="EW498" s="522"/>
      <c r="EX498" s="522"/>
      <c r="EY498" s="522"/>
    </row>
    <row r="499" spans="52:155" ht="19.149999999999999" customHeight="1" x14ac:dyDescent="0.25">
      <c r="AZ499" s="528"/>
      <c r="EW499" s="522"/>
      <c r="EX499" s="522"/>
      <c r="EY499" s="522"/>
    </row>
    <row r="500" spans="52:155" ht="19.149999999999999" customHeight="1" x14ac:dyDescent="0.25">
      <c r="AZ500" s="528"/>
      <c r="EW500" s="522"/>
      <c r="EX500" s="522"/>
      <c r="EY500" s="522"/>
    </row>
    <row r="501" spans="52:155" ht="19.149999999999999" customHeight="1" x14ac:dyDescent="0.25">
      <c r="AZ501" s="528"/>
      <c r="EW501" s="522"/>
      <c r="EX501" s="522"/>
      <c r="EY501" s="522"/>
    </row>
    <row r="502" spans="52:155" ht="19.149999999999999" customHeight="1" x14ac:dyDescent="0.25">
      <c r="AZ502" s="528"/>
      <c r="EW502" s="522"/>
      <c r="EX502" s="522"/>
      <c r="EY502" s="522"/>
    </row>
    <row r="503" spans="52:155" ht="19.149999999999999" customHeight="1" x14ac:dyDescent="0.25">
      <c r="AZ503" s="528"/>
      <c r="EW503" s="522"/>
      <c r="EX503" s="522"/>
      <c r="EY503" s="522"/>
    </row>
    <row r="504" spans="52:155" ht="19.149999999999999" customHeight="1" x14ac:dyDescent="0.25">
      <c r="AZ504" s="528"/>
      <c r="EW504" s="522"/>
      <c r="EX504" s="522"/>
      <c r="EY504" s="522"/>
    </row>
    <row r="505" spans="52:155" ht="19.149999999999999" customHeight="1" x14ac:dyDescent="0.25">
      <c r="AZ505" s="528"/>
      <c r="EW505" s="522"/>
      <c r="EX505" s="522"/>
      <c r="EY505" s="522"/>
    </row>
    <row r="506" spans="52:155" ht="19.149999999999999" customHeight="1" x14ac:dyDescent="0.25">
      <c r="AZ506" s="528"/>
      <c r="EW506" s="522"/>
      <c r="EX506" s="522"/>
      <c r="EY506" s="522"/>
    </row>
    <row r="507" spans="52:155" ht="19.149999999999999" customHeight="1" x14ac:dyDescent="0.25">
      <c r="AZ507" s="528"/>
      <c r="EW507" s="522"/>
      <c r="EX507" s="522"/>
      <c r="EY507" s="522"/>
    </row>
    <row r="508" spans="52:155" ht="19.149999999999999" customHeight="1" x14ac:dyDescent="0.25">
      <c r="AZ508" s="528"/>
      <c r="EW508" s="522"/>
      <c r="EX508" s="522"/>
      <c r="EY508" s="522"/>
    </row>
    <row r="509" spans="52:155" ht="19.149999999999999" customHeight="1" x14ac:dyDescent="0.25">
      <c r="AZ509" s="528"/>
      <c r="EW509" s="522"/>
      <c r="EX509" s="522"/>
      <c r="EY509" s="522"/>
    </row>
    <row r="510" spans="52:155" ht="19.149999999999999" customHeight="1" x14ac:dyDescent="0.25">
      <c r="AZ510" s="528"/>
      <c r="EW510" s="522"/>
      <c r="EX510" s="522"/>
      <c r="EY510" s="522"/>
    </row>
    <row r="511" spans="52:155" ht="19.149999999999999" customHeight="1" x14ac:dyDescent="0.25">
      <c r="AZ511" s="528"/>
      <c r="EW511" s="522"/>
      <c r="EX511" s="522"/>
      <c r="EY511" s="522"/>
    </row>
    <row r="512" spans="52:155" ht="19.149999999999999" customHeight="1" x14ac:dyDescent="0.25">
      <c r="AZ512" s="528"/>
      <c r="EW512" s="522"/>
      <c r="EX512" s="522"/>
      <c r="EY512" s="522"/>
    </row>
    <row r="513" spans="52:155" ht="19.149999999999999" customHeight="1" x14ac:dyDescent="0.25">
      <c r="AZ513" s="528"/>
      <c r="EW513" s="522"/>
      <c r="EX513" s="522"/>
      <c r="EY513" s="522"/>
    </row>
    <row r="514" spans="52:155" ht="19.149999999999999" customHeight="1" x14ac:dyDescent="0.25">
      <c r="AZ514" s="528"/>
      <c r="EW514" s="522"/>
      <c r="EX514" s="522"/>
      <c r="EY514" s="522"/>
    </row>
    <row r="515" spans="52:155" ht="19.149999999999999" customHeight="1" x14ac:dyDescent="0.25">
      <c r="AZ515" s="528"/>
      <c r="EW515" s="522"/>
      <c r="EX515" s="522"/>
      <c r="EY515" s="522"/>
    </row>
    <row r="516" spans="52:155" ht="19.149999999999999" customHeight="1" x14ac:dyDescent="0.25">
      <c r="AZ516" s="528"/>
      <c r="EW516" s="522"/>
      <c r="EX516" s="522"/>
      <c r="EY516" s="522"/>
    </row>
    <row r="517" spans="52:155" ht="19.149999999999999" customHeight="1" x14ac:dyDescent="0.25">
      <c r="AZ517" s="528"/>
      <c r="EW517" s="522"/>
      <c r="EX517" s="522"/>
      <c r="EY517" s="522"/>
    </row>
    <row r="518" spans="52:155" ht="19.149999999999999" customHeight="1" x14ac:dyDescent="0.25">
      <c r="AZ518" s="528"/>
      <c r="EW518" s="522"/>
      <c r="EX518" s="522"/>
      <c r="EY518" s="522"/>
    </row>
    <row r="519" spans="52:155" ht="19.149999999999999" customHeight="1" x14ac:dyDescent="0.25">
      <c r="AZ519" s="528"/>
      <c r="EW519" s="522"/>
      <c r="EX519" s="522"/>
      <c r="EY519" s="522"/>
    </row>
    <row r="520" spans="52:155" ht="19.149999999999999" customHeight="1" x14ac:dyDescent="0.25">
      <c r="AZ520" s="528"/>
      <c r="EW520" s="522"/>
      <c r="EX520" s="522"/>
      <c r="EY520" s="522"/>
    </row>
    <row r="521" spans="52:155" ht="19.149999999999999" customHeight="1" x14ac:dyDescent="0.25">
      <c r="AZ521" s="528"/>
      <c r="EW521" s="522"/>
      <c r="EX521" s="522"/>
      <c r="EY521" s="522"/>
    </row>
    <row r="522" spans="52:155" ht="19.149999999999999" customHeight="1" x14ac:dyDescent="0.25">
      <c r="AZ522" s="528"/>
      <c r="EW522" s="522"/>
      <c r="EX522" s="522"/>
      <c r="EY522" s="522"/>
    </row>
    <row r="523" spans="52:155" ht="19.149999999999999" customHeight="1" x14ac:dyDescent="0.25">
      <c r="AZ523" s="528"/>
      <c r="EW523" s="522"/>
      <c r="EX523" s="522"/>
      <c r="EY523" s="522"/>
    </row>
    <row r="524" spans="52:155" ht="19.149999999999999" customHeight="1" x14ac:dyDescent="0.25">
      <c r="AZ524" s="528"/>
      <c r="EW524" s="522"/>
      <c r="EX524" s="522"/>
      <c r="EY524" s="522"/>
    </row>
    <row r="525" spans="52:155" ht="19.149999999999999" customHeight="1" x14ac:dyDescent="0.25">
      <c r="AZ525" s="528"/>
      <c r="EW525" s="522"/>
      <c r="EX525" s="522"/>
      <c r="EY525" s="522"/>
    </row>
    <row r="526" spans="52:155" ht="19.149999999999999" customHeight="1" x14ac:dyDescent="0.25">
      <c r="AZ526" s="528"/>
      <c r="EW526" s="522"/>
      <c r="EX526" s="522"/>
      <c r="EY526" s="522"/>
    </row>
    <row r="527" spans="52:155" ht="19.149999999999999" customHeight="1" x14ac:dyDescent="0.25">
      <c r="AZ527" s="528"/>
      <c r="EW527" s="522"/>
      <c r="EX527" s="522"/>
      <c r="EY527" s="522"/>
    </row>
    <row r="528" spans="52:155" ht="19.149999999999999" customHeight="1" x14ac:dyDescent="0.25">
      <c r="AZ528" s="528"/>
      <c r="EW528" s="522"/>
      <c r="EX528" s="522"/>
      <c r="EY528" s="522"/>
    </row>
    <row r="529" spans="52:155" ht="19.149999999999999" customHeight="1" x14ac:dyDescent="0.25">
      <c r="AZ529" s="528"/>
      <c r="EW529" s="522"/>
      <c r="EX529" s="522"/>
      <c r="EY529" s="522"/>
    </row>
    <row r="530" spans="52:155" ht="19.149999999999999" customHeight="1" x14ac:dyDescent="0.25">
      <c r="AZ530" s="528"/>
      <c r="EW530" s="522"/>
      <c r="EX530" s="522"/>
      <c r="EY530" s="522"/>
    </row>
    <row r="531" spans="52:155" ht="19.149999999999999" customHeight="1" x14ac:dyDescent="0.25">
      <c r="AZ531" s="528"/>
      <c r="EW531" s="522"/>
      <c r="EX531" s="522"/>
      <c r="EY531" s="522"/>
    </row>
    <row r="532" spans="52:155" ht="19.149999999999999" customHeight="1" x14ac:dyDescent="0.25">
      <c r="AZ532" s="528"/>
      <c r="EW532" s="522"/>
      <c r="EX532" s="522"/>
      <c r="EY532" s="522"/>
    </row>
    <row r="533" spans="52:155" ht="19.149999999999999" customHeight="1" x14ac:dyDescent="0.25">
      <c r="AZ533" s="528"/>
      <c r="EW533" s="522"/>
      <c r="EX533" s="522"/>
      <c r="EY533" s="522"/>
    </row>
    <row r="534" spans="52:155" ht="19.149999999999999" customHeight="1" x14ac:dyDescent="0.25">
      <c r="AZ534" s="528"/>
      <c r="EW534" s="522"/>
      <c r="EX534" s="522"/>
      <c r="EY534" s="522"/>
    </row>
    <row r="535" spans="52:155" ht="19.149999999999999" customHeight="1" x14ac:dyDescent="0.25">
      <c r="AZ535" s="528"/>
      <c r="EW535" s="522"/>
      <c r="EX535" s="522"/>
      <c r="EY535" s="522"/>
    </row>
    <row r="536" spans="52:155" ht="19.149999999999999" customHeight="1" x14ac:dyDescent="0.25">
      <c r="AZ536" s="528"/>
      <c r="EW536" s="522"/>
      <c r="EX536" s="522"/>
      <c r="EY536" s="522"/>
    </row>
    <row r="537" spans="52:155" ht="19.149999999999999" customHeight="1" x14ac:dyDescent="0.25">
      <c r="AZ537" s="528"/>
      <c r="EW537" s="522"/>
      <c r="EX537" s="522"/>
      <c r="EY537" s="522"/>
    </row>
    <row r="538" spans="52:155" ht="19.149999999999999" customHeight="1" x14ac:dyDescent="0.25">
      <c r="AZ538" s="528"/>
      <c r="EW538" s="522"/>
      <c r="EX538" s="522"/>
      <c r="EY538" s="522"/>
    </row>
    <row r="539" spans="52:155" ht="19.149999999999999" customHeight="1" x14ac:dyDescent="0.25">
      <c r="AZ539" s="528"/>
      <c r="EW539" s="522"/>
      <c r="EX539" s="522"/>
      <c r="EY539" s="522"/>
    </row>
    <row r="540" spans="52:155" ht="19.149999999999999" customHeight="1" x14ac:dyDescent="0.25">
      <c r="AZ540" s="528"/>
      <c r="EW540" s="522"/>
      <c r="EX540" s="522"/>
      <c r="EY540" s="522"/>
    </row>
    <row r="541" spans="52:155" ht="19.149999999999999" customHeight="1" x14ac:dyDescent="0.25">
      <c r="AZ541" s="528"/>
      <c r="EW541" s="522"/>
      <c r="EX541" s="522"/>
      <c r="EY541" s="522"/>
    </row>
    <row r="542" spans="52:155" ht="19.149999999999999" customHeight="1" x14ac:dyDescent="0.25">
      <c r="AZ542" s="528"/>
      <c r="EW542" s="522"/>
      <c r="EX542" s="522"/>
      <c r="EY542" s="522"/>
    </row>
    <row r="543" spans="52:155" ht="19.149999999999999" customHeight="1" x14ac:dyDescent="0.25">
      <c r="AZ543" s="528"/>
      <c r="EW543" s="522"/>
      <c r="EX543" s="522"/>
      <c r="EY543" s="522"/>
    </row>
    <row r="544" spans="52:155" ht="19.149999999999999" customHeight="1" x14ac:dyDescent="0.25">
      <c r="AZ544" s="528"/>
      <c r="EW544" s="522"/>
      <c r="EX544" s="522"/>
      <c r="EY544" s="522"/>
    </row>
    <row r="545" spans="52:155" ht="19.149999999999999" customHeight="1" x14ac:dyDescent="0.25">
      <c r="AZ545" s="528"/>
      <c r="EW545" s="522"/>
      <c r="EX545" s="522"/>
      <c r="EY545" s="522"/>
    </row>
    <row r="546" spans="52:155" ht="19.149999999999999" customHeight="1" x14ac:dyDescent="0.25">
      <c r="AZ546" s="528"/>
      <c r="EW546" s="522"/>
      <c r="EX546" s="522"/>
      <c r="EY546" s="522"/>
    </row>
    <row r="547" spans="52:155" ht="19.149999999999999" customHeight="1" x14ac:dyDescent="0.25">
      <c r="AZ547" s="528"/>
      <c r="EW547" s="522"/>
      <c r="EX547" s="522"/>
      <c r="EY547" s="522"/>
    </row>
    <row r="548" spans="52:155" ht="19.149999999999999" customHeight="1" x14ac:dyDescent="0.25">
      <c r="AZ548" s="528"/>
      <c r="EW548" s="522"/>
      <c r="EX548" s="522"/>
      <c r="EY548" s="522"/>
    </row>
    <row r="549" spans="52:155" ht="19.149999999999999" customHeight="1" x14ac:dyDescent="0.25">
      <c r="AZ549" s="528"/>
      <c r="EW549" s="522"/>
      <c r="EX549" s="522"/>
      <c r="EY549" s="522"/>
    </row>
    <row r="550" spans="52:155" ht="19.149999999999999" customHeight="1" x14ac:dyDescent="0.25">
      <c r="AZ550" s="528"/>
      <c r="EW550" s="522"/>
      <c r="EX550" s="522"/>
      <c r="EY550" s="522"/>
    </row>
    <row r="551" spans="52:155" ht="19.149999999999999" customHeight="1" x14ac:dyDescent="0.25">
      <c r="AZ551" s="528"/>
      <c r="EW551" s="522"/>
      <c r="EX551" s="522"/>
      <c r="EY551" s="522"/>
    </row>
    <row r="552" spans="52:155" ht="19.149999999999999" customHeight="1" x14ac:dyDescent="0.25">
      <c r="AZ552" s="528"/>
      <c r="EW552" s="522"/>
      <c r="EX552" s="522"/>
      <c r="EY552" s="522"/>
    </row>
    <row r="553" spans="52:155" ht="19.149999999999999" customHeight="1" x14ac:dyDescent="0.25">
      <c r="AZ553" s="528"/>
      <c r="EW553" s="522"/>
      <c r="EX553" s="522"/>
      <c r="EY553" s="522"/>
    </row>
    <row r="554" spans="52:155" ht="19.149999999999999" customHeight="1" x14ac:dyDescent="0.25">
      <c r="AZ554" s="528"/>
      <c r="EW554" s="522"/>
      <c r="EX554" s="522"/>
      <c r="EY554" s="522"/>
    </row>
    <row r="555" spans="52:155" ht="19.149999999999999" customHeight="1" x14ac:dyDescent="0.25">
      <c r="AZ555" s="528"/>
      <c r="EW555" s="522"/>
      <c r="EX555" s="522"/>
      <c r="EY555" s="522"/>
    </row>
    <row r="556" spans="52:155" ht="19.149999999999999" customHeight="1" x14ac:dyDescent="0.25">
      <c r="AZ556" s="528"/>
      <c r="EW556" s="522"/>
      <c r="EX556" s="522"/>
      <c r="EY556" s="522"/>
    </row>
    <row r="557" spans="52:155" ht="19.149999999999999" customHeight="1" x14ac:dyDescent="0.25">
      <c r="AZ557" s="528"/>
      <c r="EW557" s="522"/>
      <c r="EX557" s="522"/>
      <c r="EY557" s="522"/>
    </row>
    <row r="558" spans="52:155" ht="19.149999999999999" customHeight="1" x14ac:dyDescent="0.25">
      <c r="AZ558" s="528"/>
      <c r="EW558" s="522"/>
      <c r="EX558" s="522"/>
      <c r="EY558" s="522"/>
    </row>
    <row r="559" spans="52:155" ht="19.149999999999999" customHeight="1" x14ac:dyDescent="0.25">
      <c r="AZ559" s="528"/>
      <c r="EW559" s="522"/>
      <c r="EX559" s="522"/>
      <c r="EY559" s="522"/>
    </row>
    <row r="560" spans="52:155" ht="19.149999999999999" customHeight="1" x14ac:dyDescent="0.25">
      <c r="AZ560" s="528"/>
      <c r="EW560" s="522"/>
      <c r="EX560" s="522"/>
      <c r="EY560" s="522"/>
    </row>
    <row r="561" spans="52:155" ht="19.149999999999999" customHeight="1" x14ac:dyDescent="0.25">
      <c r="AZ561" s="528"/>
      <c r="EW561" s="522"/>
      <c r="EX561" s="522"/>
      <c r="EY561" s="522"/>
    </row>
    <row r="562" spans="52:155" ht="19.149999999999999" customHeight="1" x14ac:dyDescent="0.25">
      <c r="AZ562" s="528"/>
      <c r="EW562" s="522"/>
      <c r="EX562" s="522"/>
      <c r="EY562" s="522"/>
    </row>
    <row r="563" spans="52:155" ht="19.149999999999999" customHeight="1" x14ac:dyDescent="0.25">
      <c r="AZ563" s="528"/>
      <c r="EW563" s="522"/>
      <c r="EX563" s="522"/>
      <c r="EY563" s="522"/>
    </row>
    <row r="564" spans="52:155" ht="19.149999999999999" customHeight="1" x14ac:dyDescent="0.25">
      <c r="AZ564" s="528"/>
      <c r="EW564" s="522"/>
      <c r="EX564" s="522"/>
      <c r="EY564" s="522"/>
    </row>
    <row r="565" spans="52:155" ht="19.149999999999999" customHeight="1" x14ac:dyDescent="0.25">
      <c r="AZ565" s="528"/>
      <c r="EW565" s="522"/>
      <c r="EX565" s="522"/>
      <c r="EY565" s="522"/>
    </row>
    <row r="566" spans="52:155" ht="19.149999999999999" customHeight="1" x14ac:dyDescent="0.25">
      <c r="AZ566" s="528"/>
      <c r="EW566" s="522"/>
      <c r="EX566" s="522"/>
      <c r="EY566" s="522"/>
    </row>
    <row r="567" spans="52:155" ht="19.149999999999999" customHeight="1" x14ac:dyDescent="0.25">
      <c r="AZ567" s="528"/>
      <c r="EW567" s="522"/>
      <c r="EX567" s="522"/>
      <c r="EY567" s="522"/>
    </row>
    <row r="568" spans="52:155" ht="19.149999999999999" customHeight="1" x14ac:dyDescent="0.25">
      <c r="AZ568" s="528"/>
      <c r="EW568" s="522"/>
      <c r="EX568" s="522"/>
      <c r="EY568" s="522"/>
    </row>
    <row r="569" spans="52:155" ht="19.149999999999999" customHeight="1" x14ac:dyDescent="0.25">
      <c r="AZ569" s="528"/>
      <c r="EW569" s="522"/>
      <c r="EX569" s="522"/>
      <c r="EY569" s="522"/>
    </row>
    <row r="570" spans="52:155" ht="19.149999999999999" customHeight="1" x14ac:dyDescent="0.25">
      <c r="AZ570" s="528"/>
      <c r="EW570" s="522"/>
      <c r="EX570" s="522"/>
      <c r="EY570" s="522"/>
    </row>
    <row r="571" spans="52:155" ht="19.149999999999999" customHeight="1" x14ac:dyDescent="0.25">
      <c r="AZ571" s="528"/>
      <c r="EW571" s="522"/>
      <c r="EX571" s="522"/>
      <c r="EY571" s="522"/>
    </row>
    <row r="572" spans="52:155" ht="19.149999999999999" customHeight="1" x14ac:dyDescent="0.25">
      <c r="AZ572" s="528"/>
      <c r="EW572" s="522"/>
      <c r="EX572" s="522"/>
      <c r="EY572" s="522"/>
    </row>
    <row r="573" spans="52:155" ht="19.149999999999999" customHeight="1" x14ac:dyDescent="0.25">
      <c r="AZ573" s="528"/>
      <c r="EW573" s="522"/>
      <c r="EX573" s="522"/>
      <c r="EY573" s="522"/>
    </row>
    <row r="574" spans="52:155" ht="19.149999999999999" customHeight="1" x14ac:dyDescent="0.25">
      <c r="AZ574" s="528"/>
      <c r="EW574" s="522"/>
      <c r="EX574" s="522"/>
      <c r="EY574" s="522"/>
    </row>
    <row r="575" spans="52:155" ht="19.149999999999999" customHeight="1" x14ac:dyDescent="0.25">
      <c r="AZ575" s="528"/>
      <c r="EW575" s="522"/>
      <c r="EX575" s="522"/>
      <c r="EY575" s="522"/>
    </row>
    <row r="576" spans="52:155" ht="19.149999999999999" customHeight="1" x14ac:dyDescent="0.25">
      <c r="AZ576" s="528"/>
      <c r="EW576" s="522"/>
      <c r="EX576" s="522"/>
      <c r="EY576" s="522"/>
    </row>
    <row r="577" spans="52:155" ht="19.149999999999999" customHeight="1" x14ac:dyDescent="0.25">
      <c r="AZ577" s="528"/>
      <c r="EW577" s="522"/>
      <c r="EX577" s="522"/>
      <c r="EY577" s="522"/>
    </row>
    <row r="578" spans="52:155" ht="19.149999999999999" customHeight="1" x14ac:dyDescent="0.25">
      <c r="AZ578" s="528"/>
      <c r="EW578" s="522"/>
      <c r="EX578" s="522"/>
      <c r="EY578" s="522"/>
    </row>
    <row r="579" spans="52:155" ht="19.149999999999999" customHeight="1" x14ac:dyDescent="0.25">
      <c r="AZ579" s="528"/>
      <c r="EW579" s="522"/>
      <c r="EX579" s="522"/>
      <c r="EY579" s="522"/>
    </row>
    <row r="580" spans="52:155" ht="19.149999999999999" customHeight="1" x14ac:dyDescent="0.25">
      <c r="AZ580" s="528"/>
      <c r="EW580" s="522"/>
      <c r="EX580" s="522"/>
      <c r="EY580" s="522"/>
    </row>
    <row r="581" spans="52:155" ht="19.149999999999999" customHeight="1" x14ac:dyDescent="0.25">
      <c r="AZ581" s="528"/>
      <c r="EW581" s="522"/>
      <c r="EX581" s="522"/>
      <c r="EY581" s="522"/>
    </row>
    <row r="582" spans="52:155" ht="19.149999999999999" customHeight="1" x14ac:dyDescent="0.25">
      <c r="AZ582" s="528"/>
      <c r="EW582" s="522"/>
      <c r="EX582" s="522"/>
      <c r="EY582" s="522"/>
    </row>
    <row r="583" spans="52:155" ht="19.149999999999999" customHeight="1" x14ac:dyDescent="0.25">
      <c r="AZ583" s="528"/>
      <c r="EW583" s="522"/>
      <c r="EX583" s="522"/>
      <c r="EY583" s="522"/>
    </row>
    <row r="584" spans="52:155" ht="19.149999999999999" customHeight="1" x14ac:dyDescent="0.25">
      <c r="AZ584" s="528"/>
      <c r="EW584" s="522"/>
      <c r="EX584" s="522"/>
      <c r="EY584" s="522"/>
    </row>
    <row r="585" spans="52:155" ht="19.149999999999999" customHeight="1" x14ac:dyDescent="0.25">
      <c r="AZ585" s="528"/>
      <c r="EW585" s="522"/>
      <c r="EX585" s="522"/>
      <c r="EY585" s="522"/>
    </row>
    <row r="586" spans="52:155" ht="19.149999999999999" customHeight="1" x14ac:dyDescent="0.25">
      <c r="AZ586" s="528"/>
      <c r="EW586" s="522"/>
      <c r="EX586" s="522"/>
      <c r="EY586" s="522"/>
    </row>
    <row r="587" spans="52:155" ht="19.149999999999999" customHeight="1" x14ac:dyDescent="0.25">
      <c r="AZ587" s="528"/>
      <c r="EW587" s="522"/>
      <c r="EX587" s="522"/>
      <c r="EY587" s="522"/>
    </row>
    <row r="588" spans="52:155" ht="19.149999999999999" customHeight="1" x14ac:dyDescent="0.25">
      <c r="AZ588" s="528"/>
      <c r="EW588" s="522"/>
      <c r="EX588" s="522"/>
      <c r="EY588" s="522"/>
    </row>
    <row r="589" spans="52:155" ht="19.149999999999999" customHeight="1" x14ac:dyDescent="0.25">
      <c r="AZ589" s="528"/>
      <c r="EW589" s="522"/>
      <c r="EX589" s="522"/>
      <c r="EY589" s="522"/>
    </row>
    <row r="590" spans="52:155" ht="19.149999999999999" customHeight="1" x14ac:dyDescent="0.25">
      <c r="AZ590" s="528"/>
      <c r="EW590" s="522"/>
      <c r="EX590" s="522"/>
      <c r="EY590" s="522"/>
    </row>
    <row r="591" spans="52:155" ht="19.149999999999999" customHeight="1" x14ac:dyDescent="0.25">
      <c r="AZ591" s="528"/>
      <c r="EW591" s="522"/>
      <c r="EX591" s="522"/>
      <c r="EY591" s="522"/>
    </row>
    <row r="592" spans="52:155" ht="19.149999999999999" customHeight="1" x14ac:dyDescent="0.25">
      <c r="AZ592" s="528"/>
      <c r="EW592" s="522"/>
      <c r="EX592" s="522"/>
      <c r="EY592" s="522"/>
    </row>
    <row r="593" spans="52:155" ht="19.149999999999999" customHeight="1" x14ac:dyDescent="0.25">
      <c r="AZ593" s="528"/>
      <c r="EW593" s="522"/>
      <c r="EX593" s="522"/>
      <c r="EY593" s="522"/>
    </row>
    <row r="594" spans="52:155" ht="19.149999999999999" customHeight="1" x14ac:dyDescent="0.25">
      <c r="AZ594" s="528"/>
      <c r="EW594" s="522"/>
      <c r="EX594" s="522"/>
      <c r="EY594" s="522"/>
    </row>
    <row r="595" spans="52:155" ht="19.149999999999999" customHeight="1" x14ac:dyDescent="0.25">
      <c r="AZ595" s="528"/>
      <c r="EW595" s="522"/>
      <c r="EX595" s="522"/>
      <c r="EY595" s="522"/>
    </row>
    <row r="596" spans="52:155" ht="19.149999999999999" customHeight="1" x14ac:dyDescent="0.25">
      <c r="AZ596" s="528"/>
      <c r="EW596" s="522"/>
      <c r="EX596" s="522"/>
      <c r="EY596" s="522"/>
    </row>
    <row r="597" spans="52:155" ht="19.149999999999999" customHeight="1" x14ac:dyDescent="0.25">
      <c r="AZ597" s="528"/>
      <c r="EW597" s="522"/>
      <c r="EX597" s="522"/>
      <c r="EY597" s="522"/>
    </row>
    <row r="598" spans="52:155" ht="19.149999999999999" customHeight="1" x14ac:dyDescent="0.25">
      <c r="AZ598" s="528"/>
      <c r="EW598" s="522"/>
      <c r="EX598" s="522"/>
      <c r="EY598" s="522"/>
    </row>
    <row r="599" spans="52:155" ht="19.149999999999999" customHeight="1" x14ac:dyDescent="0.25">
      <c r="AZ599" s="528"/>
      <c r="EW599" s="522"/>
      <c r="EX599" s="522"/>
      <c r="EY599" s="522"/>
    </row>
    <row r="600" spans="52:155" ht="19.149999999999999" customHeight="1" x14ac:dyDescent="0.25">
      <c r="AZ600" s="528"/>
      <c r="EW600" s="522"/>
      <c r="EX600" s="522"/>
      <c r="EY600" s="522"/>
    </row>
    <row r="601" spans="52:155" ht="19.149999999999999" customHeight="1" x14ac:dyDescent="0.25">
      <c r="AZ601" s="528"/>
      <c r="EW601" s="522"/>
      <c r="EX601" s="522"/>
      <c r="EY601" s="522"/>
    </row>
    <row r="602" spans="52:155" ht="19.149999999999999" customHeight="1" x14ac:dyDescent="0.25">
      <c r="AZ602" s="528"/>
      <c r="EW602" s="522"/>
      <c r="EX602" s="522"/>
      <c r="EY602" s="522"/>
    </row>
    <row r="603" spans="52:155" ht="19.149999999999999" customHeight="1" x14ac:dyDescent="0.25">
      <c r="AZ603" s="528"/>
      <c r="EW603" s="522"/>
      <c r="EX603" s="522"/>
      <c r="EY603" s="522"/>
    </row>
    <row r="604" spans="52:155" ht="19.149999999999999" customHeight="1" x14ac:dyDescent="0.25">
      <c r="AZ604" s="528"/>
      <c r="EW604" s="522"/>
      <c r="EX604" s="522"/>
      <c r="EY604" s="522"/>
    </row>
    <row r="605" spans="52:155" ht="19.149999999999999" customHeight="1" x14ac:dyDescent="0.25">
      <c r="AZ605" s="528"/>
      <c r="EW605" s="522"/>
      <c r="EX605" s="522"/>
      <c r="EY605" s="522"/>
    </row>
    <row r="606" spans="52:155" ht="19.149999999999999" customHeight="1" x14ac:dyDescent="0.25">
      <c r="AZ606" s="528"/>
      <c r="EW606" s="522"/>
      <c r="EX606" s="522"/>
      <c r="EY606" s="522"/>
    </row>
    <row r="607" spans="52:155" ht="19.149999999999999" customHeight="1" x14ac:dyDescent="0.25">
      <c r="AZ607" s="528"/>
      <c r="EW607" s="522"/>
      <c r="EX607" s="522"/>
      <c r="EY607" s="522"/>
    </row>
    <row r="608" spans="52:155" ht="19.149999999999999" customHeight="1" x14ac:dyDescent="0.25">
      <c r="AZ608" s="528"/>
      <c r="EW608" s="522"/>
      <c r="EX608" s="522"/>
      <c r="EY608" s="522"/>
    </row>
    <row r="609" spans="52:155" ht="19.149999999999999" customHeight="1" x14ac:dyDescent="0.25">
      <c r="AZ609" s="528"/>
      <c r="EW609" s="522"/>
      <c r="EX609" s="522"/>
      <c r="EY609" s="522"/>
    </row>
    <row r="610" spans="52:155" ht="19.149999999999999" customHeight="1" x14ac:dyDescent="0.25">
      <c r="AZ610" s="528"/>
      <c r="EW610" s="522"/>
      <c r="EX610" s="522"/>
      <c r="EY610" s="522"/>
    </row>
    <row r="611" spans="52:155" ht="19.149999999999999" customHeight="1" x14ac:dyDescent="0.25">
      <c r="AZ611" s="528"/>
      <c r="EW611" s="522"/>
      <c r="EX611" s="522"/>
      <c r="EY611" s="522"/>
    </row>
    <row r="612" spans="52:155" ht="19.149999999999999" customHeight="1" x14ac:dyDescent="0.25">
      <c r="AZ612" s="528"/>
      <c r="EW612" s="522"/>
      <c r="EX612" s="522"/>
      <c r="EY612" s="522"/>
    </row>
    <row r="613" spans="52:155" ht="19.149999999999999" customHeight="1" x14ac:dyDescent="0.25">
      <c r="AZ613" s="528"/>
      <c r="EW613" s="522"/>
      <c r="EX613" s="522"/>
      <c r="EY613" s="522"/>
    </row>
    <row r="614" spans="52:155" ht="19.149999999999999" customHeight="1" x14ac:dyDescent="0.25">
      <c r="AZ614" s="528"/>
      <c r="EW614" s="522"/>
      <c r="EX614" s="522"/>
      <c r="EY614" s="522"/>
    </row>
    <row r="615" spans="52:155" ht="19.149999999999999" customHeight="1" x14ac:dyDescent="0.25">
      <c r="AZ615" s="528"/>
      <c r="EW615" s="522"/>
      <c r="EX615" s="522"/>
      <c r="EY615" s="522"/>
    </row>
    <row r="616" spans="52:155" ht="19.149999999999999" customHeight="1" x14ac:dyDescent="0.25">
      <c r="AZ616" s="528"/>
      <c r="EW616" s="522"/>
      <c r="EX616" s="522"/>
      <c r="EY616" s="522"/>
    </row>
    <row r="617" spans="52:155" ht="19.149999999999999" customHeight="1" x14ac:dyDescent="0.25">
      <c r="AZ617" s="528"/>
      <c r="EW617" s="522"/>
      <c r="EX617" s="522"/>
      <c r="EY617" s="522"/>
    </row>
    <row r="618" spans="52:155" ht="19.149999999999999" customHeight="1" x14ac:dyDescent="0.25">
      <c r="AZ618" s="528"/>
      <c r="EW618" s="522"/>
      <c r="EX618" s="522"/>
      <c r="EY618" s="522"/>
    </row>
    <row r="619" spans="52:155" ht="19.149999999999999" customHeight="1" x14ac:dyDescent="0.25">
      <c r="AZ619" s="528"/>
      <c r="EW619" s="522"/>
      <c r="EX619" s="522"/>
      <c r="EY619" s="522"/>
    </row>
    <row r="620" spans="52:155" ht="19.149999999999999" customHeight="1" x14ac:dyDescent="0.25">
      <c r="AZ620" s="528"/>
      <c r="EW620" s="522"/>
      <c r="EX620" s="522"/>
      <c r="EY620" s="522"/>
    </row>
    <row r="621" spans="52:155" ht="19.149999999999999" customHeight="1" x14ac:dyDescent="0.25">
      <c r="AZ621" s="528"/>
      <c r="EW621" s="522"/>
      <c r="EX621" s="522"/>
      <c r="EY621" s="522"/>
    </row>
    <row r="622" spans="52:155" ht="19.149999999999999" customHeight="1" x14ac:dyDescent="0.25">
      <c r="AZ622" s="528"/>
      <c r="EW622" s="522"/>
      <c r="EX622" s="522"/>
      <c r="EY622" s="522"/>
    </row>
    <row r="623" spans="52:155" ht="19.149999999999999" customHeight="1" x14ac:dyDescent="0.25">
      <c r="AZ623" s="528"/>
      <c r="EW623" s="522"/>
      <c r="EX623" s="522"/>
      <c r="EY623" s="522"/>
    </row>
    <row r="624" spans="52:155" ht="19.149999999999999" customHeight="1" x14ac:dyDescent="0.25">
      <c r="AZ624" s="528"/>
      <c r="EW624" s="522"/>
      <c r="EX624" s="522"/>
      <c r="EY624" s="522"/>
    </row>
    <row r="625" spans="52:155" ht="19.149999999999999" customHeight="1" x14ac:dyDescent="0.25">
      <c r="AZ625" s="528"/>
      <c r="EW625" s="522"/>
      <c r="EX625" s="522"/>
      <c r="EY625" s="522"/>
    </row>
    <row r="626" spans="52:155" ht="19.149999999999999" customHeight="1" x14ac:dyDescent="0.25">
      <c r="AZ626" s="528"/>
      <c r="EW626" s="522"/>
      <c r="EX626" s="522"/>
      <c r="EY626" s="522"/>
    </row>
    <row r="627" spans="52:155" ht="19.149999999999999" customHeight="1" x14ac:dyDescent="0.25">
      <c r="AZ627" s="528"/>
      <c r="EW627" s="522"/>
      <c r="EX627" s="522"/>
      <c r="EY627" s="522"/>
    </row>
    <row r="628" spans="52:155" ht="19.149999999999999" customHeight="1" x14ac:dyDescent="0.25">
      <c r="AZ628" s="528"/>
      <c r="EW628" s="522"/>
      <c r="EX628" s="522"/>
      <c r="EY628" s="522"/>
    </row>
    <row r="629" spans="52:155" ht="19.149999999999999" customHeight="1" x14ac:dyDescent="0.25">
      <c r="AZ629" s="528"/>
      <c r="EW629" s="522"/>
      <c r="EX629" s="522"/>
      <c r="EY629" s="522"/>
    </row>
    <row r="630" spans="52:155" ht="19.149999999999999" customHeight="1" x14ac:dyDescent="0.25">
      <c r="AZ630" s="528"/>
      <c r="EW630" s="522"/>
      <c r="EX630" s="522"/>
      <c r="EY630" s="522"/>
    </row>
    <row r="631" spans="52:155" ht="19.149999999999999" customHeight="1" x14ac:dyDescent="0.25">
      <c r="AZ631" s="528"/>
      <c r="EW631" s="522"/>
      <c r="EX631" s="522"/>
      <c r="EY631" s="522"/>
    </row>
    <row r="632" spans="52:155" ht="19.149999999999999" customHeight="1" x14ac:dyDescent="0.25">
      <c r="AZ632" s="528"/>
      <c r="EW632" s="522"/>
      <c r="EX632" s="522"/>
      <c r="EY632" s="522"/>
    </row>
    <row r="633" spans="52:155" ht="19.149999999999999" customHeight="1" x14ac:dyDescent="0.25">
      <c r="AZ633" s="528"/>
      <c r="EW633" s="522"/>
      <c r="EX633" s="522"/>
      <c r="EY633" s="522"/>
    </row>
    <row r="634" spans="52:155" ht="19.149999999999999" customHeight="1" x14ac:dyDescent="0.25">
      <c r="AZ634" s="528"/>
      <c r="EW634" s="522"/>
      <c r="EX634" s="522"/>
      <c r="EY634" s="522"/>
    </row>
    <row r="635" spans="52:155" ht="19.149999999999999" customHeight="1" x14ac:dyDescent="0.25">
      <c r="AZ635" s="528"/>
      <c r="EW635" s="522"/>
      <c r="EX635" s="522"/>
      <c r="EY635" s="522"/>
    </row>
    <row r="636" spans="52:155" ht="19.149999999999999" customHeight="1" x14ac:dyDescent="0.25">
      <c r="AZ636" s="528"/>
      <c r="EW636" s="522"/>
      <c r="EX636" s="522"/>
      <c r="EY636" s="522"/>
    </row>
    <row r="637" spans="52:155" ht="19.149999999999999" customHeight="1" x14ac:dyDescent="0.25">
      <c r="AZ637" s="528"/>
      <c r="EW637" s="522"/>
      <c r="EX637" s="522"/>
      <c r="EY637" s="522"/>
    </row>
    <row r="638" spans="52:155" ht="19.149999999999999" customHeight="1" x14ac:dyDescent="0.25">
      <c r="AZ638" s="528"/>
      <c r="EW638" s="522"/>
      <c r="EX638" s="522"/>
      <c r="EY638" s="522"/>
    </row>
    <row r="639" spans="52:155" ht="19.149999999999999" customHeight="1" x14ac:dyDescent="0.25">
      <c r="AZ639" s="528"/>
      <c r="EW639" s="522"/>
      <c r="EX639" s="522"/>
      <c r="EY639" s="522"/>
    </row>
    <row r="640" spans="52:155" ht="19.149999999999999" customHeight="1" x14ac:dyDescent="0.25">
      <c r="AZ640" s="528"/>
      <c r="EW640" s="522"/>
      <c r="EX640" s="522"/>
      <c r="EY640" s="522"/>
    </row>
    <row r="641" spans="52:155" ht="19.149999999999999" customHeight="1" x14ac:dyDescent="0.25">
      <c r="AZ641" s="528"/>
      <c r="EW641" s="522"/>
      <c r="EX641" s="522"/>
      <c r="EY641" s="522"/>
    </row>
    <row r="642" spans="52:155" ht="19.149999999999999" customHeight="1" x14ac:dyDescent="0.25">
      <c r="AZ642" s="528"/>
      <c r="EW642" s="522"/>
      <c r="EX642" s="522"/>
      <c r="EY642" s="522"/>
    </row>
    <row r="643" spans="52:155" ht="19.149999999999999" customHeight="1" x14ac:dyDescent="0.25">
      <c r="AZ643" s="528"/>
      <c r="EW643" s="522"/>
      <c r="EX643" s="522"/>
      <c r="EY643" s="522"/>
    </row>
    <row r="644" spans="52:155" ht="19.149999999999999" customHeight="1" x14ac:dyDescent="0.25">
      <c r="AZ644" s="528"/>
      <c r="EW644" s="522"/>
      <c r="EX644" s="522"/>
      <c r="EY644" s="522"/>
    </row>
    <row r="645" spans="52:155" ht="19.149999999999999" customHeight="1" x14ac:dyDescent="0.25">
      <c r="AZ645" s="528"/>
      <c r="EW645" s="522"/>
      <c r="EX645" s="522"/>
      <c r="EY645" s="522"/>
    </row>
    <row r="646" spans="52:155" ht="19.149999999999999" customHeight="1" x14ac:dyDescent="0.25">
      <c r="AZ646" s="528"/>
      <c r="EW646" s="522"/>
      <c r="EX646" s="522"/>
      <c r="EY646" s="522"/>
    </row>
    <row r="647" spans="52:155" ht="19.149999999999999" customHeight="1" x14ac:dyDescent="0.25">
      <c r="AZ647" s="528"/>
      <c r="EW647" s="522"/>
      <c r="EX647" s="522"/>
      <c r="EY647" s="522"/>
    </row>
    <row r="648" spans="52:155" ht="19.149999999999999" customHeight="1" x14ac:dyDescent="0.25">
      <c r="AZ648" s="528"/>
      <c r="EW648" s="522"/>
      <c r="EX648" s="522"/>
      <c r="EY648" s="522"/>
    </row>
    <row r="649" spans="52:155" ht="19.149999999999999" customHeight="1" x14ac:dyDescent="0.25">
      <c r="AZ649" s="528"/>
      <c r="EW649" s="522"/>
      <c r="EX649" s="522"/>
      <c r="EY649" s="522"/>
    </row>
    <row r="650" spans="52:155" ht="19.149999999999999" customHeight="1" x14ac:dyDescent="0.25">
      <c r="AZ650" s="528"/>
      <c r="EW650" s="522"/>
      <c r="EX650" s="522"/>
      <c r="EY650" s="522"/>
    </row>
    <row r="651" spans="52:155" ht="19.149999999999999" customHeight="1" x14ac:dyDescent="0.25">
      <c r="AZ651" s="528"/>
      <c r="EW651" s="522"/>
      <c r="EX651" s="522"/>
      <c r="EY651" s="522"/>
    </row>
    <row r="652" spans="52:155" ht="19.149999999999999" customHeight="1" x14ac:dyDescent="0.25">
      <c r="AZ652" s="528"/>
      <c r="EW652" s="522"/>
      <c r="EX652" s="522"/>
      <c r="EY652" s="522"/>
    </row>
    <row r="653" spans="52:155" ht="19.149999999999999" customHeight="1" x14ac:dyDescent="0.25">
      <c r="AZ653" s="528"/>
      <c r="EW653" s="522"/>
      <c r="EX653" s="522"/>
      <c r="EY653" s="522"/>
    </row>
    <row r="654" spans="52:155" ht="19.149999999999999" customHeight="1" x14ac:dyDescent="0.25">
      <c r="AZ654" s="528"/>
      <c r="EW654" s="522"/>
      <c r="EX654" s="522"/>
      <c r="EY654" s="522"/>
    </row>
    <row r="655" spans="52:155" ht="19.149999999999999" customHeight="1" x14ac:dyDescent="0.25">
      <c r="AZ655" s="528"/>
      <c r="EW655" s="522"/>
      <c r="EX655" s="522"/>
      <c r="EY655" s="522"/>
    </row>
    <row r="656" spans="52:155" ht="19.149999999999999" customHeight="1" x14ac:dyDescent="0.25">
      <c r="AZ656" s="528"/>
      <c r="EW656" s="522"/>
      <c r="EX656" s="522"/>
      <c r="EY656" s="522"/>
    </row>
    <row r="657" spans="52:155" ht="19.149999999999999" customHeight="1" x14ac:dyDescent="0.25">
      <c r="AZ657" s="528"/>
      <c r="EW657" s="522"/>
      <c r="EX657" s="522"/>
      <c r="EY657" s="522"/>
    </row>
    <row r="658" spans="52:155" ht="19.149999999999999" customHeight="1" x14ac:dyDescent="0.25">
      <c r="AZ658" s="528"/>
      <c r="EW658" s="522"/>
      <c r="EX658" s="522"/>
      <c r="EY658" s="522"/>
    </row>
    <row r="659" spans="52:155" ht="19.149999999999999" customHeight="1" x14ac:dyDescent="0.25">
      <c r="AZ659" s="528"/>
      <c r="EW659" s="522"/>
      <c r="EX659" s="522"/>
      <c r="EY659" s="522"/>
    </row>
    <row r="660" spans="52:155" ht="19.149999999999999" customHeight="1" x14ac:dyDescent="0.25">
      <c r="AZ660" s="528"/>
      <c r="EW660" s="522"/>
      <c r="EX660" s="522"/>
      <c r="EY660" s="522"/>
    </row>
    <row r="661" spans="52:155" ht="19.149999999999999" customHeight="1" x14ac:dyDescent="0.25">
      <c r="AZ661" s="528"/>
      <c r="EW661" s="522"/>
      <c r="EX661" s="522"/>
      <c r="EY661" s="522"/>
    </row>
    <row r="662" spans="52:155" ht="19.149999999999999" customHeight="1" x14ac:dyDescent="0.25">
      <c r="AZ662" s="528"/>
      <c r="EW662" s="522"/>
      <c r="EX662" s="522"/>
      <c r="EY662" s="522"/>
    </row>
    <row r="663" spans="52:155" ht="19.149999999999999" customHeight="1" x14ac:dyDescent="0.25">
      <c r="AZ663" s="528"/>
      <c r="EW663" s="522"/>
      <c r="EX663" s="522"/>
      <c r="EY663" s="522"/>
    </row>
    <row r="664" spans="52:155" ht="19.149999999999999" customHeight="1" x14ac:dyDescent="0.25">
      <c r="AZ664" s="528"/>
      <c r="EW664" s="522"/>
      <c r="EX664" s="522"/>
      <c r="EY664" s="522"/>
    </row>
    <row r="665" spans="52:155" ht="19.149999999999999" customHeight="1" x14ac:dyDescent="0.25">
      <c r="AZ665" s="528"/>
      <c r="EW665" s="522"/>
      <c r="EX665" s="522"/>
      <c r="EY665" s="522"/>
    </row>
    <row r="666" spans="52:155" ht="19.149999999999999" customHeight="1" x14ac:dyDescent="0.25">
      <c r="AZ666" s="528"/>
      <c r="EW666" s="522"/>
      <c r="EX666" s="522"/>
      <c r="EY666" s="522"/>
    </row>
    <row r="667" spans="52:155" ht="19.149999999999999" customHeight="1" x14ac:dyDescent="0.25">
      <c r="AZ667" s="528"/>
      <c r="EW667" s="522"/>
      <c r="EX667" s="522"/>
      <c r="EY667" s="522"/>
    </row>
    <row r="668" spans="52:155" ht="19.149999999999999" customHeight="1" x14ac:dyDescent="0.25">
      <c r="AZ668" s="528"/>
      <c r="EW668" s="522"/>
      <c r="EX668" s="522"/>
      <c r="EY668" s="522"/>
    </row>
    <row r="669" spans="52:155" ht="19.149999999999999" customHeight="1" x14ac:dyDescent="0.25">
      <c r="AZ669" s="528"/>
      <c r="EW669" s="522"/>
      <c r="EX669" s="522"/>
      <c r="EY669" s="522"/>
    </row>
    <row r="670" spans="52:155" ht="19.149999999999999" customHeight="1" x14ac:dyDescent="0.25">
      <c r="AZ670" s="528"/>
      <c r="EW670" s="522"/>
      <c r="EX670" s="522"/>
      <c r="EY670" s="522"/>
    </row>
    <row r="671" spans="52:155" ht="19.149999999999999" customHeight="1" x14ac:dyDescent="0.25">
      <c r="AZ671" s="528"/>
      <c r="EW671" s="522"/>
      <c r="EX671" s="522"/>
      <c r="EY671" s="522"/>
    </row>
    <row r="672" spans="52:155" ht="19.149999999999999" customHeight="1" x14ac:dyDescent="0.25">
      <c r="AZ672" s="528"/>
      <c r="EW672" s="522"/>
      <c r="EX672" s="522"/>
      <c r="EY672" s="522"/>
    </row>
    <row r="673" spans="52:155" ht="19.149999999999999" customHeight="1" x14ac:dyDescent="0.25">
      <c r="AZ673" s="528"/>
      <c r="EW673" s="522"/>
      <c r="EX673" s="522"/>
      <c r="EY673" s="522"/>
    </row>
    <row r="674" spans="52:155" ht="19.149999999999999" customHeight="1" x14ac:dyDescent="0.25">
      <c r="AZ674" s="528"/>
      <c r="EW674" s="522"/>
      <c r="EX674" s="522"/>
      <c r="EY674" s="522"/>
    </row>
    <row r="675" spans="52:155" ht="19.149999999999999" customHeight="1" x14ac:dyDescent="0.25">
      <c r="AZ675" s="528"/>
      <c r="EW675" s="522"/>
      <c r="EX675" s="522"/>
      <c r="EY675" s="522"/>
    </row>
    <row r="676" spans="52:155" ht="19.149999999999999" customHeight="1" x14ac:dyDescent="0.25">
      <c r="AZ676" s="528"/>
      <c r="EW676" s="522"/>
      <c r="EX676" s="522"/>
      <c r="EY676" s="522"/>
    </row>
    <row r="677" spans="52:155" ht="19.149999999999999" customHeight="1" x14ac:dyDescent="0.25">
      <c r="AZ677" s="528"/>
      <c r="EW677" s="522"/>
      <c r="EX677" s="522"/>
      <c r="EY677" s="522"/>
    </row>
    <row r="678" spans="52:155" ht="19.149999999999999" customHeight="1" x14ac:dyDescent="0.25">
      <c r="AZ678" s="528"/>
      <c r="EW678" s="522"/>
      <c r="EX678" s="522"/>
      <c r="EY678" s="522"/>
    </row>
    <row r="679" spans="52:155" ht="19.149999999999999" customHeight="1" x14ac:dyDescent="0.25">
      <c r="AZ679" s="528"/>
      <c r="EW679" s="522"/>
      <c r="EX679" s="522"/>
      <c r="EY679" s="522"/>
    </row>
    <row r="680" spans="52:155" ht="19.149999999999999" customHeight="1" x14ac:dyDescent="0.25">
      <c r="AZ680" s="528"/>
      <c r="EW680" s="522"/>
      <c r="EX680" s="522"/>
      <c r="EY680" s="522"/>
    </row>
    <row r="681" spans="52:155" ht="19.149999999999999" customHeight="1" x14ac:dyDescent="0.25">
      <c r="AZ681" s="528"/>
      <c r="EW681" s="522"/>
      <c r="EX681" s="522"/>
      <c r="EY681" s="522"/>
    </row>
    <row r="682" spans="52:155" ht="19.149999999999999" customHeight="1" x14ac:dyDescent="0.25">
      <c r="AZ682" s="528"/>
      <c r="EW682" s="522"/>
      <c r="EX682" s="522"/>
      <c r="EY682" s="522"/>
    </row>
    <row r="683" spans="52:155" ht="19.149999999999999" customHeight="1" x14ac:dyDescent="0.25">
      <c r="AZ683" s="528"/>
      <c r="EW683" s="522"/>
      <c r="EX683" s="522"/>
      <c r="EY683" s="522"/>
    </row>
    <row r="684" spans="52:155" ht="19.149999999999999" customHeight="1" x14ac:dyDescent="0.25">
      <c r="AZ684" s="528"/>
      <c r="EW684" s="522"/>
      <c r="EX684" s="522"/>
      <c r="EY684" s="522"/>
    </row>
    <row r="685" spans="52:155" ht="19.149999999999999" customHeight="1" x14ac:dyDescent="0.25">
      <c r="AZ685" s="528"/>
      <c r="EW685" s="522"/>
      <c r="EX685" s="522"/>
      <c r="EY685" s="522"/>
    </row>
    <row r="686" spans="52:155" ht="19.149999999999999" customHeight="1" x14ac:dyDescent="0.25">
      <c r="AZ686" s="528"/>
      <c r="EW686" s="522"/>
      <c r="EX686" s="522"/>
      <c r="EY686" s="522"/>
    </row>
    <row r="687" spans="52:155" ht="19.149999999999999" customHeight="1" x14ac:dyDescent="0.25">
      <c r="AZ687" s="528"/>
      <c r="EW687" s="522"/>
      <c r="EX687" s="522"/>
      <c r="EY687" s="522"/>
    </row>
    <row r="688" spans="52:155" ht="19.149999999999999" customHeight="1" x14ac:dyDescent="0.25">
      <c r="AZ688" s="528"/>
      <c r="EW688" s="522"/>
      <c r="EX688" s="522"/>
      <c r="EY688" s="522"/>
    </row>
    <row r="689" spans="52:155" ht="19.149999999999999" customHeight="1" x14ac:dyDescent="0.25">
      <c r="AZ689" s="528"/>
      <c r="EW689" s="522"/>
      <c r="EX689" s="522"/>
      <c r="EY689" s="522"/>
    </row>
    <row r="690" spans="52:155" ht="19.149999999999999" customHeight="1" x14ac:dyDescent="0.25">
      <c r="AZ690" s="528"/>
      <c r="EW690" s="522"/>
      <c r="EX690" s="522"/>
      <c r="EY690" s="522"/>
    </row>
    <row r="691" spans="52:155" ht="19.149999999999999" customHeight="1" x14ac:dyDescent="0.25">
      <c r="AZ691" s="528"/>
      <c r="EW691" s="522"/>
      <c r="EX691" s="522"/>
      <c r="EY691" s="522"/>
    </row>
    <row r="692" spans="52:155" ht="19.149999999999999" customHeight="1" x14ac:dyDescent="0.25">
      <c r="AZ692" s="528"/>
      <c r="EW692" s="522"/>
      <c r="EX692" s="522"/>
      <c r="EY692" s="522"/>
    </row>
    <row r="693" spans="52:155" ht="19.149999999999999" customHeight="1" x14ac:dyDescent="0.25">
      <c r="AZ693" s="528"/>
      <c r="EW693" s="522"/>
      <c r="EX693" s="522"/>
      <c r="EY693" s="522"/>
    </row>
    <row r="694" spans="52:155" ht="19.149999999999999" customHeight="1" x14ac:dyDescent="0.25">
      <c r="AZ694" s="528"/>
      <c r="EW694" s="522"/>
      <c r="EX694" s="522"/>
      <c r="EY694" s="522"/>
    </row>
    <row r="695" spans="52:155" ht="19.149999999999999" customHeight="1" x14ac:dyDescent="0.25">
      <c r="AZ695" s="528"/>
      <c r="EW695" s="522"/>
      <c r="EX695" s="522"/>
      <c r="EY695" s="522"/>
    </row>
  </sheetData>
  <autoFilter ref="A9:FB82" xr:uid="{00000000-0009-0000-0000-000001000000}"/>
  <mergeCells count="147">
    <mergeCell ref="FA17:FA23"/>
    <mergeCell ref="B59:B65"/>
    <mergeCell ref="C59:C65"/>
    <mergeCell ref="D59:D65"/>
    <mergeCell ref="A10:A30"/>
    <mergeCell ref="A31:A65"/>
    <mergeCell ref="A66:A79"/>
    <mergeCell ref="FA38:FA44"/>
    <mergeCell ref="FA45:FA51"/>
    <mergeCell ref="EW59:EW65"/>
    <mergeCell ref="EX10:EX16"/>
    <mergeCell ref="FA10:FA16"/>
    <mergeCell ref="EZ17:EZ23"/>
    <mergeCell ref="EY38:EY44"/>
    <mergeCell ref="EZ38:EZ44"/>
    <mergeCell ref="FA66:FA72"/>
    <mergeCell ref="E59:E65"/>
    <mergeCell ref="B52:B58"/>
    <mergeCell ref="C52:C58"/>
    <mergeCell ref="D52:D58"/>
    <mergeCell ref="E52:E58"/>
    <mergeCell ref="EW52:EW58"/>
    <mergeCell ref="EW38:EW44"/>
    <mergeCell ref="EX38:EX44"/>
    <mergeCell ref="FB24:FB30"/>
    <mergeCell ref="B31:B37"/>
    <mergeCell ref="C31:C37"/>
    <mergeCell ref="D31:D37"/>
    <mergeCell ref="E31:E37"/>
    <mergeCell ref="EW31:EW37"/>
    <mergeCell ref="EX31:EX37"/>
    <mergeCell ref="EY31:EY37"/>
    <mergeCell ref="EZ31:EZ37"/>
    <mergeCell ref="FA31:FA37"/>
    <mergeCell ref="FB31:FB37"/>
    <mergeCell ref="EX24:EX30"/>
    <mergeCell ref="EY24:EY30"/>
    <mergeCell ref="EZ24:EZ30"/>
    <mergeCell ref="FA24:FA30"/>
    <mergeCell ref="FB73:FB79"/>
    <mergeCell ref="EW10:EW16"/>
    <mergeCell ref="FB10:FB16"/>
    <mergeCell ref="FB66:FB72"/>
    <mergeCell ref="EY10:EY16"/>
    <mergeCell ref="EX52:EX58"/>
    <mergeCell ref="EY52:EY58"/>
    <mergeCell ref="EZ52:EZ58"/>
    <mergeCell ref="FA52:FA58"/>
    <mergeCell ref="FB52:FB58"/>
    <mergeCell ref="EX59:EX65"/>
    <mergeCell ref="EY59:EY65"/>
    <mergeCell ref="FB17:FB23"/>
    <mergeCell ref="EZ59:EZ65"/>
    <mergeCell ref="FA59:FA65"/>
    <mergeCell ref="EX45:EX51"/>
    <mergeCell ref="EY45:EY51"/>
    <mergeCell ref="EZ45:EZ51"/>
    <mergeCell ref="FB45:FB51"/>
    <mergeCell ref="EW17:EW23"/>
    <mergeCell ref="EX17:EX23"/>
    <mergeCell ref="FA73:FA79"/>
    <mergeCell ref="EW24:EW30"/>
    <mergeCell ref="FB59:FB65"/>
    <mergeCell ref="FA7:FA9"/>
    <mergeCell ref="EY7:EY9"/>
    <mergeCell ref="EZ7:EZ9"/>
    <mergeCell ref="DN8:EQ8"/>
    <mergeCell ref="EZ10:EZ16"/>
    <mergeCell ref="FB38:FB44"/>
    <mergeCell ref="B45:B51"/>
    <mergeCell ref="C45:C51"/>
    <mergeCell ref="D45:D51"/>
    <mergeCell ref="E45:E51"/>
    <mergeCell ref="EW45:EW51"/>
    <mergeCell ref="B17:B23"/>
    <mergeCell ref="C17:C23"/>
    <mergeCell ref="D17:D23"/>
    <mergeCell ref="E17:E23"/>
    <mergeCell ref="B24:B30"/>
    <mergeCell ref="C24:C30"/>
    <mergeCell ref="D24:D30"/>
    <mergeCell ref="E24:E30"/>
    <mergeCell ref="B38:B44"/>
    <mergeCell ref="C38:C44"/>
    <mergeCell ref="D38:D44"/>
    <mergeCell ref="E38:E44"/>
    <mergeCell ref="EY17:EY23"/>
    <mergeCell ref="A1:E3"/>
    <mergeCell ref="A4:E4"/>
    <mergeCell ref="A5:E5"/>
    <mergeCell ref="D10:D16"/>
    <mergeCell ref="E10:E16"/>
    <mergeCell ref="A7:G8"/>
    <mergeCell ref="B10:B16"/>
    <mergeCell ref="C10:C16"/>
    <mergeCell ref="F1:FA1"/>
    <mergeCell ref="F2:FA2"/>
    <mergeCell ref="F3:EQ3"/>
    <mergeCell ref="H7:EQ7"/>
    <mergeCell ref="BF8:CI8"/>
    <mergeCell ref="ER3:FA3"/>
    <mergeCell ref="F5:FA5"/>
    <mergeCell ref="BK4:CC4"/>
    <mergeCell ref="CD4:CV4"/>
    <mergeCell ref="CW4:DO4"/>
    <mergeCell ref="DP4:EH4"/>
    <mergeCell ref="EI4:FA4"/>
    <mergeCell ref="F4:BJ4"/>
    <mergeCell ref="H8:AA8"/>
    <mergeCell ref="AB8:BE8"/>
    <mergeCell ref="EX7:EX9"/>
    <mergeCell ref="A80:E82"/>
    <mergeCell ref="B66:B72"/>
    <mergeCell ref="C66:C72"/>
    <mergeCell ref="EZ73:EZ79"/>
    <mergeCell ref="EY66:EY72"/>
    <mergeCell ref="EY73:EY79"/>
    <mergeCell ref="EW73:EW79"/>
    <mergeCell ref="EX73:EX79"/>
    <mergeCell ref="D73:D79"/>
    <mergeCell ref="E73:E79"/>
    <mergeCell ref="EX66:EX72"/>
    <mergeCell ref="EW66:EW72"/>
    <mergeCell ref="E66:E72"/>
    <mergeCell ref="D66:D72"/>
    <mergeCell ref="EZ66:EZ72"/>
    <mergeCell ref="C73:C79"/>
    <mergeCell ref="B73:B79"/>
    <mergeCell ref="ER80:FA82"/>
    <mergeCell ref="EV7:EV9"/>
    <mergeCell ref="EW7:EW9"/>
    <mergeCell ref="CJ8:DM8"/>
    <mergeCell ref="ET7:ET9"/>
    <mergeCell ref="ES7:ES9"/>
    <mergeCell ref="ER7:ER9"/>
    <mergeCell ref="EU7:EU9"/>
    <mergeCell ref="G86:L86"/>
    <mergeCell ref="M86:U86"/>
    <mergeCell ref="G87:L87"/>
    <mergeCell ref="M87:U87"/>
    <mergeCell ref="AA87:BI87"/>
    <mergeCell ref="G88:L88"/>
    <mergeCell ref="M88:U88"/>
    <mergeCell ref="AP104:AQ104"/>
    <mergeCell ref="AR104:AS104"/>
    <mergeCell ref="AT104:AU104"/>
    <mergeCell ref="AV104:AW104"/>
  </mergeCells>
  <conditionalFormatting sqref="AT104 AV104">
    <cfRule type="duplicateValues" dxfId="0" priority="1"/>
  </conditionalFormatting>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E120"/>
  <sheetViews>
    <sheetView showGridLines="0" zoomScale="69" zoomScaleNormal="69" zoomScalePageLayoutView="75" workbookViewId="0">
      <selection activeCell="D4" sqref="D4:V4"/>
    </sheetView>
  </sheetViews>
  <sheetFormatPr baseColWidth="10" defaultColWidth="10.85546875" defaultRowHeight="12.75" x14ac:dyDescent="0.25"/>
  <cols>
    <col min="1" max="1" width="12.42578125" style="4" customWidth="1"/>
    <col min="2" max="2" width="11.85546875" style="4" customWidth="1"/>
    <col min="3" max="3" width="32.140625" style="13" customWidth="1"/>
    <col min="4" max="4" width="7.140625" style="4" customWidth="1"/>
    <col min="5" max="5" width="8.42578125" style="4" customWidth="1"/>
    <col min="6" max="6" width="9.42578125" style="4" customWidth="1"/>
    <col min="7" max="7" width="6.5703125" style="4" customWidth="1"/>
    <col min="8" max="10" width="7" style="4" customWidth="1"/>
    <col min="11" max="11" width="7" style="312" customWidth="1"/>
    <col min="12" max="12" width="7" style="4" customWidth="1"/>
    <col min="13" max="13" width="7" style="312" customWidth="1"/>
    <col min="14" max="15" width="7" style="5" customWidth="1"/>
    <col min="16" max="16" width="8.42578125" style="486" customWidth="1"/>
    <col min="17" max="17" width="8.5703125" style="486" customWidth="1"/>
    <col min="18" max="18" width="7" style="504" customWidth="1"/>
    <col min="19" max="19" width="8.7109375" style="5" customWidth="1"/>
    <col min="20" max="21" width="15.7109375" style="5" customWidth="1"/>
    <col min="22" max="22" width="45.42578125" style="509" customWidth="1"/>
    <col min="23" max="24" width="10.85546875" style="7"/>
    <col min="25" max="16384" width="10.85546875" style="4"/>
  </cols>
  <sheetData>
    <row r="1" spans="1:22" s="6" customFormat="1" ht="43.5" customHeight="1" x14ac:dyDescent="0.25">
      <c r="A1" s="949"/>
      <c r="B1" s="950"/>
      <c r="C1" s="950"/>
      <c r="D1" s="955" t="s">
        <v>39</v>
      </c>
      <c r="E1" s="956"/>
      <c r="F1" s="956"/>
      <c r="G1" s="956"/>
      <c r="H1" s="956"/>
      <c r="I1" s="956"/>
      <c r="J1" s="956"/>
      <c r="K1" s="956"/>
      <c r="L1" s="956"/>
      <c r="M1" s="956"/>
      <c r="N1" s="956"/>
      <c r="O1" s="956"/>
      <c r="P1" s="956"/>
      <c r="Q1" s="956"/>
      <c r="R1" s="956"/>
      <c r="S1" s="956"/>
      <c r="T1" s="956"/>
      <c r="U1" s="956"/>
      <c r="V1" s="957"/>
    </row>
    <row r="2" spans="1:22" s="6" customFormat="1" ht="50.25" customHeight="1" x14ac:dyDescent="0.25">
      <c r="A2" s="951"/>
      <c r="B2" s="952"/>
      <c r="C2" s="952"/>
      <c r="D2" s="958" t="s">
        <v>269</v>
      </c>
      <c r="E2" s="959"/>
      <c r="F2" s="959"/>
      <c r="G2" s="959"/>
      <c r="H2" s="959"/>
      <c r="I2" s="959"/>
      <c r="J2" s="959"/>
      <c r="K2" s="959"/>
      <c r="L2" s="959"/>
      <c r="M2" s="959"/>
      <c r="N2" s="959"/>
      <c r="O2" s="959"/>
      <c r="P2" s="959"/>
      <c r="Q2" s="959"/>
      <c r="R2" s="959"/>
      <c r="S2" s="959"/>
      <c r="T2" s="959"/>
      <c r="U2" s="959"/>
      <c r="V2" s="960"/>
    </row>
    <row r="3" spans="1:22" s="6" customFormat="1" ht="43.5" customHeight="1" thickBot="1" x14ac:dyDescent="0.3">
      <c r="A3" s="953"/>
      <c r="B3" s="954"/>
      <c r="C3" s="954"/>
      <c r="D3" s="971" t="s">
        <v>40</v>
      </c>
      <c r="E3" s="972"/>
      <c r="F3" s="972"/>
      <c r="G3" s="972"/>
      <c r="H3" s="972"/>
      <c r="I3" s="972"/>
      <c r="J3" s="972"/>
      <c r="K3" s="972"/>
      <c r="L3" s="972"/>
      <c r="M3" s="972"/>
      <c r="N3" s="972"/>
      <c r="O3" s="972"/>
      <c r="P3" s="972"/>
      <c r="Q3" s="972"/>
      <c r="R3" s="972"/>
      <c r="S3" s="972"/>
      <c r="T3" s="972"/>
      <c r="U3" s="973"/>
      <c r="V3" s="1166" t="s">
        <v>247</v>
      </c>
    </row>
    <row r="4" spans="1:22" s="6" customFormat="1" ht="43.5" customHeight="1" thickBot="1" x14ac:dyDescent="0.3">
      <c r="A4" s="672" t="s">
        <v>0</v>
      </c>
      <c r="B4" s="673"/>
      <c r="C4" s="970"/>
      <c r="D4" s="964" t="s">
        <v>300</v>
      </c>
      <c r="E4" s="965"/>
      <c r="F4" s="965"/>
      <c r="G4" s="965"/>
      <c r="H4" s="965"/>
      <c r="I4" s="965"/>
      <c r="J4" s="965"/>
      <c r="K4" s="965"/>
      <c r="L4" s="965"/>
      <c r="M4" s="965"/>
      <c r="N4" s="965"/>
      <c r="O4" s="965"/>
      <c r="P4" s="965"/>
      <c r="Q4" s="965"/>
      <c r="R4" s="965"/>
      <c r="S4" s="965"/>
      <c r="T4" s="965"/>
      <c r="U4" s="965"/>
      <c r="V4" s="966"/>
    </row>
    <row r="5" spans="1:22" s="6" customFormat="1" ht="43.5" customHeight="1" thickBot="1" x14ac:dyDescent="0.3">
      <c r="A5" s="961" t="s">
        <v>2</v>
      </c>
      <c r="B5" s="962"/>
      <c r="C5" s="963"/>
      <c r="D5" s="967" t="s">
        <v>624</v>
      </c>
      <c r="E5" s="968"/>
      <c r="F5" s="968"/>
      <c r="G5" s="968"/>
      <c r="H5" s="968"/>
      <c r="I5" s="968"/>
      <c r="J5" s="968"/>
      <c r="K5" s="968"/>
      <c r="L5" s="968"/>
      <c r="M5" s="968"/>
      <c r="N5" s="968"/>
      <c r="O5" s="968"/>
      <c r="P5" s="968"/>
      <c r="Q5" s="968"/>
      <c r="R5" s="968"/>
      <c r="S5" s="968"/>
      <c r="T5" s="968"/>
      <c r="U5" s="968"/>
      <c r="V5" s="969"/>
    </row>
    <row r="6" spans="1:22" s="6" customFormat="1" ht="18.75" customHeight="1" thickBot="1" x14ac:dyDescent="0.3">
      <c r="A6" s="974"/>
      <c r="B6" s="975"/>
      <c r="C6" s="975"/>
      <c r="D6" s="975"/>
      <c r="E6" s="975"/>
      <c r="F6" s="975"/>
      <c r="G6" s="975"/>
      <c r="H6" s="975"/>
      <c r="I6" s="975"/>
      <c r="J6" s="975"/>
      <c r="K6" s="975"/>
      <c r="L6" s="975"/>
      <c r="M6" s="975"/>
      <c r="N6" s="975"/>
      <c r="O6" s="975"/>
      <c r="P6" s="975"/>
      <c r="Q6" s="975"/>
      <c r="R6" s="975"/>
      <c r="S6" s="975"/>
      <c r="T6" s="975"/>
      <c r="U6" s="975"/>
      <c r="V6" s="976"/>
    </row>
    <row r="7" spans="1:22" s="7" customFormat="1" ht="42.75" customHeight="1" x14ac:dyDescent="0.25">
      <c r="A7" s="942" t="s">
        <v>23</v>
      </c>
      <c r="B7" s="947" t="s">
        <v>24</v>
      </c>
      <c r="C7" s="977" t="s">
        <v>69</v>
      </c>
      <c r="D7" s="944" t="s">
        <v>25</v>
      </c>
      <c r="E7" s="945"/>
      <c r="F7" s="946" t="s">
        <v>206</v>
      </c>
      <c r="G7" s="946"/>
      <c r="H7" s="946"/>
      <c r="I7" s="946"/>
      <c r="J7" s="946"/>
      <c r="K7" s="946"/>
      <c r="L7" s="946"/>
      <c r="M7" s="946"/>
      <c r="N7" s="946"/>
      <c r="O7" s="946"/>
      <c r="P7" s="946"/>
      <c r="Q7" s="946"/>
      <c r="R7" s="946"/>
      <c r="S7" s="946"/>
      <c r="T7" s="947" t="s">
        <v>29</v>
      </c>
      <c r="U7" s="947"/>
      <c r="V7" s="1167" t="s">
        <v>1211</v>
      </c>
    </row>
    <row r="8" spans="1:22" s="7" customFormat="1" ht="59.25" customHeight="1" thickBot="1" x14ac:dyDescent="0.3">
      <c r="A8" s="943"/>
      <c r="B8" s="1178"/>
      <c r="C8" s="1179"/>
      <c r="D8" s="1180" t="s">
        <v>26</v>
      </c>
      <c r="E8" s="1180" t="s">
        <v>27</v>
      </c>
      <c r="F8" s="35" t="s">
        <v>28</v>
      </c>
      <c r="G8" s="298" t="s">
        <v>6</v>
      </c>
      <c r="H8" s="298" t="s">
        <v>7</v>
      </c>
      <c r="I8" s="298" t="s">
        <v>8</v>
      </c>
      <c r="J8" s="298" t="s">
        <v>9</v>
      </c>
      <c r="K8" s="298" t="s">
        <v>10</v>
      </c>
      <c r="L8" s="298" t="s">
        <v>11</v>
      </c>
      <c r="M8" s="298" t="s">
        <v>12</v>
      </c>
      <c r="N8" s="298" t="s">
        <v>13</v>
      </c>
      <c r="O8" s="298" t="s">
        <v>14</v>
      </c>
      <c r="P8" s="298" t="s">
        <v>15</v>
      </c>
      <c r="Q8" s="298" t="s">
        <v>16</v>
      </c>
      <c r="R8" s="298" t="s">
        <v>17</v>
      </c>
      <c r="S8" s="336" t="s">
        <v>18</v>
      </c>
      <c r="T8" s="1181" t="s">
        <v>30</v>
      </c>
      <c r="U8" s="1181" t="s">
        <v>31</v>
      </c>
      <c r="V8" s="1182"/>
    </row>
    <row r="9" spans="1:22" s="290" customFormat="1" ht="19.5" customHeight="1" x14ac:dyDescent="0.25">
      <c r="A9" s="941" t="s">
        <v>286</v>
      </c>
      <c r="B9" s="948" t="s">
        <v>287</v>
      </c>
      <c r="C9" s="1164" t="s">
        <v>625</v>
      </c>
      <c r="D9" s="936" t="s">
        <v>626</v>
      </c>
      <c r="E9" s="937"/>
      <c r="F9" s="289" t="s">
        <v>19</v>
      </c>
      <c r="G9" s="1168">
        <v>0.05</v>
      </c>
      <c r="H9" s="1169">
        <v>0.08</v>
      </c>
      <c r="I9" s="1169">
        <v>0.09</v>
      </c>
      <c r="J9" s="1168">
        <v>0.09</v>
      </c>
      <c r="K9" s="1169">
        <v>0.09</v>
      </c>
      <c r="L9" s="1169">
        <v>0.09</v>
      </c>
      <c r="M9" s="1169">
        <v>0.09</v>
      </c>
      <c r="N9" s="1169">
        <v>0.09</v>
      </c>
      <c r="O9" s="1169">
        <v>0.09</v>
      </c>
      <c r="P9" s="1169">
        <v>0.09</v>
      </c>
      <c r="Q9" s="1169">
        <v>0.09</v>
      </c>
      <c r="R9" s="1169">
        <v>0.06</v>
      </c>
      <c r="S9" s="289">
        <f>SUM(G9:R9)</f>
        <v>0.99999999999999978</v>
      </c>
      <c r="T9" s="1188">
        <v>0.1</v>
      </c>
      <c r="U9" s="938">
        <v>0.1</v>
      </c>
      <c r="V9" s="1164" t="s">
        <v>1083</v>
      </c>
    </row>
    <row r="10" spans="1:22" s="290" customFormat="1" ht="19.5" customHeight="1" thickBot="1" x14ac:dyDescent="0.3">
      <c r="A10" s="941"/>
      <c r="B10" s="948"/>
      <c r="C10" s="1164"/>
      <c r="D10" s="936"/>
      <c r="E10" s="937"/>
      <c r="F10" s="291" t="s">
        <v>20</v>
      </c>
      <c r="G10" s="1170">
        <v>0.05</v>
      </c>
      <c r="H10" s="1171">
        <v>0.08</v>
      </c>
      <c r="I10" s="1171">
        <v>0.09</v>
      </c>
      <c r="J10" s="1170">
        <v>0.09</v>
      </c>
      <c r="K10" s="1171">
        <v>0.09</v>
      </c>
      <c r="L10" s="1171">
        <v>0.09</v>
      </c>
      <c r="M10" s="1171">
        <v>0.09</v>
      </c>
      <c r="N10" s="1171">
        <v>0.09</v>
      </c>
      <c r="O10" s="1171">
        <v>0.09</v>
      </c>
      <c r="P10" s="1171">
        <v>0.09</v>
      </c>
      <c r="Q10" s="1170">
        <v>0.09</v>
      </c>
      <c r="R10" s="1171">
        <v>0.06</v>
      </c>
      <c r="S10" s="291">
        <f>SUM(G10:R10)</f>
        <v>0.99999999999999978</v>
      </c>
      <c r="T10" s="1188"/>
      <c r="U10" s="938"/>
      <c r="V10" s="1164"/>
    </row>
    <row r="11" spans="1:22" s="290" customFormat="1" ht="19.5" customHeight="1" x14ac:dyDescent="0.25">
      <c r="A11" s="941"/>
      <c r="B11" s="948" t="s">
        <v>288</v>
      </c>
      <c r="C11" s="1164" t="s">
        <v>627</v>
      </c>
      <c r="D11" s="936" t="s">
        <v>626</v>
      </c>
      <c r="E11" s="937"/>
      <c r="F11" s="289" t="s">
        <v>19</v>
      </c>
      <c r="G11" s="1169">
        <v>6.6000000000000003E-2</v>
      </c>
      <c r="H11" s="1169">
        <v>0.08</v>
      </c>
      <c r="I11" s="1169">
        <v>0.09</v>
      </c>
      <c r="J11" s="1168">
        <v>0.09</v>
      </c>
      <c r="K11" s="1169">
        <v>0.09</v>
      </c>
      <c r="L11" s="1169">
        <v>0.09</v>
      </c>
      <c r="M11" s="1169">
        <v>0.09</v>
      </c>
      <c r="N11" s="1169">
        <v>0.09</v>
      </c>
      <c r="O11" s="1169">
        <v>0.09</v>
      </c>
      <c r="P11" s="1169">
        <v>7.8E-2</v>
      </c>
      <c r="Q11" s="1169">
        <v>0.08</v>
      </c>
      <c r="R11" s="1169">
        <v>6.6000000000000003E-2</v>
      </c>
      <c r="S11" s="289">
        <f>SUM(G11:R11)</f>
        <v>0.99999999999999978</v>
      </c>
      <c r="T11" s="1188">
        <v>0.1</v>
      </c>
      <c r="U11" s="938">
        <v>0.1</v>
      </c>
      <c r="V11" s="1164" t="s">
        <v>1084</v>
      </c>
    </row>
    <row r="12" spans="1:22" s="290" customFormat="1" ht="19.5" customHeight="1" thickBot="1" x14ac:dyDescent="0.3">
      <c r="A12" s="941"/>
      <c r="B12" s="948"/>
      <c r="C12" s="1164"/>
      <c r="D12" s="936"/>
      <c r="E12" s="937"/>
      <c r="F12" s="291" t="s">
        <v>20</v>
      </c>
      <c r="G12" s="1169">
        <v>6.6000000000000003E-2</v>
      </c>
      <c r="H12" s="1171">
        <v>0.08</v>
      </c>
      <c r="I12" s="1171">
        <v>0.09</v>
      </c>
      <c r="J12" s="1170">
        <v>0.09</v>
      </c>
      <c r="K12" s="1171">
        <v>0.09</v>
      </c>
      <c r="L12" s="1171">
        <v>0.09</v>
      </c>
      <c r="M12" s="1171">
        <v>0.09</v>
      </c>
      <c r="N12" s="1170">
        <v>0.09</v>
      </c>
      <c r="O12" s="1170">
        <v>0.09</v>
      </c>
      <c r="P12" s="1170">
        <v>7.8E-2</v>
      </c>
      <c r="Q12" s="1170">
        <v>6.6000000000000003E-2</v>
      </c>
      <c r="R12" s="1170">
        <v>0.08</v>
      </c>
      <c r="S12" s="291">
        <f>SUM(G12:R12)</f>
        <v>0.99999999999999989</v>
      </c>
      <c r="T12" s="1188"/>
      <c r="U12" s="938"/>
      <c r="V12" s="1164"/>
    </row>
    <row r="13" spans="1:22" s="290" customFormat="1" ht="19.5" customHeight="1" x14ac:dyDescent="0.25">
      <c r="A13" s="941"/>
      <c r="B13" s="948" t="s">
        <v>289</v>
      </c>
      <c r="C13" s="1164" t="s">
        <v>628</v>
      </c>
      <c r="D13" s="936" t="s">
        <v>626</v>
      </c>
      <c r="E13" s="937"/>
      <c r="F13" s="289" t="s">
        <v>19</v>
      </c>
      <c r="G13" s="1168">
        <v>7.0000000000000007E-2</v>
      </c>
      <c r="H13" s="1169">
        <v>8.5999999999999993E-2</v>
      </c>
      <c r="I13" s="1169">
        <v>8.5999999999999993E-2</v>
      </c>
      <c r="J13" s="1168">
        <v>8.5999999999999993E-2</v>
      </c>
      <c r="K13" s="1169">
        <v>8.5999999999999993E-2</v>
      </c>
      <c r="L13" s="1169">
        <v>8.5999999999999993E-2</v>
      </c>
      <c r="M13" s="1169">
        <v>8.5999999999999993E-2</v>
      </c>
      <c r="N13" s="1169">
        <v>8.5999999999999993E-2</v>
      </c>
      <c r="O13" s="1169">
        <v>8.5999999999999993E-2</v>
      </c>
      <c r="P13" s="1169">
        <v>8.5999999999999993E-2</v>
      </c>
      <c r="Q13" s="1169">
        <v>8.5999999999999993E-2</v>
      </c>
      <c r="R13" s="1169">
        <v>7.0000000000000007E-2</v>
      </c>
      <c r="S13" s="289">
        <f t="shared" ref="S13:S60" si="0">SUM(G13:R13)</f>
        <v>0.99999999999999978</v>
      </c>
      <c r="T13" s="1188">
        <v>0.1</v>
      </c>
      <c r="U13" s="938">
        <v>0.1</v>
      </c>
      <c r="V13" s="1164" t="s">
        <v>1080</v>
      </c>
    </row>
    <row r="14" spans="1:22" s="290" customFormat="1" ht="19.5" customHeight="1" thickBot="1" x14ac:dyDescent="0.3">
      <c r="A14" s="941"/>
      <c r="B14" s="948"/>
      <c r="C14" s="1164"/>
      <c r="D14" s="936"/>
      <c r="E14" s="937"/>
      <c r="F14" s="291" t="s">
        <v>20</v>
      </c>
      <c r="G14" s="1170">
        <v>7.0000000000000007E-2</v>
      </c>
      <c r="H14" s="1171">
        <v>8.5999999999999993E-2</v>
      </c>
      <c r="I14" s="1171">
        <v>8.5999999999999993E-2</v>
      </c>
      <c r="J14" s="1170">
        <v>8.5999999999999993E-2</v>
      </c>
      <c r="K14" s="1171">
        <v>8.5999999999999993E-2</v>
      </c>
      <c r="L14" s="1169">
        <v>8.5999999999999993E-2</v>
      </c>
      <c r="M14" s="1171">
        <v>8.5999999999999993E-2</v>
      </c>
      <c r="N14" s="1171">
        <v>8.5999999999999993E-2</v>
      </c>
      <c r="O14" s="1171">
        <v>8.5999999999999993E-2</v>
      </c>
      <c r="P14" s="1171">
        <v>8.5999999999999993E-2</v>
      </c>
      <c r="Q14" s="1171">
        <v>8.5999999999999993E-2</v>
      </c>
      <c r="R14" s="1171">
        <v>7.0000000000000007E-2</v>
      </c>
      <c r="S14" s="291">
        <f t="shared" si="0"/>
        <v>0.99999999999999978</v>
      </c>
      <c r="T14" s="1188"/>
      <c r="U14" s="938"/>
      <c r="V14" s="1164"/>
    </row>
    <row r="15" spans="1:22" s="290" customFormat="1" ht="19.5" customHeight="1" x14ac:dyDescent="0.25">
      <c r="A15" s="941" t="s">
        <v>290</v>
      </c>
      <c r="B15" s="948" t="s">
        <v>291</v>
      </c>
      <c r="C15" s="1164" t="s">
        <v>629</v>
      </c>
      <c r="D15" s="936" t="s">
        <v>626</v>
      </c>
      <c r="E15" s="937"/>
      <c r="F15" s="289" t="s">
        <v>19</v>
      </c>
      <c r="G15" s="1168">
        <v>0.05</v>
      </c>
      <c r="H15" s="1169">
        <v>0.1</v>
      </c>
      <c r="I15" s="1169">
        <v>0.05</v>
      </c>
      <c r="J15" s="1168">
        <v>0.05</v>
      </c>
      <c r="K15" s="1169">
        <v>0.05</v>
      </c>
      <c r="L15" s="1169">
        <v>0.3</v>
      </c>
      <c r="M15" s="1169">
        <v>0.05</v>
      </c>
      <c r="N15" s="1169">
        <v>0.05</v>
      </c>
      <c r="O15" s="1169">
        <v>0.05</v>
      </c>
      <c r="P15" s="1169">
        <v>0.15</v>
      </c>
      <c r="Q15" s="1169">
        <v>0.05</v>
      </c>
      <c r="R15" s="1169">
        <v>0.05</v>
      </c>
      <c r="S15" s="289">
        <f>SUM(G15:R15)</f>
        <v>1.0000000000000002</v>
      </c>
      <c r="T15" s="1188">
        <v>0.1</v>
      </c>
      <c r="U15" s="938">
        <v>0.1</v>
      </c>
      <c r="V15" s="1165" t="s">
        <v>1145</v>
      </c>
    </row>
    <row r="16" spans="1:22" s="290" customFormat="1" ht="19.5" customHeight="1" thickBot="1" x14ac:dyDescent="0.3">
      <c r="A16" s="941"/>
      <c r="B16" s="948"/>
      <c r="C16" s="1164"/>
      <c r="D16" s="936"/>
      <c r="E16" s="937"/>
      <c r="F16" s="291" t="s">
        <v>20</v>
      </c>
      <c r="G16" s="1170">
        <v>0.05</v>
      </c>
      <c r="H16" s="1171">
        <v>0.1</v>
      </c>
      <c r="I16" s="1171">
        <v>0.05</v>
      </c>
      <c r="J16" s="1170">
        <v>0.05</v>
      </c>
      <c r="K16" s="1171">
        <v>0.05</v>
      </c>
      <c r="L16" s="1171">
        <v>0.3</v>
      </c>
      <c r="M16" s="1171">
        <v>0.05</v>
      </c>
      <c r="N16" s="1171">
        <v>0.05</v>
      </c>
      <c r="O16" s="1171">
        <v>0.05</v>
      </c>
      <c r="P16" s="1171">
        <v>0.15</v>
      </c>
      <c r="Q16" s="1171">
        <v>0.05</v>
      </c>
      <c r="R16" s="1171">
        <v>0.05</v>
      </c>
      <c r="S16" s="291">
        <f t="shared" si="0"/>
        <v>1.0000000000000002</v>
      </c>
      <c r="T16" s="1188"/>
      <c r="U16" s="938"/>
      <c r="V16" s="1165"/>
    </row>
    <row r="17" spans="1:22" s="290" customFormat="1" ht="39.75" customHeight="1" x14ac:dyDescent="0.25">
      <c r="A17" s="941"/>
      <c r="B17" s="948" t="s">
        <v>293</v>
      </c>
      <c r="C17" s="948" t="s">
        <v>630</v>
      </c>
      <c r="D17" s="936" t="s">
        <v>626</v>
      </c>
      <c r="E17" s="937"/>
      <c r="F17" s="289" t="s">
        <v>19</v>
      </c>
      <c r="G17" s="1168">
        <v>0.1</v>
      </c>
      <c r="H17" s="1169">
        <v>0.1</v>
      </c>
      <c r="I17" s="1169">
        <v>0.05</v>
      </c>
      <c r="J17" s="1168">
        <v>0.05</v>
      </c>
      <c r="K17" s="1169">
        <v>0.05</v>
      </c>
      <c r="L17" s="1169">
        <v>0.05</v>
      </c>
      <c r="M17" s="1169">
        <v>0.05</v>
      </c>
      <c r="N17" s="1169">
        <v>0.05</v>
      </c>
      <c r="O17" s="1169">
        <v>0.1</v>
      </c>
      <c r="P17" s="1169">
        <v>0.15</v>
      </c>
      <c r="Q17" s="1169">
        <v>0.15</v>
      </c>
      <c r="R17" s="1169">
        <v>0.1</v>
      </c>
      <c r="S17" s="289">
        <f t="shared" si="0"/>
        <v>1</v>
      </c>
      <c r="T17" s="1188">
        <v>0.1</v>
      </c>
      <c r="U17" s="938">
        <v>0.05</v>
      </c>
      <c r="V17" s="1165" t="s">
        <v>1146</v>
      </c>
    </row>
    <row r="18" spans="1:22" s="290" customFormat="1" ht="31.5" customHeight="1" thickBot="1" x14ac:dyDescent="0.3">
      <c r="A18" s="941"/>
      <c r="B18" s="948"/>
      <c r="C18" s="948"/>
      <c r="D18" s="936"/>
      <c r="E18" s="937"/>
      <c r="F18" s="291" t="s">
        <v>20</v>
      </c>
      <c r="G18" s="1170">
        <v>0.1</v>
      </c>
      <c r="H18" s="1171">
        <v>0.1</v>
      </c>
      <c r="I18" s="1171">
        <v>0.05</v>
      </c>
      <c r="J18" s="1170">
        <v>0.05</v>
      </c>
      <c r="K18" s="1171">
        <v>0.05</v>
      </c>
      <c r="L18" s="1171">
        <v>0.05</v>
      </c>
      <c r="M18" s="1169">
        <v>0.05</v>
      </c>
      <c r="N18" s="1169">
        <v>0.05</v>
      </c>
      <c r="O18" s="1169">
        <v>0.1</v>
      </c>
      <c r="P18" s="1169">
        <v>0.15</v>
      </c>
      <c r="Q18" s="1169">
        <v>0.15</v>
      </c>
      <c r="R18" s="1169">
        <v>0.1</v>
      </c>
      <c r="S18" s="291">
        <f t="shared" si="0"/>
        <v>1</v>
      </c>
      <c r="T18" s="1188"/>
      <c r="U18" s="938"/>
      <c r="V18" s="1165"/>
    </row>
    <row r="19" spans="1:22" s="290" customFormat="1" ht="19.5" customHeight="1" x14ac:dyDescent="0.25">
      <c r="A19" s="941"/>
      <c r="B19" s="948"/>
      <c r="C19" s="948" t="s">
        <v>631</v>
      </c>
      <c r="D19" s="936" t="s">
        <v>626</v>
      </c>
      <c r="E19" s="937"/>
      <c r="F19" s="289" t="s">
        <v>19</v>
      </c>
      <c r="G19" s="1168">
        <v>0.1</v>
      </c>
      <c r="H19" s="1169">
        <v>0.1</v>
      </c>
      <c r="I19" s="1169">
        <v>0.05</v>
      </c>
      <c r="J19" s="1168">
        <v>0.05</v>
      </c>
      <c r="K19" s="1169">
        <v>0.05</v>
      </c>
      <c r="L19" s="1169">
        <v>0.05</v>
      </c>
      <c r="M19" s="1169">
        <v>0.05</v>
      </c>
      <c r="N19" s="1169">
        <v>0.05</v>
      </c>
      <c r="O19" s="1169">
        <v>0.1</v>
      </c>
      <c r="P19" s="1169">
        <v>0.15</v>
      </c>
      <c r="Q19" s="1169">
        <v>0.15</v>
      </c>
      <c r="R19" s="1169">
        <v>0.1</v>
      </c>
      <c r="S19" s="289">
        <f t="shared" si="0"/>
        <v>1</v>
      </c>
      <c r="T19" s="1188"/>
      <c r="U19" s="938">
        <v>0.05</v>
      </c>
      <c r="V19" s="1164" t="s">
        <v>1147</v>
      </c>
    </row>
    <row r="20" spans="1:22" s="290" customFormat="1" ht="19.5" customHeight="1" thickBot="1" x14ac:dyDescent="0.3">
      <c r="A20" s="941"/>
      <c r="B20" s="948"/>
      <c r="C20" s="948"/>
      <c r="D20" s="936"/>
      <c r="E20" s="937"/>
      <c r="F20" s="291" t="s">
        <v>20</v>
      </c>
      <c r="G20" s="1170">
        <v>0.1</v>
      </c>
      <c r="H20" s="1171">
        <v>0.1</v>
      </c>
      <c r="I20" s="1171">
        <v>0.05</v>
      </c>
      <c r="J20" s="1170">
        <v>0.05</v>
      </c>
      <c r="K20" s="1171">
        <v>0.05</v>
      </c>
      <c r="L20" s="1171">
        <v>0.05</v>
      </c>
      <c r="M20" s="1171">
        <v>0.05</v>
      </c>
      <c r="N20" s="1171">
        <v>0.05</v>
      </c>
      <c r="O20" s="1171">
        <v>0.1</v>
      </c>
      <c r="P20" s="1171">
        <v>0.15</v>
      </c>
      <c r="Q20" s="1171">
        <v>0.15</v>
      </c>
      <c r="R20" s="1171">
        <v>0.1</v>
      </c>
      <c r="S20" s="291">
        <f t="shared" si="0"/>
        <v>1</v>
      </c>
      <c r="T20" s="1188"/>
      <c r="U20" s="938"/>
      <c r="V20" s="1165"/>
    </row>
    <row r="21" spans="1:22" s="290" customFormat="1" ht="19.5" customHeight="1" x14ac:dyDescent="0.25">
      <c r="A21" s="941"/>
      <c r="B21" s="948" t="s">
        <v>294</v>
      </c>
      <c r="C21" s="1164" t="s">
        <v>632</v>
      </c>
      <c r="D21" s="936" t="s">
        <v>626</v>
      </c>
      <c r="E21" s="937"/>
      <c r="F21" s="289" t="s">
        <v>19</v>
      </c>
      <c r="G21" s="1168">
        <v>0.05</v>
      </c>
      <c r="H21" s="1168">
        <v>0</v>
      </c>
      <c r="I21" s="1168">
        <v>0.05</v>
      </c>
      <c r="J21" s="1168">
        <v>0.05</v>
      </c>
      <c r="K21" s="1168">
        <v>0.1</v>
      </c>
      <c r="L21" s="1168">
        <v>0.25</v>
      </c>
      <c r="M21" s="1168">
        <v>0.05</v>
      </c>
      <c r="N21" s="1168">
        <v>0.05</v>
      </c>
      <c r="O21" s="1168">
        <v>0.05</v>
      </c>
      <c r="P21" s="1168">
        <v>0.1</v>
      </c>
      <c r="Q21" s="1168">
        <v>0.25</v>
      </c>
      <c r="R21" s="1168">
        <v>0</v>
      </c>
      <c r="S21" s="289">
        <f t="shared" si="0"/>
        <v>1</v>
      </c>
      <c r="T21" s="1188">
        <v>0.1</v>
      </c>
      <c r="U21" s="938">
        <v>3.3300000000000003E-2</v>
      </c>
      <c r="V21" s="1165" t="s">
        <v>1178</v>
      </c>
    </row>
    <row r="22" spans="1:22" s="290" customFormat="1" ht="19.5" customHeight="1" thickBot="1" x14ac:dyDescent="0.3">
      <c r="A22" s="941"/>
      <c r="B22" s="948"/>
      <c r="C22" s="1164"/>
      <c r="D22" s="936"/>
      <c r="E22" s="937"/>
      <c r="F22" s="291" t="s">
        <v>20</v>
      </c>
      <c r="G22" s="1170">
        <v>0.05</v>
      </c>
      <c r="H22" s="1170">
        <v>0</v>
      </c>
      <c r="I22" s="1170">
        <v>0.05</v>
      </c>
      <c r="J22" s="1170">
        <v>0.05</v>
      </c>
      <c r="K22" s="1170">
        <v>0.1</v>
      </c>
      <c r="L22" s="1170">
        <v>0.25</v>
      </c>
      <c r="M22" s="1170">
        <v>0.05</v>
      </c>
      <c r="N22" s="1170">
        <v>0.05</v>
      </c>
      <c r="O22" s="1170">
        <v>0.05</v>
      </c>
      <c r="P22" s="1170">
        <v>0.1</v>
      </c>
      <c r="Q22" s="1170">
        <v>0.25</v>
      </c>
      <c r="R22" s="1170">
        <v>0</v>
      </c>
      <c r="S22" s="291">
        <f t="shared" si="0"/>
        <v>1</v>
      </c>
      <c r="T22" s="1188"/>
      <c r="U22" s="938"/>
      <c r="V22" s="1165"/>
    </row>
    <row r="23" spans="1:22" s="290" customFormat="1" ht="19.5" customHeight="1" x14ac:dyDescent="0.25">
      <c r="A23" s="941"/>
      <c r="B23" s="948"/>
      <c r="C23" s="1164" t="s">
        <v>633</v>
      </c>
      <c r="D23" s="936" t="s">
        <v>626</v>
      </c>
      <c r="E23" s="937"/>
      <c r="F23" s="289" t="s">
        <v>19</v>
      </c>
      <c r="G23" s="1170">
        <v>0.08</v>
      </c>
      <c r="H23" s="1170">
        <v>0.04</v>
      </c>
      <c r="I23" s="1170">
        <v>0.06</v>
      </c>
      <c r="J23" s="1170">
        <v>0.1</v>
      </c>
      <c r="K23" s="1170">
        <v>0.1</v>
      </c>
      <c r="L23" s="1170">
        <v>0.1</v>
      </c>
      <c r="M23" s="1170">
        <v>0.1</v>
      </c>
      <c r="N23" s="1170">
        <v>0.1</v>
      </c>
      <c r="O23" s="1170">
        <v>0.1</v>
      </c>
      <c r="P23" s="1170">
        <v>0.08</v>
      </c>
      <c r="Q23" s="1170">
        <v>7.0000000000000007E-2</v>
      </c>
      <c r="R23" s="1170">
        <v>7.0000000000000007E-2</v>
      </c>
      <c r="S23" s="289">
        <f t="shared" si="0"/>
        <v>1</v>
      </c>
      <c r="T23" s="1188"/>
      <c r="U23" s="938">
        <v>3.3300000000000003E-2</v>
      </c>
      <c r="V23" s="1164" t="s">
        <v>1179</v>
      </c>
    </row>
    <row r="24" spans="1:22" s="290" customFormat="1" ht="19.5" customHeight="1" thickBot="1" x14ac:dyDescent="0.3">
      <c r="A24" s="941"/>
      <c r="B24" s="948"/>
      <c r="C24" s="1164"/>
      <c r="D24" s="936"/>
      <c r="E24" s="937"/>
      <c r="F24" s="291" t="s">
        <v>20</v>
      </c>
      <c r="G24" s="1170">
        <v>0.08</v>
      </c>
      <c r="H24" s="1170">
        <v>0.04</v>
      </c>
      <c r="I24" s="1170">
        <v>0.06</v>
      </c>
      <c r="J24" s="1170">
        <v>0.1</v>
      </c>
      <c r="K24" s="1170">
        <v>0.1</v>
      </c>
      <c r="L24" s="1170">
        <v>0.1</v>
      </c>
      <c r="M24" s="1170">
        <v>0.1</v>
      </c>
      <c r="N24" s="1170">
        <v>0.1</v>
      </c>
      <c r="O24" s="1170">
        <v>0.1</v>
      </c>
      <c r="P24" s="1170">
        <v>0.08</v>
      </c>
      <c r="Q24" s="1170">
        <v>7.0000000000000007E-2</v>
      </c>
      <c r="R24" s="1170">
        <v>7.0000000000000007E-2</v>
      </c>
      <c r="S24" s="291">
        <f t="shared" si="0"/>
        <v>1</v>
      </c>
      <c r="T24" s="1188"/>
      <c r="U24" s="938"/>
      <c r="V24" s="1183"/>
    </row>
    <row r="25" spans="1:22" s="290" customFormat="1" ht="19.5" customHeight="1" x14ac:dyDescent="0.25">
      <c r="A25" s="941"/>
      <c r="B25" s="948"/>
      <c r="C25" s="1164" t="s">
        <v>634</v>
      </c>
      <c r="D25" s="936" t="s">
        <v>626</v>
      </c>
      <c r="E25" s="937"/>
      <c r="F25" s="289" t="s">
        <v>19</v>
      </c>
      <c r="G25" s="1170">
        <v>0.08</v>
      </c>
      <c r="H25" s="1170">
        <v>0.05</v>
      </c>
      <c r="I25" s="1170">
        <v>0.08</v>
      </c>
      <c r="J25" s="1170">
        <v>0.08</v>
      </c>
      <c r="K25" s="1170">
        <v>0.09</v>
      </c>
      <c r="L25" s="1170">
        <v>0.09</v>
      </c>
      <c r="M25" s="1170">
        <v>0.09</v>
      </c>
      <c r="N25" s="1170">
        <v>0.09</v>
      </c>
      <c r="O25" s="1170">
        <v>0.09</v>
      </c>
      <c r="P25" s="1170">
        <v>0.09</v>
      </c>
      <c r="Q25" s="1170">
        <v>0.09</v>
      </c>
      <c r="R25" s="1170">
        <v>0.08</v>
      </c>
      <c r="S25" s="289">
        <f t="shared" si="0"/>
        <v>0.99999999999999978</v>
      </c>
      <c r="T25" s="1188"/>
      <c r="U25" s="938">
        <v>3.3399999999999999E-2</v>
      </c>
      <c r="V25" s="1164" t="s">
        <v>1180</v>
      </c>
    </row>
    <row r="26" spans="1:22" s="290" customFormat="1" ht="19.5" customHeight="1" thickBot="1" x14ac:dyDescent="0.3">
      <c r="A26" s="941"/>
      <c r="B26" s="948"/>
      <c r="C26" s="1164"/>
      <c r="D26" s="936"/>
      <c r="E26" s="937"/>
      <c r="F26" s="291" t="s">
        <v>20</v>
      </c>
      <c r="G26" s="1170">
        <v>0.08</v>
      </c>
      <c r="H26" s="1170">
        <v>0.05</v>
      </c>
      <c r="I26" s="1170">
        <v>0.08</v>
      </c>
      <c r="J26" s="1170">
        <v>0.08</v>
      </c>
      <c r="K26" s="1170">
        <v>0.09</v>
      </c>
      <c r="L26" s="1170">
        <v>0.09</v>
      </c>
      <c r="M26" s="1170">
        <v>0.09</v>
      </c>
      <c r="N26" s="1170">
        <v>0.09</v>
      </c>
      <c r="O26" s="1170">
        <v>0.09</v>
      </c>
      <c r="P26" s="1170">
        <v>0.09</v>
      </c>
      <c r="Q26" s="1170">
        <v>0.09</v>
      </c>
      <c r="R26" s="1170">
        <v>0.08</v>
      </c>
      <c r="S26" s="291">
        <f t="shared" si="0"/>
        <v>0.99999999999999978</v>
      </c>
      <c r="T26" s="1188"/>
      <c r="U26" s="938"/>
      <c r="V26" s="1183"/>
    </row>
    <row r="27" spans="1:22" s="290" customFormat="1" ht="19.5" customHeight="1" x14ac:dyDescent="0.25">
      <c r="A27" s="941"/>
      <c r="B27" s="948" t="s">
        <v>295</v>
      </c>
      <c r="C27" s="1164" t="s">
        <v>635</v>
      </c>
      <c r="D27" s="936" t="s">
        <v>626</v>
      </c>
      <c r="E27" s="937"/>
      <c r="F27" s="289" t="s">
        <v>19</v>
      </c>
      <c r="G27" s="1168">
        <v>0.05</v>
      </c>
      <c r="H27" s="1168">
        <v>0.05</v>
      </c>
      <c r="I27" s="1168">
        <v>0.09</v>
      </c>
      <c r="J27" s="1168">
        <v>0.09</v>
      </c>
      <c r="K27" s="1168">
        <v>0.09</v>
      </c>
      <c r="L27" s="1168">
        <v>0.09</v>
      </c>
      <c r="M27" s="1170">
        <v>0.09</v>
      </c>
      <c r="N27" s="1170">
        <v>0.09</v>
      </c>
      <c r="O27" s="1170">
        <v>0.09</v>
      </c>
      <c r="P27" s="1170">
        <v>0.09</v>
      </c>
      <c r="Q27" s="1170">
        <v>0.09</v>
      </c>
      <c r="R27" s="1170">
        <v>0.09</v>
      </c>
      <c r="S27" s="289">
        <f t="shared" si="0"/>
        <v>0.99999999999999978</v>
      </c>
      <c r="T27" s="1188">
        <v>0.1</v>
      </c>
      <c r="U27" s="938">
        <v>3.3300000000000003E-2</v>
      </c>
      <c r="V27" s="1164" t="s">
        <v>1181</v>
      </c>
    </row>
    <row r="28" spans="1:22" s="290" customFormat="1" ht="19.5" customHeight="1" thickBot="1" x14ac:dyDescent="0.3">
      <c r="A28" s="941"/>
      <c r="B28" s="948"/>
      <c r="C28" s="1164"/>
      <c r="D28" s="936"/>
      <c r="E28" s="937"/>
      <c r="F28" s="291" t="s">
        <v>20</v>
      </c>
      <c r="G28" s="1170">
        <v>0.05</v>
      </c>
      <c r="H28" s="1170">
        <v>0.05</v>
      </c>
      <c r="I28" s="1170">
        <v>0.09</v>
      </c>
      <c r="J28" s="1170">
        <v>0.09</v>
      </c>
      <c r="K28" s="1170">
        <v>0.09</v>
      </c>
      <c r="L28" s="1170">
        <v>0.09</v>
      </c>
      <c r="M28" s="1170">
        <v>0.09</v>
      </c>
      <c r="N28" s="1170">
        <v>0.09</v>
      </c>
      <c r="O28" s="1170">
        <v>0.09</v>
      </c>
      <c r="P28" s="1170">
        <v>0.09</v>
      </c>
      <c r="Q28" s="1170">
        <v>0.09</v>
      </c>
      <c r="R28" s="1170">
        <v>0.09</v>
      </c>
      <c r="S28" s="291">
        <f t="shared" si="0"/>
        <v>0.99999999999999978</v>
      </c>
      <c r="T28" s="1188"/>
      <c r="U28" s="938"/>
      <c r="V28" s="1164"/>
    </row>
    <row r="29" spans="1:22" s="290" customFormat="1" ht="19.5" customHeight="1" x14ac:dyDescent="0.25">
      <c r="A29" s="941"/>
      <c r="B29" s="948"/>
      <c r="C29" s="1164" t="s">
        <v>636</v>
      </c>
      <c r="D29" s="936" t="s">
        <v>626</v>
      </c>
      <c r="E29" s="937"/>
      <c r="F29" s="289" t="s">
        <v>19</v>
      </c>
      <c r="G29" s="1170">
        <v>0.05</v>
      </c>
      <c r="H29" s="1170">
        <v>0.05</v>
      </c>
      <c r="I29" s="1170">
        <v>0.1</v>
      </c>
      <c r="J29" s="1170">
        <v>0.1</v>
      </c>
      <c r="K29" s="1170">
        <v>0.1</v>
      </c>
      <c r="L29" s="1170">
        <v>0.1</v>
      </c>
      <c r="M29" s="1170">
        <v>0.1</v>
      </c>
      <c r="N29" s="1170">
        <v>0.1</v>
      </c>
      <c r="O29" s="1170">
        <v>0.1</v>
      </c>
      <c r="P29" s="1170">
        <v>0.1</v>
      </c>
      <c r="Q29" s="1170">
        <v>0.05</v>
      </c>
      <c r="R29" s="1170">
        <v>0.05</v>
      </c>
      <c r="S29" s="289">
        <f t="shared" si="0"/>
        <v>1</v>
      </c>
      <c r="T29" s="1188"/>
      <c r="U29" s="938">
        <v>3.3300000000000003E-2</v>
      </c>
      <c r="V29" s="1164" t="s">
        <v>1182</v>
      </c>
    </row>
    <row r="30" spans="1:22" s="290" customFormat="1" ht="19.5" customHeight="1" thickBot="1" x14ac:dyDescent="0.3">
      <c r="A30" s="941"/>
      <c r="B30" s="948"/>
      <c r="C30" s="1164"/>
      <c r="D30" s="936"/>
      <c r="E30" s="937"/>
      <c r="F30" s="291" t="s">
        <v>20</v>
      </c>
      <c r="G30" s="1170">
        <v>0.05</v>
      </c>
      <c r="H30" s="1170">
        <v>0.05</v>
      </c>
      <c r="I30" s="1170">
        <v>0.1</v>
      </c>
      <c r="J30" s="1170">
        <v>0.1</v>
      </c>
      <c r="K30" s="1170">
        <v>0.1</v>
      </c>
      <c r="L30" s="1170">
        <v>0.1</v>
      </c>
      <c r="M30" s="1170">
        <v>0.1</v>
      </c>
      <c r="N30" s="1170">
        <v>0.1</v>
      </c>
      <c r="O30" s="1170">
        <v>0.1</v>
      </c>
      <c r="P30" s="1170">
        <v>0.1</v>
      </c>
      <c r="Q30" s="1170">
        <v>0.05</v>
      </c>
      <c r="R30" s="1170">
        <v>0.05</v>
      </c>
      <c r="S30" s="291">
        <f t="shared" si="0"/>
        <v>1</v>
      </c>
      <c r="T30" s="1188"/>
      <c r="U30" s="938"/>
      <c r="V30" s="1183"/>
    </row>
    <row r="31" spans="1:22" s="290" customFormat="1" ht="25.5" customHeight="1" x14ac:dyDescent="0.25">
      <c r="A31" s="941"/>
      <c r="B31" s="948"/>
      <c r="C31" s="1164" t="s">
        <v>637</v>
      </c>
      <c r="D31" s="936" t="s">
        <v>626</v>
      </c>
      <c r="E31" s="937"/>
      <c r="F31" s="289" t="s">
        <v>19</v>
      </c>
      <c r="G31" s="1170">
        <v>0.09</v>
      </c>
      <c r="H31" s="1170">
        <v>0.03</v>
      </c>
      <c r="I31" s="1170">
        <v>0.09</v>
      </c>
      <c r="J31" s="1170">
        <v>0.08</v>
      </c>
      <c r="K31" s="1170">
        <v>0.09</v>
      </c>
      <c r="L31" s="1170">
        <v>0.09</v>
      </c>
      <c r="M31" s="1170">
        <v>0.09</v>
      </c>
      <c r="N31" s="1170">
        <v>0.09</v>
      </c>
      <c r="O31" s="1170">
        <v>0.09</v>
      </c>
      <c r="P31" s="1170">
        <v>0.09</v>
      </c>
      <c r="Q31" s="1170">
        <v>0.09</v>
      </c>
      <c r="R31" s="1170">
        <v>0.08</v>
      </c>
      <c r="S31" s="289">
        <f t="shared" si="0"/>
        <v>0.99999999999999978</v>
      </c>
      <c r="T31" s="1188"/>
      <c r="U31" s="938">
        <v>3.3399999999999999E-2</v>
      </c>
      <c r="V31" s="1164" t="s">
        <v>1183</v>
      </c>
    </row>
    <row r="32" spans="1:22" s="290" customFormat="1" ht="31.5" customHeight="1" thickBot="1" x14ac:dyDescent="0.3">
      <c r="A32" s="941"/>
      <c r="B32" s="948"/>
      <c r="C32" s="1164"/>
      <c r="D32" s="936"/>
      <c r="E32" s="937"/>
      <c r="F32" s="291" t="s">
        <v>20</v>
      </c>
      <c r="G32" s="1170">
        <v>0.09</v>
      </c>
      <c r="H32" s="1170">
        <v>0.03</v>
      </c>
      <c r="I32" s="1171">
        <v>0.09</v>
      </c>
      <c r="J32" s="1170">
        <v>0.08</v>
      </c>
      <c r="K32" s="1171">
        <v>0.09</v>
      </c>
      <c r="L32" s="1171">
        <v>0.09</v>
      </c>
      <c r="M32" s="1171">
        <v>0.09</v>
      </c>
      <c r="N32" s="1171">
        <v>0.09</v>
      </c>
      <c r="O32" s="1171">
        <v>0.09</v>
      </c>
      <c r="P32" s="1171">
        <v>0.09</v>
      </c>
      <c r="Q32" s="1171">
        <v>0.09</v>
      </c>
      <c r="R32" s="1171">
        <v>0.08</v>
      </c>
      <c r="S32" s="291">
        <f t="shared" si="0"/>
        <v>0.99999999999999978</v>
      </c>
      <c r="T32" s="1188"/>
      <c r="U32" s="938"/>
      <c r="V32" s="1183"/>
    </row>
    <row r="33" spans="1:23" s="290" customFormat="1" ht="36.6" customHeight="1" x14ac:dyDescent="0.25">
      <c r="A33" s="941"/>
      <c r="B33" s="948" t="s">
        <v>296</v>
      </c>
      <c r="C33" s="1164" t="s">
        <v>638</v>
      </c>
      <c r="D33" s="936" t="s">
        <v>626</v>
      </c>
      <c r="E33" s="937"/>
      <c r="F33" s="289" t="s">
        <v>19</v>
      </c>
      <c r="G33" s="1168">
        <v>0.05</v>
      </c>
      <c r="H33" s="1168">
        <v>0.09</v>
      </c>
      <c r="I33" s="1168">
        <v>0.09</v>
      </c>
      <c r="J33" s="1168">
        <v>0.09</v>
      </c>
      <c r="K33" s="1168">
        <v>0.09</v>
      </c>
      <c r="L33" s="1168">
        <v>0.09</v>
      </c>
      <c r="M33" s="1168">
        <v>0.09</v>
      </c>
      <c r="N33" s="1168">
        <v>0.09</v>
      </c>
      <c r="O33" s="1168">
        <v>0.09</v>
      </c>
      <c r="P33" s="1168">
        <v>0.09</v>
      </c>
      <c r="Q33" s="1168">
        <v>0.09</v>
      </c>
      <c r="R33" s="1168">
        <v>0.05</v>
      </c>
      <c r="S33" s="289">
        <f t="shared" si="0"/>
        <v>0.99999999999999989</v>
      </c>
      <c r="T33" s="1188">
        <v>0.1</v>
      </c>
      <c r="U33" s="938">
        <v>0.05</v>
      </c>
      <c r="V33" s="1184" t="s">
        <v>1190</v>
      </c>
      <c r="W33" s="489"/>
    </row>
    <row r="34" spans="1:23" s="290" customFormat="1" ht="39.6" customHeight="1" thickBot="1" x14ac:dyDescent="0.3">
      <c r="A34" s="941"/>
      <c r="B34" s="948"/>
      <c r="C34" s="1164"/>
      <c r="D34" s="936"/>
      <c r="E34" s="937"/>
      <c r="F34" s="291" t="s">
        <v>20</v>
      </c>
      <c r="G34" s="1170">
        <v>0.05</v>
      </c>
      <c r="H34" s="1170">
        <v>0.09</v>
      </c>
      <c r="I34" s="1170">
        <v>0.09</v>
      </c>
      <c r="J34" s="1168">
        <v>0.09</v>
      </c>
      <c r="K34" s="1170">
        <v>0.09</v>
      </c>
      <c r="L34" s="1170">
        <v>0.09</v>
      </c>
      <c r="M34" s="1170">
        <v>0.09</v>
      </c>
      <c r="N34" s="1170">
        <v>0.09</v>
      </c>
      <c r="O34" s="1170">
        <v>0.09</v>
      </c>
      <c r="P34" s="1170">
        <v>0.09</v>
      </c>
      <c r="Q34" s="1168">
        <v>0.09</v>
      </c>
      <c r="R34" s="1168">
        <v>0.05</v>
      </c>
      <c r="S34" s="291">
        <f t="shared" si="0"/>
        <v>0.99999999999999989</v>
      </c>
      <c r="T34" s="1188"/>
      <c r="U34" s="938"/>
      <c r="V34" s="1185"/>
      <c r="W34" s="489"/>
    </row>
    <row r="35" spans="1:23" s="290" customFormat="1" ht="45.6" customHeight="1" x14ac:dyDescent="0.25">
      <c r="A35" s="941"/>
      <c r="B35" s="948"/>
      <c r="C35" s="1164" t="s">
        <v>639</v>
      </c>
      <c r="D35" s="936" t="s">
        <v>626</v>
      </c>
      <c r="E35" s="937"/>
      <c r="F35" s="289" t="s">
        <v>19</v>
      </c>
      <c r="G35" s="1170">
        <v>0.05</v>
      </c>
      <c r="H35" s="1170">
        <v>0.09</v>
      </c>
      <c r="I35" s="1170">
        <v>0.09</v>
      </c>
      <c r="J35" s="1170">
        <v>0.09</v>
      </c>
      <c r="K35" s="1170">
        <v>0.09</v>
      </c>
      <c r="L35" s="1170">
        <v>0.09</v>
      </c>
      <c r="M35" s="1170">
        <v>0.09</v>
      </c>
      <c r="N35" s="1170">
        <v>0.09</v>
      </c>
      <c r="O35" s="1170">
        <v>0.09</v>
      </c>
      <c r="P35" s="1170">
        <v>0.09</v>
      </c>
      <c r="Q35" s="1168">
        <v>0.09</v>
      </c>
      <c r="R35" s="1168">
        <v>0.05</v>
      </c>
      <c r="S35" s="289">
        <f t="shared" si="0"/>
        <v>0.99999999999999989</v>
      </c>
      <c r="T35" s="1188"/>
      <c r="U35" s="938">
        <v>0.05</v>
      </c>
      <c r="V35" s="1184" t="s">
        <v>1191</v>
      </c>
    </row>
    <row r="36" spans="1:23" s="290" customFormat="1" ht="48.6" customHeight="1" thickBot="1" x14ac:dyDescent="0.3">
      <c r="A36" s="941"/>
      <c r="B36" s="948"/>
      <c r="C36" s="1164"/>
      <c r="D36" s="936"/>
      <c r="E36" s="937"/>
      <c r="F36" s="291" t="s">
        <v>20</v>
      </c>
      <c r="G36" s="1170">
        <v>0.05</v>
      </c>
      <c r="H36" s="1171">
        <v>0.09</v>
      </c>
      <c r="I36" s="1171">
        <v>0.09</v>
      </c>
      <c r="J36" s="1170">
        <v>0.09</v>
      </c>
      <c r="K36" s="1171">
        <v>0.09</v>
      </c>
      <c r="L36" s="1171">
        <v>0.09</v>
      </c>
      <c r="M36" s="1171">
        <v>0.09</v>
      </c>
      <c r="N36" s="1171">
        <v>0.09</v>
      </c>
      <c r="O36" s="1171">
        <v>0.09</v>
      </c>
      <c r="P36" s="1171">
        <v>0.09</v>
      </c>
      <c r="Q36" s="1171">
        <v>0.09</v>
      </c>
      <c r="R36" s="1171">
        <v>0.05</v>
      </c>
      <c r="S36" s="291">
        <f t="shared" si="0"/>
        <v>0.99999999999999989</v>
      </c>
      <c r="T36" s="1188"/>
      <c r="U36" s="938"/>
      <c r="V36" s="1185"/>
    </row>
    <row r="37" spans="1:23" s="290" customFormat="1" ht="19.5" customHeight="1" x14ac:dyDescent="0.25">
      <c r="A37" s="941" t="s">
        <v>297</v>
      </c>
      <c r="B37" s="941" t="s">
        <v>298</v>
      </c>
      <c r="C37" s="1164" t="s">
        <v>640</v>
      </c>
      <c r="D37" s="936" t="s">
        <v>626</v>
      </c>
      <c r="E37" s="937" t="s">
        <v>641</v>
      </c>
      <c r="F37" s="289" t="s">
        <v>19</v>
      </c>
      <c r="G37" s="1170">
        <v>1</v>
      </c>
      <c r="H37" s="1170"/>
      <c r="I37" s="1170"/>
      <c r="J37" s="1170"/>
      <c r="K37" s="1170"/>
      <c r="L37" s="1170"/>
      <c r="M37" s="1170"/>
      <c r="N37" s="1170"/>
      <c r="O37" s="1170"/>
      <c r="P37" s="1170"/>
      <c r="Q37" s="1170"/>
      <c r="R37" s="1168"/>
      <c r="S37" s="289">
        <f t="shared" si="0"/>
        <v>1</v>
      </c>
      <c r="T37" s="1188">
        <v>0.1</v>
      </c>
      <c r="U37" s="938">
        <v>0.02</v>
      </c>
      <c r="V37" s="1164" t="s">
        <v>642</v>
      </c>
    </row>
    <row r="38" spans="1:23" s="290" customFormat="1" ht="19.5" customHeight="1" thickBot="1" x14ac:dyDescent="0.3">
      <c r="A38" s="941"/>
      <c r="B38" s="941"/>
      <c r="C38" s="1164"/>
      <c r="D38" s="936"/>
      <c r="E38" s="937"/>
      <c r="F38" s="291" t="s">
        <v>20</v>
      </c>
      <c r="G38" s="1172">
        <v>1</v>
      </c>
      <c r="H38" s="1170"/>
      <c r="I38" s="1170"/>
      <c r="J38" s="1170"/>
      <c r="K38" s="1170"/>
      <c r="L38" s="1170"/>
      <c r="M38" s="1170"/>
      <c r="N38" s="1170"/>
      <c r="O38" s="1170"/>
      <c r="P38" s="1170"/>
      <c r="Q38" s="1170"/>
      <c r="R38" s="1170"/>
      <c r="S38" s="291">
        <f t="shared" si="0"/>
        <v>1</v>
      </c>
      <c r="T38" s="1188"/>
      <c r="U38" s="938"/>
      <c r="V38" s="1164"/>
    </row>
    <row r="39" spans="1:23" s="290" customFormat="1" ht="19.5" customHeight="1" x14ac:dyDescent="0.25">
      <c r="A39" s="941"/>
      <c r="B39" s="941"/>
      <c r="C39" s="1164" t="s">
        <v>643</v>
      </c>
      <c r="D39" s="936" t="s">
        <v>626</v>
      </c>
      <c r="E39" s="937" t="s">
        <v>641</v>
      </c>
      <c r="F39" s="289" t="s">
        <v>19</v>
      </c>
      <c r="G39" s="1170">
        <v>0.5</v>
      </c>
      <c r="H39" s="1170">
        <v>0.5</v>
      </c>
      <c r="I39" s="1170"/>
      <c r="J39" s="1170"/>
      <c r="K39" s="1170"/>
      <c r="L39" s="1170"/>
      <c r="M39" s="1170"/>
      <c r="N39" s="1170"/>
      <c r="O39" s="1170"/>
      <c r="P39" s="1170"/>
      <c r="Q39" s="1170"/>
      <c r="R39" s="1168"/>
      <c r="S39" s="289">
        <f t="shared" si="0"/>
        <v>1</v>
      </c>
      <c r="T39" s="1188"/>
      <c r="U39" s="938">
        <v>0.02</v>
      </c>
      <c r="V39" s="1164" t="s">
        <v>644</v>
      </c>
    </row>
    <row r="40" spans="1:23" s="290" customFormat="1" ht="19.5" customHeight="1" x14ac:dyDescent="0.25">
      <c r="A40" s="941"/>
      <c r="B40" s="941"/>
      <c r="C40" s="1164"/>
      <c r="D40" s="936"/>
      <c r="E40" s="937"/>
      <c r="F40" s="292" t="s">
        <v>20</v>
      </c>
      <c r="G40" s="1173">
        <v>0.5</v>
      </c>
      <c r="H40" s="1173">
        <v>0.5</v>
      </c>
      <c r="I40" s="1173"/>
      <c r="J40" s="1173"/>
      <c r="K40" s="1173"/>
      <c r="L40" s="1173"/>
      <c r="M40" s="1173"/>
      <c r="N40" s="1173"/>
      <c r="O40" s="1173"/>
      <c r="P40" s="1173"/>
      <c r="Q40" s="1173"/>
      <c r="R40" s="1174"/>
      <c r="S40" s="292">
        <f t="shared" si="0"/>
        <v>1</v>
      </c>
      <c r="T40" s="1188"/>
      <c r="U40" s="938"/>
      <c r="V40" s="1164"/>
    </row>
    <row r="41" spans="1:23" s="290" customFormat="1" ht="19.5" customHeight="1" x14ac:dyDescent="0.25">
      <c r="A41" s="941"/>
      <c r="B41" s="941"/>
      <c r="C41" s="1164" t="s">
        <v>645</v>
      </c>
      <c r="D41" s="936" t="s">
        <v>626</v>
      </c>
      <c r="E41" s="937" t="s">
        <v>641</v>
      </c>
      <c r="F41" s="293" t="s">
        <v>19</v>
      </c>
      <c r="G41" s="1170">
        <v>0.5</v>
      </c>
      <c r="H41" s="1170">
        <v>0.5</v>
      </c>
      <c r="I41" s="1170"/>
      <c r="J41" s="1170"/>
      <c r="K41" s="1170"/>
      <c r="L41" s="1170"/>
      <c r="M41" s="1170"/>
      <c r="N41" s="1170"/>
      <c r="O41" s="1170"/>
      <c r="P41" s="1170"/>
      <c r="Q41" s="1170"/>
      <c r="R41" s="1168"/>
      <c r="S41" s="293">
        <f t="shared" si="0"/>
        <v>1</v>
      </c>
      <c r="T41" s="1188"/>
      <c r="U41" s="938">
        <v>0.02</v>
      </c>
      <c r="V41" s="1164" t="s">
        <v>646</v>
      </c>
    </row>
    <row r="42" spans="1:23" s="290" customFormat="1" ht="19.5" customHeight="1" x14ac:dyDescent="0.25">
      <c r="A42" s="941"/>
      <c r="B42" s="941"/>
      <c r="C42" s="1164"/>
      <c r="D42" s="936"/>
      <c r="E42" s="937"/>
      <c r="F42" s="291" t="s">
        <v>20</v>
      </c>
      <c r="G42" s="1172">
        <v>0.5</v>
      </c>
      <c r="H42" s="1170">
        <v>0.5</v>
      </c>
      <c r="I42" s="1170"/>
      <c r="J42" s="1170"/>
      <c r="K42" s="1170"/>
      <c r="L42" s="1170"/>
      <c r="M42" s="1170"/>
      <c r="N42" s="1170"/>
      <c r="O42" s="1170"/>
      <c r="P42" s="1170"/>
      <c r="Q42" s="1170"/>
      <c r="R42" s="1170"/>
      <c r="S42" s="291">
        <f t="shared" si="0"/>
        <v>1</v>
      </c>
      <c r="T42" s="1188"/>
      <c r="U42" s="938"/>
      <c r="V42" s="1164"/>
    </row>
    <row r="43" spans="1:23" s="294" customFormat="1" ht="19.5" customHeight="1" x14ac:dyDescent="0.25">
      <c r="A43" s="941"/>
      <c r="B43" s="941"/>
      <c r="C43" s="1164" t="s">
        <v>647</v>
      </c>
      <c r="D43" s="936" t="s">
        <v>626</v>
      </c>
      <c r="E43" s="937" t="s">
        <v>641</v>
      </c>
      <c r="F43" s="293" t="s">
        <v>19</v>
      </c>
      <c r="G43" s="1170">
        <v>0.5</v>
      </c>
      <c r="H43" s="1170">
        <v>0.5</v>
      </c>
      <c r="I43" s="1170"/>
      <c r="J43" s="1170"/>
      <c r="K43" s="1170"/>
      <c r="L43" s="1170"/>
      <c r="M43" s="1170"/>
      <c r="N43" s="1170"/>
      <c r="O43" s="1170"/>
      <c r="P43" s="1170"/>
      <c r="Q43" s="1170"/>
      <c r="R43" s="1174"/>
      <c r="S43" s="293">
        <f t="shared" si="0"/>
        <v>1</v>
      </c>
      <c r="T43" s="1188"/>
      <c r="U43" s="938">
        <v>0.02</v>
      </c>
      <c r="V43" s="1164" t="s">
        <v>648</v>
      </c>
      <c r="W43" s="290"/>
    </row>
    <row r="44" spans="1:23" s="294" customFormat="1" ht="19.5" customHeight="1" x14ac:dyDescent="0.25">
      <c r="A44" s="941"/>
      <c r="B44" s="941"/>
      <c r="C44" s="1164"/>
      <c r="D44" s="936"/>
      <c r="E44" s="937"/>
      <c r="F44" s="291" t="s">
        <v>20</v>
      </c>
      <c r="G44" s="1172">
        <v>0.5</v>
      </c>
      <c r="H44" s="1170">
        <v>0.5</v>
      </c>
      <c r="I44" s="1170"/>
      <c r="J44" s="1170"/>
      <c r="K44" s="1170"/>
      <c r="L44" s="1170"/>
      <c r="M44" s="1170"/>
      <c r="N44" s="1170"/>
      <c r="O44" s="1170"/>
      <c r="P44" s="1170"/>
      <c r="Q44" s="1170"/>
      <c r="R44" s="1170"/>
      <c r="S44" s="291">
        <f t="shared" si="0"/>
        <v>1</v>
      </c>
      <c r="T44" s="1188"/>
      <c r="U44" s="938"/>
      <c r="V44" s="1164"/>
      <c r="W44" s="290"/>
    </row>
    <row r="45" spans="1:23" s="290" customFormat="1" ht="19.5" customHeight="1" x14ac:dyDescent="0.25">
      <c r="A45" s="941"/>
      <c r="B45" s="941"/>
      <c r="C45" s="1164" t="s">
        <v>649</v>
      </c>
      <c r="D45" s="936" t="s">
        <v>626</v>
      </c>
      <c r="E45" s="937" t="s">
        <v>641</v>
      </c>
      <c r="F45" s="295" t="s">
        <v>19</v>
      </c>
      <c r="G45" s="1168">
        <v>0.5</v>
      </c>
      <c r="H45" s="1168">
        <v>0.5</v>
      </c>
      <c r="I45" s="1168"/>
      <c r="J45" s="1168"/>
      <c r="K45" s="1168"/>
      <c r="L45" s="1168"/>
      <c r="M45" s="1168"/>
      <c r="N45" s="1168"/>
      <c r="O45" s="1168"/>
      <c r="P45" s="1168"/>
      <c r="Q45" s="1168"/>
      <c r="R45" s="1168"/>
      <c r="S45" s="295">
        <f t="shared" si="0"/>
        <v>1</v>
      </c>
      <c r="T45" s="1188"/>
      <c r="U45" s="938">
        <v>0.02</v>
      </c>
      <c r="V45" s="1164" t="s">
        <v>650</v>
      </c>
    </row>
    <row r="46" spans="1:23" s="290" customFormat="1" ht="19.5" customHeight="1" thickBot="1" x14ac:dyDescent="0.3">
      <c r="A46" s="941"/>
      <c r="B46" s="941"/>
      <c r="C46" s="1164"/>
      <c r="D46" s="936"/>
      <c r="E46" s="937"/>
      <c r="F46" s="291" t="s">
        <v>20</v>
      </c>
      <c r="G46" s="1175">
        <v>0.5</v>
      </c>
      <c r="H46" s="1175">
        <v>0.5</v>
      </c>
      <c r="I46" s="1175"/>
      <c r="J46" s="1175"/>
      <c r="K46" s="1175"/>
      <c r="L46" s="1175"/>
      <c r="M46" s="1175"/>
      <c r="N46" s="1175"/>
      <c r="O46" s="1175"/>
      <c r="P46" s="1175"/>
      <c r="Q46" s="1175"/>
      <c r="R46" s="1175"/>
      <c r="S46" s="291">
        <f t="shared" si="0"/>
        <v>1</v>
      </c>
      <c r="T46" s="1188"/>
      <c r="U46" s="938"/>
      <c r="V46" s="1164"/>
    </row>
    <row r="47" spans="1:23" s="290" customFormat="1" ht="19.5" customHeight="1" x14ac:dyDescent="0.25">
      <c r="A47" s="941"/>
      <c r="B47" s="941" t="s">
        <v>299</v>
      </c>
      <c r="C47" s="1164" t="s">
        <v>651</v>
      </c>
      <c r="D47" s="936" t="s">
        <v>626</v>
      </c>
      <c r="E47" s="937"/>
      <c r="F47" s="289" t="s">
        <v>19</v>
      </c>
      <c r="G47" s="1176">
        <v>0.2</v>
      </c>
      <c r="H47" s="1176">
        <v>0.3</v>
      </c>
      <c r="I47" s="1176">
        <v>0.3</v>
      </c>
      <c r="J47" s="1176">
        <v>0.2</v>
      </c>
      <c r="K47" s="1176"/>
      <c r="L47" s="1176"/>
      <c r="M47" s="1176"/>
      <c r="N47" s="1176"/>
      <c r="O47" s="1176"/>
      <c r="P47" s="1176"/>
      <c r="Q47" s="1176"/>
      <c r="R47" s="1176"/>
      <c r="S47" s="289">
        <f t="shared" si="0"/>
        <v>1</v>
      </c>
      <c r="T47" s="1188">
        <v>0.1</v>
      </c>
      <c r="U47" s="938">
        <v>1.43E-2</v>
      </c>
      <c r="V47" s="1164" t="s">
        <v>652</v>
      </c>
    </row>
    <row r="48" spans="1:23" s="290" customFormat="1" ht="19.5" customHeight="1" x14ac:dyDescent="0.25">
      <c r="A48" s="941"/>
      <c r="B48" s="941"/>
      <c r="C48" s="1164"/>
      <c r="D48" s="936"/>
      <c r="E48" s="937"/>
      <c r="F48" s="292" t="s">
        <v>20</v>
      </c>
      <c r="G48" s="1177">
        <v>0.2</v>
      </c>
      <c r="H48" s="1177">
        <v>0.3</v>
      </c>
      <c r="I48" s="1177">
        <v>0.3</v>
      </c>
      <c r="J48" s="1177">
        <v>0.2</v>
      </c>
      <c r="K48" s="1177"/>
      <c r="L48" s="1177"/>
      <c r="M48" s="1177"/>
      <c r="N48" s="1177"/>
      <c r="O48" s="1177"/>
      <c r="P48" s="1177"/>
      <c r="Q48" s="1177"/>
      <c r="R48" s="1170"/>
      <c r="S48" s="291">
        <f t="shared" si="0"/>
        <v>1</v>
      </c>
      <c r="T48" s="1188"/>
      <c r="U48" s="938"/>
      <c r="V48" s="1164"/>
    </row>
    <row r="49" spans="1:57" s="290" customFormat="1" ht="19.5" customHeight="1" x14ac:dyDescent="0.25">
      <c r="A49" s="941"/>
      <c r="B49" s="941"/>
      <c r="C49" s="948" t="s">
        <v>653</v>
      </c>
      <c r="D49" s="936" t="s">
        <v>626</v>
      </c>
      <c r="E49" s="937"/>
      <c r="F49" s="293" t="s">
        <v>19</v>
      </c>
      <c r="G49" s="1170">
        <v>0.2</v>
      </c>
      <c r="H49" s="1170">
        <v>0.3</v>
      </c>
      <c r="I49" s="1170">
        <v>0.3</v>
      </c>
      <c r="J49" s="1170">
        <v>0.2</v>
      </c>
      <c r="K49" s="1170"/>
      <c r="L49" s="1170"/>
      <c r="M49" s="1170"/>
      <c r="N49" s="1170"/>
      <c r="O49" s="1170"/>
      <c r="P49" s="1170"/>
      <c r="Q49" s="1170"/>
      <c r="R49" s="1170"/>
      <c r="S49" s="293">
        <f t="shared" si="0"/>
        <v>1</v>
      </c>
      <c r="T49" s="1188"/>
      <c r="U49" s="938">
        <v>1.43E-2</v>
      </c>
      <c r="V49" s="1164" t="s">
        <v>654</v>
      </c>
    </row>
    <row r="50" spans="1:57" s="290" customFormat="1" ht="19.5" customHeight="1" x14ac:dyDescent="0.25">
      <c r="A50" s="941"/>
      <c r="B50" s="941"/>
      <c r="C50" s="948"/>
      <c r="D50" s="936"/>
      <c r="E50" s="937"/>
      <c r="F50" s="291" t="s">
        <v>20</v>
      </c>
      <c r="G50" s="1170">
        <v>0.2</v>
      </c>
      <c r="H50" s="1170">
        <v>0.3</v>
      </c>
      <c r="I50" s="1170">
        <v>0.3</v>
      </c>
      <c r="J50" s="1170">
        <v>0.2</v>
      </c>
      <c r="K50" s="1170"/>
      <c r="L50" s="1170"/>
      <c r="M50" s="1170"/>
      <c r="N50" s="1170"/>
      <c r="O50" s="1170"/>
      <c r="P50" s="1170"/>
      <c r="Q50" s="1170"/>
      <c r="R50" s="1170"/>
      <c r="S50" s="291">
        <f t="shared" si="0"/>
        <v>1</v>
      </c>
      <c r="T50" s="1188"/>
      <c r="U50" s="938"/>
      <c r="V50" s="1164"/>
    </row>
    <row r="51" spans="1:57" s="294" customFormat="1" ht="19.5" customHeight="1" x14ac:dyDescent="0.25">
      <c r="A51" s="941"/>
      <c r="B51" s="941"/>
      <c r="C51" s="948" t="s">
        <v>655</v>
      </c>
      <c r="D51" s="936" t="s">
        <v>626</v>
      </c>
      <c r="E51" s="937"/>
      <c r="F51" s="293" t="s">
        <v>19</v>
      </c>
      <c r="G51" s="1168"/>
      <c r="H51" s="1168"/>
      <c r="I51" s="1168"/>
      <c r="J51" s="1168"/>
      <c r="K51" s="1168">
        <v>0.125</v>
      </c>
      <c r="L51" s="1168">
        <v>0.125</v>
      </c>
      <c r="M51" s="1168">
        <v>0.125</v>
      </c>
      <c r="N51" s="1168">
        <v>0.125</v>
      </c>
      <c r="O51" s="1168">
        <v>0.125</v>
      </c>
      <c r="P51" s="1168">
        <v>0.125</v>
      </c>
      <c r="Q51" s="1168">
        <v>0.125</v>
      </c>
      <c r="R51" s="1168">
        <v>0.125</v>
      </c>
      <c r="S51" s="291">
        <f t="shared" si="0"/>
        <v>1</v>
      </c>
      <c r="T51" s="1188"/>
      <c r="U51" s="938">
        <v>1.43E-2</v>
      </c>
      <c r="V51" s="1186" t="s">
        <v>1195</v>
      </c>
      <c r="W51" s="290"/>
    </row>
    <row r="52" spans="1:57" s="294" customFormat="1" ht="19.5" customHeight="1" x14ac:dyDescent="0.25">
      <c r="A52" s="941"/>
      <c r="B52" s="941"/>
      <c r="C52" s="948"/>
      <c r="D52" s="936"/>
      <c r="E52" s="937"/>
      <c r="F52" s="291" t="s">
        <v>20</v>
      </c>
      <c r="G52" s="1168"/>
      <c r="H52" s="1168"/>
      <c r="I52" s="1168"/>
      <c r="J52" s="1168"/>
      <c r="K52" s="1168">
        <v>0.125</v>
      </c>
      <c r="L52" s="1168">
        <v>0.125</v>
      </c>
      <c r="M52" s="1168">
        <v>0.125</v>
      </c>
      <c r="N52" s="1168">
        <v>0.125</v>
      </c>
      <c r="O52" s="1168">
        <v>0.125</v>
      </c>
      <c r="P52" s="1168">
        <v>0.125</v>
      </c>
      <c r="Q52" s="1168">
        <v>0.125</v>
      </c>
      <c r="R52" s="1168">
        <v>0.125</v>
      </c>
      <c r="S52" s="291">
        <f t="shared" si="0"/>
        <v>1</v>
      </c>
      <c r="T52" s="1188"/>
      <c r="U52" s="938"/>
      <c r="V52" s="1186"/>
      <c r="W52" s="290"/>
    </row>
    <row r="53" spans="1:57" s="290" customFormat="1" ht="19.5" customHeight="1" x14ac:dyDescent="0.25">
      <c r="A53" s="941"/>
      <c r="B53" s="941"/>
      <c r="C53" s="1164" t="s">
        <v>656</v>
      </c>
      <c r="D53" s="936" t="s">
        <v>626</v>
      </c>
      <c r="E53" s="937"/>
      <c r="F53" s="295" t="s">
        <v>19</v>
      </c>
      <c r="G53" s="1168">
        <v>8.3299999999999999E-2</v>
      </c>
      <c r="H53" s="1168">
        <v>8.3299999999999999E-2</v>
      </c>
      <c r="I53" s="1168">
        <v>8.3299999999999999E-2</v>
      </c>
      <c r="J53" s="1168">
        <v>8.3299999999999999E-2</v>
      </c>
      <c r="K53" s="1168">
        <v>8.3299999999999999E-2</v>
      </c>
      <c r="L53" s="1168">
        <v>8.3400000000000002E-2</v>
      </c>
      <c r="M53" s="1168">
        <v>8.3299999999999999E-2</v>
      </c>
      <c r="N53" s="1168">
        <v>8.3400000000000002E-2</v>
      </c>
      <c r="O53" s="1168">
        <v>8.3299999999999999E-2</v>
      </c>
      <c r="P53" s="1168">
        <v>8.3400000000000002E-2</v>
      </c>
      <c r="Q53" s="1168">
        <v>8.3299999999999999E-2</v>
      </c>
      <c r="R53" s="1168">
        <v>8.3400000000000002E-2</v>
      </c>
      <c r="S53" s="295">
        <f t="shared" si="0"/>
        <v>1.0000000000000002</v>
      </c>
      <c r="T53" s="1188"/>
      <c r="U53" s="938">
        <v>1.43E-2</v>
      </c>
      <c r="V53" s="1164" t="s">
        <v>1196</v>
      </c>
    </row>
    <row r="54" spans="1:57" s="290" customFormat="1" ht="19.5" customHeight="1" x14ac:dyDescent="0.25">
      <c r="A54" s="941"/>
      <c r="B54" s="941"/>
      <c r="C54" s="1164"/>
      <c r="D54" s="936"/>
      <c r="E54" s="937"/>
      <c r="F54" s="291" t="s">
        <v>20</v>
      </c>
      <c r="G54" s="1168">
        <v>8.3299999999999999E-2</v>
      </c>
      <c r="H54" s="1168">
        <v>8.3299999999999999E-2</v>
      </c>
      <c r="I54" s="1168">
        <v>8.3299999999999999E-2</v>
      </c>
      <c r="J54" s="1168">
        <v>8.3299999999999999E-2</v>
      </c>
      <c r="K54" s="1168">
        <v>8.3299999999999999E-2</v>
      </c>
      <c r="L54" s="1168">
        <v>8.3400000000000002E-2</v>
      </c>
      <c r="M54" s="1168">
        <v>8.3299999999999999E-2</v>
      </c>
      <c r="N54" s="1168">
        <v>8.3400000000000002E-2</v>
      </c>
      <c r="O54" s="1168">
        <v>8.3299999999999999E-2</v>
      </c>
      <c r="P54" s="1168">
        <v>8.3400000000000002E-2</v>
      </c>
      <c r="Q54" s="1168">
        <v>8.3299999999999999E-2</v>
      </c>
      <c r="R54" s="1168">
        <v>8.3400000000000002E-2</v>
      </c>
      <c r="S54" s="291">
        <f t="shared" si="0"/>
        <v>1.0000000000000002</v>
      </c>
      <c r="T54" s="1188"/>
      <c r="U54" s="938"/>
      <c r="V54" s="1164"/>
    </row>
    <row r="55" spans="1:57" s="294" customFormat="1" ht="19.5" customHeight="1" x14ac:dyDescent="0.25">
      <c r="A55" s="941"/>
      <c r="B55" s="941"/>
      <c r="C55" s="1164" t="s">
        <v>657</v>
      </c>
      <c r="D55" s="936"/>
      <c r="E55" s="937"/>
      <c r="F55" s="295" t="s">
        <v>19</v>
      </c>
      <c r="G55" s="1168">
        <v>8.3299999999999999E-2</v>
      </c>
      <c r="H55" s="1168">
        <v>8.3299999999999999E-2</v>
      </c>
      <c r="I55" s="1168">
        <v>8.3299999999999999E-2</v>
      </c>
      <c r="J55" s="1168">
        <v>8.3299999999999999E-2</v>
      </c>
      <c r="K55" s="1168">
        <v>8.3299999999999999E-2</v>
      </c>
      <c r="L55" s="1168">
        <v>8.3400000000000002E-2</v>
      </c>
      <c r="M55" s="1168">
        <v>8.3299999999999999E-2</v>
      </c>
      <c r="N55" s="1168">
        <v>8.3400000000000002E-2</v>
      </c>
      <c r="O55" s="1168">
        <v>8.3299999999999999E-2</v>
      </c>
      <c r="P55" s="1168">
        <v>8.3400000000000002E-2</v>
      </c>
      <c r="Q55" s="1168">
        <v>8.3299999999999999E-2</v>
      </c>
      <c r="R55" s="1168">
        <v>8.3400000000000002E-2</v>
      </c>
      <c r="S55" s="295">
        <f t="shared" si="0"/>
        <v>1.0000000000000002</v>
      </c>
      <c r="T55" s="1188"/>
      <c r="U55" s="938">
        <v>1.43E-2</v>
      </c>
      <c r="V55" s="1186" t="s">
        <v>1197</v>
      </c>
      <c r="W55" s="290"/>
    </row>
    <row r="56" spans="1:57" s="294" customFormat="1" ht="19.5" customHeight="1" thickBot="1" x14ac:dyDescent="0.3">
      <c r="A56" s="941"/>
      <c r="B56" s="941"/>
      <c r="C56" s="1164"/>
      <c r="D56" s="936"/>
      <c r="E56" s="937"/>
      <c r="F56" s="291" t="s">
        <v>20</v>
      </c>
      <c r="G56" s="1170">
        <v>8.3299999999999999E-2</v>
      </c>
      <c r="H56" s="1170">
        <v>8.3299999999999999E-2</v>
      </c>
      <c r="I56" s="1170">
        <v>8.3299999999999999E-2</v>
      </c>
      <c r="J56" s="1170">
        <v>8.3299999999999999E-2</v>
      </c>
      <c r="K56" s="1170">
        <v>8.3299999999999999E-2</v>
      </c>
      <c r="L56" s="1170">
        <v>8.3400000000000002E-2</v>
      </c>
      <c r="M56" s="1170">
        <v>8.3299999999999999E-2</v>
      </c>
      <c r="N56" s="1170">
        <v>8.3400000000000002E-2</v>
      </c>
      <c r="O56" s="1170">
        <v>8.3299999999999999E-2</v>
      </c>
      <c r="P56" s="1170">
        <v>8.3400000000000002E-2</v>
      </c>
      <c r="Q56" s="1170">
        <v>8.3299999999999999E-2</v>
      </c>
      <c r="R56" s="1170">
        <v>8.3400000000000002E-2</v>
      </c>
      <c r="S56" s="291">
        <f t="shared" si="0"/>
        <v>1.0000000000000002</v>
      </c>
      <c r="T56" s="1188"/>
      <c r="U56" s="938"/>
      <c r="V56" s="1186"/>
      <c r="W56" s="290"/>
    </row>
    <row r="57" spans="1:57" s="290" customFormat="1" ht="19.5" customHeight="1" x14ac:dyDescent="0.25">
      <c r="A57" s="941"/>
      <c r="B57" s="941"/>
      <c r="C57" s="1164" t="s">
        <v>658</v>
      </c>
      <c r="D57" s="936" t="s">
        <v>626</v>
      </c>
      <c r="E57" s="937"/>
      <c r="F57" s="289" t="s">
        <v>19</v>
      </c>
      <c r="G57" s="1170">
        <v>0.05</v>
      </c>
      <c r="H57" s="1170">
        <v>0.05</v>
      </c>
      <c r="I57" s="1170">
        <v>0.1</v>
      </c>
      <c r="J57" s="1170">
        <v>0.1</v>
      </c>
      <c r="K57" s="1170">
        <v>0.1</v>
      </c>
      <c r="L57" s="1170">
        <v>0.1</v>
      </c>
      <c r="M57" s="1170">
        <v>0.1</v>
      </c>
      <c r="N57" s="1170">
        <v>0.1</v>
      </c>
      <c r="O57" s="1170">
        <v>0.1</v>
      </c>
      <c r="P57" s="1170">
        <v>0.1</v>
      </c>
      <c r="Q57" s="1170">
        <v>0.05</v>
      </c>
      <c r="R57" s="1170">
        <v>0.05</v>
      </c>
      <c r="S57" s="289">
        <f t="shared" si="0"/>
        <v>1</v>
      </c>
      <c r="T57" s="1188"/>
      <c r="U57" s="938">
        <v>1.43E-2</v>
      </c>
      <c r="V57" s="1186" t="s">
        <v>1212</v>
      </c>
    </row>
    <row r="58" spans="1:57" s="290" customFormat="1" ht="19.5" customHeight="1" thickBot="1" x14ac:dyDescent="0.3">
      <c r="A58" s="941"/>
      <c r="B58" s="941"/>
      <c r="C58" s="1164"/>
      <c r="D58" s="936"/>
      <c r="E58" s="937"/>
      <c r="F58" s="291" t="s">
        <v>20</v>
      </c>
      <c r="G58" s="1170">
        <v>0.05</v>
      </c>
      <c r="H58" s="1170">
        <v>0.05</v>
      </c>
      <c r="I58" s="1170">
        <v>0.1</v>
      </c>
      <c r="J58" s="1170">
        <v>0.1</v>
      </c>
      <c r="K58" s="1170">
        <v>0.1</v>
      </c>
      <c r="L58" s="1170">
        <v>0.1</v>
      </c>
      <c r="M58" s="1170">
        <v>0.1</v>
      </c>
      <c r="N58" s="1170">
        <v>0.1</v>
      </c>
      <c r="O58" s="1170">
        <v>0.1</v>
      </c>
      <c r="P58" s="1170">
        <v>0.1</v>
      </c>
      <c r="Q58" s="1170">
        <v>0.05</v>
      </c>
      <c r="R58" s="1170">
        <v>0.05</v>
      </c>
      <c r="S58" s="291">
        <f t="shared" si="0"/>
        <v>1</v>
      </c>
      <c r="T58" s="1188"/>
      <c r="U58" s="938"/>
      <c r="V58" s="1186"/>
    </row>
    <row r="59" spans="1:57" s="296" customFormat="1" ht="19.5" customHeight="1" x14ac:dyDescent="0.25">
      <c r="A59" s="941"/>
      <c r="B59" s="941"/>
      <c r="C59" s="1164" t="s">
        <v>659</v>
      </c>
      <c r="D59" s="936" t="s">
        <v>626</v>
      </c>
      <c r="E59" s="937"/>
      <c r="F59" s="289" t="s">
        <v>19</v>
      </c>
      <c r="G59" s="1170">
        <v>0.04</v>
      </c>
      <c r="H59" s="1170">
        <v>0.04</v>
      </c>
      <c r="I59" s="1170">
        <v>9.1999999999999998E-2</v>
      </c>
      <c r="J59" s="1170">
        <v>9.1999999999999998E-2</v>
      </c>
      <c r="K59" s="1170">
        <v>9.1999999999999998E-2</v>
      </c>
      <c r="L59" s="1170">
        <v>9.1999999999999998E-2</v>
      </c>
      <c r="M59" s="1170">
        <v>9.1999999999999998E-2</v>
      </c>
      <c r="N59" s="1170">
        <v>9.1999999999999998E-2</v>
      </c>
      <c r="O59" s="1170">
        <v>9.1999999999999998E-2</v>
      </c>
      <c r="P59" s="1170">
        <v>9.1999999999999998E-2</v>
      </c>
      <c r="Q59" s="1170">
        <v>9.1999999999999998E-2</v>
      </c>
      <c r="R59" s="1170">
        <v>9.1999999999999998E-2</v>
      </c>
      <c r="S59" s="289">
        <f t="shared" si="0"/>
        <v>0.99999999999999978</v>
      </c>
      <c r="T59" s="1188"/>
      <c r="U59" s="938">
        <v>1.4200000000000001E-2</v>
      </c>
      <c r="V59" s="1187" t="s">
        <v>1198</v>
      </c>
      <c r="W59" s="290"/>
      <c r="X59" s="290"/>
      <c r="Y59" s="290"/>
      <c r="Z59" s="290"/>
      <c r="AA59" s="290"/>
      <c r="AB59" s="290"/>
      <c r="AC59" s="290"/>
      <c r="AD59" s="290"/>
    </row>
    <row r="60" spans="1:57" s="296" customFormat="1" ht="19.5" customHeight="1" x14ac:dyDescent="0.25">
      <c r="A60" s="941"/>
      <c r="B60" s="941"/>
      <c r="C60" s="1164"/>
      <c r="D60" s="936"/>
      <c r="E60" s="937"/>
      <c r="F60" s="291" t="s">
        <v>20</v>
      </c>
      <c r="G60" s="1170">
        <v>0.04</v>
      </c>
      <c r="H60" s="1170">
        <v>0.04</v>
      </c>
      <c r="I60" s="1170">
        <v>9.1999999999999998E-2</v>
      </c>
      <c r="J60" s="1170">
        <v>9.1999999999999998E-2</v>
      </c>
      <c r="K60" s="1170">
        <v>9.1999999999999998E-2</v>
      </c>
      <c r="L60" s="1170">
        <v>9.1999999999999998E-2</v>
      </c>
      <c r="M60" s="1170">
        <v>9.1999999999999998E-2</v>
      </c>
      <c r="N60" s="1170">
        <v>9.1999999999999998E-2</v>
      </c>
      <c r="O60" s="1170">
        <v>9.1999999999999998E-2</v>
      </c>
      <c r="P60" s="1170">
        <v>9.1999999999999998E-2</v>
      </c>
      <c r="Q60" s="1170">
        <v>9.1999999999999998E-2</v>
      </c>
      <c r="R60" s="1170">
        <v>9.1999999999999998E-2</v>
      </c>
      <c r="S60" s="291">
        <f t="shared" si="0"/>
        <v>0.99999999999999978</v>
      </c>
      <c r="T60" s="1188"/>
      <c r="U60" s="938"/>
      <c r="V60" s="1187"/>
      <c r="W60" s="290"/>
      <c r="X60" s="290"/>
      <c r="Y60" s="290"/>
      <c r="Z60" s="290"/>
      <c r="AA60" s="290"/>
      <c r="AB60" s="290"/>
      <c r="AC60" s="290"/>
      <c r="AD60" s="290"/>
    </row>
    <row r="61" spans="1:57" s="9" customFormat="1" ht="18.75" customHeight="1" thickBot="1" x14ac:dyDescent="0.3">
      <c r="A61" s="939" t="s">
        <v>660</v>
      </c>
      <c r="B61" s="940"/>
      <c r="C61" s="940"/>
      <c r="D61" s="940"/>
      <c r="E61" s="940"/>
      <c r="F61" s="940"/>
      <c r="G61" s="940"/>
      <c r="H61" s="940"/>
      <c r="I61" s="940"/>
      <c r="J61" s="940"/>
      <c r="K61" s="940"/>
      <c r="L61" s="940"/>
      <c r="M61" s="940"/>
      <c r="N61" s="940"/>
      <c r="O61" s="940"/>
      <c r="P61" s="940"/>
      <c r="Q61" s="940"/>
      <c r="R61" s="940"/>
      <c r="S61" s="940"/>
      <c r="T61" s="297">
        <f>SUM(T9:T60)</f>
        <v>0.99999999999999989</v>
      </c>
      <c r="U61" s="297">
        <f>SUM(U9:U60)</f>
        <v>1</v>
      </c>
      <c r="V61" s="1163"/>
      <c r="W61" s="8"/>
      <c r="X61" s="8"/>
      <c r="Y61" s="8"/>
      <c r="Z61" s="8"/>
      <c r="AA61" s="8"/>
      <c r="AB61" s="8"/>
      <c r="AC61" s="8"/>
      <c r="AD61" s="8"/>
      <c r="AE61" s="8"/>
      <c r="AF61" s="8"/>
      <c r="AG61" s="8"/>
    </row>
    <row r="62" spans="1:57" ht="14.25" x14ac:dyDescent="0.25">
      <c r="A62" s="7"/>
      <c r="B62" s="7"/>
      <c r="C62" s="12"/>
      <c r="D62" s="7"/>
      <c r="E62" s="7"/>
      <c r="F62" s="7"/>
      <c r="G62" s="7"/>
      <c r="H62" s="7"/>
      <c r="I62" s="7"/>
      <c r="J62" s="7"/>
      <c r="L62" s="7"/>
      <c r="N62" s="10"/>
      <c r="O62" s="10"/>
      <c r="R62" s="1160"/>
      <c r="S62" s="1160"/>
      <c r="T62" s="1160"/>
      <c r="U62" s="1161"/>
      <c r="V62" s="1162"/>
    </row>
    <row r="63" spans="1:57" x14ac:dyDescent="0.25">
      <c r="A63" s="7"/>
      <c r="B63" s="7"/>
      <c r="C63" s="12"/>
      <c r="D63" s="7"/>
      <c r="E63" s="7"/>
      <c r="F63" s="7"/>
      <c r="G63" s="7"/>
      <c r="H63" s="7"/>
      <c r="I63" s="7"/>
      <c r="J63" s="7"/>
      <c r="L63" s="7"/>
      <c r="N63" s="10"/>
      <c r="O63" s="10"/>
      <c r="R63" s="1160"/>
      <c r="S63" s="1160"/>
      <c r="T63" s="1160"/>
      <c r="U63" s="1160"/>
      <c r="V63" s="1162"/>
    </row>
    <row r="64" spans="1:57" ht="26.25" x14ac:dyDescent="0.4">
      <c r="A64" s="7"/>
      <c r="B64" s="18" t="s">
        <v>35</v>
      </c>
      <c r="C64"/>
      <c r="D64"/>
      <c r="E64"/>
      <c r="F64"/>
      <c r="G64" s="479"/>
      <c r="H64" s="479"/>
      <c r="I64" s="479"/>
      <c r="J64" s="479"/>
      <c r="K64" s="479"/>
      <c r="L64" s="479"/>
      <c r="M64" s="479"/>
      <c r="N64" s="479"/>
      <c r="O64" s="479"/>
      <c r="P64" s="11"/>
      <c r="Q64" s="11"/>
      <c r="R64" s="488"/>
      <c r="S64" s="488"/>
      <c r="T64" s="488"/>
      <c r="U64" s="488"/>
      <c r="V64" s="488"/>
      <c r="W64" s="70"/>
      <c r="X64" s="67"/>
      <c r="Y64" s="69"/>
      <c r="Z64" s="14"/>
      <c r="AA64" s="67"/>
      <c r="AB64" s="14"/>
      <c r="AC64" s="14"/>
      <c r="AD64" s="14"/>
      <c r="AE64" s="14"/>
      <c r="AF64" s="14"/>
      <c r="AG64" s="14"/>
      <c r="AH64" s="14"/>
      <c r="AI64" s="14"/>
      <c r="AJ64" s="14"/>
      <c r="AK64" s="14"/>
      <c r="AL64" s="14"/>
      <c r="AM64" s="14"/>
      <c r="AN64" s="14"/>
      <c r="AO64" s="14"/>
      <c r="AP64" s="14"/>
      <c r="AQ64" s="14"/>
      <c r="AR64" s="14"/>
      <c r="AS64" s="14"/>
      <c r="AT64" s="73"/>
      <c r="AU64" s="73"/>
      <c r="AV64" s="73"/>
      <c r="AW64" s="73"/>
      <c r="AX64" s="73"/>
      <c r="AY64" s="73"/>
      <c r="AZ64" s="73"/>
      <c r="BA64" s="73"/>
      <c r="BB64" s="73"/>
      <c r="BC64" s="73"/>
      <c r="BD64" s="73"/>
      <c r="BE64" s="73"/>
    </row>
    <row r="65" spans="1:57" ht="26.25" customHeight="1" x14ac:dyDescent="0.25">
      <c r="B65" s="480" t="s">
        <v>36</v>
      </c>
      <c r="C65" s="687" t="s">
        <v>37</v>
      </c>
      <c r="D65" s="687"/>
      <c r="E65" s="687"/>
      <c r="F65" s="687"/>
      <c r="G65" s="687"/>
      <c r="H65" s="687"/>
      <c r="I65" s="688" t="s">
        <v>38</v>
      </c>
      <c r="J65" s="688"/>
      <c r="K65" s="688"/>
      <c r="L65" s="688"/>
      <c r="M65" s="688"/>
      <c r="N65" s="688"/>
      <c r="O65" s="688"/>
      <c r="P65" s="688"/>
      <c r="Q65" s="688"/>
      <c r="R65" s="488"/>
      <c r="S65" s="488"/>
      <c r="T65" s="488"/>
      <c r="U65" s="488"/>
      <c r="V65" s="488"/>
      <c r="W65" s="479"/>
      <c r="X65" s="68"/>
      <c r="Y65" s="479"/>
      <c r="Z65" s="479"/>
      <c r="AA65" s="479"/>
      <c r="AB65" s="479"/>
      <c r="AC65" s="479"/>
      <c r="AD65" s="479"/>
      <c r="AE65" s="479"/>
      <c r="AF65" s="479"/>
      <c r="AG65" s="479"/>
      <c r="AH65" s="479"/>
      <c r="AI65" s="479"/>
      <c r="AJ65" s="479"/>
      <c r="AK65" s="479"/>
      <c r="AL65" s="479"/>
      <c r="AM65" s="479"/>
      <c r="AN65" s="479"/>
      <c r="AO65" s="479"/>
      <c r="AP65" s="479"/>
      <c r="AQ65" s="479"/>
      <c r="AR65" s="479"/>
      <c r="AS65" s="479"/>
      <c r="AT65" s="479"/>
      <c r="AU65" s="479"/>
      <c r="AV65" s="479"/>
      <c r="AW65" s="479"/>
      <c r="AX65" s="479"/>
      <c r="AY65" s="479"/>
      <c r="AZ65" s="479"/>
      <c r="BA65" s="479"/>
      <c r="BB65" s="479"/>
      <c r="BC65" s="479"/>
      <c r="BD65" s="479"/>
      <c r="BE65" s="479"/>
    </row>
    <row r="66" spans="1:57" ht="38.25" customHeight="1" x14ac:dyDescent="0.25">
      <c r="A66" s="7"/>
      <c r="B66" s="59">
        <v>13</v>
      </c>
      <c r="C66" s="670" t="s">
        <v>82</v>
      </c>
      <c r="D66" s="670"/>
      <c r="E66" s="670"/>
      <c r="F66" s="670"/>
      <c r="G66" s="670"/>
      <c r="H66" s="670"/>
      <c r="I66" s="671" t="s">
        <v>83</v>
      </c>
      <c r="J66" s="671"/>
      <c r="K66" s="671"/>
      <c r="L66" s="671"/>
      <c r="M66" s="671"/>
      <c r="N66" s="671"/>
      <c r="O66" s="671"/>
      <c r="P66" s="671"/>
      <c r="Q66" s="671"/>
      <c r="R66" s="488"/>
      <c r="S66" s="488"/>
      <c r="T66" s="488"/>
      <c r="U66" s="488"/>
      <c r="V66" s="488"/>
      <c r="W66" s="668"/>
      <c r="X66" s="669"/>
      <c r="Y66" s="669"/>
      <c r="Z66" s="669"/>
      <c r="AA66" s="669"/>
      <c r="AB66" s="669"/>
      <c r="AC66" s="669"/>
      <c r="AD66" s="669"/>
      <c r="AE66" s="669"/>
      <c r="AF66" s="669"/>
      <c r="AG66" s="669"/>
      <c r="AH66" s="669"/>
      <c r="AI66" s="669"/>
      <c r="AJ66" s="669"/>
      <c r="AK66" s="669"/>
      <c r="AL66" s="669"/>
      <c r="AM66" s="669"/>
      <c r="AN66" s="669"/>
      <c r="AO66" s="669"/>
      <c r="AP66" s="669"/>
      <c r="AQ66" s="669"/>
      <c r="AR66" s="669"/>
      <c r="AS66" s="669"/>
      <c r="AT66" s="669"/>
      <c r="AU66" s="669"/>
      <c r="AV66" s="669"/>
      <c r="AW66" s="669"/>
      <c r="AX66" s="669"/>
      <c r="AY66" s="669"/>
      <c r="AZ66" s="669"/>
      <c r="BA66" s="669"/>
      <c r="BB66" s="669"/>
      <c r="BC66" s="669"/>
      <c r="BD66" s="669"/>
      <c r="BE66" s="669"/>
    </row>
    <row r="67" spans="1:57" ht="26.25" customHeight="1" x14ac:dyDescent="0.25">
      <c r="A67" s="7"/>
      <c r="B67" s="59">
        <v>14</v>
      </c>
      <c r="C67" s="670" t="s">
        <v>875</v>
      </c>
      <c r="D67" s="670"/>
      <c r="E67" s="670"/>
      <c r="F67" s="670"/>
      <c r="G67" s="670"/>
      <c r="H67" s="670"/>
      <c r="I67" s="671" t="s">
        <v>876</v>
      </c>
      <c r="J67" s="671"/>
      <c r="K67" s="671"/>
      <c r="L67" s="671"/>
      <c r="M67" s="671"/>
      <c r="N67" s="671"/>
      <c r="O67" s="671"/>
      <c r="P67" s="671"/>
      <c r="Q67" s="671"/>
      <c r="R67" s="488"/>
      <c r="S67" s="488"/>
      <c r="T67" s="488"/>
      <c r="U67" s="488"/>
      <c r="V67" s="488"/>
      <c r="W67" s="479"/>
      <c r="X67" s="479"/>
      <c r="Y67" s="479"/>
      <c r="Z67" s="479"/>
      <c r="AA67" s="479"/>
      <c r="AB67" s="479"/>
      <c r="AC67" s="479"/>
      <c r="AD67" s="479"/>
      <c r="AE67" s="479"/>
      <c r="AF67" s="479"/>
      <c r="AG67" s="479"/>
      <c r="AH67" s="479"/>
      <c r="AI67" s="479"/>
      <c r="AJ67" s="479"/>
      <c r="AK67" s="479"/>
      <c r="AL67" s="479"/>
      <c r="AM67" s="479"/>
      <c r="AN67" s="479"/>
      <c r="AO67" s="479"/>
      <c r="AP67" s="479"/>
      <c r="AQ67" s="479"/>
      <c r="AR67" s="479"/>
      <c r="AS67" s="479"/>
      <c r="AT67" s="479"/>
      <c r="AU67" s="479"/>
      <c r="AV67" s="479"/>
      <c r="AW67" s="479"/>
      <c r="AX67" s="479"/>
      <c r="AY67" s="479"/>
      <c r="AZ67" s="479"/>
      <c r="BA67" s="479"/>
      <c r="BB67" s="479"/>
      <c r="BC67" s="479"/>
      <c r="BD67" s="479"/>
      <c r="BE67" s="479"/>
    </row>
    <row r="68" spans="1:57" x14ac:dyDescent="0.25">
      <c r="A68" s="7"/>
      <c r="B68" s="7"/>
      <c r="C68" s="12"/>
      <c r="D68" s="7"/>
      <c r="E68" s="7"/>
      <c r="F68" s="7"/>
      <c r="G68" s="7"/>
      <c r="H68" s="7"/>
      <c r="I68" s="7"/>
      <c r="J68" s="7"/>
      <c r="L68" s="7"/>
      <c r="N68" s="10"/>
      <c r="O68" s="10"/>
      <c r="R68" s="1160"/>
      <c r="S68" s="1160"/>
      <c r="T68" s="1160"/>
      <c r="U68" s="1160"/>
      <c r="V68" s="1162"/>
    </row>
    <row r="69" spans="1:57" x14ac:dyDescent="0.25">
      <c r="A69" s="7"/>
      <c r="B69" s="7"/>
      <c r="C69" s="12"/>
      <c r="D69" s="7"/>
      <c r="E69" s="7"/>
      <c r="F69" s="7"/>
      <c r="G69" s="7"/>
      <c r="H69" s="7"/>
      <c r="I69" s="7"/>
      <c r="J69" s="7"/>
      <c r="L69" s="7"/>
      <c r="N69" s="10"/>
      <c r="O69" s="10"/>
      <c r="R69" s="1160"/>
      <c r="S69" s="1160"/>
      <c r="T69" s="1160"/>
      <c r="U69" s="1160"/>
      <c r="V69" s="1162"/>
    </row>
    <row r="70" spans="1:57" x14ac:dyDescent="0.25">
      <c r="A70" s="7"/>
      <c r="B70" s="7"/>
      <c r="C70" s="12"/>
      <c r="D70" s="7"/>
      <c r="E70" s="7"/>
      <c r="F70" s="7"/>
      <c r="G70" s="7"/>
      <c r="H70" s="7"/>
      <c r="I70" s="7"/>
      <c r="J70" s="7"/>
      <c r="L70" s="7"/>
      <c r="N70" s="10"/>
      <c r="O70" s="10"/>
      <c r="R70" s="1160"/>
      <c r="S70" s="1160"/>
      <c r="T70" s="1160"/>
      <c r="U70" s="1160"/>
      <c r="V70" s="1162"/>
    </row>
    <row r="71" spans="1:57" x14ac:dyDescent="0.25">
      <c r="A71" s="7"/>
      <c r="B71" s="7"/>
      <c r="C71" s="12"/>
      <c r="D71" s="7"/>
      <c r="E71" s="7"/>
      <c r="F71" s="7"/>
      <c r="G71" s="7"/>
      <c r="H71" s="7"/>
      <c r="I71" s="7"/>
      <c r="J71" s="7"/>
      <c r="L71" s="7"/>
      <c r="N71" s="10"/>
      <c r="O71" s="10"/>
      <c r="R71" s="1160"/>
      <c r="S71" s="1160"/>
      <c r="T71" s="1160"/>
      <c r="U71" s="1160"/>
      <c r="V71" s="1162"/>
    </row>
    <row r="72" spans="1:57" x14ac:dyDescent="0.25">
      <c r="A72" s="7"/>
      <c r="B72" s="7"/>
      <c r="C72" s="12"/>
      <c r="D72" s="7"/>
      <c r="E72" s="7"/>
      <c r="F72" s="7"/>
      <c r="G72" s="7"/>
      <c r="H72" s="7"/>
      <c r="I72" s="7"/>
      <c r="J72" s="7"/>
      <c r="L72" s="7"/>
      <c r="N72" s="10"/>
      <c r="O72" s="10"/>
      <c r="R72" s="1160"/>
      <c r="S72" s="1160"/>
      <c r="T72" s="1160"/>
      <c r="U72" s="1160"/>
      <c r="V72" s="1162"/>
    </row>
    <row r="73" spans="1:57" x14ac:dyDescent="0.25">
      <c r="A73" s="7"/>
      <c r="B73" s="7"/>
      <c r="C73" s="12"/>
      <c r="D73" s="7"/>
      <c r="E73" s="7"/>
      <c r="F73" s="7"/>
      <c r="G73" s="7"/>
      <c r="H73" s="7"/>
      <c r="I73" s="7"/>
      <c r="J73" s="7"/>
      <c r="L73" s="7"/>
      <c r="N73" s="10"/>
      <c r="O73" s="10"/>
      <c r="R73" s="1160"/>
      <c r="S73" s="1160"/>
      <c r="T73" s="1160"/>
      <c r="U73" s="1160"/>
      <c r="V73" s="1162"/>
    </row>
    <row r="74" spans="1:57" x14ac:dyDescent="0.25">
      <c r="A74" s="7"/>
      <c r="B74" s="7"/>
      <c r="C74" s="12"/>
      <c r="D74" s="7"/>
      <c r="E74" s="7"/>
      <c r="F74" s="7"/>
      <c r="G74" s="7"/>
      <c r="H74" s="7"/>
      <c r="I74" s="7"/>
      <c r="J74" s="7"/>
      <c r="L74" s="7"/>
      <c r="N74" s="10"/>
      <c r="O74" s="10"/>
      <c r="R74" s="1160"/>
      <c r="S74" s="1160"/>
      <c r="T74" s="1160"/>
      <c r="U74" s="1160"/>
      <c r="V74" s="1162"/>
    </row>
    <row r="75" spans="1:57" x14ac:dyDescent="0.25">
      <c r="A75" s="7"/>
      <c r="B75" s="7"/>
      <c r="C75" s="12"/>
      <c r="D75" s="7"/>
      <c r="E75" s="7"/>
      <c r="F75" s="7"/>
      <c r="G75" s="7"/>
      <c r="H75" s="7"/>
      <c r="I75" s="7"/>
      <c r="J75" s="7"/>
      <c r="L75" s="7"/>
      <c r="N75" s="10"/>
      <c r="O75" s="10"/>
      <c r="R75" s="1160"/>
      <c r="S75" s="1160"/>
      <c r="T75" s="1160"/>
      <c r="U75" s="1160"/>
      <c r="V75" s="1162"/>
    </row>
    <row r="76" spans="1:57" x14ac:dyDescent="0.25">
      <c r="A76" s="7"/>
      <c r="B76" s="7"/>
      <c r="C76" s="12"/>
      <c r="D76" s="7"/>
      <c r="E76" s="7"/>
      <c r="F76" s="7"/>
      <c r="G76" s="7"/>
      <c r="H76" s="7"/>
      <c r="I76" s="7"/>
      <c r="J76" s="7"/>
      <c r="L76" s="7"/>
      <c r="N76" s="10"/>
      <c r="O76" s="10"/>
      <c r="R76" s="1160"/>
      <c r="S76" s="1160"/>
      <c r="T76" s="1160"/>
      <c r="U76" s="1160"/>
      <c r="V76" s="1162"/>
    </row>
    <row r="77" spans="1:57" x14ac:dyDescent="0.25">
      <c r="A77" s="7"/>
      <c r="B77" s="7"/>
      <c r="C77" s="12"/>
      <c r="D77" s="7"/>
      <c r="E77" s="7"/>
      <c r="F77" s="7"/>
      <c r="G77" s="7"/>
      <c r="H77" s="7"/>
      <c r="I77" s="7"/>
      <c r="J77" s="7"/>
      <c r="L77" s="7"/>
      <c r="N77" s="10"/>
      <c r="O77" s="10"/>
      <c r="R77" s="1160"/>
      <c r="S77" s="1160"/>
      <c r="T77" s="1160"/>
      <c r="U77" s="1160"/>
      <c r="V77" s="1162"/>
    </row>
    <row r="78" spans="1:57" x14ac:dyDescent="0.25">
      <c r="A78" s="7"/>
      <c r="B78" s="7"/>
      <c r="C78" s="12"/>
      <c r="D78" s="7"/>
      <c r="E78" s="7"/>
      <c r="F78" s="7"/>
      <c r="G78" s="7"/>
      <c r="H78" s="7"/>
      <c r="I78" s="7"/>
      <c r="J78" s="7"/>
      <c r="L78" s="7"/>
      <c r="N78" s="10"/>
      <c r="O78" s="10"/>
      <c r="R78" s="1160"/>
      <c r="S78" s="1160"/>
      <c r="T78" s="1160"/>
      <c r="U78" s="1160"/>
      <c r="V78" s="1162"/>
    </row>
    <row r="79" spans="1:57" x14ac:dyDescent="0.25">
      <c r="A79" s="7"/>
      <c r="B79" s="7"/>
      <c r="C79" s="12"/>
      <c r="D79" s="7"/>
      <c r="E79" s="7"/>
      <c r="F79" s="7"/>
      <c r="G79" s="7"/>
      <c r="H79" s="7"/>
      <c r="I79" s="7"/>
      <c r="J79" s="7"/>
      <c r="L79" s="7"/>
      <c r="N79" s="10"/>
      <c r="O79" s="10"/>
      <c r="R79" s="1160"/>
      <c r="S79" s="1160"/>
      <c r="T79" s="1160"/>
      <c r="U79" s="1160"/>
      <c r="V79" s="1162"/>
    </row>
    <row r="80" spans="1:57" x14ac:dyDescent="0.25">
      <c r="A80" s="7"/>
      <c r="B80" s="7"/>
      <c r="C80" s="12"/>
      <c r="D80" s="7"/>
      <c r="E80" s="7"/>
      <c r="F80" s="7"/>
      <c r="G80" s="7"/>
      <c r="H80" s="7"/>
      <c r="I80" s="7"/>
      <c r="J80" s="7"/>
      <c r="L80" s="7"/>
      <c r="N80" s="10"/>
      <c r="O80" s="10"/>
      <c r="R80" s="1160"/>
      <c r="S80" s="1160"/>
      <c r="T80" s="1160"/>
      <c r="U80" s="1160"/>
      <c r="V80" s="1162"/>
    </row>
    <row r="81" spans="1:22" x14ac:dyDescent="0.25">
      <c r="A81" s="7"/>
      <c r="B81" s="7"/>
      <c r="C81" s="12"/>
      <c r="D81" s="7"/>
      <c r="E81" s="7"/>
      <c r="F81" s="7"/>
      <c r="G81" s="7"/>
      <c r="H81" s="7"/>
      <c r="I81" s="7"/>
      <c r="J81" s="7"/>
      <c r="L81" s="7"/>
      <c r="N81" s="10"/>
      <c r="O81" s="10"/>
      <c r="R81" s="1160"/>
      <c r="S81" s="1160"/>
      <c r="T81" s="1160"/>
      <c r="U81" s="1160"/>
      <c r="V81" s="1162"/>
    </row>
    <row r="82" spans="1:22" x14ac:dyDescent="0.25">
      <c r="A82" s="7"/>
      <c r="B82" s="7"/>
      <c r="C82" s="12"/>
      <c r="D82" s="7"/>
      <c r="E82" s="7"/>
      <c r="F82" s="7"/>
      <c r="G82" s="7"/>
      <c r="H82" s="7"/>
      <c r="I82" s="7"/>
      <c r="J82" s="7"/>
      <c r="L82" s="7"/>
      <c r="N82" s="10"/>
      <c r="O82" s="10"/>
      <c r="R82" s="1160"/>
      <c r="S82" s="1160"/>
      <c r="T82" s="1160"/>
      <c r="U82" s="1160"/>
      <c r="V82" s="1162"/>
    </row>
    <row r="83" spans="1:22" x14ac:dyDescent="0.25">
      <c r="A83" s="7"/>
      <c r="B83" s="7"/>
      <c r="C83" s="12"/>
      <c r="D83" s="7"/>
      <c r="E83" s="7"/>
      <c r="F83" s="7"/>
      <c r="G83" s="7"/>
      <c r="H83" s="7"/>
      <c r="I83" s="7"/>
      <c r="J83" s="7"/>
      <c r="L83" s="7"/>
      <c r="N83" s="10"/>
      <c r="O83" s="10"/>
      <c r="R83" s="1160"/>
      <c r="S83" s="1160"/>
      <c r="T83" s="1160"/>
      <c r="U83" s="1160"/>
      <c r="V83" s="1162"/>
    </row>
    <row r="84" spans="1:22" x14ac:dyDescent="0.25">
      <c r="A84" s="7"/>
      <c r="B84" s="7"/>
      <c r="C84" s="12"/>
      <c r="D84" s="7"/>
      <c r="E84" s="7"/>
      <c r="F84" s="7"/>
      <c r="G84" s="7"/>
      <c r="H84" s="7"/>
      <c r="I84" s="7"/>
      <c r="J84" s="7"/>
      <c r="L84" s="7"/>
      <c r="N84" s="10"/>
      <c r="O84" s="10"/>
      <c r="R84" s="1160"/>
      <c r="S84" s="1160"/>
      <c r="T84" s="1160"/>
      <c r="U84" s="1160"/>
      <c r="V84" s="1162"/>
    </row>
    <row r="85" spans="1:22" x14ac:dyDescent="0.25">
      <c r="A85" s="7"/>
      <c r="B85" s="7"/>
      <c r="C85" s="12"/>
      <c r="D85" s="7"/>
      <c r="E85" s="7"/>
      <c r="F85" s="7"/>
      <c r="G85" s="7"/>
      <c r="H85" s="7"/>
      <c r="I85" s="7"/>
      <c r="J85" s="7"/>
      <c r="L85" s="7"/>
      <c r="N85" s="10"/>
      <c r="O85" s="10"/>
      <c r="R85" s="1160"/>
      <c r="S85" s="1160"/>
      <c r="T85" s="1160"/>
      <c r="U85" s="1160"/>
      <c r="V85" s="1162"/>
    </row>
    <row r="86" spans="1:22" x14ac:dyDescent="0.25">
      <c r="A86" s="7"/>
      <c r="B86" s="7"/>
      <c r="C86" s="12"/>
      <c r="D86" s="7"/>
      <c r="E86" s="7"/>
      <c r="F86" s="7"/>
      <c r="G86" s="7"/>
      <c r="H86" s="7"/>
      <c r="I86" s="7"/>
      <c r="J86" s="7"/>
      <c r="L86" s="7"/>
      <c r="N86" s="10"/>
      <c r="O86" s="10"/>
      <c r="R86" s="1160"/>
      <c r="S86" s="1160"/>
      <c r="T86" s="1160"/>
      <c r="U86" s="1160"/>
      <c r="V86" s="1162"/>
    </row>
    <row r="87" spans="1:22" x14ac:dyDescent="0.25">
      <c r="A87" s="7"/>
      <c r="B87" s="7"/>
      <c r="C87" s="12"/>
      <c r="D87" s="7"/>
      <c r="E87" s="7"/>
      <c r="F87" s="7"/>
      <c r="G87" s="7"/>
      <c r="H87" s="7"/>
      <c r="I87" s="7"/>
      <c r="J87" s="7"/>
      <c r="L87" s="7"/>
      <c r="N87" s="10"/>
      <c r="O87" s="10"/>
      <c r="R87" s="1160"/>
      <c r="S87" s="1160"/>
      <c r="T87" s="1160"/>
      <c r="U87" s="1160"/>
      <c r="V87" s="1162"/>
    </row>
    <row r="88" spans="1:22" x14ac:dyDescent="0.25">
      <c r="A88" s="7"/>
      <c r="B88" s="7"/>
      <c r="C88" s="12"/>
      <c r="D88" s="7"/>
      <c r="E88" s="7"/>
      <c r="F88" s="7"/>
      <c r="G88" s="7"/>
      <c r="H88" s="7"/>
      <c r="I88" s="7"/>
      <c r="J88" s="7"/>
      <c r="L88" s="7"/>
      <c r="N88" s="10"/>
      <c r="O88" s="10"/>
      <c r="R88" s="1160"/>
      <c r="S88" s="1160"/>
      <c r="T88" s="1160"/>
      <c r="U88" s="1160"/>
      <c r="V88" s="1162"/>
    </row>
    <row r="89" spans="1:22" x14ac:dyDescent="0.25">
      <c r="A89" s="7"/>
      <c r="B89" s="7"/>
      <c r="C89" s="12"/>
      <c r="D89" s="7"/>
      <c r="E89" s="7"/>
      <c r="F89" s="7"/>
      <c r="G89" s="7"/>
      <c r="H89" s="7"/>
      <c r="I89" s="7"/>
      <c r="J89" s="7"/>
      <c r="L89" s="7"/>
      <c r="N89" s="10"/>
      <c r="O89" s="10"/>
      <c r="R89" s="1160"/>
      <c r="S89" s="1160"/>
      <c r="T89" s="1160"/>
      <c r="U89" s="1160"/>
      <c r="V89" s="1162"/>
    </row>
    <row r="90" spans="1:22" x14ac:dyDescent="0.25">
      <c r="A90" s="7"/>
      <c r="B90" s="7"/>
      <c r="C90" s="12"/>
      <c r="D90" s="7"/>
      <c r="E90" s="7"/>
      <c r="F90" s="7"/>
      <c r="G90" s="7"/>
      <c r="H90" s="7"/>
      <c r="I90" s="7"/>
      <c r="J90" s="7"/>
      <c r="L90" s="7"/>
      <c r="N90" s="10"/>
      <c r="O90" s="10"/>
      <c r="R90" s="1160"/>
      <c r="S90" s="1160"/>
      <c r="T90" s="1160"/>
      <c r="U90" s="1160"/>
      <c r="V90" s="1162"/>
    </row>
    <row r="91" spans="1:22" x14ac:dyDescent="0.25">
      <c r="A91" s="7"/>
      <c r="B91" s="7"/>
      <c r="C91" s="12"/>
      <c r="D91" s="7"/>
      <c r="E91" s="7"/>
      <c r="F91" s="7"/>
      <c r="G91" s="7"/>
      <c r="H91" s="7"/>
      <c r="I91" s="7"/>
      <c r="J91" s="7"/>
      <c r="L91" s="7"/>
      <c r="N91" s="10"/>
      <c r="O91" s="10"/>
      <c r="R91" s="1160"/>
      <c r="S91" s="1160"/>
      <c r="T91" s="1160"/>
      <c r="U91" s="1160"/>
      <c r="V91" s="1162"/>
    </row>
    <row r="92" spans="1:22" x14ac:dyDescent="0.25">
      <c r="A92" s="7"/>
      <c r="B92" s="7"/>
      <c r="C92" s="12"/>
      <c r="D92" s="7"/>
      <c r="E92" s="7"/>
      <c r="F92" s="7"/>
      <c r="G92" s="7"/>
      <c r="H92" s="7"/>
      <c r="I92" s="7"/>
      <c r="J92" s="7"/>
      <c r="L92" s="7"/>
      <c r="N92" s="10"/>
      <c r="O92" s="10"/>
      <c r="R92" s="1160"/>
      <c r="S92" s="1160"/>
      <c r="T92" s="1160"/>
      <c r="U92" s="1160"/>
      <c r="V92" s="1162"/>
    </row>
    <row r="93" spans="1:22" x14ac:dyDescent="0.25">
      <c r="A93" s="7"/>
      <c r="B93" s="7"/>
      <c r="C93" s="12"/>
      <c r="D93" s="7"/>
      <c r="E93" s="7"/>
      <c r="F93" s="7"/>
      <c r="G93" s="7"/>
      <c r="H93" s="7"/>
      <c r="I93" s="7"/>
      <c r="J93" s="7"/>
      <c r="L93" s="7"/>
      <c r="N93" s="10"/>
      <c r="O93" s="10"/>
      <c r="R93" s="1160"/>
      <c r="S93" s="1160"/>
      <c r="T93" s="1160"/>
      <c r="U93" s="1160"/>
      <c r="V93" s="1162"/>
    </row>
    <row r="94" spans="1:22" x14ac:dyDescent="0.25">
      <c r="A94" s="7"/>
      <c r="B94" s="7"/>
      <c r="C94" s="12"/>
      <c r="D94" s="7"/>
      <c r="E94" s="7"/>
      <c r="F94" s="7"/>
      <c r="G94" s="7"/>
      <c r="H94" s="7"/>
      <c r="I94" s="7"/>
      <c r="J94" s="7"/>
      <c r="L94" s="7"/>
      <c r="N94" s="10"/>
      <c r="O94" s="10"/>
      <c r="R94" s="1160"/>
      <c r="S94" s="1160"/>
      <c r="T94" s="1160"/>
      <c r="U94" s="1160"/>
      <c r="V94" s="1162"/>
    </row>
    <row r="95" spans="1:22" x14ac:dyDescent="0.25">
      <c r="A95" s="7"/>
      <c r="B95" s="7"/>
      <c r="C95" s="12"/>
      <c r="D95" s="7"/>
      <c r="E95" s="7"/>
      <c r="F95" s="7"/>
      <c r="G95" s="7"/>
      <c r="H95" s="7"/>
      <c r="I95" s="7"/>
      <c r="J95" s="7"/>
      <c r="L95" s="7"/>
      <c r="N95" s="10"/>
      <c r="O95" s="10"/>
      <c r="R95" s="1160"/>
      <c r="S95" s="1160"/>
      <c r="T95" s="1160"/>
      <c r="U95" s="1160"/>
      <c r="V95" s="1162"/>
    </row>
    <row r="96" spans="1:22" x14ac:dyDescent="0.25">
      <c r="A96" s="7"/>
      <c r="B96" s="7"/>
      <c r="C96" s="12"/>
      <c r="D96" s="7"/>
      <c r="E96" s="7"/>
      <c r="F96" s="7"/>
      <c r="G96" s="7"/>
      <c r="H96" s="7"/>
      <c r="I96" s="7"/>
      <c r="J96" s="7"/>
      <c r="L96" s="7"/>
      <c r="N96" s="10"/>
      <c r="O96" s="10"/>
      <c r="R96" s="1160"/>
      <c r="S96" s="1160"/>
      <c r="T96" s="1160"/>
      <c r="U96" s="1160"/>
      <c r="V96" s="1162"/>
    </row>
    <row r="97" spans="1:22" x14ac:dyDescent="0.25">
      <c r="A97" s="7"/>
      <c r="B97" s="7"/>
      <c r="C97" s="12"/>
      <c r="D97" s="7"/>
      <c r="E97" s="7"/>
      <c r="F97" s="7"/>
      <c r="G97" s="7"/>
      <c r="H97" s="7"/>
      <c r="I97" s="7"/>
      <c r="J97" s="7"/>
      <c r="L97" s="7"/>
      <c r="N97" s="10"/>
      <c r="O97" s="10"/>
      <c r="R97" s="1160"/>
      <c r="S97" s="1160"/>
      <c r="T97" s="1160"/>
      <c r="U97" s="1160"/>
      <c r="V97" s="1162"/>
    </row>
    <row r="98" spans="1:22" x14ac:dyDescent="0.25">
      <c r="A98" s="7"/>
      <c r="B98" s="7"/>
      <c r="C98" s="12"/>
      <c r="D98" s="7"/>
      <c r="E98" s="7"/>
      <c r="F98" s="7"/>
      <c r="G98" s="7"/>
      <c r="H98" s="7"/>
      <c r="I98" s="7"/>
      <c r="J98" s="7"/>
      <c r="L98" s="7"/>
      <c r="N98" s="10"/>
      <c r="O98" s="10"/>
      <c r="R98" s="1160"/>
      <c r="S98" s="1160"/>
      <c r="T98" s="1160"/>
      <c r="U98" s="1160"/>
      <c r="V98" s="1162"/>
    </row>
    <row r="99" spans="1:22" x14ac:dyDescent="0.25">
      <c r="A99" s="7"/>
      <c r="B99" s="7"/>
      <c r="C99" s="12"/>
      <c r="D99" s="7"/>
      <c r="E99" s="7"/>
      <c r="F99" s="7"/>
      <c r="G99" s="7"/>
      <c r="H99" s="7"/>
      <c r="I99" s="7"/>
      <c r="J99" s="7"/>
      <c r="L99" s="7"/>
      <c r="N99" s="10"/>
      <c r="O99" s="10"/>
      <c r="R99" s="1160"/>
      <c r="S99" s="1160"/>
      <c r="T99" s="1160"/>
      <c r="U99" s="1160"/>
      <c r="V99" s="1162"/>
    </row>
    <row r="100" spans="1:22" x14ac:dyDescent="0.25">
      <c r="A100" s="7"/>
      <c r="B100" s="7"/>
      <c r="C100" s="12"/>
      <c r="D100" s="7"/>
      <c r="E100" s="7"/>
      <c r="F100" s="7"/>
      <c r="G100" s="7"/>
      <c r="H100" s="7"/>
      <c r="I100" s="7"/>
      <c r="J100" s="7"/>
      <c r="L100" s="7"/>
      <c r="N100" s="10"/>
      <c r="O100" s="10"/>
      <c r="R100" s="1160"/>
      <c r="S100" s="1160"/>
      <c r="T100" s="1160"/>
      <c r="U100" s="1160"/>
      <c r="V100" s="1162"/>
    </row>
    <row r="101" spans="1:22" x14ac:dyDescent="0.25">
      <c r="A101" s="7"/>
      <c r="B101" s="7"/>
      <c r="C101" s="12"/>
      <c r="D101" s="7"/>
      <c r="E101" s="7"/>
      <c r="F101" s="7"/>
      <c r="G101" s="7"/>
      <c r="H101" s="7"/>
      <c r="I101" s="7"/>
      <c r="J101" s="7"/>
      <c r="L101" s="7"/>
      <c r="N101" s="10"/>
      <c r="O101" s="10"/>
      <c r="R101" s="1160"/>
      <c r="S101" s="1160"/>
      <c r="T101" s="1160"/>
      <c r="U101" s="1160"/>
      <c r="V101" s="1162"/>
    </row>
    <row r="102" spans="1:22" x14ac:dyDescent="0.25">
      <c r="A102" s="7"/>
      <c r="B102" s="7"/>
      <c r="C102" s="12"/>
      <c r="D102" s="7"/>
      <c r="E102" s="7"/>
      <c r="F102" s="7"/>
      <c r="G102" s="7"/>
      <c r="H102" s="7"/>
      <c r="I102" s="7"/>
      <c r="J102" s="7"/>
      <c r="L102" s="7"/>
      <c r="N102" s="10"/>
      <c r="O102" s="10"/>
      <c r="R102" s="1160"/>
      <c r="S102" s="1160"/>
      <c r="T102" s="1160"/>
      <c r="U102" s="1160"/>
      <c r="V102" s="1162"/>
    </row>
    <row r="103" spans="1:22" x14ac:dyDescent="0.25">
      <c r="A103" s="7"/>
      <c r="B103" s="7"/>
      <c r="C103" s="12"/>
      <c r="D103" s="7"/>
      <c r="E103" s="7"/>
      <c r="F103" s="7"/>
      <c r="G103" s="7"/>
      <c r="H103" s="7"/>
      <c r="I103" s="7"/>
      <c r="J103" s="7"/>
      <c r="L103" s="7"/>
      <c r="N103" s="10"/>
      <c r="O103" s="10"/>
      <c r="R103" s="1160"/>
      <c r="S103" s="1160"/>
      <c r="T103" s="1160"/>
      <c r="U103" s="1160"/>
      <c r="V103" s="1162"/>
    </row>
    <row r="104" spans="1:22" x14ac:dyDescent="0.25">
      <c r="A104" s="7"/>
      <c r="B104" s="7"/>
      <c r="C104" s="12"/>
      <c r="D104" s="7"/>
      <c r="E104" s="7"/>
      <c r="F104" s="7"/>
      <c r="G104" s="7"/>
      <c r="H104" s="7"/>
      <c r="I104" s="7"/>
      <c r="J104" s="7"/>
      <c r="L104" s="7"/>
      <c r="N104" s="10"/>
      <c r="O104" s="10"/>
      <c r="R104" s="1160"/>
      <c r="S104" s="1160"/>
      <c r="T104" s="1160"/>
      <c r="U104" s="1160"/>
      <c r="V104" s="1162"/>
    </row>
    <row r="105" spans="1:22" x14ac:dyDescent="0.25">
      <c r="A105" s="7"/>
      <c r="B105" s="7"/>
      <c r="C105" s="12"/>
      <c r="D105" s="7"/>
      <c r="E105" s="7"/>
      <c r="F105" s="7"/>
      <c r="G105" s="7"/>
      <c r="H105" s="7"/>
      <c r="I105" s="7"/>
      <c r="J105" s="7"/>
      <c r="L105" s="7"/>
      <c r="N105" s="10"/>
      <c r="O105" s="10"/>
      <c r="R105" s="1160"/>
      <c r="S105" s="1160"/>
      <c r="T105" s="1160"/>
      <c r="U105" s="1160"/>
      <c r="V105" s="1162"/>
    </row>
    <row r="106" spans="1:22" x14ac:dyDescent="0.25">
      <c r="A106" s="7"/>
      <c r="B106" s="7"/>
      <c r="C106" s="12"/>
      <c r="D106" s="7"/>
      <c r="E106" s="7"/>
      <c r="F106" s="7"/>
      <c r="G106" s="7"/>
      <c r="H106" s="7"/>
      <c r="I106" s="7"/>
      <c r="J106" s="7"/>
      <c r="L106" s="7"/>
      <c r="N106" s="10"/>
      <c r="O106" s="10"/>
      <c r="R106" s="1160"/>
      <c r="S106" s="1160"/>
      <c r="T106" s="1160"/>
      <c r="U106" s="1160"/>
      <c r="V106" s="1162"/>
    </row>
    <row r="107" spans="1:22" x14ac:dyDescent="0.25">
      <c r="A107" s="7"/>
      <c r="B107" s="7"/>
      <c r="C107" s="12"/>
      <c r="D107" s="7"/>
      <c r="E107" s="7"/>
      <c r="F107" s="7"/>
      <c r="G107" s="7"/>
      <c r="H107" s="7"/>
      <c r="I107" s="7"/>
      <c r="J107" s="7"/>
      <c r="L107" s="7"/>
      <c r="N107" s="10"/>
      <c r="O107" s="10"/>
      <c r="R107" s="1160"/>
      <c r="S107" s="1160"/>
      <c r="T107" s="1160"/>
      <c r="U107" s="1160"/>
      <c r="V107" s="1162"/>
    </row>
    <row r="108" spans="1:22" x14ac:dyDescent="0.25">
      <c r="A108" s="7"/>
      <c r="B108" s="7"/>
      <c r="C108" s="12"/>
      <c r="D108" s="7"/>
      <c r="E108" s="7"/>
      <c r="F108" s="7"/>
      <c r="G108" s="7"/>
      <c r="H108" s="7"/>
      <c r="I108" s="7"/>
      <c r="J108" s="7"/>
      <c r="L108" s="7"/>
      <c r="N108" s="10"/>
      <c r="O108" s="10"/>
      <c r="R108" s="1160"/>
      <c r="S108" s="1160"/>
      <c r="T108" s="1160"/>
      <c r="U108" s="1160"/>
      <c r="V108" s="1162"/>
    </row>
    <row r="109" spans="1:22" x14ac:dyDescent="0.25">
      <c r="A109" s="7"/>
      <c r="B109" s="7"/>
      <c r="C109" s="12"/>
      <c r="D109" s="7"/>
      <c r="E109" s="7"/>
      <c r="F109" s="7"/>
      <c r="G109" s="7"/>
      <c r="H109" s="7"/>
      <c r="I109" s="7"/>
      <c r="J109" s="7"/>
      <c r="L109" s="7"/>
      <c r="N109" s="10"/>
      <c r="O109" s="10"/>
      <c r="R109" s="1160"/>
      <c r="S109" s="1160"/>
      <c r="T109" s="1160"/>
      <c r="U109" s="1160"/>
      <c r="V109" s="1162"/>
    </row>
    <row r="110" spans="1:22" x14ac:dyDescent="0.25">
      <c r="A110" s="7"/>
      <c r="B110" s="7"/>
      <c r="C110" s="12"/>
      <c r="D110" s="7"/>
      <c r="E110" s="7"/>
      <c r="F110" s="7"/>
      <c r="G110" s="7"/>
      <c r="H110" s="7"/>
      <c r="I110" s="7"/>
      <c r="J110" s="7"/>
      <c r="L110" s="7"/>
      <c r="N110" s="10"/>
      <c r="O110" s="10"/>
      <c r="R110" s="1160"/>
      <c r="S110" s="1160"/>
      <c r="T110" s="1160"/>
      <c r="U110" s="1160"/>
      <c r="V110" s="1162"/>
    </row>
    <row r="111" spans="1:22" x14ac:dyDescent="0.25">
      <c r="A111" s="7"/>
      <c r="B111" s="7"/>
      <c r="C111" s="12"/>
      <c r="D111" s="7"/>
      <c r="E111" s="7"/>
      <c r="F111" s="7"/>
      <c r="G111" s="7"/>
      <c r="H111" s="7"/>
      <c r="I111" s="7"/>
      <c r="J111" s="7"/>
      <c r="L111" s="7"/>
      <c r="N111" s="10"/>
      <c r="O111" s="10"/>
      <c r="R111" s="1160"/>
      <c r="S111" s="1160"/>
      <c r="T111" s="1160"/>
      <c r="U111" s="1160"/>
      <c r="V111" s="1162"/>
    </row>
    <row r="112" spans="1:22" x14ac:dyDescent="0.25">
      <c r="A112" s="7"/>
      <c r="B112" s="7"/>
      <c r="C112" s="12"/>
      <c r="D112" s="7"/>
      <c r="E112" s="7"/>
      <c r="F112" s="7"/>
      <c r="G112" s="7"/>
      <c r="H112" s="7"/>
      <c r="I112" s="7"/>
      <c r="J112" s="7"/>
      <c r="L112" s="7"/>
      <c r="N112" s="10"/>
      <c r="O112" s="10"/>
      <c r="R112" s="1160"/>
      <c r="S112" s="1160"/>
      <c r="T112" s="1160"/>
      <c r="U112" s="1160"/>
      <c r="V112" s="1162"/>
    </row>
    <row r="113" spans="1:22" x14ac:dyDescent="0.25">
      <c r="A113" s="7"/>
      <c r="B113" s="7"/>
      <c r="C113" s="12"/>
      <c r="D113" s="7"/>
      <c r="E113" s="7"/>
      <c r="F113" s="7"/>
      <c r="G113" s="7"/>
      <c r="H113" s="7"/>
      <c r="I113" s="7"/>
      <c r="J113" s="7"/>
      <c r="L113" s="7"/>
      <c r="N113" s="10"/>
      <c r="O113" s="10"/>
      <c r="R113" s="1160"/>
      <c r="S113" s="1160"/>
      <c r="T113" s="1160"/>
      <c r="U113" s="1160"/>
      <c r="V113" s="1162"/>
    </row>
    <row r="114" spans="1:22" x14ac:dyDescent="0.25">
      <c r="A114" s="7"/>
      <c r="B114" s="7"/>
      <c r="C114" s="12"/>
      <c r="D114" s="7"/>
      <c r="E114" s="7"/>
      <c r="F114" s="7"/>
      <c r="G114" s="7"/>
      <c r="H114" s="7"/>
      <c r="I114" s="7"/>
      <c r="J114" s="7"/>
      <c r="L114" s="7"/>
      <c r="N114" s="10"/>
      <c r="O114" s="10"/>
      <c r="R114" s="1160"/>
      <c r="S114" s="1160"/>
      <c r="T114" s="1160"/>
      <c r="U114" s="1160"/>
      <c r="V114" s="1162"/>
    </row>
    <row r="115" spans="1:22" x14ac:dyDescent="0.25">
      <c r="A115" s="7"/>
      <c r="B115" s="7"/>
      <c r="C115" s="12"/>
      <c r="D115" s="7"/>
      <c r="E115" s="7"/>
      <c r="F115" s="7"/>
      <c r="G115" s="7"/>
      <c r="H115" s="7"/>
      <c r="I115" s="7"/>
      <c r="J115" s="7"/>
      <c r="L115" s="7"/>
      <c r="N115" s="10"/>
      <c r="O115" s="10"/>
      <c r="R115" s="1160"/>
      <c r="S115" s="1160"/>
      <c r="T115" s="1160"/>
      <c r="U115" s="1160"/>
      <c r="V115" s="1162"/>
    </row>
    <row r="116" spans="1:22" x14ac:dyDescent="0.25">
      <c r="A116" s="7"/>
      <c r="B116" s="7"/>
      <c r="C116" s="12"/>
      <c r="D116" s="7"/>
      <c r="E116" s="7"/>
      <c r="F116" s="7"/>
      <c r="G116" s="7"/>
      <c r="H116" s="7"/>
      <c r="I116" s="7"/>
      <c r="J116" s="7"/>
      <c r="L116" s="7"/>
      <c r="N116" s="10"/>
      <c r="O116" s="10"/>
      <c r="R116" s="1160"/>
      <c r="S116" s="1160"/>
      <c r="T116" s="1160"/>
      <c r="U116" s="1160"/>
      <c r="V116" s="1162"/>
    </row>
    <row r="117" spans="1:22" x14ac:dyDescent="0.25">
      <c r="C117" s="12"/>
      <c r="D117" s="7"/>
      <c r="E117" s="7"/>
      <c r="F117" s="7"/>
      <c r="G117" s="7"/>
      <c r="H117" s="7"/>
      <c r="I117" s="7"/>
      <c r="J117" s="7"/>
      <c r="L117" s="7"/>
      <c r="N117" s="10"/>
      <c r="R117" s="1160"/>
      <c r="S117" s="1160"/>
      <c r="T117" s="1160"/>
      <c r="U117" s="1160"/>
      <c r="V117" s="1162"/>
    </row>
    <row r="118" spans="1:22" x14ac:dyDescent="0.25">
      <c r="C118" s="12"/>
      <c r="D118" s="7"/>
      <c r="E118" s="7"/>
      <c r="F118" s="7"/>
      <c r="G118" s="7"/>
      <c r="H118" s="7"/>
      <c r="I118" s="7"/>
      <c r="J118" s="7"/>
      <c r="L118" s="7"/>
      <c r="N118" s="10"/>
      <c r="R118" s="1160"/>
      <c r="S118" s="1160"/>
      <c r="T118" s="1160"/>
      <c r="U118" s="1160"/>
      <c r="V118" s="1162"/>
    </row>
    <row r="119" spans="1:22" x14ac:dyDescent="0.25">
      <c r="C119" s="12"/>
      <c r="D119" s="7"/>
      <c r="E119" s="7"/>
      <c r="F119" s="7"/>
      <c r="G119" s="7"/>
      <c r="H119" s="7"/>
      <c r="I119" s="7"/>
      <c r="J119" s="7"/>
      <c r="L119" s="7"/>
      <c r="N119" s="10"/>
      <c r="R119" s="1160"/>
      <c r="S119" s="1160"/>
      <c r="T119" s="1160"/>
      <c r="U119" s="1160"/>
      <c r="V119" s="1162"/>
    </row>
    <row r="120" spans="1:22" x14ac:dyDescent="0.25">
      <c r="C120" s="12"/>
      <c r="D120" s="7"/>
      <c r="E120" s="7"/>
      <c r="F120" s="7"/>
      <c r="G120" s="7"/>
      <c r="H120" s="7"/>
      <c r="I120" s="7"/>
      <c r="J120" s="7"/>
      <c r="L120" s="7"/>
      <c r="N120" s="10"/>
      <c r="R120" s="1160"/>
      <c r="S120" s="1160"/>
      <c r="T120" s="1160"/>
      <c r="U120" s="1160"/>
      <c r="V120" s="1162"/>
    </row>
  </sheetData>
  <mergeCells count="175">
    <mergeCell ref="V13:V14"/>
    <mergeCell ref="V11:V12"/>
    <mergeCell ref="A1:C3"/>
    <mergeCell ref="D1:V1"/>
    <mergeCell ref="D2:V2"/>
    <mergeCell ref="A5:C5"/>
    <mergeCell ref="D4:V4"/>
    <mergeCell ref="D5:V5"/>
    <mergeCell ref="A4:C4"/>
    <mergeCell ref="D3:U3"/>
    <mergeCell ref="A6:V6"/>
    <mergeCell ref="B7:B8"/>
    <mergeCell ref="C7:C8"/>
    <mergeCell ref="V7:V8"/>
    <mergeCell ref="B9:B10"/>
    <mergeCell ref="C9:C10"/>
    <mergeCell ref="D9:D10"/>
    <mergeCell ref="E9:E10"/>
    <mergeCell ref="T9:T10"/>
    <mergeCell ref="U9:U10"/>
    <mergeCell ref="V9:V10"/>
    <mergeCell ref="B11:B12"/>
    <mergeCell ref="C11:C12"/>
    <mergeCell ref="D11:D12"/>
    <mergeCell ref="E19:E20"/>
    <mergeCell ref="T11:T12"/>
    <mergeCell ref="U11:U12"/>
    <mergeCell ref="B13:B14"/>
    <mergeCell ref="C13:C14"/>
    <mergeCell ref="D13:D14"/>
    <mergeCell ref="E13:E14"/>
    <mergeCell ref="T13:T14"/>
    <mergeCell ref="U13:U14"/>
    <mergeCell ref="E11:E12"/>
    <mergeCell ref="C29:C30"/>
    <mergeCell ref="D29:D30"/>
    <mergeCell ref="E29:E30"/>
    <mergeCell ref="U29:U30"/>
    <mergeCell ref="V29:V30"/>
    <mergeCell ref="C15:C16"/>
    <mergeCell ref="D15:D16"/>
    <mergeCell ref="E15:E16"/>
    <mergeCell ref="U15:U16"/>
    <mergeCell ref="V15:V16"/>
    <mergeCell ref="U19:U20"/>
    <mergeCell ref="V19:V20"/>
    <mergeCell ref="C21:C22"/>
    <mergeCell ref="D21:D22"/>
    <mergeCell ref="E21:E22"/>
    <mergeCell ref="U21:U22"/>
    <mergeCell ref="V21:V22"/>
    <mergeCell ref="C17:C18"/>
    <mergeCell ref="D17:D18"/>
    <mergeCell ref="E17:E18"/>
    <mergeCell ref="U17:U18"/>
    <mergeCell ref="V17:V18"/>
    <mergeCell ref="C19:C20"/>
    <mergeCell ref="D19:D20"/>
    <mergeCell ref="C23:C24"/>
    <mergeCell ref="D23:D24"/>
    <mergeCell ref="E23:E24"/>
    <mergeCell ref="U23:U24"/>
    <mergeCell ref="V23:V24"/>
    <mergeCell ref="V25:V26"/>
    <mergeCell ref="C27:C28"/>
    <mergeCell ref="D27:D28"/>
    <mergeCell ref="E27:E28"/>
    <mergeCell ref="U27:U28"/>
    <mergeCell ref="V27:V28"/>
    <mergeCell ref="V35:V36"/>
    <mergeCell ref="C37:C38"/>
    <mergeCell ref="D37:D38"/>
    <mergeCell ref="E37:E38"/>
    <mergeCell ref="U37:U38"/>
    <mergeCell ref="U55:U56"/>
    <mergeCell ref="V55:V56"/>
    <mergeCell ref="D43:D44"/>
    <mergeCell ref="E43:E44"/>
    <mergeCell ref="U43:U44"/>
    <mergeCell ref="V43:V44"/>
    <mergeCell ref="C45:C46"/>
    <mergeCell ref="D45:D46"/>
    <mergeCell ref="E45:E46"/>
    <mergeCell ref="U45:U46"/>
    <mergeCell ref="V45:V46"/>
    <mergeCell ref="C47:C48"/>
    <mergeCell ref="D47:D48"/>
    <mergeCell ref="E47:E48"/>
    <mergeCell ref="U47:U48"/>
    <mergeCell ref="V47:V48"/>
    <mergeCell ref="C49:C50"/>
    <mergeCell ref="D49:D50"/>
    <mergeCell ref="E49:E50"/>
    <mergeCell ref="C31:C32"/>
    <mergeCell ref="D31:D32"/>
    <mergeCell ref="E31:E32"/>
    <mergeCell ref="U31:U32"/>
    <mergeCell ref="V31:V32"/>
    <mergeCell ref="C33:C34"/>
    <mergeCell ref="D33:D34"/>
    <mergeCell ref="E33:E34"/>
    <mergeCell ref="U33:U34"/>
    <mergeCell ref="V33:V34"/>
    <mergeCell ref="A7:A8"/>
    <mergeCell ref="D7:E7"/>
    <mergeCell ref="F7:S7"/>
    <mergeCell ref="T7:U7"/>
    <mergeCell ref="A9:A14"/>
    <mergeCell ref="A15:A36"/>
    <mergeCell ref="B15:B16"/>
    <mergeCell ref="T15:T16"/>
    <mergeCell ref="B17:B20"/>
    <mergeCell ref="T17:T20"/>
    <mergeCell ref="B21:B26"/>
    <mergeCell ref="T21:T26"/>
    <mergeCell ref="B27:B32"/>
    <mergeCell ref="T27:T32"/>
    <mergeCell ref="B33:B36"/>
    <mergeCell ref="T33:T36"/>
    <mergeCell ref="C35:C36"/>
    <mergeCell ref="D35:D36"/>
    <mergeCell ref="E35:E36"/>
    <mergeCell ref="U35:U36"/>
    <mergeCell ref="C25:C26"/>
    <mergeCell ref="D25:D26"/>
    <mergeCell ref="E25:E26"/>
    <mergeCell ref="U25:U26"/>
    <mergeCell ref="E57:E58"/>
    <mergeCell ref="C55:C56"/>
    <mergeCell ref="U57:U58"/>
    <mergeCell ref="V57:V58"/>
    <mergeCell ref="A37:A60"/>
    <mergeCell ref="B37:B46"/>
    <mergeCell ref="U51:U52"/>
    <mergeCell ref="V51:V52"/>
    <mergeCell ref="C53:C54"/>
    <mergeCell ref="U53:U54"/>
    <mergeCell ref="V53:V54"/>
    <mergeCell ref="U49:U50"/>
    <mergeCell ref="V49:V50"/>
    <mergeCell ref="C51:C52"/>
    <mergeCell ref="C43:C44"/>
    <mergeCell ref="T37:T46"/>
    <mergeCell ref="U41:U42"/>
    <mergeCell ref="V41:V42"/>
    <mergeCell ref="V37:V38"/>
    <mergeCell ref="C39:C40"/>
    <mergeCell ref="D39:D40"/>
    <mergeCell ref="E39:E40"/>
    <mergeCell ref="U39:U40"/>
    <mergeCell ref="V39:V40"/>
    <mergeCell ref="C41:C42"/>
    <mergeCell ref="D41:D42"/>
    <mergeCell ref="E41:E42"/>
    <mergeCell ref="C65:H65"/>
    <mergeCell ref="I65:Q65"/>
    <mergeCell ref="C66:H66"/>
    <mergeCell ref="I66:Q66"/>
    <mergeCell ref="W66:BE66"/>
    <mergeCell ref="C67:H67"/>
    <mergeCell ref="I67:Q67"/>
    <mergeCell ref="U59:U60"/>
    <mergeCell ref="V59:V60"/>
    <mergeCell ref="A61:S61"/>
    <mergeCell ref="B47:B60"/>
    <mergeCell ref="T47:T60"/>
    <mergeCell ref="D51:D52"/>
    <mergeCell ref="E51:E52"/>
    <mergeCell ref="D53:D56"/>
    <mergeCell ref="E53:E56"/>
    <mergeCell ref="C59:C60"/>
    <mergeCell ref="D59:D60"/>
    <mergeCell ref="E59:E60"/>
    <mergeCell ref="C57:C58"/>
    <mergeCell ref="D57:D58"/>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sheetPr>
  <dimension ref="A1:EN2561"/>
  <sheetViews>
    <sheetView zoomScale="73" zoomScaleNormal="73" zoomScalePageLayoutView="55" workbookViewId="0">
      <selection sqref="A1:D3"/>
    </sheetView>
  </sheetViews>
  <sheetFormatPr baseColWidth="10" defaultRowHeight="15" x14ac:dyDescent="0.25"/>
  <cols>
    <col min="1" max="1" width="9.42578125" customWidth="1"/>
    <col min="2" max="2" width="11.42578125" style="3" customWidth="1"/>
    <col min="3" max="3" width="30" style="3" customWidth="1"/>
    <col min="4" max="4" width="22.7109375" customWidth="1"/>
    <col min="5" max="6" width="22.7109375" hidden="1" customWidth="1"/>
    <col min="7" max="7" width="22.7109375" style="3" customWidth="1"/>
    <col min="8" max="8" width="24.42578125" style="3" customWidth="1"/>
    <col min="9" max="9" width="21.5703125" style="3" customWidth="1"/>
    <col min="10" max="10" width="22.28515625" style="288" customWidth="1"/>
    <col min="11" max="11" width="20.7109375" style="3" customWidth="1"/>
    <col min="12" max="12" width="21.140625" style="3" customWidth="1"/>
    <col min="13" max="13" width="20.85546875" style="3" customWidth="1"/>
    <col min="14" max="14" width="24" style="3" customWidth="1"/>
    <col min="15" max="15" width="21.140625" style="3" customWidth="1"/>
    <col min="16" max="16" width="24.140625" style="3" customWidth="1"/>
    <col min="17" max="17" width="21" style="3" customWidth="1"/>
    <col min="18" max="18" width="21.5703125" style="506" customWidth="1"/>
    <col min="19" max="19" width="30" style="506" customWidth="1"/>
    <col min="20" max="20" width="19.7109375" style="3" customWidth="1"/>
    <col min="21" max="21" width="23.7109375" style="3" customWidth="1"/>
    <col min="22" max="22" width="20.5703125" style="3" customWidth="1"/>
    <col min="23" max="23" width="20.7109375" style="288" customWidth="1"/>
    <col min="24" max="24" width="18.28515625" style="3" customWidth="1"/>
    <col min="25" max="25" width="21.28515625" style="3" customWidth="1"/>
    <col min="26" max="26" width="18.28515625" style="3" customWidth="1"/>
    <col min="27" max="27" width="21.28515625" style="3" customWidth="1"/>
    <col min="28" max="28" width="21" style="3" customWidth="1"/>
    <col min="29" max="29" width="20.42578125" style="3" customWidth="1"/>
    <col min="30" max="30" width="25.42578125" style="3" customWidth="1"/>
    <col min="31" max="31" width="22.42578125" style="506" customWidth="1"/>
    <col min="32" max="32" width="21.5703125" style="506" customWidth="1"/>
    <col min="33" max="33" width="16.140625" style="3" customWidth="1"/>
    <col min="34" max="34" width="16.42578125" style="3" customWidth="1"/>
    <col min="35" max="35" width="41.42578125" style="3" bestFit="1" customWidth="1"/>
    <col min="36" max="36" width="25" style="3" customWidth="1"/>
    <col min="37" max="37" width="16.28515625" style="3" customWidth="1"/>
    <col min="38" max="38" width="15.28515625" style="3" customWidth="1"/>
    <col min="39" max="39" width="29" style="3" customWidth="1"/>
    <col min="40" max="40" width="23.28515625" style="3" customWidth="1"/>
    <col min="41" max="41" width="17.7109375" style="3" customWidth="1"/>
    <col min="42" max="42" width="16.42578125" style="11" customWidth="1"/>
    <col min="43" max="43" width="20.140625" style="11" customWidth="1"/>
    <col min="44" max="44" width="14.140625" style="3" customWidth="1"/>
    <col min="45" max="45" width="20" style="3" customWidth="1"/>
    <col min="46" max="46" width="17.85546875" style="3" customWidth="1"/>
    <col min="47" max="47" width="25.85546875" style="3" customWidth="1"/>
    <col min="48" max="48" width="18.140625" style="3" customWidth="1"/>
    <col min="49" max="49" width="20.42578125" style="3" customWidth="1"/>
    <col min="50" max="50" width="26.28515625" style="11" customWidth="1"/>
    <col min="51" max="51" width="31" style="282" customWidth="1"/>
  </cols>
  <sheetData>
    <row r="1" spans="1:55" ht="29.25" customHeight="1" x14ac:dyDescent="0.25">
      <c r="A1" s="888"/>
      <c r="B1" s="889"/>
      <c r="C1" s="889"/>
      <c r="D1" s="889"/>
      <c r="E1" s="891" t="s">
        <v>39</v>
      </c>
      <c r="F1" s="891"/>
      <c r="G1" s="891"/>
      <c r="H1" s="891"/>
      <c r="I1" s="891"/>
      <c r="J1" s="891"/>
      <c r="K1" s="891"/>
      <c r="L1" s="891"/>
      <c r="M1" s="891"/>
      <c r="N1" s="891"/>
      <c r="O1" s="891"/>
      <c r="P1" s="891"/>
      <c r="Q1" s="891"/>
      <c r="R1" s="891"/>
      <c r="S1" s="891"/>
      <c r="T1" s="891"/>
      <c r="U1" s="891"/>
      <c r="V1" s="891"/>
      <c r="W1" s="891"/>
      <c r="X1" s="891"/>
      <c r="Y1" s="891"/>
      <c r="Z1" s="891"/>
      <c r="AA1" s="891"/>
      <c r="AB1" s="891"/>
      <c r="AC1" s="891"/>
      <c r="AD1" s="891"/>
      <c r="AE1" s="891"/>
      <c r="AF1" s="891"/>
      <c r="AG1" s="891"/>
      <c r="AH1" s="891"/>
      <c r="AI1" s="891"/>
      <c r="AJ1" s="891"/>
      <c r="AK1" s="891"/>
      <c r="AL1" s="891"/>
      <c r="AM1" s="891"/>
      <c r="AN1" s="891"/>
      <c r="AO1" s="891"/>
      <c r="AP1" s="891"/>
      <c r="AQ1" s="891"/>
      <c r="AR1" s="891"/>
      <c r="AS1" s="891"/>
      <c r="AT1" s="891"/>
      <c r="AU1" s="891"/>
      <c r="AV1" s="891"/>
      <c r="AW1" s="891"/>
      <c r="AX1" s="891"/>
      <c r="AY1" s="891"/>
    </row>
    <row r="2" spans="1:55" ht="36" customHeight="1" thickBot="1" x14ac:dyDescent="0.3">
      <c r="A2" s="890"/>
      <c r="B2" s="669"/>
      <c r="C2" s="669"/>
      <c r="D2" s="669"/>
      <c r="E2" s="892" t="s">
        <v>704</v>
      </c>
      <c r="F2" s="892"/>
      <c r="G2" s="892"/>
      <c r="H2" s="892"/>
      <c r="I2" s="892"/>
      <c r="J2" s="892"/>
      <c r="K2" s="892"/>
      <c r="L2" s="892"/>
      <c r="M2" s="892"/>
      <c r="N2" s="892"/>
      <c r="O2" s="892"/>
      <c r="P2" s="892"/>
      <c r="Q2" s="892"/>
      <c r="R2" s="892"/>
      <c r="S2" s="892"/>
      <c r="T2" s="892"/>
      <c r="U2" s="892"/>
      <c r="V2" s="892"/>
      <c r="W2" s="892"/>
      <c r="X2" s="892"/>
      <c r="Y2" s="892"/>
      <c r="Z2" s="892"/>
      <c r="AA2" s="892"/>
      <c r="AB2" s="892"/>
      <c r="AC2" s="892"/>
      <c r="AD2" s="892"/>
      <c r="AE2" s="892"/>
      <c r="AF2" s="892"/>
      <c r="AG2" s="892"/>
      <c r="AH2" s="892"/>
      <c r="AI2" s="892"/>
      <c r="AJ2" s="892"/>
      <c r="AK2" s="892"/>
      <c r="AL2" s="892"/>
      <c r="AM2" s="892"/>
      <c r="AN2" s="892"/>
      <c r="AO2" s="892"/>
      <c r="AP2" s="892"/>
      <c r="AQ2" s="892"/>
      <c r="AR2" s="892"/>
      <c r="AS2" s="892"/>
      <c r="AT2" s="892"/>
      <c r="AU2" s="892"/>
      <c r="AV2" s="892"/>
      <c r="AW2" s="892"/>
      <c r="AX2" s="892"/>
      <c r="AY2" s="892"/>
    </row>
    <row r="3" spans="1:55" ht="27.75" customHeight="1" thickBot="1" x14ac:dyDescent="0.3">
      <c r="A3" s="890"/>
      <c r="B3" s="669"/>
      <c r="C3" s="669"/>
      <c r="D3" s="669"/>
      <c r="E3" s="893" t="s">
        <v>40</v>
      </c>
      <c r="F3" s="894"/>
      <c r="G3" s="894"/>
      <c r="H3" s="894"/>
      <c r="I3" s="894"/>
      <c r="J3" s="894"/>
      <c r="K3" s="894"/>
      <c r="L3" s="894"/>
      <c r="M3" s="894"/>
      <c r="N3" s="894"/>
      <c r="O3" s="894"/>
      <c r="P3" s="894"/>
      <c r="Q3" s="894"/>
      <c r="R3" s="894"/>
      <c r="S3" s="894"/>
      <c r="T3" s="894"/>
      <c r="U3" s="894"/>
      <c r="V3" s="894"/>
      <c r="W3" s="894"/>
      <c r="X3" s="894"/>
      <c r="Y3" s="894"/>
      <c r="Z3" s="894"/>
      <c r="AA3" s="894"/>
      <c r="AB3" s="894"/>
      <c r="AC3" s="894"/>
      <c r="AD3" s="895"/>
      <c r="AE3" s="896" t="s">
        <v>271</v>
      </c>
      <c r="AF3" s="897"/>
      <c r="AG3" s="897"/>
      <c r="AH3" s="897"/>
      <c r="AI3" s="897"/>
      <c r="AJ3" s="897"/>
      <c r="AK3" s="897"/>
      <c r="AL3" s="897"/>
      <c r="AM3" s="897"/>
      <c r="AN3" s="897"/>
      <c r="AO3" s="897"/>
      <c r="AP3" s="897"/>
      <c r="AQ3" s="897"/>
      <c r="AR3" s="897"/>
      <c r="AS3" s="897"/>
      <c r="AT3" s="897"/>
      <c r="AU3" s="897"/>
      <c r="AV3" s="897"/>
      <c r="AW3" s="897"/>
      <c r="AX3" s="897"/>
      <c r="AY3" s="898"/>
    </row>
    <row r="4" spans="1:55" ht="15.75" customHeight="1" thickBot="1" x14ac:dyDescent="0.3">
      <c r="A4" s="899" t="s">
        <v>0</v>
      </c>
      <c r="B4" s="900"/>
      <c r="C4" s="900"/>
      <c r="D4" s="901"/>
      <c r="E4" s="902" t="s">
        <v>300</v>
      </c>
      <c r="F4" s="902"/>
      <c r="G4" s="903"/>
      <c r="H4" s="903"/>
      <c r="I4" s="903"/>
      <c r="J4" s="903"/>
      <c r="K4" s="903"/>
      <c r="L4" s="903"/>
      <c r="M4" s="903"/>
      <c r="N4" s="903"/>
      <c r="O4" s="903"/>
      <c r="P4" s="903"/>
      <c r="Q4" s="903"/>
      <c r="R4" s="903"/>
      <c r="S4" s="903"/>
      <c r="T4" s="903"/>
      <c r="U4" s="903"/>
      <c r="V4" s="903"/>
      <c r="W4" s="903"/>
      <c r="X4" s="903"/>
      <c r="Y4" s="903"/>
      <c r="Z4" s="903"/>
      <c r="AA4" s="903"/>
      <c r="AB4" s="903"/>
      <c r="AC4" s="903"/>
      <c r="AD4" s="903"/>
      <c r="AE4" s="903"/>
      <c r="AF4" s="903"/>
      <c r="AG4" s="903"/>
      <c r="AH4" s="903"/>
      <c r="AI4" s="903"/>
      <c r="AJ4" s="903"/>
      <c r="AK4" s="903"/>
      <c r="AL4" s="903"/>
      <c r="AM4" s="903"/>
      <c r="AN4" s="903"/>
      <c r="AO4" s="903"/>
      <c r="AP4" s="903"/>
      <c r="AQ4" s="903"/>
      <c r="AR4" s="903"/>
      <c r="AS4" s="903"/>
      <c r="AT4" s="903"/>
      <c r="AU4" s="903"/>
      <c r="AV4" s="903"/>
      <c r="AW4" s="903"/>
      <c r="AX4" s="903"/>
      <c r="AY4" s="904"/>
    </row>
    <row r="5" spans="1:55" ht="15.75" customHeight="1" thickBot="1" x14ac:dyDescent="0.3">
      <c r="A5" s="914" t="s">
        <v>2</v>
      </c>
      <c r="B5" s="915"/>
      <c r="C5" s="915"/>
      <c r="D5" s="916"/>
      <c r="E5" s="917" t="s">
        <v>301</v>
      </c>
      <c r="F5" s="917"/>
      <c r="G5" s="918"/>
      <c r="H5" s="918"/>
      <c r="I5" s="918"/>
      <c r="J5" s="918"/>
      <c r="K5" s="918"/>
      <c r="L5" s="918"/>
      <c r="M5" s="918"/>
      <c r="N5" s="918"/>
      <c r="O5" s="918"/>
      <c r="P5" s="918"/>
      <c r="Q5" s="918"/>
      <c r="R5" s="918"/>
      <c r="S5" s="918"/>
      <c r="T5" s="918"/>
      <c r="U5" s="918"/>
      <c r="V5" s="918"/>
      <c r="W5" s="918"/>
      <c r="X5" s="918"/>
      <c r="Y5" s="918"/>
      <c r="Z5" s="918"/>
      <c r="AA5" s="918"/>
      <c r="AB5" s="918"/>
      <c r="AC5" s="918"/>
      <c r="AD5" s="918"/>
      <c r="AE5" s="918"/>
      <c r="AF5" s="918"/>
      <c r="AG5" s="918"/>
      <c r="AH5" s="918"/>
      <c r="AI5" s="918"/>
      <c r="AJ5" s="918"/>
      <c r="AK5" s="918"/>
      <c r="AL5" s="918"/>
      <c r="AM5" s="918"/>
      <c r="AN5" s="918"/>
      <c r="AO5" s="918"/>
      <c r="AP5" s="918"/>
      <c r="AQ5" s="918"/>
      <c r="AR5" s="918"/>
      <c r="AS5" s="918"/>
      <c r="AT5" s="918"/>
      <c r="AU5" s="918"/>
      <c r="AV5" s="918"/>
      <c r="AW5" s="918"/>
      <c r="AX5" s="918"/>
      <c r="AY5" s="919"/>
    </row>
    <row r="6" spans="1:55" ht="15.75" customHeight="1" thickBot="1" x14ac:dyDescent="0.3">
      <c r="A6" s="920" t="s">
        <v>21</v>
      </c>
      <c r="B6" s="921"/>
      <c r="C6" s="921"/>
      <c r="D6" s="922"/>
      <c r="E6" s="923" t="s">
        <v>1329</v>
      </c>
      <c r="F6" s="923"/>
      <c r="G6" s="923"/>
      <c r="H6" s="923"/>
      <c r="I6" s="923"/>
      <c r="J6" s="923"/>
      <c r="K6" s="923"/>
      <c r="L6" s="923"/>
      <c r="M6" s="923"/>
      <c r="N6" s="923"/>
      <c r="O6" s="923"/>
      <c r="P6" s="923"/>
      <c r="Q6" s="923"/>
      <c r="R6" s="924"/>
      <c r="S6" s="924"/>
      <c r="T6" s="924"/>
      <c r="U6" s="924"/>
      <c r="V6" s="924"/>
      <c r="W6" s="924"/>
      <c r="X6" s="924"/>
      <c r="Y6" s="924"/>
      <c r="Z6" s="924"/>
      <c r="AA6" s="924"/>
      <c r="AB6" s="924"/>
      <c r="AC6" s="924"/>
      <c r="AD6" s="924"/>
      <c r="AE6" s="924"/>
      <c r="AF6" s="924"/>
      <c r="AG6" s="924"/>
      <c r="AH6" s="924"/>
      <c r="AI6" s="924"/>
      <c r="AJ6" s="924"/>
      <c r="AK6" s="924"/>
      <c r="AL6" s="924"/>
      <c r="AM6" s="924"/>
      <c r="AN6" s="924"/>
      <c r="AO6" s="924"/>
      <c r="AP6" s="924"/>
      <c r="AQ6" s="924"/>
      <c r="AR6" s="924"/>
      <c r="AS6" s="924"/>
      <c r="AT6" s="924"/>
      <c r="AU6" s="924"/>
      <c r="AV6" s="924"/>
      <c r="AW6" s="924"/>
      <c r="AX6" s="924"/>
      <c r="AY6" s="925"/>
    </row>
    <row r="7" spans="1:55" ht="15.75" customHeight="1" thickBot="1" x14ac:dyDescent="0.3">
      <c r="A7" s="926"/>
      <c r="B7" s="927"/>
      <c r="C7" s="927"/>
      <c r="D7" s="928"/>
      <c r="E7" s="927"/>
      <c r="F7" s="927"/>
      <c r="G7" s="927"/>
      <c r="H7" s="927"/>
      <c r="I7" s="927"/>
      <c r="J7" s="927"/>
      <c r="K7" s="927"/>
      <c r="L7" s="927"/>
      <c r="M7" s="927"/>
      <c r="N7" s="927"/>
      <c r="O7" s="927"/>
      <c r="P7" s="927"/>
      <c r="Q7" s="927"/>
      <c r="R7" s="927"/>
      <c r="S7" s="927"/>
      <c r="T7" s="927"/>
      <c r="U7" s="927"/>
      <c r="V7" s="927"/>
      <c r="W7" s="927"/>
      <c r="X7" s="927"/>
      <c r="Y7" s="927"/>
      <c r="Z7" s="927"/>
      <c r="AA7" s="927"/>
      <c r="AB7" s="927"/>
      <c r="AC7" s="927"/>
      <c r="AD7" s="927"/>
      <c r="AE7" s="927"/>
      <c r="AF7" s="927"/>
      <c r="AG7" s="927"/>
      <c r="AH7" s="927"/>
      <c r="AI7" s="927"/>
      <c r="AJ7" s="927"/>
      <c r="AK7" s="927"/>
      <c r="AL7" s="927"/>
      <c r="AM7" s="927"/>
      <c r="AN7" s="927"/>
      <c r="AO7" s="927"/>
      <c r="AP7" s="927"/>
      <c r="AQ7" s="927"/>
      <c r="AR7" s="927"/>
      <c r="AS7" s="927"/>
      <c r="AT7" s="927"/>
      <c r="AU7" s="927"/>
      <c r="AV7" s="927"/>
      <c r="AW7" s="927"/>
      <c r="AX7" s="927"/>
      <c r="AY7" s="929"/>
    </row>
    <row r="8" spans="1:55" ht="28.5" customHeight="1" x14ac:dyDescent="0.25">
      <c r="A8" s="930" t="s">
        <v>302</v>
      </c>
      <c r="B8" s="932" t="s">
        <v>303</v>
      </c>
      <c r="C8" s="932" t="s">
        <v>304</v>
      </c>
      <c r="D8" s="934" t="s">
        <v>305</v>
      </c>
      <c r="E8" s="907" t="s">
        <v>306</v>
      </c>
      <c r="F8" s="114"/>
      <c r="G8" s="905" t="s">
        <v>705</v>
      </c>
      <c r="H8" s="906"/>
      <c r="I8" s="906"/>
      <c r="J8" s="906"/>
      <c r="K8" s="907"/>
      <c r="L8" s="907"/>
      <c r="M8" s="907"/>
      <c r="N8" s="907"/>
      <c r="O8" s="907"/>
      <c r="P8" s="907"/>
      <c r="Q8" s="907"/>
      <c r="R8" s="907"/>
      <c r="S8" s="908"/>
      <c r="T8" s="909" t="s">
        <v>706</v>
      </c>
      <c r="U8" s="907"/>
      <c r="V8" s="907"/>
      <c r="W8" s="907"/>
      <c r="X8" s="907"/>
      <c r="Y8" s="907"/>
      <c r="Z8" s="907"/>
      <c r="AA8" s="907"/>
      <c r="AB8" s="907"/>
      <c r="AC8" s="907"/>
      <c r="AD8" s="907"/>
      <c r="AE8" s="907"/>
      <c r="AF8" s="908"/>
      <c r="AG8" s="905" t="s">
        <v>707</v>
      </c>
      <c r="AH8" s="906"/>
      <c r="AI8" s="906"/>
      <c r="AJ8" s="906"/>
      <c r="AK8" s="906"/>
      <c r="AL8" s="906" t="s">
        <v>708</v>
      </c>
      <c r="AM8" s="906"/>
      <c r="AN8" s="906" t="s">
        <v>68</v>
      </c>
      <c r="AO8" s="906"/>
      <c r="AP8" s="906"/>
      <c r="AQ8" s="906"/>
      <c r="AR8" s="906"/>
      <c r="AS8" s="910"/>
      <c r="AT8" s="905"/>
      <c r="AU8" s="906"/>
      <c r="AV8" s="906"/>
      <c r="AW8" s="906"/>
      <c r="AX8" s="906"/>
      <c r="AY8" s="906" t="s">
        <v>307</v>
      </c>
      <c r="AZ8" s="19"/>
      <c r="BA8" s="19"/>
      <c r="BB8" s="19"/>
      <c r="BC8" s="19"/>
    </row>
    <row r="9" spans="1:55" ht="51.75" customHeight="1" thickBot="1" x14ac:dyDescent="0.3">
      <c r="A9" s="931"/>
      <c r="B9" s="933"/>
      <c r="C9" s="933"/>
      <c r="D9" s="934"/>
      <c r="E9" s="935"/>
      <c r="F9" s="313" t="s">
        <v>709</v>
      </c>
      <c r="G9" s="313" t="s">
        <v>6</v>
      </c>
      <c r="H9" s="313" t="s">
        <v>7</v>
      </c>
      <c r="I9" s="313" t="s">
        <v>8</v>
      </c>
      <c r="J9" s="313" t="s">
        <v>9</v>
      </c>
      <c r="K9" s="313" t="s">
        <v>10</v>
      </c>
      <c r="L9" s="313" t="s">
        <v>11</v>
      </c>
      <c r="M9" s="313" t="s">
        <v>12</v>
      </c>
      <c r="N9" s="313" t="s">
        <v>13</v>
      </c>
      <c r="O9" s="313" t="s">
        <v>14</v>
      </c>
      <c r="P9" s="313" t="s">
        <v>15</v>
      </c>
      <c r="Q9" s="313" t="s">
        <v>16</v>
      </c>
      <c r="R9" s="313" t="s">
        <v>17</v>
      </c>
      <c r="S9" s="313" t="s">
        <v>66</v>
      </c>
      <c r="T9" s="313" t="s">
        <v>6</v>
      </c>
      <c r="U9" s="313" t="s">
        <v>7</v>
      </c>
      <c r="V9" s="313" t="s">
        <v>8</v>
      </c>
      <c r="W9" s="313" t="s">
        <v>9</v>
      </c>
      <c r="X9" s="313" t="s">
        <v>10</v>
      </c>
      <c r="Y9" s="313" t="s">
        <v>11</v>
      </c>
      <c r="Z9" s="313" t="s">
        <v>12</v>
      </c>
      <c r="AA9" s="313" t="s">
        <v>13</v>
      </c>
      <c r="AB9" s="313" t="s">
        <v>14</v>
      </c>
      <c r="AC9" s="313" t="s">
        <v>15</v>
      </c>
      <c r="AD9" s="313" t="s">
        <v>16</v>
      </c>
      <c r="AE9" s="313" t="s">
        <v>17</v>
      </c>
      <c r="AF9" s="313" t="s">
        <v>67</v>
      </c>
      <c r="AG9" s="313" t="s">
        <v>710</v>
      </c>
      <c r="AH9" s="313" t="s">
        <v>711</v>
      </c>
      <c r="AI9" s="313" t="s">
        <v>712</v>
      </c>
      <c r="AJ9" s="313" t="s">
        <v>713</v>
      </c>
      <c r="AK9" s="313" t="s">
        <v>714</v>
      </c>
      <c r="AL9" s="313" t="s">
        <v>715</v>
      </c>
      <c r="AM9" s="313" t="s">
        <v>716</v>
      </c>
      <c r="AN9" s="313" t="s">
        <v>717</v>
      </c>
      <c r="AO9" s="313" t="s">
        <v>718</v>
      </c>
      <c r="AP9" s="313" t="s">
        <v>719</v>
      </c>
      <c r="AQ9" s="313" t="s">
        <v>720</v>
      </c>
      <c r="AR9" s="313" t="s">
        <v>721</v>
      </c>
      <c r="AS9" s="313" t="s">
        <v>722</v>
      </c>
      <c r="AT9" s="313" t="s">
        <v>723</v>
      </c>
      <c r="AU9" s="313" t="s">
        <v>724</v>
      </c>
      <c r="AV9" s="313" t="s">
        <v>725</v>
      </c>
      <c r="AW9" s="313" t="s">
        <v>726</v>
      </c>
      <c r="AX9" s="313" t="s">
        <v>727</v>
      </c>
      <c r="AY9" s="313"/>
      <c r="AZ9" s="19"/>
      <c r="BA9" s="19"/>
      <c r="BB9" s="19"/>
      <c r="BC9" s="19"/>
    </row>
    <row r="10" spans="1:55" ht="18" customHeight="1" x14ac:dyDescent="0.25">
      <c r="A10" s="1189">
        <v>1</v>
      </c>
      <c r="B10" s="1190" t="s">
        <v>287</v>
      </c>
      <c r="C10" s="1353" t="s">
        <v>308</v>
      </c>
      <c r="D10" s="116" t="s">
        <v>41</v>
      </c>
      <c r="E10" s="117" t="e">
        <v>#REF!</v>
      </c>
      <c r="F10" s="117" t="e">
        <v>#REF!</v>
      </c>
      <c r="G10" s="439">
        <v>109</v>
      </c>
      <c r="H10" s="440">
        <v>109</v>
      </c>
      <c r="I10" s="440">
        <v>109</v>
      </c>
      <c r="J10" s="439">
        <v>109</v>
      </c>
      <c r="K10" s="439">
        <v>109</v>
      </c>
      <c r="L10" s="439">
        <v>109</v>
      </c>
      <c r="M10" s="440">
        <v>109</v>
      </c>
      <c r="N10" s="441">
        <v>109</v>
      </c>
      <c r="O10" s="440">
        <v>109</v>
      </c>
      <c r="P10" s="440">
        <v>109</v>
      </c>
      <c r="Q10" s="439">
        <v>109</v>
      </c>
      <c r="R10" s="439">
        <v>113</v>
      </c>
      <c r="S10" s="1203" t="s">
        <v>309</v>
      </c>
      <c r="T10" s="441">
        <v>5</v>
      </c>
      <c r="U10" s="441">
        <v>13</v>
      </c>
      <c r="V10" s="441">
        <v>23</v>
      </c>
      <c r="W10" s="441">
        <v>33</v>
      </c>
      <c r="X10" s="441">
        <v>43</v>
      </c>
      <c r="Y10" s="441">
        <v>53</v>
      </c>
      <c r="Z10" s="1204">
        <v>63</v>
      </c>
      <c r="AA10" s="441">
        <v>73</v>
      </c>
      <c r="AB10" s="440">
        <v>83</v>
      </c>
      <c r="AC10" s="1205">
        <v>93</v>
      </c>
      <c r="AD10" s="439">
        <v>103</v>
      </c>
      <c r="AE10" s="441">
        <v>113</v>
      </c>
      <c r="AF10" s="1206" t="s">
        <v>1301</v>
      </c>
      <c r="AG10" s="872" t="s">
        <v>985</v>
      </c>
      <c r="AH10" s="788" t="s">
        <v>1091</v>
      </c>
      <c r="AI10" s="788" t="s">
        <v>1090</v>
      </c>
      <c r="AJ10" s="792" t="s">
        <v>948</v>
      </c>
      <c r="AK10" s="788" t="s">
        <v>315</v>
      </c>
      <c r="AL10" s="887" t="s">
        <v>70</v>
      </c>
      <c r="AM10" s="887" t="s">
        <v>316</v>
      </c>
      <c r="AN10" s="805">
        <v>7804660</v>
      </c>
      <c r="AO10" s="783">
        <v>3721767</v>
      </c>
      <c r="AP10" s="783">
        <v>4082893</v>
      </c>
      <c r="AQ10" s="787" t="s">
        <v>317</v>
      </c>
      <c r="AR10" s="787" t="s">
        <v>317</v>
      </c>
      <c r="AS10" s="787" t="s">
        <v>317</v>
      </c>
      <c r="AT10" s="787" t="s">
        <v>317</v>
      </c>
      <c r="AU10" s="787" t="s">
        <v>317</v>
      </c>
      <c r="AV10" s="787" t="s">
        <v>317</v>
      </c>
      <c r="AW10" s="787" t="s">
        <v>317</v>
      </c>
      <c r="AX10" s="783">
        <v>7804660</v>
      </c>
      <c r="AY10" s="788" t="s">
        <v>318</v>
      </c>
    </row>
    <row r="11" spans="1:55" x14ac:dyDescent="0.25">
      <c r="A11" s="1191"/>
      <c r="B11" s="833"/>
      <c r="C11" s="1353"/>
      <c r="D11" s="132" t="s">
        <v>3</v>
      </c>
      <c r="E11" s="117" t="e">
        <v>#REF!</v>
      </c>
      <c r="F11" s="117" t="e">
        <v>#REF!</v>
      </c>
      <c r="G11" s="439">
        <v>574654000</v>
      </c>
      <c r="H11" s="440">
        <v>574654000</v>
      </c>
      <c r="I11" s="440">
        <v>574654000</v>
      </c>
      <c r="J11" s="439">
        <v>556207000</v>
      </c>
      <c r="K11" s="442">
        <v>556207000</v>
      </c>
      <c r="L11" s="442">
        <v>556207000</v>
      </c>
      <c r="M11" s="440">
        <v>556207000</v>
      </c>
      <c r="N11" s="441">
        <v>605339000</v>
      </c>
      <c r="O11" s="440">
        <v>605339000</v>
      </c>
      <c r="P11" s="440">
        <v>605339000</v>
      </c>
      <c r="Q11" s="439">
        <v>605339000</v>
      </c>
      <c r="R11" s="439">
        <v>605339000</v>
      </c>
      <c r="S11" s="1203"/>
      <c r="T11" s="441">
        <v>0</v>
      </c>
      <c r="U11" s="441">
        <v>308440000</v>
      </c>
      <c r="V11" s="441">
        <v>495849000</v>
      </c>
      <c r="W11" s="441">
        <v>495849000</v>
      </c>
      <c r="X11" s="443">
        <v>495849000</v>
      </c>
      <c r="Y11" s="1207">
        <v>556207000</v>
      </c>
      <c r="Z11" s="1204">
        <v>556207000</v>
      </c>
      <c r="AA11" s="441">
        <v>556207000</v>
      </c>
      <c r="AB11" s="440">
        <v>572698500</v>
      </c>
      <c r="AC11" s="440">
        <v>572698500</v>
      </c>
      <c r="AD11" s="439">
        <v>583961500</v>
      </c>
      <c r="AE11" s="1208">
        <v>590922500</v>
      </c>
      <c r="AF11" s="1209"/>
      <c r="AG11" s="873"/>
      <c r="AH11" s="789"/>
      <c r="AI11" s="789"/>
      <c r="AJ11" s="793"/>
      <c r="AK11" s="789"/>
      <c r="AL11" s="789"/>
      <c r="AM11" s="789"/>
      <c r="AN11" s="805"/>
      <c r="AO11" s="784"/>
      <c r="AP11" s="784"/>
      <c r="AQ11" s="787"/>
      <c r="AR11" s="787"/>
      <c r="AS11" s="787"/>
      <c r="AT11" s="787"/>
      <c r="AU11" s="787"/>
      <c r="AV11" s="787"/>
      <c r="AW11" s="787"/>
      <c r="AX11" s="784"/>
      <c r="AY11" s="789"/>
    </row>
    <row r="12" spans="1:55" ht="18.75" customHeight="1" x14ac:dyDescent="0.25">
      <c r="A12" s="1191"/>
      <c r="B12" s="833"/>
      <c r="C12" s="1353"/>
      <c r="D12" s="136" t="s">
        <v>42</v>
      </c>
      <c r="E12" s="117" t="e">
        <v>#REF!</v>
      </c>
      <c r="F12" s="117" t="e">
        <v>#REF!</v>
      </c>
      <c r="G12" s="439">
        <v>0</v>
      </c>
      <c r="H12" s="440">
        <v>0</v>
      </c>
      <c r="I12" s="440">
        <v>0</v>
      </c>
      <c r="J12" s="439">
        <v>0</v>
      </c>
      <c r="K12" s="445">
        <v>0</v>
      </c>
      <c r="L12" s="445">
        <v>0</v>
      </c>
      <c r="M12" s="440">
        <v>0</v>
      </c>
      <c r="N12" s="441">
        <v>0</v>
      </c>
      <c r="O12" s="440">
        <v>0</v>
      </c>
      <c r="P12" s="440">
        <v>0</v>
      </c>
      <c r="Q12" s="439">
        <v>0</v>
      </c>
      <c r="R12" s="439">
        <v>0</v>
      </c>
      <c r="S12" s="1203"/>
      <c r="T12" s="441">
        <v>0</v>
      </c>
      <c r="U12" s="441">
        <v>0</v>
      </c>
      <c r="V12" s="441">
        <v>0</v>
      </c>
      <c r="W12" s="441">
        <v>0</v>
      </c>
      <c r="X12" s="446">
        <v>0</v>
      </c>
      <c r="Y12" s="446"/>
      <c r="Z12" s="1204">
        <v>0</v>
      </c>
      <c r="AA12" s="441">
        <v>0</v>
      </c>
      <c r="AB12" s="440">
        <v>0</v>
      </c>
      <c r="AC12" s="440">
        <v>0</v>
      </c>
      <c r="AD12" s="439">
        <v>0</v>
      </c>
      <c r="AE12" s="1208">
        <v>0</v>
      </c>
      <c r="AF12" s="1209"/>
      <c r="AG12" s="873"/>
      <c r="AH12" s="789"/>
      <c r="AI12" s="789"/>
      <c r="AJ12" s="793"/>
      <c r="AK12" s="789"/>
      <c r="AL12" s="789"/>
      <c r="AM12" s="789"/>
      <c r="AN12" s="805"/>
      <c r="AO12" s="784"/>
      <c r="AP12" s="784"/>
      <c r="AQ12" s="787"/>
      <c r="AR12" s="787"/>
      <c r="AS12" s="787"/>
      <c r="AT12" s="787"/>
      <c r="AU12" s="787"/>
      <c r="AV12" s="787"/>
      <c r="AW12" s="787"/>
      <c r="AX12" s="784"/>
      <c r="AY12" s="789"/>
    </row>
    <row r="13" spans="1:55" x14ac:dyDescent="0.25">
      <c r="A13" s="1191"/>
      <c r="B13" s="833"/>
      <c r="C13" s="1353"/>
      <c r="D13" s="132" t="s">
        <v>4</v>
      </c>
      <c r="E13" s="117" t="e">
        <v>#REF!</v>
      </c>
      <c r="F13" s="117" t="e">
        <v>#REF!</v>
      </c>
      <c r="G13" s="439">
        <v>108646338</v>
      </c>
      <c r="H13" s="440">
        <v>108646338</v>
      </c>
      <c r="I13" s="440">
        <v>108646338</v>
      </c>
      <c r="J13" s="439">
        <v>108646338</v>
      </c>
      <c r="K13" s="445">
        <v>108646338</v>
      </c>
      <c r="L13" s="445">
        <v>108646338</v>
      </c>
      <c r="M13" s="440">
        <v>108646338</v>
      </c>
      <c r="N13" s="441">
        <v>108646338</v>
      </c>
      <c r="O13" s="440">
        <v>108646338</v>
      </c>
      <c r="P13" s="440">
        <v>108646338</v>
      </c>
      <c r="Q13" s="439">
        <v>108646338</v>
      </c>
      <c r="R13" s="439">
        <v>108646338</v>
      </c>
      <c r="S13" s="1203"/>
      <c r="T13" s="441">
        <v>6777000</v>
      </c>
      <c r="U13" s="441">
        <v>72661243</v>
      </c>
      <c r="V13" s="441">
        <v>108646338</v>
      </c>
      <c r="W13" s="441">
        <v>108646338</v>
      </c>
      <c r="X13" s="443">
        <v>108646338</v>
      </c>
      <c r="Y13" s="1210">
        <v>108646338</v>
      </c>
      <c r="Z13" s="1204">
        <v>108646338</v>
      </c>
      <c r="AA13" s="441">
        <v>108646338</v>
      </c>
      <c r="AB13" s="440">
        <v>108646338</v>
      </c>
      <c r="AC13" s="440">
        <v>108646338</v>
      </c>
      <c r="AD13" s="439">
        <v>108646338</v>
      </c>
      <c r="AE13" s="1208">
        <v>108646338</v>
      </c>
      <c r="AF13" s="1209"/>
      <c r="AG13" s="873"/>
      <c r="AH13" s="789"/>
      <c r="AI13" s="789"/>
      <c r="AJ13" s="793"/>
      <c r="AK13" s="789"/>
      <c r="AL13" s="789"/>
      <c r="AM13" s="789"/>
      <c r="AN13" s="805"/>
      <c r="AO13" s="784"/>
      <c r="AP13" s="784"/>
      <c r="AQ13" s="787"/>
      <c r="AR13" s="787"/>
      <c r="AS13" s="787"/>
      <c r="AT13" s="787"/>
      <c r="AU13" s="787"/>
      <c r="AV13" s="787"/>
      <c r="AW13" s="787"/>
      <c r="AX13" s="784"/>
      <c r="AY13" s="789"/>
    </row>
    <row r="14" spans="1:55" ht="22.5" customHeight="1" x14ac:dyDescent="0.25">
      <c r="A14" s="1191"/>
      <c r="B14" s="833"/>
      <c r="C14" s="1353"/>
      <c r="D14" s="136" t="s">
        <v>43</v>
      </c>
      <c r="E14" s="117" t="e">
        <v>#REF!</v>
      </c>
      <c r="F14" s="117" t="e">
        <v>#REF!</v>
      </c>
      <c r="G14" s="439">
        <v>109</v>
      </c>
      <c r="H14" s="440">
        <v>109</v>
      </c>
      <c r="I14" s="440">
        <v>109</v>
      </c>
      <c r="J14" s="439">
        <v>109</v>
      </c>
      <c r="K14" s="445">
        <v>109</v>
      </c>
      <c r="L14" s="445">
        <v>109</v>
      </c>
      <c r="M14" s="440">
        <v>109</v>
      </c>
      <c r="N14" s="441">
        <v>109</v>
      </c>
      <c r="O14" s="440">
        <v>109</v>
      </c>
      <c r="P14" s="440">
        <v>109</v>
      </c>
      <c r="Q14" s="439">
        <v>109</v>
      </c>
      <c r="R14" s="439">
        <v>113</v>
      </c>
      <c r="S14" s="1203"/>
      <c r="T14" s="441">
        <v>5</v>
      </c>
      <c r="U14" s="441">
        <v>13</v>
      </c>
      <c r="V14" s="441">
        <v>23</v>
      </c>
      <c r="W14" s="441">
        <v>33</v>
      </c>
      <c r="X14" s="446">
        <v>43</v>
      </c>
      <c r="Y14" s="446">
        <v>53</v>
      </c>
      <c r="Z14" s="1204">
        <v>63</v>
      </c>
      <c r="AA14" s="441">
        <v>73</v>
      </c>
      <c r="AB14" s="440">
        <v>83</v>
      </c>
      <c r="AC14" s="440">
        <v>93</v>
      </c>
      <c r="AD14" s="439">
        <v>103</v>
      </c>
      <c r="AE14" s="1208">
        <v>103</v>
      </c>
      <c r="AF14" s="1209"/>
      <c r="AG14" s="873"/>
      <c r="AH14" s="789"/>
      <c r="AI14" s="789"/>
      <c r="AJ14" s="793"/>
      <c r="AK14" s="789"/>
      <c r="AL14" s="789"/>
      <c r="AM14" s="789"/>
      <c r="AN14" s="805"/>
      <c r="AO14" s="784"/>
      <c r="AP14" s="784"/>
      <c r="AQ14" s="787"/>
      <c r="AR14" s="787"/>
      <c r="AS14" s="787"/>
      <c r="AT14" s="787"/>
      <c r="AU14" s="787"/>
      <c r="AV14" s="787"/>
      <c r="AW14" s="787"/>
      <c r="AX14" s="784"/>
      <c r="AY14" s="789"/>
    </row>
    <row r="15" spans="1:55" ht="21" customHeight="1" thickBot="1" x14ac:dyDescent="0.3">
      <c r="A15" s="1191"/>
      <c r="B15" s="833"/>
      <c r="C15" s="1353"/>
      <c r="D15" s="140" t="s">
        <v>45</v>
      </c>
      <c r="E15" s="117" t="e">
        <v>#REF!</v>
      </c>
      <c r="F15" s="117" t="e">
        <v>#REF!</v>
      </c>
      <c r="G15" s="439">
        <v>683300338</v>
      </c>
      <c r="H15" s="440">
        <v>683300338</v>
      </c>
      <c r="I15" s="440">
        <v>683300338</v>
      </c>
      <c r="J15" s="439">
        <v>664853338</v>
      </c>
      <c r="K15" s="445">
        <v>664853338</v>
      </c>
      <c r="L15" s="445">
        <f>+L11+L13</f>
        <v>664853338</v>
      </c>
      <c r="M15" s="445">
        <f t="shared" ref="M15:N15" si="0">+M11+M13</f>
        <v>664853338</v>
      </c>
      <c r="N15" s="445">
        <f t="shared" si="0"/>
        <v>713985338</v>
      </c>
      <c r="O15" s="440">
        <v>713985338</v>
      </c>
      <c r="P15" s="440">
        <v>713985338</v>
      </c>
      <c r="Q15" s="439">
        <f>+Q11+Q13</f>
        <v>713985338</v>
      </c>
      <c r="R15" s="439">
        <v>713985338</v>
      </c>
      <c r="S15" s="1211"/>
      <c r="T15" s="441">
        <v>6777000</v>
      </c>
      <c r="U15" s="441">
        <v>381101243</v>
      </c>
      <c r="V15" s="441">
        <v>604495338</v>
      </c>
      <c r="W15" s="441">
        <v>604495338</v>
      </c>
      <c r="X15" s="443">
        <v>604495338</v>
      </c>
      <c r="Y15" s="1210">
        <v>664853338</v>
      </c>
      <c r="Z15" s="1204">
        <v>664853338</v>
      </c>
      <c r="AA15" s="441">
        <f>+AA11+AA13</f>
        <v>664853338</v>
      </c>
      <c r="AB15" s="440">
        <f>+AB11+AB13</f>
        <v>681344838</v>
      </c>
      <c r="AC15" s="440">
        <f>+AC11+AC13</f>
        <v>681344838</v>
      </c>
      <c r="AD15" s="439">
        <f>+AD11+AD13</f>
        <v>692607838</v>
      </c>
      <c r="AE15" s="1208">
        <v>692607838</v>
      </c>
      <c r="AF15" s="1212"/>
      <c r="AG15" s="874"/>
      <c r="AH15" s="790"/>
      <c r="AI15" s="790"/>
      <c r="AJ15" s="794"/>
      <c r="AK15" s="790"/>
      <c r="AL15" s="790"/>
      <c r="AM15" s="790"/>
      <c r="AN15" s="805"/>
      <c r="AO15" s="785"/>
      <c r="AP15" s="785"/>
      <c r="AQ15" s="787"/>
      <c r="AR15" s="787"/>
      <c r="AS15" s="787"/>
      <c r="AT15" s="787"/>
      <c r="AU15" s="787"/>
      <c r="AV15" s="787"/>
      <c r="AW15" s="787"/>
      <c r="AX15" s="785"/>
      <c r="AY15" s="789"/>
    </row>
    <row r="16" spans="1:55" ht="18" customHeight="1" x14ac:dyDescent="0.25">
      <c r="A16" s="1191"/>
      <c r="B16" s="833"/>
      <c r="C16" s="809" t="s">
        <v>1302</v>
      </c>
      <c r="D16" s="141" t="s">
        <v>41</v>
      </c>
      <c r="E16" s="142"/>
      <c r="F16" s="143"/>
      <c r="G16" s="445">
        <v>1</v>
      </c>
      <c r="H16" s="445">
        <v>2</v>
      </c>
      <c r="I16" s="445">
        <v>2</v>
      </c>
      <c r="J16" s="445">
        <v>2</v>
      </c>
      <c r="K16" s="445">
        <v>2</v>
      </c>
      <c r="L16" s="445">
        <v>3</v>
      </c>
      <c r="M16" s="446">
        <v>3</v>
      </c>
      <c r="N16" s="445">
        <v>3</v>
      </c>
      <c r="O16" s="445">
        <v>6</v>
      </c>
      <c r="P16" s="445">
        <v>6</v>
      </c>
      <c r="Q16" s="445">
        <v>7</v>
      </c>
      <c r="R16" s="447">
        <v>7</v>
      </c>
      <c r="S16" s="446"/>
      <c r="T16" s="446">
        <v>1</v>
      </c>
      <c r="U16" s="446">
        <v>2</v>
      </c>
      <c r="V16" s="446">
        <v>2</v>
      </c>
      <c r="W16" s="448">
        <v>2</v>
      </c>
      <c r="X16" s="446">
        <v>2</v>
      </c>
      <c r="Y16" s="446">
        <v>3</v>
      </c>
      <c r="Z16" s="446">
        <v>3</v>
      </c>
      <c r="AA16" s="445">
        <v>3</v>
      </c>
      <c r="AB16" s="445">
        <v>6</v>
      </c>
      <c r="AC16" s="445">
        <v>6</v>
      </c>
      <c r="AD16" s="445">
        <v>7</v>
      </c>
      <c r="AE16" s="447">
        <v>7</v>
      </c>
      <c r="AF16" s="1206" t="s">
        <v>1264</v>
      </c>
      <c r="AG16" s="1194" t="s">
        <v>321</v>
      </c>
      <c r="AH16" s="788" t="s">
        <v>1093</v>
      </c>
      <c r="AI16" s="788" t="s">
        <v>1092</v>
      </c>
      <c r="AJ16" s="792" t="s">
        <v>914</v>
      </c>
      <c r="AK16" s="788" t="s">
        <v>315</v>
      </c>
      <c r="AL16" s="788" t="s">
        <v>999</v>
      </c>
      <c r="AM16" s="788" t="s">
        <v>316</v>
      </c>
      <c r="AN16" s="791">
        <v>563173</v>
      </c>
      <c r="AO16" s="805">
        <v>258860</v>
      </c>
      <c r="AP16" s="805">
        <v>304313</v>
      </c>
      <c r="AQ16" s="786" t="s">
        <v>317</v>
      </c>
      <c r="AR16" s="786" t="s">
        <v>317</v>
      </c>
      <c r="AS16" s="786" t="s">
        <v>317</v>
      </c>
      <c r="AT16" s="786" t="s">
        <v>317</v>
      </c>
      <c r="AU16" s="787" t="s">
        <v>317</v>
      </c>
      <c r="AV16" s="787" t="s">
        <v>317</v>
      </c>
      <c r="AW16" s="787" t="s">
        <v>317</v>
      </c>
      <c r="AX16" s="783">
        <v>563173</v>
      </c>
      <c r="AY16" s="789"/>
    </row>
    <row r="17" spans="1:51" ht="18" x14ac:dyDescent="0.25">
      <c r="A17" s="1191"/>
      <c r="B17" s="833"/>
      <c r="C17" s="809"/>
      <c r="D17" s="132" t="s">
        <v>3</v>
      </c>
      <c r="E17" s="142"/>
      <c r="F17" s="143"/>
      <c r="G17" s="445">
        <v>5272055.0458715595</v>
      </c>
      <c r="H17" s="445">
        <v>10544110.091743119</v>
      </c>
      <c r="I17" s="445">
        <v>10544110.091743119</v>
      </c>
      <c r="J17" s="445">
        <v>10205633.027522936</v>
      </c>
      <c r="K17" s="445">
        <f>+K16*$K$11/$K$10</f>
        <v>10205633.027522936</v>
      </c>
      <c r="L17" s="445">
        <f>+L16*$L$11/$L$10</f>
        <v>15308449.541284403</v>
      </c>
      <c r="M17" s="445">
        <f>+M16*$M$11/$M$10</f>
        <v>15308449.541284403</v>
      </c>
      <c r="N17" s="445">
        <f>+N16*$N$11/$N$10</f>
        <v>16660706.422018349</v>
      </c>
      <c r="O17" s="445">
        <f>+O16*$O$11/$O$10</f>
        <v>33321412.844036698</v>
      </c>
      <c r="P17" s="445">
        <f>+P16*$P$11/$P$10</f>
        <v>33321412.844036698</v>
      </c>
      <c r="Q17" s="445">
        <f>+Q16*$Q$11/$Q$10</f>
        <v>38874981.651376143</v>
      </c>
      <c r="R17" s="449">
        <f>+R16*$R$11/$R$10</f>
        <v>37498876.10619469</v>
      </c>
      <c r="S17" s="446"/>
      <c r="T17" s="445">
        <v>0</v>
      </c>
      <c r="U17" s="445">
        <v>47452307.692307696</v>
      </c>
      <c r="V17" s="449">
        <v>43117304.347826086</v>
      </c>
      <c r="W17" s="445">
        <v>30051454.545454547</v>
      </c>
      <c r="X17" s="445">
        <f>+X16*$X$11/$X$10</f>
        <v>23062744.186046511</v>
      </c>
      <c r="Y17" s="445">
        <v>31483415.094339624</v>
      </c>
      <c r="Z17" s="445">
        <f>+Z16*$Z$11/$Z$10</f>
        <v>26486047.619047619</v>
      </c>
      <c r="AA17" s="445">
        <f>+AA16*$AA$11/$AA$10</f>
        <v>22857821.91780822</v>
      </c>
      <c r="AB17" s="445">
        <f>+AB16*$AB$11/$AB$10</f>
        <v>41399891.566265061</v>
      </c>
      <c r="AC17" s="445">
        <f>+AC16*$AC$11/$AC$10</f>
        <v>36948290.322580643</v>
      </c>
      <c r="AD17" s="445">
        <f>+AD16*$AD$11/$AD$10</f>
        <v>39686703.883495145</v>
      </c>
      <c r="AE17" s="449">
        <f>+AE16*$AE$11/$AE$10</f>
        <v>36605818.584070794</v>
      </c>
      <c r="AF17" s="1209"/>
      <c r="AG17" s="1195"/>
      <c r="AH17" s="789"/>
      <c r="AI17" s="789"/>
      <c r="AJ17" s="793"/>
      <c r="AK17" s="789"/>
      <c r="AL17" s="789"/>
      <c r="AM17" s="789"/>
      <c r="AN17" s="791"/>
      <c r="AO17" s="805"/>
      <c r="AP17" s="805"/>
      <c r="AQ17" s="786"/>
      <c r="AR17" s="786"/>
      <c r="AS17" s="786"/>
      <c r="AT17" s="786"/>
      <c r="AU17" s="787"/>
      <c r="AV17" s="787"/>
      <c r="AW17" s="787"/>
      <c r="AX17" s="784"/>
      <c r="AY17" s="789"/>
    </row>
    <row r="18" spans="1:51" ht="27" x14ac:dyDescent="0.25">
      <c r="A18" s="1191"/>
      <c r="B18" s="833"/>
      <c r="C18" s="809"/>
      <c r="D18" s="136" t="s">
        <v>42</v>
      </c>
      <c r="E18" s="142"/>
      <c r="F18" s="143"/>
      <c r="G18" s="445"/>
      <c r="H18" s="445"/>
      <c r="I18" s="445"/>
      <c r="J18" s="445"/>
      <c r="K18" s="445"/>
      <c r="L18" s="445"/>
      <c r="M18" s="446"/>
      <c r="N18" s="445"/>
      <c r="O18" s="445"/>
      <c r="P18" s="445"/>
      <c r="Q18" s="445"/>
      <c r="R18" s="447"/>
      <c r="S18" s="446"/>
      <c r="T18" s="446"/>
      <c r="U18" s="446"/>
      <c r="V18" s="446"/>
      <c r="W18" s="446"/>
      <c r="X18" s="446"/>
      <c r="Y18" s="446"/>
      <c r="Z18" s="446"/>
      <c r="AA18" s="445"/>
      <c r="AB18" s="445"/>
      <c r="AC18" s="445"/>
      <c r="AD18" s="445"/>
      <c r="AE18" s="447"/>
      <c r="AF18" s="1209"/>
      <c r="AG18" s="1195"/>
      <c r="AH18" s="789"/>
      <c r="AI18" s="789"/>
      <c r="AJ18" s="793"/>
      <c r="AK18" s="789"/>
      <c r="AL18" s="789"/>
      <c r="AM18" s="789"/>
      <c r="AN18" s="791"/>
      <c r="AO18" s="805"/>
      <c r="AP18" s="805"/>
      <c r="AQ18" s="786"/>
      <c r="AR18" s="786"/>
      <c r="AS18" s="786"/>
      <c r="AT18" s="786"/>
      <c r="AU18" s="787"/>
      <c r="AV18" s="787"/>
      <c r="AW18" s="787"/>
      <c r="AX18" s="784"/>
      <c r="AY18" s="789"/>
    </row>
    <row r="19" spans="1:51" ht="27" x14ac:dyDescent="0.25">
      <c r="A19" s="1191"/>
      <c r="B19" s="833"/>
      <c r="C19" s="809"/>
      <c r="D19" s="132" t="s">
        <v>4</v>
      </c>
      <c r="E19" s="142"/>
      <c r="F19" s="143"/>
      <c r="G19" s="445"/>
      <c r="H19" s="445"/>
      <c r="I19" s="445"/>
      <c r="J19" s="445"/>
      <c r="K19" s="445"/>
      <c r="L19" s="445"/>
      <c r="M19" s="446"/>
      <c r="N19" s="445"/>
      <c r="O19" s="445"/>
      <c r="P19" s="445"/>
      <c r="Q19" s="445"/>
      <c r="R19" s="447"/>
      <c r="S19" s="446"/>
      <c r="T19" s="445">
        <v>1355400</v>
      </c>
      <c r="U19" s="441">
        <v>14532248.6</v>
      </c>
      <c r="V19" s="446"/>
      <c r="W19" s="446"/>
      <c r="X19" s="446"/>
      <c r="Y19" s="446"/>
      <c r="Z19" s="446"/>
      <c r="AA19" s="445"/>
      <c r="AB19" s="445"/>
      <c r="AC19" s="445"/>
      <c r="AD19" s="445"/>
      <c r="AE19" s="447"/>
      <c r="AF19" s="1209"/>
      <c r="AG19" s="1195"/>
      <c r="AH19" s="789"/>
      <c r="AI19" s="789"/>
      <c r="AJ19" s="793"/>
      <c r="AK19" s="789"/>
      <c r="AL19" s="789"/>
      <c r="AM19" s="789"/>
      <c r="AN19" s="791"/>
      <c r="AO19" s="805"/>
      <c r="AP19" s="805"/>
      <c r="AQ19" s="786"/>
      <c r="AR19" s="786"/>
      <c r="AS19" s="786"/>
      <c r="AT19" s="786"/>
      <c r="AU19" s="787"/>
      <c r="AV19" s="787"/>
      <c r="AW19" s="787"/>
      <c r="AX19" s="784"/>
      <c r="AY19" s="789"/>
    </row>
    <row r="20" spans="1:51" ht="27" x14ac:dyDescent="0.25">
      <c r="A20" s="1191"/>
      <c r="B20" s="833"/>
      <c r="C20" s="809"/>
      <c r="D20" s="136" t="s">
        <v>43</v>
      </c>
      <c r="E20" s="142"/>
      <c r="F20" s="143"/>
      <c r="G20" s="445">
        <v>1</v>
      </c>
      <c r="H20" s="445">
        <v>2</v>
      </c>
      <c r="I20" s="445">
        <v>2</v>
      </c>
      <c r="J20" s="445">
        <v>2</v>
      </c>
      <c r="K20" s="445">
        <v>2</v>
      </c>
      <c r="L20" s="445">
        <v>3</v>
      </c>
      <c r="M20" s="446">
        <v>3</v>
      </c>
      <c r="N20" s="445">
        <v>3</v>
      </c>
      <c r="O20" s="445">
        <v>6</v>
      </c>
      <c r="P20" s="445">
        <v>6</v>
      </c>
      <c r="Q20" s="445">
        <v>7</v>
      </c>
      <c r="R20" s="447">
        <v>7</v>
      </c>
      <c r="S20" s="446"/>
      <c r="T20" s="446">
        <v>1</v>
      </c>
      <c r="U20" s="446">
        <v>2</v>
      </c>
      <c r="V20" s="446">
        <v>2</v>
      </c>
      <c r="W20" s="446">
        <v>2</v>
      </c>
      <c r="X20" s="446">
        <v>2</v>
      </c>
      <c r="Y20" s="446">
        <v>3</v>
      </c>
      <c r="Z20" s="446">
        <v>3</v>
      </c>
      <c r="AA20" s="445">
        <v>3</v>
      </c>
      <c r="AB20" s="445">
        <v>6</v>
      </c>
      <c r="AC20" s="445">
        <v>6</v>
      </c>
      <c r="AD20" s="445">
        <v>7</v>
      </c>
      <c r="AE20" s="447">
        <v>7</v>
      </c>
      <c r="AF20" s="1209"/>
      <c r="AG20" s="1195"/>
      <c r="AH20" s="789"/>
      <c r="AI20" s="789"/>
      <c r="AJ20" s="793"/>
      <c r="AK20" s="789"/>
      <c r="AL20" s="789"/>
      <c r="AM20" s="789"/>
      <c r="AN20" s="791"/>
      <c r="AO20" s="805"/>
      <c r="AP20" s="805"/>
      <c r="AQ20" s="786"/>
      <c r="AR20" s="786"/>
      <c r="AS20" s="786"/>
      <c r="AT20" s="786"/>
      <c r="AU20" s="787"/>
      <c r="AV20" s="787"/>
      <c r="AW20" s="787"/>
      <c r="AX20" s="784"/>
      <c r="AY20" s="789"/>
    </row>
    <row r="21" spans="1:51" ht="27.75" thickBot="1" x14ac:dyDescent="0.3">
      <c r="A21" s="1191"/>
      <c r="B21" s="833"/>
      <c r="C21" s="809"/>
      <c r="D21" s="140" t="s">
        <v>45</v>
      </c>
      <c r="E21" s="142"/>
      <c r="F21" s="143"/>
      <c r="G21" s="445">
        <v>5272055.0458715595</v>
      </c>
      <c r="H21" s="445">
        <v>10544110.091743119</v>
      </c>
      <c r="I21" s="445">
        <v>10544110.091743119</v>
      </c>
      <c r="J21" s="445">
        <v>10205633.027522936</v>
      </c>
      <c r="K21" s="445">
        <f>+K20*$K$11/$K$10</f>
        <v>10205633.027522936</v>
      </c>
      <c r="L21" s="445">
        <f>+L20*$L$11/$L$10</f>
        <v>15308449.541284403</v>
      </c>
      <c r="M21" s="445">
        <f>+M20*$M$11/$M$10</f>
        <v>15308449.541284403</v>
      </c>
      <c r="N21" s="445">
        <f>+N20*$N$11/$N$10</f>
        <v>16660706.422018349</v>
      </c>
      <c r="O21" s="445">
        <f>+O20*$O$11/$O$10</f>
        <v>33321412.844036698</v>
      </c>
      <c r="P21" s="445">
        <f>+P20*$P$11/$P$10</f>
        <v>33321412.844036698</v>
      </c>
      <c r="Q21" s="445">
        <f>+Q20*$Q$11/$Q$10</f>
        <v>38874981.651376143</v>
      </c>
      <c r="R21" s="445">
        <f>+R20*$R$11/$R$10</f>
        <v>37498876.10619469</v>
      </c>
      <c r="S21" s="446"/>
      <c r="T21" s="445">
        <v>0</v>
      </c>
      <c r="U21" s="445">
        <v>47452307.692307696</v>
      </c>
      <c r="V21" s="449">
        <v>43117304.347826086</v>
      </c>
      <c r="W21" s="445">
        <v>30051454.545454547</v>
      </c>
      <c r="X21" s="445">
        <f>+X20*$X$11/$X$10</f>
        <v>23062744.186046511</v>
      </c>
      <c r="Y21" s="445">
        <f>+Y20*$Y$11/$Y$10</f>
        <v>31483415.094339624</v>
      </c>
      <c r="Z21" s="445">
        <f>+Z20*$Z$11/$Z$10</f>
        <v>26486047.619047619</v>
      </c>
      <c r="AA21" s="445">
        <f>+AA20*$AA$11/$AA$10</f>
        <v>22857821.91780822</v>
      </c>
      <c r="AB21" s="445">
        <f>+AB20*$AB$11/$AB$10</f>
        <v>41399891.566265061</v>
      </c>
      <c r="AC21" s="445">
        <f>+AC20*$AC$11/$AC$10</f>
        <v>36948290.322580643</v>
      </c>
      <c r="AD21" s="445">
        <f>+AD20*$AD$11/$AD$10</f>
        <v>39686703.883495145</v>
      </c>
      <c r="AE21" s="445">
        <f>+AE20*$AE$11/$AE$10</f>
        <v>36605818.584070794</v>
      </c>
      <c r="AF21" s="1212"/>
      <c r="AG21" s="1196"/>
      <c r="AH21" s="790"/>
      <c r="AI21" s="790"/>
      <c r="AJ21" s="794"/>
      <c r="AK21" s="790"/>
      <c r="AL21" s="790"/>
      <c r="AM21" s="790"/>
      <c r="AN21" s="791"/>
      <c r="AO21" s="805"/>
      <c r="AP21" s="805"/>
      <c r="AQ21" s="786"/>
      <c r="AR21" s="786"/>
      <c r="AS21" s="786"/>
      <c r="AT21" s="786"/>
      <c r="AU21" s="787"/>
      <c r="AV21" s="787"/>
      <c r="AW21" s="787"/>
      <c r="AX21" s="785"/>
      <c r="AY21" s="789"/>
    </row>
    <row r="22" spans="1:51" ht="18" customHeight="1" x14ac:dyDescent="0.25">
      <c r="A22" s="1191"/>
      <c r="B22" s="833"/>
      <c r="C22" s="809" t="s">
        <v>1306</v>
      </c>
      <c r="D22" s="141" t="s">
        <v>41</v>
      </c>
      <c r="E22" s="142"/>
      <c r="F22" s="143"/>
      <c r="G22" s="445">
        <v>1</v>
      </c>
      <c r="H22" s="445">
        <v>1</v>
      </c>
      <c r="I22" s="445">
        <v>1</v>
      </c>
      <c r="J22" s="445">
        <v>2</v>
      </c>
      <c r="K22" s="445">
        <v>2</v>
      </c>
      <c r="L22" s="445">
        <v>2</v>
      </c>
      <c r="M22" s="446">
        <v>3</v>
      </c>
      <c r="N22" s="445">
        <v>3</v>
      </c>
      <c r="O22" s="445">
        <v>3</v>
      </c>
      <c r="P22" s="445">
        <v>3</v>
      </c>
      <c r="Q22" s="445">
        <v>4</v>
      </c>
      <c r="R22" s="447">
        <v>4</v>
      </c>
      <c r="S22" s="446"/>
      <c r="T22" s="446">
        <v>1</v>
      </c>
      <c r="U22" s="446">
        <v>1</v>
      </c>
      <c r="V22" s="446">
        <v>1</v>
      </c>
      <c r="W22" s="448">
        <v>2</v>
      </c>
      <c r="X22" s="446">
        <v>2</v>
      </c>
      <c r="Y22" s="446">
        <v>2</v>
      </c>
      <c r="Z22" s="446">
        <v>3</v>
      </c>
      <c r="AA22" s="445">
        <v>3</v>
      </c>
      <c r="AB22" s="445">
        <v>3</v>
      </c>
      <c r="AC22" s="445">
        <v>3</v>
      </c>
      <c r="AD22" s="445">
        <v>4</v>
      </c>
      <c r="AE22" s="447">
        <v>4</v>
      </c>
      <c r="AF22" s="1206" t="s">
        <v>1265</v>
      </c>
      <c r="AG22" s="1194" t="s">
        <v>326</v>
      </c>
      <c r="AH22" s="788" t="s">
        <v>1095</v>
      </c>
      <c r="AI22" s="788" t="s">
        <v>1094</v>
      </c>
      <c r="AJ22" s="792" t="s">
        <v>914</v>
      </c>
      <c r="AK22" s="788" t="s">
        <v>315</v>
      </c>
      <c r="AL22" s="788" t="s">
        <v>1000</v>
      </c>
      <c r="AM22" s="788" t="s">
        <v>316</v>
      </c>
      <c r="AN22" s="791">
        <v>376895</v>
      </c>
      <c r="AO22" s="805">
        <v>183453</v>
      </c>
      <c r="AP22" s="805">
        <v>193441.34009331701</v>
      </c>
      <c r="AQ22" s="786" t="s">
        <v>317</v>
      </c>
      <c r="AR22" s="786" t="s">
        <v>317</v>
      </c>
      <c r="AS22" s="786" t="s">
        <v>317</v>
      </c>
      <c r="AT22" s="786" t="s">
        <v>317</v>
      </c>
      <c r="AU22" s="787" t="s">
        <v>317</v>
      </c>
      <c r="AV22" s="787" t="s">
        <v>317</v>
      </c>
      <c r="AW22" s="787" t="s">
        <v>317</v>
      </c>
      <c r="AX22" s="783">
        <v>376895</v>
      </c>
      <c r="AY22" s="789"/>
    </row>
    <row r="23" spans="1:51" ht="18" x14ac:dyDescent="0.25">
      <c r="A23" s="1191"/>
      <c r="B23" s="833"/>
      <c r="C23" s="809"/>
      <c r="D23" s="132" t="s">
        <v>3</v>
      </c>
      <c r="E23" s="142"/>
      <c r="F23" s="143"/>
      <c r="G23" s="445">
        <v>5272055.0458715595</v>
      </c>
      <c r="H23" s="445">
        <v>5272055.0458715595</v>
      </c>
      <c r="I23" s="445">
        <v>5272055.0458715595</v>
      </c>
      <c r="J23" s="445">
        <v>10205633.027522936</v>
      </c>
      <c r="K23" s="445">
        <f>+K22*K17/K16</f>
        <v>10205633.027522936</v>
      </c>
      <c r="L23" s="445">
        <f>+L22*$L$11/$L$10</f>
        <v>10205633.027522936</v>
      </c>
      <c r="M23" s="445">
        <f>+M22*$M$11/$M$10</f>
        <v>15308449.541284403</v>
      </c>
      <c r="N23" s="445">
        <f>+N22*$N$11/$N$10</f>
        <v>16660706.422018349</v>
      </c>
      <c r="O23" s="445">
        <f>+O22*$O$11/$O$10</f>
        <v>16660706.422018349</v>
      </c>
      <c r="P23" s="445">
        <f>+P22*$O$11/$O$10</f>
        <v>16660706.422018349</v>
      </c>
      <c r="Q23" s="445">
        <f>+Q22*$Q$11/$Q$10</f>
        <v>22214275.229357798</v>
      </c>
      <c r="R23" s="449">
        <f>+R22*$R$11/$R$10</f>
        <v>21427929.203539822</v>
      </c>
      <c r="S23" s="446"/>
      <c r="T23" s="445">
        <v>0</v>
      </c>
      <c r="U23" s="445">
        <v>23726153.846153848</v>
      </c>
      <c r="V23" s="449">
        <v>21558652.173913043</v>
      </c>
      <c r="W23" s="445">
        <v>30051454.545454547</v>
      </c>
      <c r="X23" s="445">
        <f>+X22*$X$11/$X$10</f>
        <v>23062744.186046511</v>
      </c>
      <c r="Y23" s="445">
        <f>+Y22*$Y$11/$Y$10</f>
        <v>20988943.396226414</v>
      </c>
      <c r="Z23" s="445">
        <f>+Z22*$Z$11/$Z$10</f>
        <v>26486047.619047619</v>
      </c>
      <c r="AA23" s="445">
        <f>+AA22*$AA$11/$AA$10</f>
        <v>22857821.91780822</v>
      </c>
      <c r="AB23" s="445">
        <f>+AB22*$AB$11/$AB$10</f>
        <v>20699945.783132531</v>
      </c>
      <c r="AC23" s="445">
        <f>+AC22*$AC$11/$AC$10</f>
        <v>18474145.161290321</v>
      </c>
      <c r="AD23" s="445">
        <f>+AD22*$AD$11/$AD$10</f>
        <v>22678116.50485437</v>
      </c>
      <c r="AE23" s="449">
        <f>+AE22*$AE$11/$AE$10</f>
        <v>20917610.619469028</v>
      </c>
      <c r="AF23" s="1209"/>
      <c r="AG23" s="1195"/>
      <c r="AH23" s="789"/>
      <c r="AI23" s="789"/>
      <c r="AJ23" s="793"/>
      <c r="AK23" s="789"/>
      <c r="AL23" s="789"/>
      <c r="AM23" s="789"/>
      <c r="AN23" s="791"/>
      <c r="AO23" s="805"/>
      <c r="AP23" s="805"/>
      <c r="AQ23" s="786"/>
      <c r="AR23" s="786"/>
      <c r="AS23" s="786"/>
      <c r="AT23" s="786"/>
      <c r="AU23" s="787"/>
      <c r="AV23" s="787"/>
      <c r="AW23" s="787"/>
      <c r="AX23" s="784"/>
      <c r="AY23" s="789"/>
    </row>
    <row r="24" spans="1:51" ht="27" x14ac:dyDescent="0.25">
      <c r="A24" s="1191"/>
      <c r="B24" s="833"/>
      <c r="C24" s="809"/>
      <c r="D24" s="136" t="s">
        <v>42</v>
      </c>
      <c r="E24" s="142"/>
      <c r="F24" s="143"/>
      <c r="G24" s="445"/>
      <c r="H24" s="445"/>
      <c r="I24" s="445"/>
      <c r="J24" s="445"/>
      <c r="K24" s="445"/>
      <c r="L24" s="445"/>
      <c r="M24" s="446"/>
      <c r="N24" s="445"/>
      <c r="O24" s="445"/>
      <c r="P24" s="445"/>
      <c r="Q24" s="445"/>
      <c r="R24" s="447"/>
      <c r="S24" s="446"/>
      <c r="T24" s="446"/>
      <c r="U24" s="446"/>
      <c r="V24" s="446"/>
      <c r="W24" s="446"/>
      <c r="X24" s="446"/>
      <c r="Y24" s="446"/>
      <c r="Z24" s="446"/>
      <c r="AA24" s="445"/>
      <c r="AB24" s="445"/>
      <c r="AC24" s="445"/>
      <c r="AD24" s="445"/>
      <c r="AE24" s="447"/>
      <c r="AF24" s="1209"/>
      <c r="AG24" s="1195"/>
      <c r="AH24" s="789"/>
      <c r="AI24" s="789"/>
      <c r="AJ24" s="793"/>
      <c r="AK24" s="789"/>
      <c r="AL24" s="789"/>
      <c r="AM24" s="789"/>
      <c r="AN24" s="791"/>
      <c r="AO24" s="805"/>
      <c r="AP24" s="805"/>
      <c r="AQ24" s="786"/>
      <c r="AR24" s="786"/>
      <c r="AS24" s="786"/>
      <c r="AT24" s="786"/>
      <c r="AU24" s="787"/>
      <c r="AV24" s="787"/>
      <c r="AW24" s="787"/>
      <c r="AX24" s="784"/>
      <c r="AY24" s="789"/>
    </row>
    <row r="25" spans="1:51" ht="27" x14ac:dyDescent="0.25">
      <c r="A25" s="1191"/>
      <c r="B25" s="833"/>
      <c r="C25" s="809"/>
      <c r="D25" s="132" t="s">
        <v>4</v>
      </c>
      <c r="E25" s="142"/>
      <c r="F25" s="143"/>
      <c r="G25" s="445"/>
      <c r="H25" s="445"/>
      <c r="I25" s="445"/>
      <c r="J25" s="445"/>
      <c r="K25" s="445"/>
      <c r="L25" s="445"/>
      <c r="M25" s="446"/>
      <c r="N25" s="445"/>
      <c r="O25" s="445"/>
      <c r="P25" s="445"/>
      <c r="Q25" s="445"/>
      <c r="R25" s="447"/>
      <c r="S25" s="446"/>
      <c r="T25" s="445">
        <v>1355400</v>
      </c>
      <c r="U25" s="441">
        <v>14532248.6</v>
      </c>
      <c r="V25" s="446"/>
      <c r="W25" s="446"/>
      <c r="X25" s="446"/>
      <c r="Y25" s="446"/>
      <c r="Z25" s="446"/>
      <c r="AA25" s="445"/>
      <c r="AB25" s="445"/>
      <c r="AC25" s="445"/>
      <c r="AD25" s="445"/>
      <c r="AE25" s="447"/>
      <c r="AF25" s="1209"/>
      <c r="AG25" s="1195"/>
      <c r="AH25" s="789"/>
      <c r="AI25" s="789"/>
      <c r="AJ25" s="793"/>
      <c r="AK25" s="789"/>
      <c r="AL25" s="789"/>
      <c r="AM25" s="789"/>
      <c r="AN25" s="791"/>
      <c r="AO25" s="805"/>
      <c r="AP25" s="805"/>
      <c r="AQ25" s="786"/>
      <c r="AR25" s="786"/>
      <c r="AS25" s="786"/>
      <c r="AT25" s="786"/>
      <c r="AU25" s="787"/>
      <c r="AV25" s="787"/>
      <c r="AW25" s="787"/>
      <c r="AX25" s="784"/>
      <c r="AY25" s="789"/>
    </row>
    <row r="26" spans="1:51" ht="27" x14ac:dyDescent="0.25">
      <c r="A26" s="1191"/>
      <c r="B26" s="833"/>
      <c r="C26" s="809"/>
      <c r="D26" s="136" t="s">
        <v>43</v>
      </c>
      <c r="E26" s="142"/>
      <c r="F26" s="143"/>
      <c r="G26" s="445">
        <v>1</v>
      </c>
      <c r="H26" s="445">
        <v>1</v>
      </c>
      <c r="I26" s="445">
        <v>1</v>
      </c>
      <c r="J26" s="445">
        <v>2</v>
      </c>
      <c r="K26" s="445">
        <v>2</v>
      </c>
      <c r="L26" s="445">
        <v>2</v>
      </c>
      <c r="M26" s="446">
        <v>3</v>
      </c>
      <c r="N26" s="445">
        <v>3</v>
      </c>
      <c r="O26" s="445">
        <v>3</v>
      </c>
      <c r="P26" s="445">
        <v>3</v>
      </c>
      <c r="Q26" s="445">
        <v>4</v>
      </c>
      <c r="R26" s="447">
        <v>4</v>
      </c>
      <c r="S26" s="446"/>
      <c r="T26" s="446">
        <v>1</v>
      </c>
      <c r="U26" s="446">
        <v>1</v>
      </c>
      <c r="V26" s="446">
        <v>1</v>
      </c>
      <c r="W26" s="446">
        <v>2</v>
      </c>
      <c r="X26" s="446">
        <v>2</v>
      </c>
      <c r="Y26" s="446">
        <v>2</v>
      </c>
      <c r="Z26" s="446">
        <v>3</v>
      </c>
      <c r="AA26" s="445">
        <v>3</v>
      </c>
      <c r="AB26" s="445">
        <v>3</v>
      </c>
      <c r="AC26" s="445">
        <v>3</v>
      </c>
      <c r="AD26" s="445">
        <v>4</v>
      </c>
      <c r="AE26" s="447">
        <v>4</v>
      </c>
      <c r="AF26" s="1209"/>
      <c r="AG26" s="1195"/>
      <c r="AH26" s="789"/>
      <c r="AI26" s="789"/>
      <c r="AJ26" s="793"/>
      <c r="AK26" s="789"/>
      <c r="AL26" s="789"/>
      <c r="AM26" s="789"/>
      <c r="AN26" s="791"/>
      <c r="AO26" s="805"/>
      <c r="AP26" s="805"/>
      <c r="AQ26" s="786"/>
      <c r="AR26" s="786"/>
      <c r="AS26" s="786"/>
      <c r="AT26" s="786"/>
      <c r="AU26" s="787"/>
      <c r="AV26" s="787"/>
      <c r="AW26" s="787"/>
      <c r="AX26" s="784"/>
      <c r="AY26" s="789"/>
    </row>
    <row r="27" spans="1:51" ht="27.75" thickBot="1" x14ac:dyDescent="0.3">
      <c r="A27" s="1191"/>
      <c r="B27" s="833"/>
      <c r="C27" s="809"/>
      <c r="D27" s="140" t="s">
        <v>45</v>
      </c>
      <c r="E27" s="142"/>
      <c r="F27" s="143"/>
      <c r="G27" s="445">
        <v>5272055.0458715595</v>
      </c>
      <c r="H27" s="445">
        <v>5272055.0458715595</v>
      </c>
      <c r="I27" s="445">
        <v>5272055.0458715595</v>
      </c>
      <c r="J27" s="445">
        <v>10205633.027522936</v>
      </c>
      <c r="K27" s="445">
        <f>+K26*$K$11/$K$10</f>
        <v>10205633.027522936</v>
      </c>
      <c r="L27" s="445">
        <f>+L26*$L$11/$L$10</f>
        <v>10205633.027522936</v>
      </c>
      <c r="M27" s="445">
        <f>+M26*$M$11/$M$10</f>
        <v>15308449.541284403</v>
      </c>
      <c r="N27" s="445">
        <f>+N26*$N$11/$N$10</f>
        <v>16660706.422018349</v>
      </c>
      <c r="O27" s="445">
        <f>+O26*$O$11/$O$10</f>
        <v>16660706.422018349</v>
      </c>
      <c r="P27" s="445">
        <f>+P26*$O$11/$O$10</f>
        <v>16660706.422018349</v>
      </c>
      <c r="Q27" s="445">
        <f>+Q26*$Q$11/$Q$10</f>
        <v>22214275.229357798</v>
      </c>
      <c r="R27" s="445">
        <f>+R26*$R$11/$R$10</f>
        <v>21427929.203539822</v>
      </c>
      <c r="S27" s="446"/>
      <c r="T27" s="445">
        <v>0</v>
      </c>
      <c r="U27" s="445">
        <v>23726153.846153848</v>
      </c>
      <c r="V27" s="449">
        <v>21558652.173913043</v>
      </c>
      <c r="W27" s="445">
        <v>30051454.545454547</v>
      </c>
      <c r="X27" s="445">
        <f>+X26*$X$11/$X$10</f>
        <v>23062744.186046511</v>
      </c>
      <c r="Y27" s="445">
        <f>+Y26*$Y$11/$Y$10</f>
        <v>20988943.396226414</v>
      </c>
      <c r="Z27" s="445">
        <f>+Z26*$Z$11/$Z$10</f>
        <v>26486047.619047619</v>
      </c>
      <c r="AA27" s="445">
        <f>+AA26*$AA$11/$AA$10</f>
        <v>22857821.91780822</v>
      </c>
      <c r="AB27" s="445">
        <f>+AB26*$AB$11/$AB$10</f>
        <v>20699945.783132531</v>
      </c>
      <c r="AC27" s="445">
        <f>+AC26*$AC$11/$AC$10</f>
        <v>18474145.161290321</v>
      </c>
      <c r="AD27" s="445">
        <f>+AD26*$AD$11/$AD$10</f>
        <v>22678116.50485437</v>
      </c>
      <c r="AE27" s="445">
        <f>+AE26*$AE$11/$AE$10</f>
        <v>20917610.619469028</v>
      </c>
      <c r="AF27" s="1212"/>
      <c r="AG27" s="1196"/>
      <c r="AH27" s="790"/>
      <c r="AI27" s="790"/>
      <c r="AJ27" s="794"/>
      <c r="AK27" s="790"/>
      <c r="AL27" s="790"/>
      <c r="AM27" s="790"/>
      <c r="AN27" s="791"/>
      <c r="AO27" s="805"/>
      <c r="AP27" s="805"/>
      <c r="AQ27" s="786"/>
      <c r="AR27" s="786"/>
      <c r="AS27" s="786"/>
      <c r="AT27" s="786"/>
      <c r="AU27" s="787"/>
      <c r="AV27" s="787"/>
      <c r="AW27" s="787"/>
      <c r="AX27" s="785"/>
      <c r="AY27" s="790"/>
    </row>
    <row r="28" spans="1:51" ht="18" customHeight="1" x14ac:dyDescent="0.25">
      <c r="A28" s="1191"/>
      <c r="B28" s="833"/>
      <c r="C28" s="809" t="s">
        <v>329</v>
      </c>
      <c r="D28" s="141" t="s">
        <v>41</v>
      </c>
      <c r="E28" s="142"/>
      <c r="F28" s="143"/>
      <c r="G28" s="445"/>
      <c r="H28" s="445"/>
      <c r="I28" s="445"/>
      <c r="J28" s="445"/>
      <c r="K28" s="445"/>
      <c r="L28" s="445"/>
      <c r="M28" s="446"/>
      <c r="N28" s="445"/>
      <c r="O28" s="445"/>
      <c r="P28" s="445">
        <v>2</v>
      </c>
      <c r="Q28" s="445">
        <v>2</v>
      </c>
      <c r="R28" s="447">
        <v>2</v>
      </c>
      <c r="S28" s="446"/>
      <c r="T28" s="446"/>
      <c r="U28" s="446"/>
      <c r="V28" s="446"/>
      <c r="W28" s="446"/>
      <c r="X28" s="446"/>
      <c r="Y28" s="446"/>
      <c r="Z28" s="446"/>
      <c r="AA28" s="445"/>
      <c r="AB28" s="445"/>
      <c r="AC28" s="445">
        <v>2</v>
      </c>
      <c r="AD28" s="445">
        <v>2</v>
      </c>
      <c r="AE28" s="447">
        <v>2</v>
      </c>
      <c r="AF28" s="1213" t="s">
        <v>1055</v>
      </c>
      <c r="AG28" s="1194" t="s">
        <v>330</v>
      </c>
      <c r="AH28" s="788" t="s">
        <v>331</v>
      </c>
      <c r="AI28" s="788" t="s">
        <v>1096</v>
      </c>
      <c r="AJ28" s="792" t="s">
        <v>914</v>
      </c>
      <c r="AK28" s="788" t="s">
        <v>315</v>
      </c>
      <c r="AL28" s="788" t="s">
        <v>70</v>
      </c>
      <c r="AM28" s="788" t="s">
        <v>316</v>
      </c>
      <c r="AN28" s="791">
        <v>18703</v>
      </c>
      <c r="AO28" s="805">
        <v>9562</v>
      </c>
      <c r="AP28" s="805">
        <v>9141</v>
      </c>
      <c r="AQ28" s="786" t="s">
        <v>317</v>
      </c>
      <c r="AR28" s="786" t="s">
        <v>317</v>
      </c>
      <c r="AS28" s="786" t="s">
        <v>317</v>
      </c>
      <c r="AT28" s="786" t="s">
        <v>317</v>
      </c>
      <c r="AU28" s="787" t="s">
        <v>317</v>
      </c>
      <c r="AV28" s="787" t="s">
        <v>317</v>
      </c>
      <c r="AW28" s="787" t="s">
        <v>317</v>
      </c>
      <c r="AX28" s="783">
        <v>18703</v>
      </c>
      <c r="AY28" s="1214"/>
    </row>
    <row r="29" spans="1:51" ht="18" customHeight="1" x14ac:dyDescent="0.25">
      <c r="A29" s="1191"/>
      <c r="B29" s="833"/>
      <c r="C29" s="809"/>
      <c r="D29" s="132" t="s">
        <v>3</v>
      </c>
      <c r="E29" s="142"/>
      <c r="F29" s="143"/>
      <c r="G29" s="445"/>
      <c r="H29" s="445"/>
      <c r="I29" s="445"/>
      <c r="J29" s="445"/>
      <c r="K29" s="445"/>
      <c r="L29" s="445"/>
      <c r="M29" s="1215"/>
      <c r="N29" s="1216"/>
      <c r="O29" s="445"/>
      <c r="P29" s="445">
        <f>+P28*$O$11/$O$10</f>
        <v>11107137.614678899</v>
      </c>
      <c r="Q29" s="445">
        <f>+Q28*$Q$11/$Q$10</f>
        <v>11107137.614678899</v>
      </c>
      <c r="R29" s="445">
        <f>+R28*$R$11/$R$10</f>
        <v>10713964.601769911</v>
      </c>
      <c r="S29" s="446"/>
      <c r="T29" s="446"/>
      <c r="U29" s="446"/>
      <c r="V29" s="446"/>
      <c r="W29" s="446"/>
      <c r="X29" s="446"/>
      <c r="Y29" s="446"/>
      <c r="Z29" s="1215"/>
      <c r="AA29" s="1216"/>
      <c r="AB29" s="445"/>
      <c r="AC29" s="445">
        <f>+AC28*$AC$11/$AC$10</f>
        <v>12316096.774193548</v>
      </c>
      <c r="AD29" s="445">
        <f>+AD28*$AD$11/$AD$10</f>
        <v>11339058.252427185</v>
      </c>
      <c r="AE29" s="445">
        <f>+AE28*$AE$11/$AE$10</f>
        <v>10458805.309734514</v>
      </c>
      <c r="AF29" s="1217"/>
      <c r="AG29" s="1195"/>
      <c r="AH29" s="789"/>
      <c r="AI29" s="789"/>
      <c r="AJ29" s="793"/>
      <c r="AK29" s="789"/>
      <c r="AL29" s="789"/>
      <c r="AM29" s="789"/>
      <c r="AN29" s="791"/>
      <c r="AO29" s="805"/>
      <c r="AP29" s="805"/>
      <c r="AQ29" s="786"/>
      <c r="AR29" s="786"/>
      <c r="AS29" s="786"/>
      <c r="AT29" s="786"/>
      <c r="AU29" s="787"/>
      <c r="AV29" s="787"/>
      <c r="AW29" s="787"/>
      <c r="AX29" s="784"/>
      <c r="AY29" s="1214"/>
    </row>
    <row r="30" spans="1:51" ht="27" customHeight="1" x14ac:dyDescent="0.25">
      <c r="A30" s="1191"/>
      <c r="B30" s="833"/>
      <c r="C30" s="809"/>
      <c r="D30" s="136" t="s">
        <v>42</v>
      </c>
      <c r="E30" s="142"/>
      <c r="F30" s="143"/>
      <c r="G30" s="445"/>
      <c r="H30" s="445"/>
      <c r="I30" s="445"/>
      <c r="J30" s="445"/>
      <c r="K30" s="445"/>
      <c r="L30" s="445"/>
      <c r="M30" s="446"/>
      <c r="N30" s="445"/>
      <c r="O30" s="445"/>
      <c r="P30" s="445"/>
      <c r="Q30" s="445"/>
      <c r="R30" s="447"/>
      <c r="S30" s="446"/>
      <c r="T30" s="446"/>
      <c r="U30" s="446"/>
      <c r="V30" s="446"/>
      <c r="W30" s="446"/>
      <c r="X30" s="446"/>
      <c r="Y30" s="446"/>
      <c r="Z30" s="446"/>
      <c r="AA30" s="445"/>
      <c r="AB30" s="445"/>
      <c r="AC30" s="445"/>
      <c r="AD30" s="445"/>
      <c r="AE30" s="447"/>
      <c r="AF30" s="1217"/>
      <c r="AG30" s="1195"/>
      <c r="AH30" s="789"/>
      <c r="AI30" s="789"/>
      <c r="AJ30" s="793"/>
      <c r="AK30" s="789"/>
      <c r="AL30" s="789"/>
      <c r="AM30" s="789"/>
      <c r="AN30" s="791"/>
      <c r="AO30" s="805"/>
      <c r="AP30" s="805"/>
      <c r="AQ30" s="786"/>
      <c r="AR30" s="786"/>
      <c r="AS30" s="786"/>
      <c r="AT30" s="786"/>
      <c r="AU30" s="787"/>
      <c r="AV30" s="787"/>
      <c r="AW30" s="787"/>
      <c r="AX30" s="784"/>
      <c r="AY30" s="1214"/>
    </row>
    <row r="31" spans="1:51" ht="27" customHeight="1" x14ac:dyDescent="0.25">
      <c r="A31" s="1191"/>
      <c r="B31" s="833"/>
      <c r="C31" s="809"/>
      <c r="D31" s="132" t="s">
        <v>4</v>
      </c>
      <c r="E31" s="142"/>
      <c r="F31" s="143"/>
      <c r="G31" s="445"/>
      <c r="H31" s="445"/>
      <c r="I31" s="445"/>
      <c r="J31" s="445"/>
      <c r="K31" s="445"/>
      <c r="L31" s="445"/>
      <c r="M31" s="446"/>
      <c r="N31" s="445"/>
      <c r="O31" s="445"/>
      <c r="P31" s="445"/>
      <c r="Q31" s="445"/>
      <c r="R31" s="447"/>
      <c r="S31" s="446"/>
      <c r="T31" s="446"/>
      <c r="U31" s="446"/>
      <c r="V31" s="446"/>
      <c r="W31" s="446"/>
      <c r="X31" s="446"/>
      <c r="Y31" s="446"/>
      <c r="Z31" s="446"/>
      <c r="AA31" s="445"/>
      <c r="AB31" s="445"/>
      <c r="AC31" s="445"/>
      <c r="AD31" s="445"/>
      <c r="AE31" s="447"/>
      <c r="AF31" s="1217"/>
      <c r="AG31" s="1195"/>
      <c r="AH31" s="789"/>
      <c r="AI31" s="789"/>
      <c r="AJ31" s="793"/>
      <c r="AK31" s="789"/>
      <c r="AL31" s="789"/>
      <c r="AM31" s="789"/>
      <c r="AN31" s="791"/>
      <c r="AO31" s="805"/>
      <c r="AP31" s="805"/>
      <c r="AQ31" s="786"/>
      <c r="AR31" s="786"/>
      <c r="AS31" s="786"/>
      <c r="AT31" s="786"/>
      <c r="AU31" s="787"/>
      <c r="AV31" s="787"/>
      <c r="AW31" s="787"/>
      <c r="AX31" s="784"/>
      <c r="AY31" s="1214"/>
    </row>
    <row r="32" spans="1:51" ht="27" customHeight="1" x14ac:dyDescent="0.25">
      <c r="A32" s="1191"/>
      <c r="B32" s="833"/>
      <c r="C32" s="809"/>
      <c r="D32" s="136" t="s">
        <v>43</v>
      </c>
      <c r="E32" s="142"/>
      <c r="F32" s="143"/>
      <c r="G32" s="445"/>
      <c r="H32" s="445"/>
      <c r="I32" s="445"/>
      <c r="J32" s="445"/>
      <c r="K32" s="445"/>
      <c r="L32" s="445"/>
      <c r="M32" s="446"/>
      <c r="N32" s="445"/>
      <c r="O32" s="445"/>
      <c r="P32" s="445">
        <v>2</v>
      </c>
      <c r="Q32" s="445">
        <v>2</v>
      </c>
      <c r="R32" s="447">
        <v>2</v>
      </c>
      <c r="S32" s="446"/>
      <c r="T32" s="446"/>
      <c r="U32" s="446"/>
      <c r="V32" s="446"/>
      <c r="W32" s="446"/>
      <c r="X32" s="446"/>
      <c r="Y32" s="446"/>
      <c r="Z32" s="446"/>
      <c r="AA32" s="445"/>
      <c r="AB32" s="445"/>
      <c r="AC32" s="445">
        <v>2</v>
      </c>
      <c r="AD32" s="445">
        <v>2</v>
      </c>
      <c r="AE32" s="447">
        <v>2</v>
      </c>
      <c r="AF32" s="1217"/>
      <c r="AG32" s="1195"/>
      <c r="AH32" s="789"/>
      <c r="AI32" s="789"/>
      <c r="AJ32" s="793"/>
      <c r="AK32" s="789"/>
      <c r="AL32" s="789"/>
      <c r="AM32" s="789"/>
      <c r="AN32" s="791"/>
      <c r="AO32" s="805"/>
      <c r="AP32" s="805"/>
      <c r="AQ32" s="786"/>
      <c r="AR32" s="786"/>
      <c r="AS32" s="786"/>
      <c r="AT32" s="786"/>
      <c r="AU32" s="787"/>
      <c r="AV32" s="787"/>
      <c r="AW32" s="787"/>
      <c r="AX32" s="784"/>
      <c r="AY32" s="1214"/>
    </row>
    <row r="33" spans="1:51" ht="27.75" customHeight="1" thickBot="1" x14ac:dyDescent="0.3">
      <c r="A33" s="1191"/>
      <c r="B33" s="833"/>
      <c r="C33" s="809"/>
      <c r="D33" s="140" t="s">
        <v>45</v>
      </c>
      <c r="E33" s="142"/>
      <c r="F33" s="143"/>
      <c r="G33" s="445"/>
      <c r="H33" s="445"/>
      <c r="I33" s="445"/>
      <c r="J33" s="445"/>
      <c r="K33" s="445"/>
      <c r="L33" s="445"/>
      <c r="M33" s="446"/>
      <c r="N33" s="445"/>
      <c r="O33" s="445"/>
      <c r="P33" s="445">
        <f>+P32*$O$11/$O$10</f>
        <v>11107137.614678899</v>
      </c>
      <c r="Q33" s="445">
        <f>+Q32*$Q$11/$Q$10</f>
        <v>11107137.614678899</v>
      </c>
      <c r="R33" s="445">
        <f>+R32*$R$11/$R$10</f>
        <v>10713964.601769911</v>
      </c>
      <c r="S33" s="446"/>
      <c r="T33" s="446"/>
      <c r="U33" s="446"/>
      <c r="V33" s="446"/>
      <c r="W33" s="446"/>
      <c r="X33" s="446"/>
      <c r="Y33" s="446"/>
      <c r="Z33" s="446"/>
      <c r="AA33" s="445"/>
      <c r="AB33" s="445"/>
      <c r="AC33" s="445">
        <f>+AC32*$AC$11/$AC$10</f>
        <v>12316096.774193548</v>
      </c>
      <c r="AD33" s="445">
        <f>+AD32*$AD$11/$AD$10</f>
        <v>11339058.252427185</v>
      </c>
      <c r="AE33" s="445">
        <f>+AE32*$AE$11/$AE$10</f>
        <v>10458805.309734514</v>
      </c>
      <c r="AF33" s="1217"/>
      <c r="AG33" s="1196"/>
      <c r="AH33" s="790"/>
      <c r="AI33" s="790"/>
      <c r="AJ33" s="794"/>
      <c r="AK33" s="790"/>
      <c r="AL33" s="790"/>
      <c r="AM33" s="790"/>
      <c r="AN33" s="791"/>
      <c r="AO33" s="805"/>
      <c r="AP33" s="805"/>
      <c r="AQ33" s="786"/>
      <c r="AR33" s="786"/>
      <c r="AS33" s="786"/>
      <c r="AT33" s="786"/>
      <c r="AU33" s="787"/>
      <c r="AV33" s="787"/>
      <c r="AW33" s="787"/>
      <c r="AX33" s="785"/>
      <c r="AY33" s="1214"/>
    </row>
    <row r="34" spans="1:51" ht="18" customHeight="1" x14ac:dyDescent="0.25">
      <c r="A34" s="1191"/>
      <c r="B34" s="833"/>
      <c r="C34" s="809" t="s">
        <v>1303</v>
      </c>
      <c r="D34" s="141" t="s">
        <v>41</v>
      </c>
      <c r="E34" s="142"/>
      <c r="F34" s="143"/>
      <c r="G34" s="445"/>
      <c r="H34" s="445"/>
      <c r="I34" s="445">
        <v>1</v>
      </c>
      <c r="J34" s="445">
        <v>1</v>
      </c>
      <c r="K34" s="445">
        <v>1</v>
      </c>
      <c r="L34" s="445">
        <v>2</v>
      </c>
      <c r="M34" s="446">
        <v>3</v>
      </c>
      <c r="N34" s="445">
        <v>3</v>
      </c>
      <c r="O34" s="445">
        <v>3</v>
      </c>
      <c r="P34" s="445">
        <v>3</v>
      </c>
      <c r="Q34" s="445">
        <v>5</v>
      </c>
      <c r="R34" s="447">
        <v>5</v>
      </c>
      <c r="S34" s="446"/>
      <c r="T34" s="446"/>
      <c r="U34" s="446"/>
      <c r="V34" s="446">
        <v>1</v>
      </c>
      <c r="W34" s="446">
        <v>1</v>
      </c>
      <c r="X34" s="446">
        <v>1</v>
      </c>
      <c r="Y34" s="446">
        <v>2</v>
      </c>
      <c r="Z34" s="446">
        <v>3</v>
      </c>
      <c r="AA34" s="445">
        <v>3</v>
      </c>
      <c r="AB34" s="445">
        <v>3</v>
      </c>
      <c r="AC34" s="445">
        <v>3</v>
      </c>
      <c r="AD34" s="445">
        <v>5</v>
      </c>
      <c r="AE34" s="447">
        <v>5</v>
      </c>
      <c r="AF34" s="1218" t="s">
        <v>1266</v>
      </c>
      <c r="AG34" s="1219" t="s">
        <v>334</v>
      </c>
      <c r="AH34" s="788" t="s">
        <v>1007</v>
      </c>
      <c r="AI34" s="788" t="s">
        <v>1097</v>
      </c>
      <c r="AJ34" s="792" t="s">
        <v>914</v>
      </c>
      <c r="AK34" s="788" t="s">
        <v>315</v>
      </c>
      <c r="AL34" s="788" t="s">
        <v>70</v>
      </c>
      <c r="AM34" s="788" t="s">
        <v>316</v>
      </c>
      <c r="AN34" s="791">
        <v>161372</v>
      </c>
      <c r="AO34" s="805">
        <v>76616</v>
      </c>
      <c r="AP34" s="805">
        <v>84755</v>
      </c>
      <c r="AQ34" s="786" t="s">
        <v>317</v>
      </c>
      <c r="AR34" s="786" t="s">
        <v>317</v>
      </c>
      <c r="AS34" s="786" t="s">
        <v>317</v>
      </c>
      <c r="AT34" s="786" t="s">
        <v>317</v>
      </c>
      <c r="AU34" s="787" t="s">
        <v>317</v>
      </c>
      <c r="AV34" s="787" t="s">
        <v>317</v>
      </c>
      <c r="AW34" s="787" t="s">
        <v>317</v>
      </c>
      <c r="AX34" s="783">
        <v>161372</v>
      </c>
      <c r="AY34" s="1214"/>
    </row>
    <row r="35" spans="1:51" ht="18" customHeight="1" x14ac:dyDescent="0.25">
      <c r="A35" s="1191"/>
      <c r="B35" s="833"/>
      <c r="C35" s="809"/>
      <c r="D35" s="132" t="s">
        <v>3</v>
      </c>
      <c r="E35" s="142"/>
      <c r="F35" s="143"/>
      <c r="G35" s="445"/>
      <c r="H35" s="445"/>
      <c r="I35" s="445">
        <v>5272055.0458715595</v>
      </c>
      <c r="J35" s="445">
        <v>5102816.5137614682</v>
      </c>
      <c r="K35" s="445">
        <f>+K34*$K$11/$K$10</f>
        <v>5102816.5137614682</v>
      </c>
      <c r="L35" s="445">
        <f>+L34*$L$11/$L$10</f>
        <v>10205633.027522936</v>
      </c>
      <c r="M35" s="445">
        <f>+M34*$M$11/$M$10</f>
        <v>15308449.541284403</v>
      </c>
      <c r="N35" s="445">
        <f>+N34*$N$11/$N$10</f>
        <v>16660706.422018349</v>
      </c>
      <c r="O35" s="445">
        <f>+O34*$O$11/$O$10</f>
        <v>16660706.422018349</v>
      </c>
      <c r="P35" s="445">
        <f>+P34*$O$11/$O$10</f>
        <v>16660706.422018349</v>
      </c>
      <c r="Q35" s="445">
        <f>+Q34*$Q$11/$Q$10</f>
        <v>27767844.036697246</v>
      </c>
      <c r="R35" s="445">
        <f>+R34*$R$11/$R$10</f>
        <v>26784911.504424781</v>
      </c>
      <c r="S35" s="446"/>
      <c r="T35" s="446"/>
      <c r="U35" s="446"/>
      <c r="V35" s="449">
        <v>21558652.173913043</v>
      </c>
      <c r="W35" s="445">
        <v>15025727.272727273</v>
      </c>
      <c r="X35" s="445">
        <f>+X34*$X$11/$X$10</f>
        <v>11531372.093023255</v>
      </c>
      <c r="Y35" s="445">
        <f>+Y34*$Y$11/$Y$10</f>
        <v>20988943.396226414</v>
      </c>
      <c r="Z35" s="445">
        <f>+Z34*$Z$11/$Z$10</f>
        <v>26486047.619047619</v>
      </c>
      <c r="AA35" s="445">
        <f>+AA34*$AA$11/$AA$10</f>
        <v>22857821.91780822</v>
      </c>
      <c r="AB35" s="449">
        <f>+AB34*$AB$11/$AB$10</f>
        <v>20699945.783132531</v>
      </c>
      <c r="AC35" s="445">
        <f>+AC34*$AC$11/$AC$10</f>
        <v>18474145.161290321</v>
      </c>
      <c r="AD35" s="445">
        <f>+AD34*$AD$11/$AD$10</f>
        <v>28347645.631067961</v>
      </c>
      <c r="AE35" s="449">
        <f>+AE34*$AE$11/$AE$10</f>
        <v>26147013.274336282</v>
      </c>
      <c r="AF35" s="1218"/>
      <c r="AG35" s="1220"/>
      <c r="AH35" s="789"/>
      <c r="AI35" s="789"/>
      <c r="AJ35" s="793"/>
      <c r="AK35" s="789"/>
      <c r="AL35" s="789"/>
      <c r="AM35" s="789"/>
      <c r="AN35" s="791"/>
      <c r="AO35" s="805"/>
      <c r="AP35" s="805"/>
      <c r="AQ35" s="786"/>
      <c r="AR35" s="786"/>
      <c r="AS35" s="786"/>
      <c r="AT35" s="786"/>
      <c r="AU35" s="787"/>
      <c r="AV35" s="787"/>
      <c r="AW35" s="787"/>
      <c r="AX35" s="784"/>
      <c r="AY35" s="1214"/>
    </row>
    <row r="36" spans="1:51" ht="27" customHeight="1" x14ac:dyDescent="0.25">
      <c r="A36" s="1191"/>
      <c r="B36" s="833"/>
      <c r="C36" s="809"/>
      <c r="D36" s="136" t="s">
        <v>42</v>
      </c>
      <c r="E36" s="142"/>
      <c r="F36" s="143"/>
      <c r="G36" s="445"/>
      <c r="H36" s="445"/>
      <c r="I36" s="445"/>
      <c r="J36" s="445"/>
      <c r="K36" s="445"/>
      <c r="L36" s="445"/>
      <c r="M36" s="446"/>
      <c r="N36" s="445"/>
      <c r="O36" s="445"/>
      <c r="P36" s="445"/>
      <c r="Q36" s="445"/>
      <c r="R36" s="447"/>
      <c r="S36" s="446"/>
      <c r="T36" s="446"/>
      <c r="U36" s="446"/>
      <c r="V36" s="446"/>
      <c r="W36" s="446"/>
      <c r="X36" s="446"/>
      <c r="Y36" s="446"/>
      <c r="Z36" s="446"/>
      <c r="AA36" s="445"/>
      <c r="AB36" s="445"/>
      <c r="AC36" s="445"/>
      <c r="AD36" s="445"/>
      <c r="AE36" s="447"/>
      <c r="AF36" s="1218"/>
      <c r="AG36" s="1220"/>
      <c r="AH36" s="789"/>
      <c r="AI36" s="789"/>
      <c r="AJ36" s="793"/>
      <c r="AK36" s="789"/>
      <c r="AL36" s="789"/>
      <c r="AM36" s="789"/>
      <c r="AN36" s="791"/>
      <c r="AO36" s="805"/>
      <c r="AP36" s="805"/>
      <c r="AQ36" s="786"/>
      <c r="AR36" s="786"/>
      <c r="AS36" s="786"/>
      <c r="AT36" s="786"/>
      <c r="AU36" s="787"/>
      <c r="AV36" s="787"/>
      <c r="AW36" s="787"/>
      <c r="AX36" s="784"/>
      <c r="AY36" s="1214"/>
    </row>
    <row r="37" spans="1:51" ht="27" customHeight="1" x14ac:dyDescent="0.25">
      <c r="A37" s="1191"/>
      <c r="B37" s="833"/>
      <c r="C37" s="809"/>
      <c r="D37" s="132" t="s">
        <v>4</v>
      </c>
      <c r="E37" s="142"/>
      <c r="F37" s="143"/>
      <c r="G37" s="445"/>
      <c r="H37" s="445"/>
      <c r="I37" s="445"/>
      <c r="J37" s="445"/>
      <c r="K37" s="445"/>
      <c r="L37" s="445"/>
      <c r="M37" s="446"/>
      <c r="N37" s="445"/>
      <c r="O37" s="445"/>
      <c r="P37" s="445"/>
      <c r="Q37" s="445"/>
      <c r="R37" s="447"/>
      <c r="S37" s="446"/>
      <c r="T37" s="446"/>
      <c r="U37" s="446"/>
      <c r="V37" s="446"/>
      <c r="W37" s="446"/>
      <c r="X37" s="446"/>
      <c r="Y37" s="446"/>
      <c r="Z37" s="446"/>
      <c r="AA37" s="445"/>
      <c r="AB37" s="445"/>
      <c r="AC37" s="445"/>
      <c r="AD37" s="445"/>
      <c r="AE37" s="447"/>
      <c r="AF37" s="1218"/>
      <c r="AG37" s="1220"/>
      <c r="AH37" s="789"/>
      <c r="AI37" s="789"/>
      <c r="AJ37" s="793"/>
      <c r="AK37" s="789"/>
      <c r="AL37" s="789"/>
      <c r="AM37" s="789"/>
      <c r="AN37" s="791"/>
      <c r="AO37" s="805"/>
      <c r="AP37" s="805"/>
      <c r="AQ37" s="786"/>
      <c r="AR37" s="786"/>
      <c r="AS37" s="786"/>
      <c r="AT37" s="786"/>
      <c r="AU37" s="787"/>
      <c r="AV37" s="787"/>
      <c r="AW37" s="787"/>
      <c r="AX37" s="784"/>
      <c r="AY37" s="1214"/>
    </row>
    <row r="38" spans="1:51" ht="27" customHeight="1" x14ac:dyDescent="0.25">
      <c r="A38" s="1191"/>
      <c r="B38" s="833"/>
      <c r="C38" s="809"/>
      <c r="D38" s="136" t="s">
        <v>43</v>
      </c>
      <c r="E38" s="142"/>
      <c r="F38" s="143"/>
      <c r="G38" s="445"/>
      <c r="H38" s="445"/>
      <c r="I38" s="445">
        <v>1</v>
      </c>
      <c r="J38" s="445">
        <v>1</v>
      </c>
      <c r="K38" s="445">
        <v>1</v>
      </c>
      <c r="L38" s="445">
        <v>2</v>
      </c>
      <c r="M38" s="446">
        <v>3</v>
      </c>
      <c r="N38" s="445">
        <v>3</v>
      </c>
      <c r="O38" s="445">
        <v>3</v>
      </c>
      <c r="P38" s="445">
        <v>3</v>
      </c>
      <c r="Q38" s="445">
        <v>5</v>
      </c>
      <c r="R38" s="447">
        <v>5</v>
      </c>
      <c r="S38" s="446"/>
      <c r="T38" s="446"/>
      <c r="U38" s="446"/>
      <c r="V38" s="446">
        <v>1</v>
      </c>
      <c r="W38" s="446">
        <v>1</v>
      </c>
      <c r="X38" s="446">
        <v>1</v>
      </c>
      <c r="Y38" s="446">
        <v>2</v>
      </c>
      <c r="Z38" s="446">
        <v>3</v>
      </c>
      <c r="AA38" s="445">
        <v>3</v>
      </c>
      <c r="AB38" s="445">
        <v>3</v>
      </c>
      <c r="AC38" s="445">
        <v>3</v>
      </c>
      <c r="AD38" s="445">
        <v>5</v>
      </c>
      <c r="AE38" s="447">
        <v>5</v>
      </c>
      <c r="AF38" s="1218"/>
      <c r="AG38" s="1220"/>
      <c r="AH38" s="789"/>
      <c r="AI38" s="789"/>
      <c r="AJ38" s="793"/>
      <c r="AK38" s="789"/>
      <c r="AL38" s="789"/>
      <c r="AM38" s="789"/>
      <c r="AN38" s="791"/>
      <c r="AO38" s="805"/>
      <c r="AP38" s="805"/>
      <c r="AQ38" s="786"/>
      <c r="AR38" s="786"/>
      <c r="AS38" s="786"/>
      <c r="AT38" s="786"/>
      <c r="AU38" s="787"/>
      <c r="AV38" s="787"/>
      <c r="AW38" s="787"/>
      <c r="AX38" s="784"/>
      <c r="AY38" s="1214"/>
    </row>
    <row r="39" spans="1:51" ht="27.75" customHeight="1" thickBot="1" x14ac:dyDescent="0.3">
      <c r="A39" s="1191"/>
      <c r="B39" s="833"/>
      <c r="C39" s="809"/>
      <c r="D39" s="140" t="s">
        <v>45</v>
      </c>
      <c r="E39" s="142"/>
      <c r="F39" s="143"/>
      <c r="G39" s="445"/>
      <c r="H39" s="445"/>
      <c r="I39" s="445">
        <v>5272055.0458715595</v>
      </c>
      <c r="J39" s="445">
        <v>5102816.5137614682</v>
      </c>
      <c r="K39" s="445">
        <f>+K38*$K$11/$K$10</f>
        <v>5102816.5137614682</v>
      </c>
      <c r="L39" s="445">
        <f>+L38*$L$11/$L$10</f>
        <v>10205633.027522936</v>
      </c>
      <c r="M39" s="445">
        <f>+M38*$M$11/$M$10</f>
        <v>15308449.541284403</v>
      </c>
      <c r="N39" s="445">
        <f>+N38*$N$11/$N$10</f>
        <v>16660706.422018349</v>
      </c>
      <c r="O39" s="445">
        <f>+O38*$O$11/$O$10</f>
        <v>16660706.422018349</v>
      </c>
      <c r="P39" s="445">
        <f>+P38*$O$11/$O$10</f>
        <v>16660706.422018349</v>
      </c>
      <c r="Q39" s="445">
        <f>+Q38*$Q$11/$Q$10</f>
        <v>27767844.036697246</v>
      </c>
      <c r="R39" s="445">
        <f>+R38*$R$11/$R$10</f>
        <v>26784911.504424781</v>
      </c>
      <c r="S39" s="446"/>
      <c r="T39" s="446"/>
      <c r="U39" s="446"/>
      <c r="V39" s="449">
        <v>21558652.173913043</v>
      </c>
      <c r="W39" s="445">
        <v>15025727.272727273</v>
      </c>
      <c r="X39" s="445">
        <f>+X38*$X$11/$X$10</f>
        <v>11531372.093023255</v>
      </c>
      <c r="Y39" s="445">
        <f>+Y38*$Y$11/$Y$10</f>
        <v>20988943.396226414</v>
      </c>
      <c r="Z39" s="445">
        <f>+Z38*$Z$11/$Z$10</f>
        <v>26486047.619047619</v>
      </c>
      <c r="AA39" s="445">
        <f>+AA38*$AA$11/$AA$10</f>
        <v>22857821.91780822</v>
      </c>
      <c r="AB39" s="445">
        <f>+AB38*$AB$11/$AB$10</f>
        <v>20699945.783132531</v>
      </c>
      <c r="AC39" s="445">
        <f>+AC38*$AC$11/$AC$10</f>
        <v>18474145.161290321</v>
      </c>
      <c r="AD39" s="445">
        <f>+AD38*$AD$11/$AD$10</f>
        <v>28347645.631067961</v>
      </c>
      <c r="AE39" s="445">
        <f>+AE38*$AE$11/$AE$10</f>
        <v>26147013.274336282</v>
      </c>
      <c r="AF39" s="1218"/>
      <c r="AG39" s="1221"/>
      <c r="AH39" s="790"/>
      <c r="AI39" s="790"/>
      <c r="AJ39" s="794"/>
      <c r="AK39" s="790"/>
      <c r="AL39" s="790"/>
      <c r="AM39" s="790"/>
      <c r="AN39" s="791"/>
      <c r="AO39" s="805"/>
      <c r="AP39" s="805"/>
      <c r="AQ39" s="786"/>
      <c r="AR39" s="786"/>
      <c r="AS39" s="786"/>
      <c r="AT39" s="786"/>
      <c r="AU39" s="787"/>
      <c r="AV39" s="787"/>
      <c r="AW39" s="787"/>
      <c r="AX39" s="785"/>
      <c r="AY39" s="1214"/>
    </row>
    <row r="40" spans="1:51" ht="18" customHeight="1" x14ac:dyDescent="0.25">
      <c r="A40" s="1191"/>
      <c r="B40" s="833"/>
      <c r="C40" s="809" t="s">
        <v>1304</v>
      </c>
      <c r="D40" s="141" t="s">
        <v>41</v>
      </c>
      <c r="E40" s="142"/>
      <c r="F40" s="143"/>
      <c r="G40" s="445"/>
      <c r="H40" s="445"/>
      <c r="I40" s="445"/>
      <c r="J40" s="445">
        <v>1</v>
      </c>
      <c r="K40" s="445">
        <v>1</v>
      </c>
      <c r="L40" s="445">
        <v>1</v>
      </c>
      <c r="M40" s="446">
        <v>2</v>
      </c>
      <c r="N40" s="445">
        <v>2</v>
      </c>
      <c r="O40" s="445">
        <v>2</v>
      </c>
      <c r="P40" s="445">
        <v>2</v>
      </c>
      <c r="Q40" s="445">
        <v>2</v>
      </c>
      <c r="R40" s="447">
        <v>3</v>
      </c>
      <c r="S40" s="446"/>
      <c r="T40" s="446"/>
      <c r="U40" s="446"/>
      <c r="V40" s="446"/>
      <c r="W40" s="446">
        <v>1</v>
      </c>
      <c r="X40" s="446">
        <v>1</v>
      </c>
      <c r="Y40" s="446">
        <v>1</v>
      </c>
      <c r="Z40" s="446">
        <v>2</v>
      </c>
      <c r="AA40" s="445">
        <v>2</v>
      </c>
      <c r="AB40" s="445">
        <v>2</v>
      </c>
      <c r="AC40" s="445">
        <v>2</v>
      </c>
      <c r="AD40" s="445">
        <v>2</v>
      </c>
      <c r="AE40" s="447">
        <v>3</v>
      </c>
      <c r="AF40" s="1217" t="s">
        <v>1267</v>
      </c>
      <c r="AG40" s="1194" t="s">
        <v>341</v>
      </c>
      <c r="AH40" s="788" t="s">
        <v>1099</v>
      </c>
      <c r="AI40" s="788" t="s">
        <v>1098</v>
      </c>
      <c r="AJ40" s="792" t="s">
        <v>914</v>
      </c>
      <c r="AK40" s="788" t="s">
        <v>315</v>
      </c>
      <c r="AL40" s="788" t="s">
        <v>344</v>
      </c>
      <c r="AM40" s="788" t="s">
        <v>316</v>
      </c>
      <c r="AN40" s="791">
        <v>22438</v>
      </c>
      <c r="AO40" s="805">
        <v>53075</v>
      </c>
      <c r="AP40" s="805">
        <v>53484</v>
      </c>
      <c r="AQ40" s="786" t="s">
        <v>317</v>
      </c>
      <c r="AR40" s="786" t="s">
        <v>317</v>
      </c>
      <c r="AS40" s="786" t="s">
        <v>317</v>
      </c>
      <c r="AT40" s="786" t="s">
        <v>317</v>
      </c>
      <c r="AU40" s="787" t="s">
        <v>317</v>
      </c>
      <c r="AV40" s="787" t="s">
        <v>317</v>
      </c>
      <c r="AW40" s="787" t="s">
        <v>317</v>
      </c>
      <c r="AX40" s="783">
        <v>22438</v>
      </c>
      <c r="AY40" s="1214"/>
    </row>
    <row r="41" spans="1:51" ht="18.75" customHeight="1" x14ac:dyDescent="0.25">
      <c r="A41" s="1191"/>
      <c r="B41" s="833"/>
      <c r="C41" s="809"/>
      <c r="D41" s="132" t="s">
        <v>3</v>
      </c>
      <c r="E41" s="142"/>
      <c r="F41" s="143"/>
      <c r="G41" s="445"/>
      <c r="H41" s="445"/>
      <c r="I41" s="445"/>
      <c r="J41" s="445">
        <v>5102816.5137614682</v>
      </c>
      <c r="K41" s="445">
        <f>+K40*$K$11/$K$10</f>
        <v>5102816.5137614682</v>
      </c>
      <c r="L41" s="445">
        <f>+L40*$L$11/$L$10</f>
        <v>5102816.5137614682</v>
      </c>
      <c r="M41" s="445">
        <f>+M40*$M$11/$M$10</f>
        <v>10205633.027522936</v>
      </c>
      <c r="N41" s="445">
        <f>+N40*$N$11/$N$10</f>
        <v>11107137.614678899</v>
      </c>
      <c r="O41" s="445">
        <f>+O40*$O$11/$O$10</f>
        <v>11107137.614678899</v>
      </c>
      <c r="P41" s="445"/>
      <c r="Q41" s="445">
        <f>+Q40*$Q$11/$Q$10</f>
        <v>11107137.614678899</v>
      </c>
      <c r="R41" s="445">
        <f>+R40*$R$11/$R$10</f>
        <v>16070946.902654868</v>
      </c>
      <c r="S41" s="446"/>
      <c r="T41" s="446"/>
      <c r="U41" s="446"/>
      <c r="V41" s="446"/>
      <c r="W41" s="445">
        <v>15025727.272727273</v>
      </c>
      <c r="X41" s="445">
        <f>+X40*$X$11/$X$10</f>
        <v>11531372.093023255</v>
      </c>
      <c r="Y41" s="445">
        <f>+Y40*$Y$11/$Y$10</f>
        <v>10494471.698113207</v>
      </c>
      <c r="Z41" s="445">
        <f>+Z40*$Z$11/$Z$10</f>
        <v>17657365.079365078</v>
      </c>
      <c r="AA41" s="445">
        <f>+AA40*$AA$11/$AA$10</f>
        <v>15238547.94520548</v>
      </c>
      <c r="AB41" s="445">
        <f>+AB40*$AB$11/$AB$10</f>
        <v>13799963.855421687</v>
      </c>
      <c r="AC41" s="445">
        <f>+AC40*$AC$11/$AC$10</f>
        <v>12316096.774193548</v>
      </c>
      <c r="AD41" s="445">
        <f>+AD40*$AD$11/$AD$10</f>
        <v>11339058.252427185</v>
      </c>
      <c r="AE41" s="449">
        <f>+AE40*$AE$11/$AE$10</f>
        <v>15688207.96460177</v>
      </c>
      <c r="AF41" s="1217"/>
      <c r="AG41" s="1195"/>
      <c r="AH41" s="789"/>
      <c r="AI41" s="789"/>
      <c r="AJ41" s="793"/>
      <c r="AK41" s="789"/>
      <c r="AL41" s="789"/>
      <c r="AM41" s="789"/>
      <c r="AN41" s="791"/>
      <c r="AO41" s="805"/>
      <c r="AP41" s="805"/>
      <c r="AQ41" s="786"/>
      <c r="AR41" s="786"/>
      <c r="AS41" s="786"/>
      <c r="AT41" s="786"/>
      <c r="AU41" s="787"/>
      <c r="AV41" s="787"/>
      <c r="AW41" s="787"/>
      <c r="AX41" s="784"/>
      <c r="AY41" s="1214"/>
    </row>
    <row r="42" spans="1:51" ht="27.75" customHeight="1" x14ac:dyDescent="0.25">
      <c r="A42" s="1191"/>
      <c r="B42" s="833"/>
      <c r="C42" s="809"/>
      <c r="D42" s="136" t="s">
        <v>42</v>
      </c>
      <c r="E42" s="142"/>
      <c r="F42" s="143"/>
      <c r="G42" s="445"/>
      <c r="H42" s="445"/>
      <c r="I42" s="445"/>
      <c r="J42" s="445"/>
      <c r="K42" s="445"/>
      <c r="L42" s="445"/>
      <c r="M42" s="446"/>
      <c r="N42" s="445"/>
      <c r="O42" s="445"/>
      <c r="P42" s="445"/>
      <c r="Q42" s="445"/>
      <c r="R42" s="447"/>
      <c r="S42" s="446"/>
      <c r="T42" s="446"/>
      <c r="U42" s="446"/>
      <c r="V42" s="446"/>
      <c r="W42" s="446"/>
      <c r="X42" s="446"/>
      <c r="Y42" s="446"/>
      <c r="Z42" s="446"/>
      <c r="AA42" s="445"/>
      <c r="AB42" s="445"/>
      <c r="AC42" s="445"/>
      <c r="AD42" s="445"/>
      <c r="AE42" s="447"/>
      <c r="AF42" s="1217"/>
      <c r="AG42" s="1195"/>
      <c r="AH42" s="789"/>
      <c r="AI42" s="789"/>
      <c r="AJ42" s="793"/>
      <c r="AK42" s="789"/>
      <c r="AL42" s="789"/>
      <c r="AM42" s="789"/>
      <c r="AN42" s="791"/>
      <c r="AO42" s="805"/>
      <c r="AP42" s="805"/>
      <c r="AQ42" s="786"/>
      <c r="AR42" s="786"/>
      <c r="AS42" s="786"/>
      <c r="AT42" s="786"/>
      <c r="AU42" s="787"/>
      <c r="AV42" s="787"/>
      <c r="AW42" s="787"/>
      <c r="AX42" s="784"/>
      <c r="AY42" s="1214"/>
    </row>
    <row r="43" spans="1:51" ht="27.75" customHeight="1" x14ac:dyDescent="0.25">
      <c r="A43" s="1191"/>
      <c r="B43" s="833"/>
      <c r="C43" s="809"/>
      <c r="D43" s="132" t="s">
        <v>4</v>
      </c>
      <c r="E43" s="142"/>
      <c r="F43" s="143"/>
      <c r="G43" s="445"/>
      <c r="H43" s="445"/>
      <c r="I43" s="445"/>
      <c r="J43" s="445"/>
      <c r="K43" s="445"/>
      <c r="L43" s="445"/>
      <c r="M43" s="446"/>
      <c r="N43" s="445"/>
      <c r="O43" s="445"/>
      <c r="P43" s="445"/>
      <c r="Q43" s="445"/>
      <c r="R43" s="447"/>
      <c r="S43" s="446"/>
      <c r="T43" s="446"/>
      <c r="U43" s="446"/>
      <c r="V43" s="446"/>
      <c r="W43" s="446"/>
      <c r="X43" s="446"/>
      <c r="Y43" s="446"/>
      <c r="Z43" s="446"/>
      <c r="AA43" s="445"/>
      <c r="AB43" s="445"/>
      <c r="AC43" s="445"/>
      <c r="AD43" s="445"/>
      <c r="AE43" s="447"/>
      <c r="AF43" s="1217"/>
      <c r="AG43" s="1195"/>
      <c r="AH43" s="789"/>
      <c r="AI43" s="789"/>
      <c r="AJ43" s="793"/>
      <c r="AK43" s="789"/>
      <c r="AL43" s="789"/>
      <c r="AM43" s="789"/>
      <c r="AN43" s="791"/>
      <c r="AO43" s="805"/>
      <c r="AP43" s="805"/>
      <c r="AQ43" s="786"/>
      <c r="AR43" s="786"/>
      <c r="AS43" s="786"/>
      <c r="AT43" s="786"/>
      <c r="AU43" s="787"/>
      <c r="AV43" s="787"/>
      <c r="AW43" s="787"/>
      <c r="AX43" s="784"/>
      <c r="AY43" s="1214"/>
    </row>
    <row r="44" spans="1:51" ht="27.75" customHeight="1" x14ac:dyDescent="0.25">
      <c r="A44" s="1191"/>
      <c r="B44" s="833"/>
      <c r="C44" s="809"/>
      <c r="D44" s="136" t="s">
        <v>43</v>
      </c>
      <c r="E44" s="142"/>
      <c r="F44" s="143"/>
      <c r="G44" s="445"/>
      <c r="H44" s="445"/>
      <c r="I44" s="445"/>
      <c r="J44" s="445">
        <v>1</v>
      </c>
      <c r="K44" s="445">
        <v>1</v>
      </c>
      <c r="L44" s="445">
        <v>1</v>
      </c>
      <c r="M44" s="446">
        <v>2</v>
      </c>
      <c r="N44" s="445">
        <v>2</v>
      </c>
      <c r="O44" s="445">
        <v>2</v>
      </c>
      <c r="P44" s="445">
        <v>2</v>
      </c>
      <c r="Q44" s="445">
        <v>2</v>
      </c>
      <c r="R44" s="447">
        <v>3</v>
      </c>
      <c r="S44" s="446"/>
      <c r="T44" s="446"/>
      <c r="U44" s="446"/>
      <c r="V44" s="446"/>
      <c r="W44" s="446">
        <v>1</v>
      </c>
      <c r="X44" s="446">
        <v>1</v>
      </c>
      <c r="Y44" s="446">
        <v>1</v>
      </c>
      <c r="Z44" s="446">
        <v>2</v>
      </c>
      <c r="AA44" s="445">
        <v>2</v>
      </c>
      <c r="AB44" s="445">
        <v>2</v>
      </c>
      <c r="AC44" s="445">
        <v>2</v>
      </c>
      <c r="AD44" s="445">
        <v>2</v>
      </c>
      <c r="AE44" s="447">
        <v>3</v>
      </c>
      <c r="AF44" s="1217"/>
      <c r="AG44" s="1195"/>
      <c r="AH44" s="789"/>
      <c r="AI44" s="789"/>
      <c r="AJ44" s="793"/>
      <c r="AK44" s="789"/>
      <c r="AL44" s="789"/>
      <c r="AM44" s="789"/>
      <c r="AN44" s="791"/>
      <c r="AO44" s="805"/>
      <c r="AP44" s="805"/>
      <c r="AQ44" s="786"/>
      <c r="AR44" s="786"/>
      <c r="AS44" s="786"/>
      <c r="AT44" s="786"/>
      <c r="AU44" s="787"/>
      <c r="AV44" s="787"/>
      <c r="AW44" s="787"/>
      <c r="AX44" s="784"/>
      <c r="AY44" s="1214"/>
    </row>
    <row r="45" spans="1:51" ht="27.75" customHeight="1" thickBot="1" x14ac:dyDescent="0.3">
      <c r="A45" s="1191"/>
      <c r="B45" s="833"/>
      <c r="C45" s="809"/>
      <c r="D45" s="140" t="s">
        <v>45</v>
      </c>
      <c r="E45" s="142"/>
      <c r="F45" s="143"/>
      <c r="G45" s="445"/>
      <c r="H45" s="445"/>
      <c r="I45" s="445"/>
      <c r="J45" s="445">
        <v>5102816.5137614682</v>
      </c>
      <c r="K45" s="445">
        <f>+K44*$K$11/$K$10</f>
        <v>5102816.5137614682</v>
      </c>
      <c r="L45" s="445">
        <f>+L44*$L$11/$L$10</f>
        <v>5102816.5137614682</v>
      </c>
      <c r="M45" s="445">
        <f>+M44*$M$11/$M$10</f>
        <v>10205633.027522936</v>
      </c>
      <c r="N45" s="445">
        <f>+N44*$N$11/$N$10</f>
        <v>11107137.614678899</v>
      </c>
      <c r="O45" s="445">
        <f>+O44*$O$11/$O$10</f>
        <v>11107137.614678899</v>
      </c>
      <c r="P45" s="445">
        <f>+P44*$O$11/$O$10</f>
        <v>11107137.614678899</v>
      </c>
      <c r="Q45" s="445">
        <f>+Q44*$Q$11/$Q$10</f>
        <v>11107137.614678899</v>
      </c>
      <c r="R45" s="445">
        <f>+R44*$R$11/$R$10</f>
        <v>16070946.902654868</v>
      </c>
      <c r="S45" s="446"/>
      <c r="T45" s="446"/>
      <c r="U45" s="446"/>
      <c r="V45" s="446"/>
      <c r="W45" s="445">
        <v>15025727.272727273</v>
      </c>
      <c r="X45" s="445">
        <f>+X44*$X$11/$X$10</f>
        <v>11531372.093023255</v>
      </c>
      <c r="Y45" s="445">
        <f>+Y44*$Y$11/$Y$10</f>
        <v>10494471.698113207</v>
      </c>
      <c r="Z45" s="445">
        <f>+Z44*$Z$11/$Z$10</f>
        <v>17657365.079365078</v>
      </c>
      <c r="AA45" s="445">
        <f>+AA44*$AA$11/$AA$10</f>
        <v>15238547.94520548</v>
      </c>
      <c r="AB45" s="445">
        <f>+AB44*$AB$11/$AB$10</f>
        <v>13799963.855421687</v>
      </c>
      <c r="AC45" s="445">
        <f>+AC44*$AC$11/$AC$10</f>
        <v>12316096.774193548</v>
      </c>
      <c r="AD45" s="445">
        <f>+AD44*$AD$11/$AD$10</f>
        <v>11339058.252427185</v>
      </c>
      <c r="AE45" s="449">
        <f>+AE44*$AE$11/$AE$10</f>
        <v>15688207.96460177</v>
      </c>
      <c r="AF45" s="1222"/>
      <c r="AG45" s="1196"/>
      <c r="AH45" s="790"/>
      <c r="AI45" s="790"/>
      <c r="AJ45" s="794"/>
      <c r="AK45" s="790"/>
      <c r="AL45" s="790"/>
      <c r="AM45" s="790"/>
      <c r="AN45" s="791"/>
      <c r="AO45" s="805"/>
      <c r="AP45" s="805"/>
      <c r="AQ45" s="786"/>
      <c r="AR45" s="786"/>
      <c r="AS45" s="786"/>
      <c r="AT45" s="786"/>
      <c r="AU45" s="787"/>
      <c r="AV45" s="787"/>
      <c r="AW45" s="787"/>
      <c r="AX45" s="785"/>
      <c r="AY45" s="1214"/>
    </row>
    <row r="46" spans="1:51" ht="32.25" customHeight="1" x14ac:dyDescent="0.25">
      <c r="A46" s="1191"/>
      <c r="B46" s="833"/>
      <c r="C46" s="809" t="s">
        <v>1305</v>
      </c>
      <c r="D46" s="141" t="s">
        <v>41</v>
      </c>
      <c r="E46" s="142"/>
      <c r="F46" s="143"/>
      <c r="G46" s="445"/>
      <c r="H46" s="445">
        <v>1</v>
      </c>
      <c r="I46" s="445">
        <v>1</v>
      </c>
      <c r="J46" s="445">
        <v>2</v>
      </c>
      <c r="K46" s="445">
        <v>2</v>
      </c>
      <c r="L46" s="445">
        <v>2</v>
      </c>
      <c r="M46" s="446">
        <v>2</v>
      </c>
      <c r="N46" s="445">
        <v>2</v>
      </c>
      <c r="O46" s="445">
        <v>2</v>
      </c>
      <c r="P46" s="445">
        <v>2</v>
      </c>
      <c r="Q46" s="445">
        <v>2</v>
      </c>
      <c r="R46" s="447">
        <v>2</v>
      </c>
      <c r="S46" s="446"/>
      <c r="T46" s="446"/>
      <c r="U46" s="446">
        <v>1</v>
      </c>
      <c r="V46" s="446">
        <v>1</v>
      </c>
      <c r="W46" s="448">
        <v>2</v>
      </c>
      <c r="X46" s="446">
        <v>2</v>
      </c>
      <c r="Y46" s="446">
        <v>2</v>
      </c>
      <c r="Z46" s="446">
        <v>2</v>
      </c>
      <c r="AA46" s="445">
        <v>2</v>
      </c>
      <c r="AB46" s="445">
        <v>2</v>
      </c>
      <c r="AC46" s="445">
        <v>2</v>
      </c>
      <c r="AD46" s="445">
        <v>2</v>
      </c>
      <c r="AE46" s="447">
        <v>2</v>
      </c>
      <c r="AF46" s="1206" t="s">
        <v>728</v>
      </c>
      <c r="AG46" s="1194" t="s">
        <v>345</v>
      </c>
      <c r="AH46" s="788" t="s">
        <v>347</v>
      </c>
      <c r="AI46" s="788" t="s">
        <v>348</v>
      </c>
      <c r="AJ46" s="792" t="s">
        <v>914</v>
      </c>
      <c r="AK46" s="788" t="s">
        <v>315</v>
      </c>
      <c r="AL46" s="788" t="s">
        <v>349</v>
      </c>
      <c r="AM46" s="788" t="s">
        <v>316</v>
      </c>
      <c r="AN46" s="791">
        <v>406574</v>
      </c>
      <c r="AO46" s="805">
        <v>196557</v>
      </c>
      <c r="AP46" s="805">
        <v>210017</v>
      </c>
      <c r="AQ46" s="786" t="s">
        <v>317</v>
      </c>
      <c r="AR46" s="786" t="s">
        <v>317</v>
      </c>
      <c r="AS46" s="786" t="s">
        <v>317</v>
      </c>
      <c r="AT46" s="786" t="s">
        <v>317</v>
      </c>
      <c r="AU46" s="787" t="s">
        <v>317</v>
      </c>
      <c r="AV46" s="787" t="s">
        <v>317</v>
      </c>
      <c r="AW46" s="787" t="s">
        <v>317</v>
      </c>
      <c r="AX46" s="783">
        <v>406574</v>
      </c>
      <c r="AY46" s="1214"/>
    </row>
    <row r="47" spans="1:51" ht="18" customHeight="1" x14ac:dyDescent="0.25">
      <c r="A47" s="1191"/>
      <c r="B47" s="833"/>
      <c r="C47" s="809"/>
      <c r="D47" s="132" t="s">
        <v>3</v>
      </c>
      <c r="E47" s="142"/>
      <c r="F47" s="143"/>
      <c r="G47" s="445"/>
      <c r="H47" s="445">
        <v>5272055.0458715595</v>
      </c>
      <c r="I47" s="445">
        <v>5272055.0458715595</v>
      </c>
      <c r="J47" s="445">
        <v>10205633.027522936</v>
      </c>
      <c r="K47" s="445">
        <f>+K46*$K$11/$K$10</f>
        <v>10205633.027522936</v>
      </c>
      <c r="L47" s="445">
        <f>+L46*$L$11/$L$10</f>
        <v>10205633.027522936</v>
      </c>
      <c r="M47" s="445">
        <f>+M46*$M$11/$M$10</f>
        <v>10205633.027522936</v>
      </c>
      <c r="N47" s="445">
        <f>+N46*$N$11/$N$10</f>
        <v>11107137.614678899</v>
      </c>
      <c r="O47" s="445">
        <f>+O46*$O$11/$O$10</f>
        <v>11107137.614678899</v>
      </c>
      <c r="P47" s="445">
        <f>+P46*$O$11/$O$10</f>
        <v>11107137.614678899</v>
      </c>
      <c r="Q47" s="445">
        <f>+Q46*$Q$11/$Q$10</f>
        <v>11107137.614678899</v>
      </c>
      <c r="R47" s="445">
        <f>+R46*$R$11/$R$10</f>
        <v>10713964.601769911</v>
      </c>
      <c r="S47" s="446"/>
      <c r="T47" s="446"/>
      <c r="U47" s="445">
        <v>23726153.846153848</v>
      </c>
      <c r="V47" s="449">
        <v>21558652.173913043</v>
      </c>
      <c r="W47" s="445">
        <v>30051454.545454547</v>
      </c>
      <c r="X47" s="445">
        <f>+X46*$X$11/$X$10</f>
        <v>23062744.186046511</v>
      </c>
      <c r="Y47" s="445">
        <f>+Y46*$Y$11/$Y$10</f>
        <v>20988943.396226414</v>
      </c>
      <c r="Z47" s="445">
        <f>+Z46*$Z$11/$Z$10</f>
        <v>17657365.079365078</v>
      </c>
      <c r="AA47" s="445">
        <f>+AA46*$AA$11/$AA$10</f>
        <v>15238547.94520548</v>
      </c>
      <c r="AB47" s="445">
        <f>+AB46*$AB$11/$AB$10</f>
        <v>13799963.855421687</v>
      </c>
      <c r="AC47" s="445">
        <f>+AC46*$AC$11/$AC$10</f>
        <v>12316096.774193548</v>
      </c>
      <c r="AD47" s="445">
        <f>+AD46*$AD$11/$AD$10</f>
        <v>11339058.252427185</v>
      </c>
      <c r="AE47" s="445">
        <f>+AE46*$AE$11/$AE$10</f>
        <v>10458805.309734514</v>
      </c>
      <c r="AF47" s="1209"/>
      <c r="AG47" s="1195"/>
      <c r="AH47" s="789"/>
      <c r="AI47" s="789"/>
      <c r="AJ47" s="793"/>
      <c r="AK47" s="789"/>
      <c r="AL47" s="789"/>
      <c r="AM47" s="789"/>
      <c r="AN47" s="791"/>
      <c r="AO47" s="805"/>
      <c r="AP47" s="805"/>
      <c r="AQ47" s="786"/>
      <c r="AR47" s="786"/>
      <c r="AS47" s="786"/>
      <c r="AT47" s="786"/>
      <c r="AU47" s="787"/>
      <c r="AV47" s="787"/>
      <c r="AW47" s="787"/>
      <c r="AX47" s="784"/>
      <c r="AY47" s="1214"/>
    </row>
    <row r="48" spans="1:51" ht="27" customHeight="1" x14ac:dyDescent="0.25">
      <c r="A48" s="1191"/>
      <c r="B48" s="833"/>
      <c r="C48" s="809"/>
      <c r="D48" s="136" t="s">
        <v>42</v>
      </c>
      <c r="E48" s="142"/>
      <c r="F48" s="143"/>
      <c r="G48" s="445"/>
      <c r="H48" s="445"/>
      <c r="I48" s="445"/>
      <c r="J48" s="445"/>
      <c r="K48" s="445"/>
      <c r="L48" s="445"/>
      <c r="M48" s="446"/>
      <c r="N48" s="445"/>
      <c r="O48" s="445"/>
      <c r="P48" s="445"/>
      <c r="Q48" s="445"/>
      <c r="R48" s="447"/>
      <c r="S48" s="446"/>
      <c r="T48" s="446"/>
      <c r="U48" s="446"/>
      <c r="V48" s="446"/>
      <c r="W48" s="446"/>
      <c r="X48" s="446"/>
      <c r="Y48" s="446"/>
      <c r="Z48" s="446"/>
      <c r="AA48" s="445"/>
      <c r="AB48" s="445"/>
      <c r="AC48" s="445"/>
      <c r="AD48" s="445"/>
      <c r="AE48" s="447"/>
      <c r="AF48" s="1209"/>
      <c r="AG48" s="1195"/>
      <c r="AH48" s="789"/>
      <c r="AI48" s="789"/>
      <c r="AJ48" s="793"/>
      <c r="AK48" s="789"/>
      <c r="AL48" s="789"/>
      <c r="AM48" s="789"/>
      <c r="AN48" s="791"/>
      <c r="AO48" s="805"/>
      <c r="AP48" s="805"/>
      <c r="AQ48" s="786"/>
      <c r="AR48" s="786"/>
      <c r="AS48" s="786"/>
      <c r="AT48" s="786"/>
      <c r="AU48" s="787"/>
      <c r="AV48" s="787"/>
      <c r="AW48" s="787"/>
      <c r="AX48" s="784"/>
      <c r="AY48" s="1214"/>
    </row>
    <row r="49" spans="1:51" ht="27" customHeight="1" x14ac:dyDescent="0.25">
      <c r="A49" s="1191"/>
      <c r="B49" s="833"/>
      <c r="C49" s="809"/>
      <c r="D49" s="132" t="s">
        <v>4</v>
      </c>
      <c r="E49" s="142"/>
      <c r="F49" s="143"/>
      <c r="G49" s="445"/>
      <c r="H49" s="445"/>
      <c r="I49" s="445"/>
      <c r="J49" s="445"/>
      <c r="K49" s="445"/>
      <c r="L49" s="445"/>
      <c r="M49" s="446"/>
      <c r="N49" s="445"/>
      <c r="O49" s="445"/>
      <c r="P49" s="445"/>
      <c r="Q49" s="445"/>
      <c r="R49" s="447"/>
      <c r="S49" s="446"/>
      <c r="T49" s="446"/>
      <c r="U49" s="446"/>
      <c r="V49" s="446"/>
      <c r="W49" s="446"/>
      <c r="X49" s="446"/>
      <c r="Y49" s="446"/>
      <c r="Z49" s="446"/>
      <c r="AA49" s="445"/>
      <c r="AB49" s="445"/>
      <c r="AC49" s="445"/>
      <c r="AD49" s="445"/>
      <c r="AE49" s="447"/>
      <c r="AF49" s="1209"/>
      <c r="AG49" s="1195"/>
      <c r="AH49" s="789"/>
      <c r="AI49" s="789"/>
      <c r="AJ49" s="793"/>
      <c r="AK49" s="789"/>
      <c r="AL49" s="789"/>
      <c r="AM49" s="789"/>
      <c r="AN49" s="791"/>
      <c r="AO49" s="805"/>
      <c r="AP49" s="805"/>
      <c r="AQ49" s="786"/>
      <c r="AR49" s="786"/>
      <c r="AS49" s="786"/>
      <c r="AT49" s="786"/>
      <c r="AU49" s="787"/>
      <c r="AV49" s="787"/>
      <c r="AW49" s="787"/>
      <c r="AX49" s="784"/>
      <c r="AY49" s="1214"/>
    </row>
    <row r="50" spans="1:51" ht="27" customHeight="1" x14ac:dyDescent="0.25">
      <c r="A50" s="1191"/>
      <c r="B50" s="833"/>
      <c r="C50" s="809"/>
      <c r="D50" s="136" t="s">
        <v>43</v>
      </c>
      <c r="E50" s="142"/>
      <c r="F50" s="143"/>
      <c r="G50" s="445"/>
      <c r="H50" s="445">
        <v>1</v>
      </c>
      <c r="I50" s="445">
        <v>1</v>
      </c>
      <c r="J50" s="445">
        <v>2</v>
      </c>
      <c r="K50" s="445">
        <v>2</v>
      </c>
      <c r="L50" s="445">
        <v>2</v>
      </c>
      <c r="M50" s="446">
        <v>2</v>
      </c>
      <c r="N50" s="445">
        <v>2</v>
      </c>
      <c r="O50" s="445">
        <v>2</v>
      </c>
      <c r="P50" s="445">
        <v>2</v>
      </c>
      <c r="Q50" s="445">
        <v>2</v>
      </c>
      <c r="R50" s="447">
        <v>2</v>
      </c>
      <c r="S50" s="446"/>
      <c r="T50" s="446"/>
      <c r="U50" s="446">
        <v>1</v>
      </c>
      <c r="V50" s="446">
        <v>1</v>
      </c>
      <c r="W50" s="446">
        <v>2</v>
      </c>
      <c r="X50" s="446">
        <v>2</v>
      </c>
      <c r="Y50" s="446">
        <v>2</v>
      </c>
      <c r="Z50" s="446">
        <v>2</v>
      </c>
      <c r="AA50" s="445">
        <v>2</v>
      </c>
      <c r="AB50" s="445">
        <v>2</v>
      </c>
      <c r="AC50" s="445">
        <v>2</v>
      </c>
      <c r="AD50" s="445">
        <v>2</v>
      </c>
      <c r="AE50" s="447">
        <v>2</v>
      </c>
      <c r="AF50" s="1209"/>
      <c r="AG50" s="1195"/>
      <c r="AH50" s="789"/>
      <c r="AI50" s="789"/>
      <c r="AJ50" s="793"/>
      <c r="AK50" s="789"/>
      <c r="AL50" s="789"/>
      <c r="AM50" s="789"/>
      <c r="AN50" s="791"/>
      <c r="AO50" s="805"/>
      <c r="AP50" s="805"/>
      <c r="AQ50" s="786"/>
      <c r="AR50" s="786"/>
      <c r="AS50" s="786"/>
      <c r="AT50" s="786"/>
      <c r="AU50" s="787"/>
      <c r="AV50" s="787"/>
      <c r="AW50" s="787"/>
      <c r="AX50" s="784"/>
      <c r="AY50" s="1214"/>
    </row>
    <row r="51" spans="1:51" ht="27.75" customHeight="1" thickBot="1" x14ac:dyDescent="0.3">
      <c r="A51" s="1191"/>
      <c r="B51" s="833"/>
      <c r="C51" s="809"/>
      <c r="D51" s="140" t="s">
        <v>45</v>
      </c>
      <c r="E51" s="142"/>
      <c r="F51" s="143"/>
      <c r="G51" s="445"/>
      <c r="H51" s="445">
        <v>5272055.0458715595</v>
      </c>
      <c r="I51" s="445">
        <v>5272055.0458715595</v>
      </c>
      <c r="J51" s="445">
        <v>10205633.027522936</v>
      </c>
      <c r="K51" s="445">
        <f>+K50*$K$11/$K$10</f>
        <v>10205633.027522936</v>
      </c>
      <c r="L51" s="445">
        <f>+L50*$L$11/$L$10</f>
        <v>10205633.027522936</v>
      </c>
      <c r="M51" s="445">
        <f>+M50*$M$11/$M$10</f>
        <v>10205633.027522936</v>
      </c>
      <c r="N51" s="445">
        <f>+N50*$N$11/$N$10</f>
        <v>11107137.614678899</v>
      </c>
      <c r="O51" s="445">
        <f>+O50*$O$11/$O$10</f>
        <v>11107137.614678899</v>
      </c>
      <c r="P51" s="445">
        <f>+P50*$O$11/$O$10</f>
        <v>11107137.614678899</v>
      </c>
      <c r="Q51" s="445">
        <f>+Q50*$Q$11/$Q$10</f>
        <v>11107137.614678899</v>
      </c>
      <c r="R51" s="445">
        <f>+R50*$R$11/$R$10</f>
        <v>10713964.601769911</v>
      </c>
      <c r="S51" s="446"/>
      <c r="T51" s="446"/>
      <c r="U51" s="445">
        <v>23726153.846153848</v>
      </c>
      <c r="V51" s="449">
        <v>21558652.173913043</v>
      </c>
      <c r="W51" s="445">
        <v>30051454.545454547</v>
      </c>
      <c r="X51" s="445">
        <f>+X50*$X$11/$X$10</f>
        <v>23062744.186046511</v>
      </c>
      <c r="Y51" s="445">
        <f>+Y50*$Y$11/$Y$10</f>
        <v>20988943.396226414</v>
      </c>
      <c r="Z51" s="445">
        <f>+Z50*$Z$11/$Z$10</f>
        <v>17657365.079365078</v>
      </c>
      <c r="AA51" s="445">
        <f>+AA50*$AA$11/$AA$10</f>
        <v>15238547.94520548</v>
      </c>
      <c r="AB51" s="445">
        <f>+AB50*$AB$11/$AB$10</f>
        <v>13799963.855421687</v>
      </c>
      <c r="AC51" s="445">
        <f>+AC50*$AC$11/$AC$10</f>
        <v>12316096.774193548</v>
      </c>
      <c r="AD51" s="445">
        <f>+AD50*$AD$11/$AD$10</f>
        <v>11339058.252427185</v>
      </c>
      <c r="AE51" s="445">
        <f>+AE50*$AE$11/$AE$10</f>
        <v>10458805.309734514</v>
      </c>
      <c r="AF51" s="1212"/>
      <c r="AG51" s="1196"/>
      <c r="AH51" s="790"/>
      <c r="AI51" s="790"/>
      <c r="AJ51" s="794"/>
      <c r="AK51" s="790"/>
      <c r="AL51" s="790"/>
      <c r="AM51" s="790"/>
      <c r="AN51" s="791"/>
      <c r="AO51" s="805"/>
      <c r="AP51" s="805"/>
      <c r="AQ51" s="786"/>
      <c r="AR51" s="786"/>
      <c r="AS51" s="786"/>
      <c r="AT51" s="786"/>
      <c r="AU51" s="787"/>
      <c r="AV51" s="787"/>
      <c r="AW51" s="787"/>
      <c r="AX51" s="785"/>
      <c r="AY51" s="1214"/>
    </row>
    <row r="52" spans="1:51" ht="18" hidden="1" customHeight="1" x14ac:dyDescent="0.25">
      <c r="A52" s="1191"/>
      <c r="B52" s="833"/>
      <c r="C52" s="809" t="s">
        <v>324</v>
      </c>
      <c r="D52" s="141" t="s">
        <v>41</v>
      </c>
      <c r="E52" s="142"/>
      <c r="F52" s="143"/>
      <c r="G52" s="445"/>
      <c r="H52" s="445"/>
      <c r="I52" s="445"/>
      <c r="J52" s="445"/>
      <c r="K52" s="445"/>
      <c r="L52" s="445"/>
      <c r="M52" s="446"/>
      <c r="N52" s="445"/>
      <c r="O52" s="445"/>
      <c r="P52" s="445"/>
      <c r="Q52" s="445"/>
      <c r="R52" s="447"/>
      <c r="S52" s="446"/>
      <c r="T52" s="446"/>
      <c r="U52" s="446"/>
      <c r="V52" s="446"/>
      <c r="W52" s="446"/>
      <c r="X52" s="446"/>
      <c r="Y52" s="446"/>
      <c r="Z52" s="446"/>
      <c r="AA52" s="445"/>
      <c r="AB52" s="445"/>
      <c r="AC52" s="445"/>
      <c r="AD52" s="445"/>
      <c r="AE52" s="447"/>
      <c r="AF52" s="1223"/>
      <c r="AG52" s="1194" t="s">
        <v>324</v>
      </c>
      <c r="AH52" s="788" t="s">
        <v>350</v>
      </c>
      <c r="AI52" s="788" t="s">
        <v>350</v>
      </c>
      <c r="AJ52" s="792" t="s">
        <v>914</v>
      </c>
      <c r="AK52" s="788" t="s">
        <v>315</v>
      </c>
      <c r="AL52" s="788" t="s">
        <v>70</v>
      </c>
      <c r="AM52" s="788" t="s">
        <v>316</v>
      </c>
      <c r="AN52" s="791">
        <v>22438</v>
      </c>
      <c r="AO52" s="805">
        <v>181364</v>
      </c>
      <c r="AP52" s="805">
        <v>191238</v>
      </c>
      <c r="AQ52" s="786" t="s">
        <v>317</v>
      </c>
      <c r="AR52" s="786" t="s">
        <v>317</v>
      </c>
      <c r="AS52" s="786" t="s">
        <v>317</v>
      </c>
      <c r="AT52" s="786" t="s">
        <v>317</v>
      </c>
      <c r="AU52" s="787" t="s">
        <v>317</v>
      </c>
      <c r="AV52" s="787" t="s">
        <v>317</v>
      </c>
      <c r="AW52" s="787" t="s">
        <v>317</v>
      </c>
      <c r="AX52" s="783">
        <v>22438</v>
      </c>
      <c r="AY52" s="1214"/>
    </row>
    <row r="53" spans="1:51" ht="18.75" hidden="1" customHeight="1" x14ac:dyDescent="0.25">
      <c r="A53" s="1191"/>
      <c r="B53" s="833"/>
      <c r="C53" s="809"/>
      <c r="D53" s="132" t="s">
        <v>3</v>
      </c>
      <c r="E53" s="142"/>
      <c r="F53" s="143"/>
      <c r="G53" s="445"/>
      <c r="H53" s="445"/>
      <c r="I53" s="445"/>
      <c r="J53" s="445"/>
      <c r="K53" s="445"/>
      <c r="L53" s="445"/>
      <c r="M53" s="446"/>
      <c r="N53" s="445"/>
      <c r="O53" s="445"/>
      <c r="P53" s="445"/>
      <c r="Q53" s="445"/>
      <c r="R53" s="447"/>
      <c r="S53" s="446"/>
      <c r="T53" s="446"/>
      <c r="U53" s="446"/>
      <c r="V53" s="446"/>
      <c r="W53" s="446"/>
      <c r="X53" s="446"/>
      <c r="Y53" s="446"/>
      <c r="Z53" s="446"/>
      <c r="AA53" s="445"/>
      <c r="AB53" s="445"/>
      <c r="AC53" s="445"/>
      <c r="AD53" s="445"/>
      <c r="AE53" s="447"/>
      <c r="AF53" s="1223"/>
      <c r="AG53" s="1195"/>
      <c r="AH53" s="789"/>
      <c r="AI53" s="789"/>
      <c r="AJ53" s="793"/>
      <c r="AK53" s="789"/>
      <c r="AL53" s="789"/>
      <c r="AM53" s="789"/>
      <c r="AN53" s="791"/>
      <c r="AO53" s="805"/>
      <c r="AP53" s="805"/>
      <c r="AQ53" s="786"/>
      <c r="AR53" s="786"/>
      <c r="AS53" s="786"/>
      <c r="AT53" s="786"/>
      <c r="AU53" s="787"/>
      <c r="AV53" s="787"/>
      <c r="AW53" s="787"/>
      <c r="AX53" s="784"/>
      <c r="AY53" s="1214"/>
    </row>
    <row r="54" spans="1:51" ht="27.75" hidden="1" customHeight="1" x14ac:dyDescent="0.25">
      <c r="A54" s="1191"/>
      <c r="B54" s="833"/>
      <c r="C54" s="809"/>
      <c r="D54" s="136" t="s">
        <v>42</v>
      </c>
      <c r="E54" s="142"/>
      <c r="F54" s="143"/>
      <c r="G54" s="445"/>
      <c r="H54" s="445"/>
      <c r="I54" s="445"/>
      <c r="J54" s="445"/>
      <c r="K54" s="445"/>
      <c r="L54" s="445"/>
      <c r="M54" s="446"/>
      <c r="N54" s="445"/>
      <c r="O54" s="445"/>
      <c r="P54" s="445"/>
      <c r="Q54" s="445"/>
      <c r="R54" s="447"/>
      <c r="S54" s="446"/>
      <c r="T54" s="446"/>
      <c r="U54" s="446"/>
      <c r="V54" s="446"/>
      <c r="W54" s="446"/>
      <c r="X54" s="446"/>
      <c r="Y54" s="446"/>
      <c r="Z54" s="446"/>
      <c r="AA54" s="445"/>
      <c r="AB54" s="445"/>
      <c r="AC54" s="445"/>
      <c r="AD54" s="445"/>
      <c r="AE54" s="447"/>
      <c r="AF54" s="1223"/>
      <c r="AG54" s="1195"/>
      <c r="AH54" s="789"/>
      <c r="AI54" s="789"/>
      <c r="AJ54" s="793"/>
      <c r="AK54" s="789"/>
      <c r="AL54" s="789"/>
      <c r="AM54" s="789"/>
      <c r="AN54" s="791"/>
      <c r="AO54" s="805"/>
      <c r="AP54" s="805"/>
      <c r="AQ54" s="786"/>
      <c r="AR54" s="786"/>
      <c r="AS54" s="786"/>
      <c r="AT54" s="786"/>
      <c r="AU54" s="787"/>
      <c r="AV54" s="787"/>
      <c r="AW54" s="787"/>
      <c r="AX54" s="784"/>
      <c r="AY54" s="1214"/>
    </row>
    <row r="55" spans="1:51" ht="27.75" hidden="1" customHeight="1" x14ac:dyDescent="0.25">
      <c r="A55" s="1191"/>
      <c r="B55" s="833"/>
      <c r="C55" s="809"/>
      <c r="D55" s="132" t="s">
        <v>4</v>
      </c>
      <c r="E55" s="142"/>
      <c r="F55" s="143"/>
      <c r="G55" s="445"/>
      <c r="H55" s="445"/>
      <c r="I55" s="445"/>
      <c r="J55" s="445"/>
      <c r="K55" s="445"/>
      <c r="L55" s="445"/>
      <c r="M55" s="446"/>
      <c r="N55" s="445"/>
      <c r="O55" s="445"/>
      <c r="P55" s="445"/>
      <c r="Q55" s="445"/>
      <c r="R55" s="447"/>
      <c r="S55" s="446"/>
      <c r="T55" s="446"/>
      <c r="U55" s="446"/>
      <c r="V55" s="446"/>
      <c r="W55" s="446"/>
      <c r="X55" s="446"/>
      <c r="Y55" s="446"/>
      <c r="Z55" s="446"/>
      <c r="AA55" s="445"/>
      <c r="AB55" s="445"/>
      <c r="AC55" s="445"/>
      <c r="AD55" s="445"/>
      <c r="AE55" s="447"/>
      <c r="AF55" s="1223"/>
      <c r="AG55" s="1195"/>
      <c r="AH55" s="789"/>
      <c r="AI55" s="789"/>
      <c r="AJ55" s="793"/>
      <c r="AK55" s="789"/>
      <c r="AL55" s="789"/>
      <c r="AM55" s="789"/>
      <c r="AN55" s="791"/>
      <c r="AO55" s="805"/>
      <c r="AP55" s="805"/>
      <c r="AQ55" s="786"/>
      <c r="AR55" s="786"/>
      <c r="AS55" s="786"/>
      <c r="AT55" s="786"/>
      <c r="AU55" s="787"/>
      <c r="AV55" s="787"/>
      <c r="AW55" s="787"/>
      <c r="AX55" s="784"/>
      <c r="AY55" s="1214"/>
    </row>
    <row r="56" spans="1:51" ht="27.75" hidden="1" customHeight="1" x14ac:dyDescent="0.25">
      <c r="A56" s="1191"/>
      <c r="B56" s="833"/>
      <c r="C56" s="809"/>
      <c r="D56" s="136" t="s">
        <v>43</v>
      </c>
      <c r="E56" s="142"/>
      <c r="F56" s="143"/>
      <c r="G56" s="445"/>
      <c r="H56" s="445"/>
      <c r="I56" s="445"/>
      <c r="J56" s="445"/>
      <c r="K56" s="445"/>
      <c r="L56" s="445"/>
      <c r="M56" s="446"/>
      <c r="N56" s="445"/>
      <c r="O56" s="445"/>
      <c r="P56" s="445"/>
      <c r="Q56" s="445"/>
      <c r="R56" s="447"/>
      <c r="S56" s="446"/>
      <c r="T56" s="446"/>
      <c r="U56" s="446"/>
      <c r="V56" s="446"/>
      <c r="W56" s="446"/>
      <c r="X56" s="446"/>
      <c r="Y56" s="446"/>
      <c r="Z56" s="446"/>
      <c r="AA56" s="445"/>
      <c r="AB56" s="445"/>
      <c r="AC56" s="445"/>
      <c r="AD56" s="445"/>
      <c r="AE56" s="447"/>
      <c r="AF56" s="1223"/>
      <c r="AG56" s="1195"/>
      <c r="AH56" s="789"/>
      <c r="AI56" s="789"/>
      <c r="AJ56" s="793"/>
      <c r="AK56" s="789"/>
      <c r="AL56" s="789"/>
      <c r="AM56" s="789"/>
      <c r="AN56" s="791"/>
      <c r="AO56" s="805"/>
      <c r="AP56" s="805"/>
      <c r="AQ56" s="786"/>
      <c r="AR56" s="786"/>
      <c r="AS56" s="786"/>
      <c r="AT56" s="786"/>
      <c r="AU56" s="787"/>
      <c r="AV56" s="787"/>
      <c r="AW56" s="787"/>
      <c r="AX56" s="784"/>
      <c r="AY56" s="1214"/>
    </row>
    <row r="57" spans="1:51" ht="27.75" hidden="1" customHeight="1" thickBot="1" x14ac:dyDescent="0.3">
      <c r="A57" s="1191"/>
      <c r="B57" s="833"/>
      <c r="C57" s="809"/>
      <c r="D57" s="140" t="s">
        <v>45</v>
      </c>
      <c r="E57" s="142"/>
      <c r="F57" s="143"/>
      <c r="G57" s="445"/>
      <c r="H57" s="445"/>
      <c r="I57" s="445"/>
      <c r="J57" s="445"/>
      <c r="K57" s="445"/>
      <c r="L57" s="445"/>
      <c r="M57" s="446"/>
      <c r="N57" s="445"/>
      <c r="O57" s="445"/>
      <c r="P57" s="445"/>
      <c r="Q57" s="445"/>
      <c r="R57" s="447"/>
      <c r="S57" s="446"/>
      <c r="T57" s="446"/>
      <c r="U57" s="446"/>
      <c r="V57" s="446"/>
      <c r="W57" s="446"/>
      <c r="X57" s="446"/>
      <c r="Y57" s="446"/>
      <c r="Z57" s="446"/>
      <c r="AA57" s="445"/>
      <c r="AB57" s="445"/>
      <c r="AC57" s="445"/>
      <c r="AD57" s="445"/>
      <c r="AE57" s="447"/>
      <c r="AF57" s="1223"/>
      <c r="AG57" s="1196"/>
      <c r="AH57" s="790"/>
      <c r="AI57" s="790"/>
      <c r="AJ57" s="794"/>
      <c r="AK57" s="790"/>
      <c r="AL57" s="790"/>
      <c r="AM57" s="790"/>
      <c r="AN57" s="791"/>
      <c r="AO57" s="805"/>
      <c r="AP57" s="805"/>
      <c r="AQ57" s="786"/>
      <c r="AR57" s="786"/>
      <c r="AS57" s="786"/>
      <c r="AT57" s="786"/>
      <c r="AU57" s="787"/>
      <c r="AV57" s="787"/>
      <c r="AW57" s="787"/>
      <c r="AX57" s="785"/>
      <c r="AY57" s="1214"/>
    </row>
    <row r="58" spans="1:51" ht="18" hidden="1" customHeight="1" x14ac:dyDescent="0.25">
      <c r="A58" s="1191"/>
      <c r="B58" s="833"/>
      <c r="C58" s="809" t="s">
        <v>352</v>
      </c>
      <c r="D58" s="141" t="s">
        <v>41</v>
      </c>
      <c r="E58" s="142"/>
      <c r="F58" s="143"/>
      <c r="G58" s="445"/>
      <c r="H58" s="445"/>
      <c r="I58" s="445"/>
      <c r="J58" s="445"/>
      <c r="K58" s="445"/>
      <c r="L58" s="445"/>
      <c r="M58" s="446"/>
      <c r="N58" s="445"/>
      <c r="O58" s="445"/>
      <c r="P58" s="445"/>
      <c r="Q58" s="445"/>
      <c r="R58" s="447"/>
      <c r="S58" s="446"/>
      <c r="T58" s="446"/>
      <c r="U58" s="446"/>
      <c r="V58" s="446"/>
      <c r="W58" s="446"/>
      <c r="X58" s="446"/>
      <c r="Y58" s="446"/>
      <c r="Z58" s="446"/>
      <c r="AA58" s="445"/>
      <c r="AB58" s="445"/>
      <c r="AC58" s="445"/>
      <c r="AD58" s="445"/>
      <c r="AE58" s="447"/>
      <c r="AF58" s="1223"/>
      <c r="AG58" s="1194" t="s">
        <v>352</v>
      </c>
      <c r="AH58" s="788" t="s">
        <v>353</v>
      </c>
      <c r="AI58" s="788" t="s">
        <v>354</v>
      </c>
      <c r="AJ58" s="792" t="s">
        <v>914</v>
      </c>
      <c r="AK58" s="788" t="s">
        <v>315</v>
      </c>
      <c r="AL58" s="788" t="s">
        <v>355</v>
      </c>
      <c r="AM58" s="788" t="s">
        <v>316</v>
      </c>
      <c r="AN58" s="791">
        <v>186383</v>
      </c>
      <c r="AO58" s="805">
        <v>86612</v>
      </c>
      <c r="AP58" s="805">
        <v>92493</v>
      </c>
      <c r="AQ58" s="786" t="s">
        <v>317</v>
      </c>
      <c r="AR58" s="786" t="s">
        <v>317</v>
      </c>
      <c r="AS58" s="786" t="s">
        <v>317</v>
      </c>
      <c r="AT58" s="786" t="s">
        <v>317</v>
      </c>
      <c r="AU58" s="787" t="s">
        <v>317</v>
      </c>
      <c r="AV58" s="787" t="s">
        <v>317</v>
      </c>
      <c r="AW58" s="787" t="s">
        <v>317</v>
      </c>
      <c r="AX58" s="783">
        <v>186383</v>
      </c>
      <c r="AY58" s="1214"/>
    </row>
    <row r="59" spans="1:51" ht="18" hidden="1" customHeight="1" x14ac:dyDescent="0.25">
      <c r="A59" s="1191"/>
      <c r="B59" s="833"/>
      <c r="C59" s="809"/>
      <c r="D59" s="132" t="s">
        <v>3</v>
      </c>
      <c r="E59" s="142"/>
      <c r="F59" s="143"/>
      <c r="G59" s="445"/>
      <c r="H59" s="445"/>
      <c r="I59" s="445"/>
      <c r="J59" s="445"/>
      <c r="K59" s="445"/>
      <c r="L59" s="445"/>
      <c r="M59" s="446"/>
      <c r="N59" s="445"/>
      <c r="O59" s="445"/>
      <c r="P59" s="445"/>
      <c r="Q59" s="445"/>
      <c r="R59" s="445"/>
      <c r="S59" s="446"/>
      <c r="T59" s="446"/>
      <c r="U59" s="446"/>
      <c r="V59" s="446"/>
      <c r="W59" s="446"/>
      <c r="X59" s="446"/>
      <c r="Y59" s="446"/>
      <c r="Z59" s="446"/>
      <c r="AA59" s="445"/>
      <c r="AB59" s="445"/>
      <c r="AC59" s="445"/>
      <c r="AD59" s="445"/>
      <c r="AE59" s="445"/>
      <c r="AF59" s="1223"/>
      <c r="AG59" s="1195"/>
      <c r="AH59" s="789"/>
      <c r="AI59" s="789"/>
      <c r="AJ59" s="793"/>
      <c r="AK59" s="789"/>
      <c r="AL59" s="789"/>
      <c r="AM59" s="789"/>
      <c r="AN59" s="791"/>
      <c r="AO59" s="805"/>
      <c r="AP59" s="805"/>
      <c r="AQ59" s="786"/>
      <c r="AR59" s="786"/>
      <c r="AS59" s="786"/>
      <c r="AT59" s="786"/>
      <c r="AU59" s="787"/>
      <c r="AV59" s="787"/>
      <c r="AW59" s="787"/>
      <c r="AX59" s="784"/>
      <c r="AY59" s="1214"/>
    </row>
    <row r="60" spans="1:51" ht="27" hidden="1" customHeight="1" x14ac:dyDescent="0.25">
      <c r="A60" s="1191"/>
      <c r="B60" s="833"/>
      <c r="C60" s="809"/>
      <c r="D60" s="136" t="s">
        <v>42</v>
      </c>
      <c r="E60" s="142"/>
      <c r="F60" s="143"/>
      <c r="G60" s="445"/>
      <c r="H60" s="445"/>
      <c r="I60" s="445"/>
      <c r="J60" s="445"/>
      <c r="K60" s="445"/>
      <c r="L60" s="445"/>
      <c r="M60" s="446"/>
      <c r="N60" s="445"/>
      <c r="O60" s="445"/>
      <c r="P60" s="445"/>
      <c r="Q60" s="445"/>
      <c r="R60" s="447"/>
      <c r="S60" s="446"/>
      <c r="T60" s="446"/>
      <c r="U60" s="446"/>
      <c r="V60" s="446"/>
      <c r="W60" s="446"/>
      <c r="X60" s="446"/>
      <c r="Y60" s="446"/>
      <c r="Z60" s="446"/>
      <c r="AA60" s="445"/>
      <c r="AB60" s="445"/>
      <c r="AC60" s="445"/>
      <c r="AD60" s="445"/>
      <c r="AE60" s="447"/>
      <c r="AF60" s="1223"/>
      <c r="AG60" s="1195"/>
      <c r="AH60" s="789"/>
      <c r="AI60" s="789"/>
      <c r="AJ60" s="793"/>
      <c r="AK60" s="789"/>
      <c r="AL60" s="789"/>
      <c r="AM60" s="789"/>
      <c r="AN60" s="791"/>
      <c r="AO60" s="805"/>
      <c r="AP60" s="805"/>
      <c r="AQ60" s="786"/>
      <c r="AR60" s="786"/>
      <c r="AS60" s="786"/>
      <c r="AT60" s="786"/>
      <c r="AU60" s="787"/>
      <c r="AV60" s="787"/>
      <c r="AW60" s="787"/>
      <c r="AX60" s="784"/>
      <c r="AY60" s="1214"/>
    </row>
    <row r="61" spans="1:51" ht="27" hidden="1" customHeight="1" x14ac:dyDescent="0.25">
      <c r="A61" s="1191"/>
      <c r="B61" s="833"/>
      <c r="C61" s="809"/>
      <c r="D61" s="132" t="s">
        <v>4</v>
      </c>
      <c r="E61" s="142"/>
      <c r="F61" s="143"/>
      <c r="G61" s="445"/>
      <c r="H61" s="445"/>
      <c r="I61" s="445"/>
      <c r="J61" s="445"/>
      <c r="K61" s="445"/>
      <c r="L61" s="445"/>
      <c r="M61" s="446"/>
      <c r="N61" s="445"/>
      <c r="O61" s="445"/>
      <c r="P61" s="445"/>
      <c r="Q61" s="445"/>
      <c r="R61" s="447"/>
      <c r="S61" s="446"/>
      <c r="T61" s="446"/>
      <c r="U61" s="446"/>
      <c r="V61" s="446"/>
      <c r="W61" s="446"/>
      <c r="X61" s="446"/>
      <c r="Y61" s="446"/>
      <c r="Z61" s="446"/>
      <c r="AA61" s="445"/>
      <c r="AB61" s="445"/>
      <c r="AC61" s="445"/>
      <c r="AD61" s="445"/>
      <c r="AE61" s="447"/>
      <c r="AF61" s="1223"/>
      <c r="AG61" s="1195"/>
      <c r="AH61" s="789"/>
      <c r="AI61" s="789"/>
      <c r="AJ61" s="793"/>
      <c r="AK61" s="789"/>
      <c r="AL61" s="789"/>
      <c r="AM61" s="789"/>
      <c r="AN61" s="791"/>
      <c r="AO61" s="805"/>
      <c r="AP61" s="805"/>
      <c r="AQ61" s="786"/>
      <c r="AR61" s="786"/>
      <c r="AS61" s="786"/>
      <c r="AT61" s="786"/>
      <c r="AU61" s="787"/>
      <c r="AV61" s="787"/>
      <c r="AW61" s="787"/>
      <c r="AX61" s="784"/>
      <c r="AY61" s="1214"/>
    </row>
    <row r="62" spans="1:51" ht="27" hidden="1" customHeight="1" x14ac:dyDescent="0.25">
      <c r="A62" s="1191"/>
      <c r="B62" s="833"/>
      <c r="C62" s="809"/>
      <c r="D62" s="136" t="s">
        <v>43</v>
      </c>
      <c r="E62" s="142"/>
      <c r="F62" s="143"/>
      <c r="G62" s="445"/>
      <c r="H62" s="445"/>
      <c r="I62" s="445"/>
      <c r="J62" s="445"/>
      <c r="K62" s="445"/>
      <c r="L62" s="445"/>
      <c r="M62" s="446"/>
      <c r="N62" s="445"/>
      <c r="O62" s="445"/>
      <c r="P62" s="445"/>
      <c r="Q62" s="445"/>
      <c r="R62" s="447"/>
      <c r="S62" s="446"/>
      <c r="T62" s="446"/>
      <c r="U62" s="446"/>
      <c r="V62" s="446"/>
      <c r="W62" s="446"/>
      <c r="X62" s="446"/>
      <c r="Y62" s="446"/>
      <c r="Z62" s="446"/>
      <c r="AA62" s="445"/>
      <c r="AB62" s="445"/>
      <c r="AC62" s="445"/>
      <c r="AD62" s="445"/>
      <c r="AE62" s="447"/>
      <c r="AF62" s="1223"/>
      <c r="AG62" s="1195"/>
      <c r="AH62" s="789"/>
      <c r="AI62" s="789"/>
      <c r="AJ62" s="793"/>
      <c r="AK62" s="789"/>
      <c r="AL62" s="789"/>
      <c r="AM62" s="789"/>
      <c r="AN62" s="791"/>
      <c r="AO62" s="805"/>
      <c r="AP62" s="805"/>
      <c r="AQ62" s="786"/>
      <c r="AR62" s="786"/>
      <c r="AS62" s="786"/>
      <c r="AT62" s="786"/>
      <c r="AU62" s="787"/>
      <c r="AV62" s="787"/>
      <c r="AW62" s="787"/>
      <c r="AX62" s="784"/>
      <c r="AY62" s="1214"/>
    </row>
    <row r="63" spans="1:51" ht="27.75" hidden="1" customHeight="1" thickBot="1" x14ac:dyDescent="0.3">
      <c r="A63" s="1191"/>
      <c r="B63" s="833"/>
      <c r="C63" s="809"/>
      <c r="D63" s="140" t="s">
        <v>45</v>
      </c>
      <c r="E63" s="142"/>
      <c r="F63" s="143"/>
      <c r="G63" s="445"/>
      <c r="H63" s="445"/>
      <c r="I63" s="445"/>
      <c r="J63" s="445"/>
      <c r="K63" s="445"/>
      <c r="L63" s="445"/>
      <c r="M63" s="446"/>
      <c r="N63" s="445"/>
      <c r="O63" s="445"/>
      <c r="P63" s="445"/>
      <c r="Q63" s="445"/>
      <c r="R63" s="445"/>
      <c r="S63" s="446"/>
      <c r="T63" s="446"/>
      <c r="U63" s="446"/>
      <c r="V63" s="446"/>
      <c r="W63" s="446"/>
      <c r="X63" s="446"/>
      <c r="Y63" s="446"/>
      <c r="Z63" s="446"/>
      <c r="AA63" s="445"/>
      <c r="AB63" s="445"/>
      <c r="AC63" s="445"/>
      <c r="AD63" s="445"/>
      <c r="AE63" s="445"/>
      <c r="AF63" s="1223"/>
      <c r="AG63" s="1196"/>
      <c r="AH63" s="790"/>
      <c r="AI63" s="790"/>
      <c r="AJ63" s="794"/>
      <c r="AK63" s="790"/>
      <c r="AL63" s="790"/>
      <c r="AM63" s="790"/>
      <c r="AN63" s="791"/>
      <c r="AO63" s="805"/>
      <c r="AP63" s="805"/>
      <c r="AQ63" s="786"/>
      <c r="AR63" s="786"/>
      <c r="AS63" s="786"/>
      <c r="AT63" s="786"/>
      <c r="AU63" s="787"/>
      <c r="AV63" s="787"/>
      <c r="AW63" s="787"/>
      <c r="AX63" s="785"/>
      <c r="AY63" s="1214"/>
    </row>
    <row r="64" spans="1:51" ht="18" customHeight="1" x14ac:dyDescent="0.25">
      <c r="A64" s="1191"/>
      <c r="B64" s="833"/>
      <c r="C64" s="809" t="s">
        <v>1307</v>
      </c>
      <c r="D64" s="141" t="s">
        <v>41</v>
      </c>
      <c r="E64" s="142"/>
      <c r="F64" s="143"/>
      <c r="G64" s="445">
        <v>1</v>
      </c>
      <c r="H64" s="445">
        <v>1</v>
      </c>
      <c r="I64" s="445">
        <v>1</v>
      </c>
      <c r="J64" s="445">
        <v>2</v>
      </c>
      <c r="K64" s="445">
        <v>2</v>
      </c>
      <c r="L64" s="445">
        <v>3</v>
      </c>
      <c r="M64" s="446">
        <v>4</v>
      </c>
      <c r="N64" s="445">
        <v>5</v>
      </c>
      <c r="O64" s="445">
        <v>5</v>
      </c>
      <c r="P64" s="445">
        <v>7</v>
      </c>
      <c r="Q64" s="445">
        <v>7</v>
      </c>
      <c r="R64" s="447">
        <v>7</v>
      </c>
      <c r="S64" s="446"/>
      <c r="T64" s="446">
        <v>1</v>
      </c>
      <c r="U64" s="446">
        <v>1</v>
      </c>
      <c r="V64" s="446">
        <v>1</v>
      </c>
      <c r="W64" s="448">
        <v>2</v>
      </c>
      <c r="X64" s="446">
        <v>2</v>
      </c>
      <c r="Y64" s="446">
        <v>3</v>
      </c>
      <c r="Z64" s="446">
        <v>4</v>
      </c>
      <c r="AA64" s="445">
        <v>5</v>
      </c>
      <c r="AB64" s="445">
        <v>5</v>
      </c>
      <c r="AC64" s="445">
        <v>7</v>
      </c>
      <c r="AD64" s="445">
        <v>7</v>
      </c>
      <c r="AE64" s="447">
        <v>7</v>
      </c>
      <c r="AF64" s="1206" t="s">
        <v>1268</v>
      </c>
      <c r="AG64" s="1194" t="s">
        <v>356</v>
      </c>
      <c r="AH64" s="788" t="s">
        <v>1101</v>
      </c>
      <c r="AI64" s="788" t="s">
        <v>1100</v>
      </c>
      <c r="AJ64" s="792" t="s">
        <v>914</v>
      </c>
      <c r="AK64" s="788" t="s">
        <v>315</v>
      </c>
      <c r="AL64" s="788" t="s">
        <v>1001</v>
      </c>
      <c r="AM64" s="788" t="s">
        <v>316</v>
      </c>
      <c r="AN64" s="791">
        <v>735606</v>
      </c>
      <c r="AO64" s="805">
        <v>354354</v>
      </c>
      <c r="AP64" s="805">
        <v>381252</v>
      </c>
      <c r="AQ64" s="786" t="s">
        <v>317</v>
      </c>
      <c r="AR64" s="786" t="s">
        <v>317</v>
      </c>
      <c r="AS64" s="786" t="s">
        <v>317</v>
      </c>
      <c r="AT64" s="786" t="s">
        <v>317</v>
      </c>
      <c r="AU64" s="787" t="s">
        <v>317</v>
      </c>
      <c r="AV64" s="787" t="s">
        <v>317</v>
      </c>
      <c r="AW64" s="787" t="s">
        <v>317</v>
      </c>
      <c r="AX64" s="783">
        <v>735606</v>
      </c>
      <c r="AY64" s="1214"/>
    </row>
    <row r="65" spans="1:51" ht="18" x14ac:dyDescent="0.25">
      <c r="A65" s="1191"/>
      <c r="B65" s="833"/>
      <c r="C65" s="809"/>
      <c r="D65" s="132" t="s">
        <v>3</v>
      </c>
      <c r="E65" s="142"/>
      <c r="F65" s="143"/>
      <c r="G65" s="445">
        <v>5272055.0458715595</v>
      </c>
      <c r="H65" s="445">
        <v>5272055.0458715595</v>
      </c>
      <c r="I65" s="445">
        <v>5272055.0458715595</v>
      </c>
      <c r="J65" s="445">
        <v>10205633.027522936</v>
      </c>
      <c r="K65" s="445">
        <f>+K64*$K$11/$K$10</f>
        <v>10205633.027522936</v>
      </c>
      <c r="L65" s="445">
        <f>+L64*$L$11/$L$10</f>
        <v>15308449.541284403</v>
      </c>
      <c r="M65" s="445">
        <f>+M64*$M$11/$M$10</f>
        <v>20411266.055045873</v>
      </c>
      <c r="N65" s="445">
        <f>+N64*$N$11/$N$10</f>
        <v>27767844.036697246</v>
      </c>
      <c r="O65" s="445">
        <f>+O64*$O$11/$O$10</f>
        <v>27767844.036697246</v>
      </c>
      <c r="P65" s="445">
        <f>+P64*$O$11/$O$10</f>
        <v>38874981.651376143</v>
      </c>
      <c r="Q65" s="445">
        <f>+Q64*$Q$11/$Q$10</f>
        <v>38874981.651376143</v>
      </c>
      <c r="R65" s="445">
        <f>+R64*$R$11/$R$10</f>
        <v>37498876.10619469</v>
      </c>
      <c r="S65" s="446"/>
      <c r="T65" s="445">
        <v>0</v>
      </c>
      <c r="U65" s="445">
        <v>23726153.846153848</v>
      </c>
      <c r="V65" s="449">
        <v>21558652.173913043</v>
      </c>
      <c r="W65" s="445">
        <v>30051454.545454547</v>
      </c>
      <c r="X65" s="445">
        <f>+X64*$X$11/$X$10</f>
        <v>23062744.186046511</v>
      </c>
      <c r="Y65" s="445">
        <f>+Y64*$Y$11/$Y$10</f>
        <v>31483415.094339624</v>
      </c>
      <c r="Z65" s="445">
        <f>+Z64*$Z$11/$Z$10</f>
        <v>35314730.158730157</v>
      </c>
      <c r="AA65" s="445">
        <f>+AA64*$AA$11/$AA$10</f>
        <v>38096369.8630137</v>
      </c>
      <c r="AB65" s="445">
        <f>+AB64*$AB$11/$AB$10</f>
        <v>34499909.638554215</v>
      </c>
      <c r="AC65" s="445">
        <f>+AC64*$AC$11/$AC$10</f>
        <v>43106338.709677421</v>
      </c>
      <c r="AD65" s="445">
        <f>+AD64*$AD$11/$AD$10</f>
        <v>39686703.883495145</v>
      </c>
      <c r="AE65" s="449">
        <f>+AE64*$AE$11/$AE$10</f>
        <v>36605818.584070794</v>
      </c>
      <c r="AF65" s="1209"/>
      <c r="AG65" s="1195"/>
      <c r="AH65" s="789"/>
      <c r="AI65" s="789"/>
      <c r="AJ65" s="793"/>
      <c r="AK65" s="789"/>
      <c r="AL65" s="789"/>
      <c r="AM65" s="789"/>
      <c r="AN65" s="791"/>
      <c r="AO65" s="805"/>
      <c r="AP65" s="805"/>
      <c r="AQ65" s="786"/>
      <c r="AR65" s="786"/>
      <c r="AS65" s="786"/>
      <c r="AT65" s="786"/>
      <c r="AU65" s="787"/>
      <c r="AV65" s="787"/>
      <c r="AW65" s="787"/>
      <c r="AX65" s="784"/>
      <c r="AY65" s="1214"/>
    </row>
    <row r="66" spans="1:51" ht="27" x14ac:dyDescent="0.25">
      <c r="A66" s="1191"/>
      <c r="B66" s="833"/>
      <c r="C66" s="809"/>
      <c r="D66" s="136" t="s">
        <v>42</v>
      </c>
      <c r="E66" s="142"/>
      <c r="F66" s="143"/>
      <c r="G66" s="445"/>
      <c r="H66" s="445"/>
      <c r="I66" s="445"/>
      <c r="J66" s="445"/>
      <c r="K66" s="445"/>
      <c r="L66" s="445"/>
      <c r="M66" s="446"/>
      <c r="N66" s="445"/>
      <c r="O66" s="445"/>
      <c r="P66" s="445"/>
      <c r="Q66" s="445"/>
      <c r="R66" s="447"/>
      <c r="S66" s="446"/>
      <c r="T66" s="446"/>
      <c r="U66" s="446"/>
      <c r="V66" s="446"/>
      <c r="W66" s="446"/>
      <c r="X66" s="446"/>
      <c r="Y66" s="446"/>
      <c r="Z66" s="446"/>
      <c r="AA66" s="445"/>
      <c r="AB66" s="445"/>
      <c r="AC66" s="445"/>
      <c r="AD66" s="445"/>
      <c r="AE66" s="447"/>
      <c r="AF66" s="1209"/>
      <c r="AG66" s="1195"/>
      <c r="AH66" s="789"/>
      <c r="AI66" s="789"/>
      <c r="AJ66" s="793"/>
      <c r="AK66" s="789"/>
      <c r="AL66" s="789"/>
      <c r="AM66" s="789"/>
      <c r="AN66" s="791"/>
      <c r="AO66" s="805"/>
      <c r="AP66" s="805"/>
      <c r="AQ66" s="786"/>
      <c r="AR66" s="786"/>
      <c r="AS66" s="786"/>
      <c r="AT66" s="786"/>
      <c r="AU66" s="787"/>
      <c r="AV66" s="787"/>
      <c r="AW66" s="787"/>
      <c r="AX66" s="784"/>
      <c r="AY66" s="1214"/>
    </row>
    <row r="67" spans="1:51" ht="27" x14ac:dyDescent="0.25">
      <c r="A67" s="1191"/>
      <c r="B67" s="833"/>
      <c r="C67" s="809"/>
      <c r="D67" s="132" t="s">
        <v>4</v>
      </c>
      <c r="E67" s="142"/>
      <c r="F67" s="143"/>
      <c r="G67" s="445"/>
      <c r="H67" s="445"/>
      <c r="I67" s="445"/>
      <c r="J67" s="445"/>
      <c r="K67" s="445"/>
      <c r="L67" s="445"/>
      <c r="M67" s="446"/>
      <c r="N67" s="445"/>
      <c r="O67" s="445"/>
      <c r="P67" s="445"/>
      <c r="Q67" s="445"/>
      <c r="R67" s="447"/>
      <c r="S67" s="446"/>
      <c r="T67" s="445">
        <v>1355400</v>
      </c>
      <c r="U67" s="441">
        <v>14532248.6</v>
      </c>
      <c r="V67" s="446"/>
      <c r="W67" s="446"/>
      <c r="X67" s="446"/>
      <c r="Y67" s="446"/>
      <c r="Z67" s="446"/>
      <c r="AA67" s="445"/>
      <c r="AB67" s="445"/>
      <c r="AC67" s="445"/>
      <c r="AD67" s="445"/>
      <c r="AE67" s="447"/>
      <c r="AF67" s="1209"/>
      <c r="AG67" s="1195"/>
      <c r="AH67" s="789"/>
      <c r="AI67" s="789"/>
      <c r="AJ67" s="793"/>
      <c r="AK67" s="789"/>
      <c r="AL67" s="789"/>
      <c r="AM67" s="789"/>
      <c r="AN67" s="791"/>
      <c r="AO67" s="805"/>
      <c r="AP67" s="805"/>
      <c r="AQ67" s="786"/>
      <c r="AR67" s="786"/>
      <c r="AS67" s="786"/>
      <c r="AT67" s="786"/>
      <c r="AU67" s="787"/>
      <c r="AV67" s="787"/>
      <c r="AW67" s="787"/>
      <c r="AX67" s="784"/>
      <c r="AY67" s="1214"/>
    </row>
    <row r="68" spans="1:51" ht="27" x14ac:dyDescent="0.25">
      <c r="A68" s="1191"/>
      <c r="B68" s="833"/>
      <c r="C68" s="809"/>
      <c r="D68" s="136" t="s">
        <v>43</v>
      </c>
      <c r="E68" s="142"/>
      <c r="F68" s="143"/>
      <c r="G68" s="445">
        <v>1</v>
      </c>
      <c r="H68" s="445">
        <v>1</v>
      </c>
      <c r="I68" s="445">
        <v>1</v>
      </c>
      <c r="J68" s="445">
        <v>1</v>
      </c>
      <c r="K68" s="445">
        <v>2</v>
      </c>
      <c r="L68" s="445">
        <v>3</v>
      </c>
      <c r="M68" s="446">
        <v>4</v>
      </c>
      <c r="N68" s="445">
        <v>5</v>
      </c>
      <c r="O68" s="445">
        <v>5</v>
      </c>
      <c r="P68" s="445">
        <v>7</v>
      </c>
      <c r="Q68" s="445">
        <v>7</v>
      </c>
      <c r="R68" s="447">
        <v>7</v>
      </c>
      <c r="S68" s="446"/>
      <c r="T68" s="446">
        <v>1</v>
      </c>
      <c r="U68" s="446">
        <v>1</v>
      </c>
      <c r="V68" s="446">
        <v>1</v>
      </c>
      <c r="W68" s="446">
        <v>2</v>
      </c>
      <c r="X68" s="446">
        <v>2</v>
      </c>
      <c r="Y68" s="446">
        <v>3</v>
      </c>
      <c r="Z68" s="446">
        <v>4</v>
      </c>
      <c r="AA68" s="445">
        <v>5</v>
      </c>
      <c r="AB68" s="445">
        <v>5</v>
      </c>
      <c r="AC68" s="445">
        <v>7</v>
      </c>
      <c r="AD68" s="445">
        <v>7</v>
      </c>
      <c r="AE68" s="447">
        <v>7</v>
      </c>
      <c r="AF68" s="1209"/>
      <c r="AG68" s="1195"/>
      <c r="AH68" s="789"/>
      <c r="AI68" s="789"/>
      <c r="AJ68" s="793"/>
      <c r="AK68" s="789"/>
      <c r="AL68" s="789"/>
      <c r="AM68" s="789"/>
      <c r="AN68" s="791"/>
      <c r="AO68" s="805"/>
      <c r="AP68" s="805"/>
      <c r="AQ68" s="786"/>
      <c r="AR68" s="786"/>
      <c r="AS68" s="786"/>
      <c r="AT68" s="786"/>
      <c r="AU68" s="787"/>
      <c r="AV68" s="787"/>
      <c r="AW68" s="787"/>
      <c r="AX68" s="784"/>
      <c r="AY68" s="1214"/>
    </row>
    <row r="69" spans="1:51" ht="27.75" thickBot="1" x14ac:dyDescent="0.3">
      <c r="A69" s="1191"/>
      <c r="B69" s="833"/>
      <c r="C69" s="809"/>
      <c r="D69" s="140" t="s">
        <v>45</v>
      </c>
      <c r="E69" s="142"/>
      <c r="F69" s="143"/>
      <c r="G69" s="445">
        <v>5272055.0458715595</v>
      </c>
      <c r="H69" s="445">
        <v>5272055.0458715595</v>
      </c>
      <c r="I69" s="445">
        <v>5272055.0458715595</v>
      </c>
      <c r="J69" s="445">
        <v>5102816.5137614682</v>
      </c>
      <c r="K69" s="445">
        <f>+K68*$K$11/$K$10</f>
        <v>10205633.027522936</v>
      </c>
      <c r="L69" s="445">
        <f>+L68*$L$11/$L$10</f>
        <v>15308449.541284403</v>
      </c>
      <c r="M69" s="445">
        <f>+M68*$M$11/$M$10</f>
        <v>20411266.055045873</v>
      </c>
      <c r="N69" s="445">
        <f>+N68*$N$11/$N$10</f>
        <v>27767844.036697246</v>
      </c>
      <c r="O69" s="445">
        <f>+O68*$O$11/$O$10</f>
        <v>27767844.036697246</v>
      </c>
      <c r="P69" s="445">
        <f>+P68*$O$11/$O$10</f>
        <v>38874981.651376143</v>
      </c>
      <c r="Q69" s="445">
        <f>+Q68*$Q$11/$Q$10</f>
        <v>38874981.651376143</v>
      </c>
      <c r="R69" s="445">
        <f>+R68*$R$11/$R$10</f>
        <v>37498876.10619469</v>
      </c>
      <c r="S69" s="446"/>
      <c r="T69" s="445">
        <v>0</v>
      </c>
      <c r="U69" s="445">
        <v>23726153.846153848</v>
      </c>
      <c r="V69" s="449">
        <v>21558652.173913043</v>
      </c>
      <c r="W69" s="445">
        <v>30051454.545454547</v>
      </c>
      <c r="X69" s="445">
        <f>+X68*$X$11/$X$10</f>
        <v>23062744.186046511</v>
      </c>
      <c r="Y69" s="445">
        <f>+Y68*$Y$11/$Y$10</f>
        <v>31483415.094339624</v>
      </c>
      <c r="Z69" s="445">
        <f>+Z68*$Z$11/$Z$10</f>
        <v>35314730.158730157</v>
      </c>
      <c r="AA69" s="445">
        <f>+AA68*$AA$11/$AA$10</f>
        <v>38096369.8630137</v>
      </c>
      <c r="AB69" s="445">
        <f>+AB68*$AB$11/$AB$10</f>
        <v>34499909.638554215</v>
      </c>
      <c r="AC69" s="445">
        <f>+AC68*$AC$11/$AC$10</f>
        <v>43106338.709677421</v>
      </c>
      <c r="AD69" s="445">
        <f>+AD68*$AD$11/$AD$10</f>
        <v>39686703.883495145</v>
      </c>
      <c r="AE69" s="445">
        <f>+AE68*$AE$11/$AE$10</f>
        <v>36605818.584070794</v>
      </c>
      <c r="AF69" s="1212"/>
      <c r="AG69" s="1196"/>
      <c r="AH69" s="790"/>
      <c r="AI69" s="790"/>
      <c r="AJ69" s="794"/>
      <c r="AK69" s="790"/>
      <c r="AL69" s="790"/>
      <c r="AM69" s="790"/>
      <c r="AN69" s="791"/>
      <c r="AO69" s="805"/>
      <c r="AP69" s="805"/>
      <c r="AQ69" s="786"/>
      <c r="AR69" s="786"/>
      <c r="AS69" s="786"/>
      <c r="AT69" s="786"/>
      <c r="AU69" s="787"/>
      <c r="AV69" s="787"/>
      <c r="AW69" s="787"/>
      <c r="AX69" s="785"/>
      <c r="AY69" s="1214"/>
    </row>
    <row r="70" spans="1:51" ht="18" customHeight="1" x14ac:dyDescent="0.25">
      <c r="A70" s="1191"/>
      <c r="B70" s="833"/>
      <c r="C70" s="809" t="s">
        <v>1308</v>
      </c>
      <c r="D70" s="141" t="s">
        <v>41</v>
      </c>
      <c r="E70" s="142"/>
      <c r="F70" s="143"/>
      <c r="G70" s="445"/>
      <c r="H70" s="445"/>
      <c r="I70" s="445">
        <v>1</v>
      </c>
      <c r="J70" s="445">
        <v>1</v>
      </c>
      <c r="K70" s="445">
        <v>1</v>
      </c>
      <c r="L70" s="445">
        <v>1</v>
      </c>
      <c r="M70" s="446">
        <v>1</v>
      </c>
      <c r="N70" s="445">
        <v>1</v>
      </c>
      <c r="O70" s="445">
        <v>1</v>
      </c>
      <c r="P70" s="445">
        <v>1</v>
      </c>
      <c r="Q70" s="445">
        <v>1</v>
      </c>
      <c r="R70" s="447">
        <v>1</v>
      </c>
      <c r="S70" s="446"/>
      <c r="T70" s="446"/>
      <c r="U70" s="446"/>
      <c r="V70" s="446">
        <v>1</v>
      </c>
      <c r="W70" s="446">
        <v>1</v>
      </c>
      <c r="X70" s="446">
        <v>1</v>
      </c>
      <c r="Y70" s="446">
        <v>1</v>
      </c>
      <c r="Z70" s="446">
        <v>1</v>
      </c>
      <c r="AA70" s="445">
        <v>1</v>
      </c>
      <c r="AB70" s="445">
        <v>1</v>
      </c>
      <c r="AC70" s="445">
        <v>1</v>
      </c>
      <c r="AD70" s="445">
        <v>1</v>
      </c>
      <c r="AE70" s="447">
        <v>1</v>
      </c>
      <c r="AF70" s="1213" t="s">
        <v>729</v>
      </c>
      <c r="AG70" s="1194" t="s">
        <v>361</v>
      </c>
      <c r="AH70" s="788" t="s">
        <v>363</v>
      </c>
      <c r="AI70" s="788" t="s">
        <v>364</v>
      </c>
      <c r="AJ70" s="792" t="s">
        <v>914</v>
      </c>
      <c r="AK70" s="788" t="s">
        <v>315</v>
      </c>
      <c r="AL70" s="788" t="s">
        <v>225</v>
      </c>
      <c r="AM70" s="788" t="s">
        <v>316</v>
      </c>
      <c r="AN70" s="791">
        <v>1067898</v>
      </c>
      <c r="AO70" s="805">
        <v>511137</v>
      </c>
      <c r="AP70" s="805">
        <v>556761</v>
      </c>
      <c r="AQ70" s="786" t="s">
        <v>317</v>
      </c>
      <c r="AR70" s="786" t="s">
        <v>317</v>
      </c>
      <c r="AS70" s="786" t="s">
        <v>317</v>
      </c>
      <c r="AT70" s="786" t="s">
        <v>317</v>
      </c>
      <c r="AU70" s="787" t="s">
        <v>317</v>
      </c>
      <c r="AV70" s="787" t="s">
        <v>317</v>
      </c>
      <c r="AW70" s="787" t="s">
        <v>317</v>
      </c>
      <c r="AX70" s="783">
        <v>1067898</v>
      </c>
      <c r="AY70" s="1214"/>
    </row>
    <row r="71" spans="1:51" ht="18" customHeight="1" x14ac:dyDescent="0.25">
      <c r="A71" s="1191"/>
      <c r="B71" s="833"/>
      <c r="C71" s="809"/>
      <c r="D71" s="132" t="s">
        <v>3</v>
      </c>
      <c r="E71" s="142"/>
      <c r="F71" s="143"/>
      <c r="G71" s="445"/>
      <c r="H71" s="445"/>
      <c r="I71" s="445">
        <v>5272055.0458715595</v>
      </c>
      <c r="J71" s="445">
        <v>5102816.5137614682</v>
      </c>
      <c r="K71" s="445">
        <f>+K70*$K$11/$K$10</f>
        <v>5102816.5137614682</v>
      </c>
      <c r="L71" s="445">
        <f>+L70*$L$11/$L$10</f>
        <v>5102816.5137614682</v>
      </c>
      <c r="M71" s="445">
        <f>+M70*$M$11/$M$10</f>
        <v>5102816.5137614682</v>
      </c>
      <c r="N71" s="445">
        <f>+N70*$N$11/$N$10</f>
        <v>5553568.8073394494</v>
      </c>
      <c r="O71" s="445">
        <f>+O70*$O$11/$O$10</f>
        <v>5553568.8073394494</v>
      </c>
      <c r="P71" s="445">
        <f>+P70*$O$11/$O$10</f>
        <v>5553568.8073394494</v>
      </c>
      <c r="Q71" s="445">
        <f>+Q70*$Q$11/$Q$10</f>
        <v>5553568.8073394494</v>
      </c>
      <c r="R71" s="445">
        <f>+R70*$R$11/$R$10</f>
        <v>5356982.3008849556</v>
      </c>
      <c r="S71" s="446"/>
      <c r="T71" s="446"/>
      <c r="U71" s="446"/>
      <c r="V71" s="449">
        <v>21558652.173913043</v>
      </c>
      <c r="W71" s="445">
        <v>15025727.272727273</v>
      </c>
      <c r="X71" s="445">
        <f>+X70*$X$11/$X$10</f>
        <v>11531372.093023255</v>
      </c>
      <c r="Y71" s="445">
        <f>+Y70*$Y$11/$Y$10</f>
        <v>10494471.698113207</v>
      </c>
      <c r="Z71" s="445">
        <f>+Z70*$Z$11/$Z$10</f>
        <v>8828682.5396825392</v>
      </c>
      <c r="AA71" s="445">
        <f>+AA70*$AA$11/$AA$10</f>
        <v>7619273.9726027399</v>
      </c>
      <c r="AB71" s="445">
        <f>+AB70*$AB$11/$AB$10</f>
        <v>6899981.9277108433</v>
      </c>
      <c r="AC71" s="445">
        <f>+AC70*$AC$11/$AC$10</f>
        <v>6158048.3870967738</v>
      </c>
      <c r="AD71" s="445">
        <f>+AD70*$AD$11/$AD$10</f>
        <v>5669529.1262135925</v>
      </c>
      <c r="AE71" s="449">
        <f>+AE70*$AE$11/$AE$10</f>
        <v>5229402.654867257</v>
      </c>
      <c r="AF71" s="1217"/>
      <c r="AG71" s="1195"/>
      <c r="AH71" s="789"/>
      <c r="AI71" s="789"/>
      <c r="AJ71" s="793"/>
      <c r="AK71" s="789"/>
      <c r="AL71" s="789"/>
      <c r="AM71" s="789"/>
      <c r="AN71" s="791"/>
      <c r="AO71" s="805"/>
      <c r="AP71" s="805"/>
      <c r="AQ71" s="786"/>
      <c r="AR71" s="786"/>
      <c r="AS71" s="786"/>
      <c r="AT71" s="786"/>
      <c r="AU71" s="787"/>
      <c r="AV71" s="787"/>
      <c r="AW71" s="787"/>
      <c r="AX71" s="784"/>
      <c r="AY71" s="1214"/>
    </row>
    <row r="72" spans="1:51" ht="27" customHeight="1" x14ac:dyDescent="0.25">
      <c r="A72" s="1191"/>
      <c r="B72" s="833"/>
      <c r="C72" s="809"/>
      <c r="D72" s="136" t="s">
        <v>42</v>
      </c>
      <c r="E72" s="142"/>
      <c r="F72" s="143"/>
      <c r="G72" s="445"/>
      <c r="H72" s="445"/>
      <c r="I72" s="445"/>
      <c r="J72" s="445"/>
      <c r="K72" s="445"/>
      <c r="L72" s="445"/>
      <c r="M72" s="446"/>
      <c r="N72" s="445"/>
      <c r="O72" s="445"/>
      <c r="P72" s="445"/>
      <c r="Q72" s="445"/>
      <c r="R72" s="447"/>
      <c r="S72" s="446"/>
      <c r="T72" s="446"/>
      <c r="U72" s="446"/>
      <c r="V72" s="446"/>
      <c r="W72" s="446"/>
      <c r="X72" s="446"/>
      <c r="Y72" s="446"/>
      <c r="Z72" s="446"/>
      <c r="AA72" s="445"/>
      <c r="AB72" s="445"/>
      <c r="AC72" s="445"/>
      <c r="AD72" s="445"/>
      <c r="AE72" s="447"/>
      <c r="AF72" s="1217"/>
      <c r="AG72" s="1195"/>
      <c r="AH72" s="789"/>
      <c r="AI72" s="789"/>
      <c r="AJ72" s="793"/>
      <c r="AK72" s="789"/>
      <c r="AL72" s="789"/>
      <c r="AM72" s="789"/>
      <c r="AN72" s="791"/>
      <c r="AO72" s="805"/>
      <c r="AP72" s="805"/>
      <c r="AQ72" s="786"/>
      <c r="AR72" s="786"/>
      <c r="AS72" s="786"/>
      <c r="AT72" s="786"/>
      <c r="AU72" s="787"/>
      <c r="AV72" s="787"/>
      <c r="AW72" s="787"/>
      <c r="AX72" s="784"/>
      <c r="AY72" s="1214"/>
    </row>
    <row r="73" spans="1:51" ht="27" customHeight="1" x14ac:dyDescent="0.25">
      <c r="A73" s="1191"/>
      <c r="B73" s="833"/>
      <c r="C73" s="809"/>
      <c r="D73" s="132" t="s">
        <v>4</v>
      </c>
      <c r="E73" s="142"/>
      <c r="F73" s="143"/>
      <c r="G73" s="445"/>
      <c r="H73" s="445"/>
      <c r="I73" s="445"/>
      <c r="J73" s="445"/>
      <c r="K73" s="445"/>
      <c r="L73" s="445"/>
      <c r="M73" s="446"/>
      <c r="N73" s="445"/>
      <c r="O73" s="445"/>
      <c r="P73" s="445"/>
      <c r="Q73" s="445"/>
      <c r="R73" s="447"/>
      <c r="S73" s="446"/>
      <c r="T73" s="446"/>
      <c r="U73" s="446"/>
      <c r="V73" s="446"/>
      <c r="W73" s="446"/>
      <c r="X73" s="446"/>
      <c r="Y73" s="446"/>
      <c r="Z73" s="446"/>
      <c r="AA73" s="445"/>
      <c r="AB73" s="445"/>
      <c r="AC73" s="445"/>
      <c r="AD73" s="445"/>
      <c r="AE73" s="447"/>
      <c r="AF73" s="1217"/>
      <c r="AG73" s="1195"/>
      <c r="AH73" s="789"/>
      <c r="AI73" s="789"/>
      <c r="AJ73" s="793"/>
      <c r="AK73" s="789"/>
      <c r="AL73" s="789"/>
      <c r="AM73" s="789"/>
      <c r="AN73" s="791"/>
      <c r="AO73" s="805"/>
      <c r="AP73" s="805"/>
      <c r="AQ73" s="786"/>
      <c r="AR73" s="786"/>
      <c r="AS73" s="786"/>
      <c r="AT73" s="786"/>
      <c r="AU73" s="787"/>
      <c r="AV73" s="787"/>
      <c r="AW73" s="787"/>
      <c r="AX73" s="784"/>
      <c r="AY73" s="1214"/>
    </row>
    <row r="74" spans="1:51" ht="27" customHeight="1" x14ac:dyDescent="0.25">
      <c r="A74" s="1191"/>
      <c r="B74" s="833"/>
      <c r="C74" s="809"/>
      <c r="D74" s="136" t="s">
        <v>43</v>
      </c>
      <c r="E74" s="142"/>
      <c r="F74" s="143"/>
      <c r="G74" s="445"/>
      <c r="H74" s="445"/>
      <c r="I74" s="445">
        <v>1</v>
      </c>
      <c r="J74" s="445">
        <v>1</v>
      </c>
      <c r="K74" s="445">
        <v>1</v>
      </c>
      <c r="L74" s="445">
        <v>1</v>
      </c>
      <c r="M74" s="446">
        <v>1</v>
      </c>
      <c r="N74" s="445">
        <v>1</v>
      </c>
      <c r="O74" s="445">
        <v>1</v>
      </c>
      <c r="P74" s="445">
        <v>1</v>
      </c>
      <c r="Q74" s="445">
        <v>1</v>
      </c>
      <c r="R74" s="447">
        <v>1</v>
      </c>
      <c r="S74" s="446"/>
      <c r="T74" s="446"/>
      <c r="U74" s="446"/>
      <c r="V74" s="446">
        <v>1</v>
      </c>
      <c r="W74" s="446">
        <v>1</v>
      </c>
      <c r="X74" s="446">
        <v>1</v>
      </c>
      <c r="Y74" s="446">
        <v>1</v>
      </c>
      <c r="Z74" s="446">
        <v>1</v>
      </c>
      <c r="AA74" s="445">
        <v>1</v>
      </c>
      <c r="AB74" s="445">
        <v>1</v>
      </c>
      <c r="AC74" s="445">
        <v>1</v>
      </c>
      <c r="AD74" s="445">
        <v>1</v>
      </c>
      <c r="AE74" s="447">
        <v>1</v>
      </c>
      <c r="AF74" s="1217"/>
      <c r="AG74" s="1195"/>
      <c r="AH74" s="789"/>
      <c r="AI74" s="789"/>
      <c r="AJ74" s="793"/>
      <c r="AK74" s="789"/>
      <c r="AL74" s="789"/>
      <c r="AM74" s="789"/>
      <c r="AN74" s="791"/>
      <c r="AO74" s="805"/>
      <c r="AP74" s="805"/>
      <c r="AQ74" s="786"/>
      <c r="AR74" s="786"/>
      <c r="AS74" s="786"/>
      <c r="AT74" s="786"/>
      <c r="AU74" s="787"/>
      <c r="AV74" s="787"/>
      <c r="AW74" s="787"/>
      <c r="AX74" s="784"/>
      <c r="AY74" s="1214"/>
    </row>
    <row r="75" spans="1:51" ht="27.75" customHeight="1" thickBot="1" x14ac:dyDescent="0.3">
      <c r="A75" s="1191"/>
      <c r="B75" s="833"/>
      <c r="C75" s="809"/>
      <c r="D75" s="140" t="s">
        <v>45</v>
      </c>
      <c r="E75" s="142"/>
      <c r="F75" s="143"/>
      <c r="G75" s="445"/>
      <c r="H75" s="445"/>
      <c r="I75" s="445">
        <v>5272055.0458715595</v>
      </c>
      <c r="J75" s="445">
        <v>5102816.5137614682</v>
      </c>
      <c r="K75" s="445">
        <f>+K74*$K$11/$K$10</f>
        <v>5102816.5137614682</v>
      </c>
      <c r="L75" s="445">
        <f>+L74*$L$11/$L$10</f>
        <v>5102816.5137614682</v>
      </c>
      <c r="M75" s="445">
        <f>+M74*$M$11/$M$10</f>
        <v>5102816.5137614682</v>
      </c>
      <c r="N75" s="445">
        <f>+N74*$N$11/$N$10</f>
        <v>5553568.8073394494</v>
      </c>
      <c r="O75" s="445">
        <f>+O74*$O$11/$O$10</f>
        <v>5553568.8073394494</v>
      </c>
      <c r="P75" s="445">
        <f>+P74*$O$11/$O$10</f>
        <v>5553568.8073394494</v>
      </c>
      <c r="Q75" s="445">
        <f>+Q74*$Q$11/$Q$10</f>
        <v>5553568.8073394494</v>
      </c>
      <c r="R75" s="445">
        <f>+R74*$R$11/$R$10</f>
        <v>5356982.3008849556</v>
      </c>
      <c r="S75" s="446"/>
      <c r="T75" s="446"/>
      <c r="U75" s="446"/>
      <c r="V75" s="449">
        <v>21558652.173913043</v>
      </c>
      <c r="W75" s="445">
        <v>15025727.272727273</v>
      </c>
      <c r="X75" s="445">
        <f>+X74*$X$11/$X$10</f>
        <v>11531372.093023255</v>
      </c>
      <c r="Y75" s="445">
        <f>+Y74*$Y$11/$Y$10</f>
        <v>10494471.698113207</v>
      </c>
      <c r="Z75" s="445">
        <f>+Z74*$Z$11/$Z$10</f>
        <v>8828682.5396825392</v>
      </c>
      <c r="AA75" s="445">
        <f>+AA74*$AA$11/$AA$10</f>
        <v>7619273.9726027399</v>
      </c>
      <c r="AB75" s="445">
        <f>+AB74*$AB$11/$AB$10</f>
        <v>6899981.9277108433</v>
      </c>
      <c r="AC75" s="445">
        <f>+AC74*$AC$11/$AC$10</f>
        <v>6158048.3870967738</v>
      </c>
      <c r="AD75" s="445">
        <f>+AD74*$AD$11/$AD$10</f>
        <v>5669529.1262135925</v>
      </c>
      <c r="AE75" s="445">
        <f>+AE74*$AE$11/$AE$10</f>
        <v>5229402.654867257</v>
      </c>
      <c r="AF75" s="1222"/>
      <c r="AG75" s="1196"/>
      <c r="AH75" s="790"/>
      <c r="AI75" s="790"/>
      <c r="AJ75" s="794"/>
      <c r="AK75" s="790"/>
      <c r="AL75" s="790"/>
      <c r="AM75" s="790"/>
      <c r="AN75" s="791"/>
      <c r="AO75" s="805"/>
      <c r="AP75" s="805"/>
      <c r="AQ75" s="786"/>
      <c r="AR75" s="786"/>
      <c r="AS75" s="786"/>
      <c r="AT75" s="786"/>
      <c r="AU75" s="787"/>
      <c r="AV75" s="787"/>
      <c r="AW75" s="787"/>
      <c r="AX75" s="785"/>
      <c r="AY75" s="1214"/>
    </row>
    <row r="76" spans="1:51" ht="18" customHeight="1" x14ac:dyDescent="0.25">
      <c r="A76" s="1191"/>
      <c r="B76" s="833"/>
      <c r="C76" s="809" t="s">
        <v>1309</v>
      </c>
      <c r="D76" s="141" t="s">
        <v>41</v>
      </c>
      <c r="E76" s="142"/>
      <c r="F76" s="143"/>
      <c r="G76" s="445">
        <v>1</v>
      </c>
      <c r="H76" s="445">
        <v>3</v>
      </c>
      <c r="I76" s="445">
        <v>3</v>
      </c>
      <c r="J76" s="445">
        <v>3</v>
      </c>
      <c r="K76" s="445">
        <v>4</v>
      </c>
      <c r="L76" s="445">
        <v>6</v>
      </c>
      <c r="M76" s="448">
        <v>9</v>
      </c>
      <c r="N76" s="445">
        <v>15</v>
      </c>
      <c r="O76" s="445">
        <v>16</v>
      </c>
      <c r="P76" s="445">
        <v>16</v>
      </c>
      <c r="Q76" s="445">
        <v>17</v>
      </c>
      <c r="R76" s="447">
        <v>26</v>
      </c>
      <c r="S76" s="446"/>
      <c r="T76" s="446">
        <v>1</v>
      </c>
      <c r="U76" s="446">
        <v>3</v>
      </c>
      <c r="V76" s="446">
        <v>3</v>
      </c>
      <c r="W76" s="446">
        <v>3</v>
      </c>
      <c r="X76" s="446">
        <v>4</v>
      </c>
      <c r="Y76" s="446">
        <v>6</v>
      </c>
      <c r="Z76" s="446">
        <v>9</v>
      </c>
      <c r="AA76" s="445">
        <v>15</v>
      </c>
      <c r="AB76" s="445">
        <v>16</v>
      </c>
      <c r="AC76" s="445">
        <v>16</v>
      </c>
      <c r="AD76" s="445">
        <v>17</v>
      </c>
      <c r="AE76" s="447">
        <v>26</v>
      </c>
      <c r="AF76" s="1206" t="s">
        <v>1269</v>
      </c>
      <c r="AG76" s="1194" t="s">
        <v>368</v>
      </c>
      <c r="AH76" s="788" t="s">
        <v>1103</v>
      </c>
      <c r="AI76" s="788" t="s">
        <v>1102</v>
      </c>
      <c r="AJ76" s="792" t="s">
        <v>914</v>
      </c>
      <c r="AK76" s="788" t="s">
        <v>315</v>
      </c>
      <c r="AL76" s="788" t="s">
        <v>70</v>
      </c>
      <c r="AM76" s="788" t="s">
        <v>316</v>
      </c>
      <c r="AN76" s="791">
        <v>388154</v>
      </c>
      <c r="AO76" s="805">
        <v>183971</v>
      </c>
      <c r="AP76" s="805">
        <v>204184</v>
      </c>
      <c r="AQ76" s="786" t="s">
        <v>317</v>
      </c>
      <c r="AR76" s="786" t="s">
        <v>317</v>
      </c>
      <c r="AS76" s="786" t="s">
        <v>317</v>
      </c>
      <c r="AT76" s="786" t="s">
        <v>317</v>
      </c>
      <c r="AU76" s="787" t="s">
        <v>317</v>
      </c>
      <c r="AV76" s="787" t="s">
        <v>317</v>
      </c>
      <c r="AW76" s="787" t="s">
        <v>317</v>
      </c>
      <c r="AX76" s="783">
        <v>388154</v>
      </c>
      <c r="AY76" s="1214"/>
    </row>
    <row r="77" spans="1:51" ht="18" x14ac:dyDescent="0.25">
      <c r="A77" s="1191"/>
      <c r="B77" s="833"/>
      <c r="C77" s="809"/>
      <c r="D77" s="132" t="s">
        <v>3</v>
      </c>
      <c r="E77" s="142"/>
      <c r="F77" s="143"/>
      <c r="G77" s="445">
        <v>5272055.0458715595</v>
      </c>
      <c r="H77" s="445">
        <v>15816165.137614679</v>
      </c>
      <c r="I77" s="445">
        <v>15816165.137614679</v>
      </c>
      <c r="J77" s="445">
        <v>15308449.541284403</v>
      </c>
      <c r="K77" s="445">
        <f>+K76*$K$11/$K$10</f>
        <v>20411266.055045873</v>
      </c>
      <c r="L77" s="445">
        <f>+L76*$L$11/$L$10</f>
        <v>30616899.082568806</v>
      </c>
      <c r="M77" s="445">
        <f>+M76*$M$11/$M$10</f>
        <v>45925348.623853214</v>
      </c>
      <c r="N77" s="445">
        <f>+N76*$N$11/$N$10</f>
        <v>83303532.110091746</v>
      </c>
      <c r="O77" s="445">
        <f>+O76*$O$11/$O$10</f>
        <v>88857100.917431191</v>
      </c>
      <c r="P77" s="445">
        <f>+P76*$O$11/$O$10</f>
        <v>88857100.917431191</v>
      </c>
      <c r="Q77" s="445">
        <f>+Q76*$Q$11/$Q$10</f>
        <v>94410669.724770635</v>
      </c>
      <c r="R77" s="445">
        <f>+R76*$R$11/$R$10</f>
        <v>139281539.82300884</v>
      </c>
      <c r="S77" s="446"/>
      <c r="T77" s="445">
        <v>0</v>
      </c>
      <c r="U77" s="445">
        <v>71178461.538461536</v>
      </c>
      <c r="V77" s="449">
        <v>64675956.521739133</v>
      </c>
      <c r="W77" s="445">
        <v>45077181.81818182</v>
      </c>
      <c r="X77" s="445">
        <f>+X76*$X$11/$X$10</f>
        <v>46125488.372093022</v>
      </c>
      <c r="Y77" s="445">
        <f>+Y76*$Y$11/$Y$10</f>
        <v>62966830.188679248</v>
      </c>
      <c r="Z77" s="445">
        <f>+Z76*$Z$11/$Z$10</f>
        <v>79458142.857142851</v>
      </c>
      <c r="AA77" s="445">
        <f>+AA76*$AA$11/$AA$10</f>
        <v>114289109.5890411</v>
      </c>
      <c r="AB77" s="445">
        <f>+AB76*$AB$11/$AB$10</f>
        <v>110399710.84337349</v>
      </c>
      <c r="AC77" s="445">
        <f>+AC76*$AC$11/$AC$10</f>
        <v>98528774.193548381</v>
      </c>
      <c r="AD77" s="445">
        <f>+AD76*$AD$11/$AD$10</f>
        <v>96381995.145631075</v>
      </c>
      <c r="AE77" s="445">
        <f>+AE76*$AE$11/$AE$10</f>
        <v>135964469.02654868</v>
      </c>
      <c r="AF77" s="1209"/>
      <c r="AG77" s="1195"/>
      <c r="AH77" s="789"/>
      <c r="AI77" s="789"/>
      <c r="AJ77" s="793"/>
      <c r="AK77" s="789"/>
      <c r="AL77" s="789"/>
      <c r="AM77" s="789"/>
      <c r="AN77" s="791"/>
      <c r="AO77" s="805"/>
      <c r="AP77" s="805"/>
      <c r="AQ77" s="786"/>
      <c r="AR77" s="786"/>
      <c r="AS77" s="786"/>
      <c r="AT77" s="786"/>
      <c r="AU77" s="787"/>
      <c r="AV77" s="787"/>
      <c r="AW77" s="787"/>
      <c r="AX77" s="784"/>
      <c r="AY77" s="1214"/>
    </row>
    <row r="78" spans="1:51" ht="27" x14ac:dyDescent="0.25">
      <c r="A78" s="1191"/>
      <c r="B78" s="833"/>
      <c r="C78" s="809"/>
      <c r="D78" s="136" t="s">
        <v>42</v>
      </c>
      <c r="E78" s="142"/>
      <c r="F78" s="143"/>
      <c r="G78" s="445"/>
      <c r="H78" s="445"/>
      <c r="I78" s="445"/>
      <c r="J78" s="445"/>
      <c r="K78" s="445"/>
      <c r="L78" s="445"/>
      <c r="M78" s="446"/>
      <c r="N78" s="445"/>
      <c r="O78" s="445"/>
      <c r="P78" s="445"/>
      <c r="Q78" s="445"/>
      <c r="R78" s="447"/>
      <c r="S78" s="446"/>
      <c r="T78" s="446"/>
      <c r="U78" s="446"/>
      <c r="V78" s="446"/>
      <c r="W78" s="446"/>
      <c r="X78" s="446"/>
      <c r="Y78" s="446"/>
      <c r="Z78" s="446"/>
      <c r="AA78" s="445"/>
      <c r="AB78" s="445"/>
      <c r="AC78" s="445"/>
      <c r="AD78" s="445"/>
      <c r="AE78" s="447"/>
      <c r="AF78" s="1209"/>
      <c r="AG78" s="1195"/>
      <c r="AH78" s="789"/>
      <c r="AI78" s="789"/>
      <c r="AJ78" s="793"/>
      <c r="AK78" s="789"/>
      <c r="AL78" s="789"/>
      <c r="AM78" s="789"/>
      <c r="AN78" s="791"/>
      <c r="AO78" s="805"/>
      <c r="AP78" s="805"/>
      <c r="AQ78" s="786"/>
      <c r="AR78" s="786"/>
      <c r="AS78" s="786"/>
      <c r="AT78" s="786"/>
      <c r="AU78" s="787"/>
      <c r="AV78" s="787"/>
      <c r="AW78" s="787"/>
      <c r="AX78" s="784"/>
      <c r="AY78" s="1214"/>
    </row>
    <row r="79" spans="1:51" ht="42" customHeight="1" x14ac:dyDescent="0.25">
      <c r="A79" s="1191"/>
      <c r="B79" s="833"/>
      <c r="C79" s="809"/>
      <c r="D79" s="132" t="s">
        <v>4</v>
      </c>
      <c r="E79" s="142"/>
      <c r="F79" s="143"/>
      <c r="G79" s="445"/>
      <c r="H79" s="445"/>
      <c r="I79" s="445"/>
      <c r="J79" s="445"/>
      <c r="K79" s="445"/>
      <c r="L79" s="445"/>
      <c r="M79" s="446"/>
      <c r="N79" s="445"/>
      <c r="O79" s="445"/>
      <c r="P79" s="445"/>
      <c r="Q79" s="445"/>
      <c r="R79" s="447"/>
      <c r="S79" s="446"/>
      <c r="T79" s="445">
        <v>1355400</v>
      </c>
      <c r="U79" s="441">
        <v>14532248.6</v>
      </c>
      <c r="V79" s="446"/>
      <c r="W79" s="446"/>
      <c r="X79" s="446"/>
      <c r="Y79" s="446"/>
      <c r="Z79" s="446"/>
      <c r="AA79" s="445"/>
      <c r="AB79" s="445"/>
      <c r="AC79" s="445"/>
      <c r="AD79" s="445"/>
      <c r="AE79" s="447"/>
      <c r="AF79" s="1209"/>
      <c r="AG79" s="1195"/>
      <c r="AH79" s="789"/>
      <c r="AI79" s="789"/>
      <c r="AJ79" s="793"/>
      <c r="AK79" s="789"/>
      <c r="AL79" s="789"/>
      <c r="AM79" s="789"/>
      <c r="AN79" s="791"/>
      <c r="AO79" s="805"/>
      <c r="AP79" s="805"/>
      <c r="AQ79" s="786"/>
      <c r="AR79" s="786"/>
      <c r="AS79" s="786"/>
      <c r="AT79" s="786"/>
      <c r="AU79" s="787"/>
      <c r="AV79" s="787"/>
      <c r="AW79" s="787"/>
      <c r="AX79" s="784"/>
      <c r="AY79" s="1214"/>
    </row>
    <row r="80" spans="1:51" ht="27" x14ac:dyDescent="0.25">
      <c r="A80" s="1191"/>
      <c r="B80" s="833"/>
      <c r="C80" s="809"/>
      <c r="D80" s="136" t="s">
        <v>43</v>
      </c>
      <c r="E80" s="142"/>
      <c r="F80" s="143"/>
      <c r="G80" s="445">
        <v>1</v>
      </c>
      <c r="H80" s="445">
        <v>3</v>
      </c>
      <c r="I80" s="445">
        <v>3</v>
      </c>
      <c r="J80" s="445">
        <v>3</v>
      </c>
      <c r="K80" s="445">
        <v>4</v>
      </c>
      <c r="L80" s="445">
        <v>6</v>
      </c>
      <c r="M80" s="446">
        <v>9</v>
      </c>
      <c r="N80" s="445">
        <v>15</v>
      </c>
      <c r="O80" s="445">
        <v>16</v>
      </c>
      <c r="P80" s="445">
        <v>16</v>
      </c>
      <c r="Q80" s="445">
        <v>17</v>
      </c>
      <c r="R80" s="447">
        <v>26</v>
      </c>
      <c r="S80" s="446"/>
      <c r="T80" s="446">
        <v>1</v>
      </c>
      <c r="U80" s="446">
        <v>3</v>
      </c>
      <c r="V80" s="446">
        <v>3</v>
      </c>
      <c r="W80" s="446">
        <v>3</v>
      </c>
      <c r="X80" s="446">
        <v>4</v>
      </c>
      <c r="Y80" s="446">
        <v>6</v>
      </c>
      <c r="Z80" s="446">
        <v>9</v>
      </c>
      <c r="AA80" s="445">
        <v>15</v>
      </c>
      <c r="AB80" s="445">
        <v>16</v>
      </c>
      <c r="AC80" s="445">
        <v>16</v>
      </c>
      <c r="AD80" s="445">
        <v>17</v>
      </c>
      <c r="AE80" s="447">
        <v>26</v>
      </c>
      <c r="AF80" s="1209"/>
      <c r="AG80" s="1195"/>
      <c r="AH80" s="789"/>
      <c r="AI80" s="789"/>
      <c r="AJ80" s="793"/>
      <c r="AK80" s="789"/>
      <c r="AL80" s="789"/>
      <c r="AM80" s="789"/>
      <c r="AN80" s="791"/>
      <c r="AO80" s="805"/>
      <c r="AP80" s="805"/>
      <c r="AQ80" s="786"/>
      <c r="AR80" s="786"/>
      <c r="AS80" s="786"/>
      <c r="AT80" s="786"/>
      <c r="AU80" s="787"/>
      <c r="AV80" s="787"/>
      <c r="AW80" s="787"/>
      <c r="AX80" s="784"/>
      <c r="AY80" s="1214"/>
    </row>
    <row r="81" spans="1:51" ht="27.75" thickBot="1" x14ac:dyDescent="0.3">
      <c r="A81" s="1191"/>
      <c r="B81" s="833"/>
      <c r="C81" s="809"/>
      <c r="D81" s="140" t="s">
        <v>45</v>
      </c>
      <c r="E81" s="142"/>
      <c r="F81" s="143"/>
      <c r="G81" s="445">
        <v>5272055.0458715595</v>
      </c>
      <c r="H81" s="445">
        <v>15816165.137614679</v>
      </c>
      <c r="I81" s="445">
        <v>15816165.137614679</v>
      </c>
      <c r="J81" s="445">
        <v>15308449.541284403</v>
      </c>
      <c r="K81" s="445">
        <f>+K80*$K$11/$K$10</f>
        <v>20411266.055045873</v>
      </c>
      <c r="L81" s="445">
        <f>+L80*$L$11/$L$10</f>
        <v>30616899.082568806</v>
      </c>
      <c r="M81" s="445">
        <f>+M80*$M$11/$M$10</f>
        <v>45925348.623853214</v>
      </c>
      <c r="N81" s="445">
        <f>+N80*$N$11/$N$10</f>
        <v>83303532.110091746</v>
      </c>
      <c r="O81" s="445">
        <f>+O80*$O$11/$O$10</f>
        <v>88857100.917431191</v>
      </c>
      <c r="P81" s="445">
        <f>+P80*$O$11/$O$10</f>
        <v>88857100.917431191</v>
      </c>
      <c r="Q81" s="445">
        <f>+Q80*$Q$11/$Q$10</f>
        <v>94410669.724770635</v>
      </c>
      <c r="R81" s="445">
        <f>+R80*$R$11/$R$10</f>
        <v>139281539.82300884</v>
      </c>
      <c r="S81" s="446"/>
      <c r="T81" s="445">
        <v>0</v>
      </c>
      <c r="U81" s="445">
        <v>71178461.538461536</v>
      </c>
      <c r="V81" s="449">
        <v>64675956.521739133</v>
      </c>
      <c r="W81" s="445">
        <v>45077181.81818182</v>
      </c>
      <c r="X81" s="445">
        <f>+X80*$X$11/$X$10</f>
        <v>46125488.372093022</v>
      </c>
      <c r="Y81" s="445">
        <f>+Y80*$Y$11/$Y$10</f>
        <v>62966830.188679248</v>
      </c>
      <c r="Z81" s="445">
        <f>+Z80*$Z$11/$Z$10</f>
        <v>79458142.857142851</v>
      </c>
      <c r="AA81" s="445">
        <f>+AA80*$AA$11/$AA$10</f>
        <v>114289109.5890411</v>
      </c>
      <c r="AB81" s="445">
        <f>+AB80*$AB$11/$AB$10</f>
        <v>110399710.84337349</v>
      </c>
      <c r="AC81" s="445">
        <f>+AC80*$AC$11/$AC$10</f>
        <v>98528774.193548381</v>
      </c>
      <c r="AD81" s="445">
        <f>+AD80*$AD$11/$AD$10</f>
        <v>96381995.145631075</v>
      </c>
      <c r="AE81" s="445">
        <f>+AE80*$AE$11/$AE$10</f>
        <v>135964469.02654868</v>
      </c>
      <c r="AF81" s="1212"/>
      <c r="AG81" s="1196"/>
      <c r="AH81" s="790"/>
      <c r="AI81" s="790"/>
      <c r="AJ81" s="794"/>
      <c r="AK81" s="790"/>
      <c r="AL81" s="790"/>
      <c r="AM81" s="790"/>
      <c r="AN81" s="791"/>
      <c r="AO81" s="805"/>
      <c r="AP81" s="805"/>
      <c r="AQ81" s="786"/>
      <c r="AR81" s="786"/>
      <c r="AS81" s="786"/>
      <c r="AT81" s="786"/>
      <c r="AU81" s="787"/>
      <c r="AV81" s="787"/>
      <c r="AW81" s="787"/>
      <c r="AX81" s="785"/>
      <c r="AY81" s="1214"/>
    </row>
    <row r="82" spans="1:51" ht="18" customHeight="1" x14ac:dyDescent="0.25">
      <c r="A82" s="1191"/>
      <c r="B82" s="833"/>
      <c r="C82" s="809" t="s">
        <v>437</v>
      </c>
      <c r="D82" s="141" t="s">
        <v>41</v>
      </c>
      <c r="E82" s="142"/>
      <c r="F82" s="143"/>
      <c r="G82" s="445"/>
      <c r="H82" s="445"/>
      <c r="I82" s="445">
        <v>1</v>
      </c>
      <c r="J82" s="445">
        <v>2</v>
      </c>
      <c r="K82" s="445">
        <v>2</v>
      </c>
      <c r="L82" s="445">
        <v>2</v>
      </c>
      <c r="M82" s="446">
        <v>3</v>
      </c>
      <c r="N82" s="445">
        <v>3</v>
      </c>
      <c r="O82" s="445">
        <v>3</v>
      </c>
      <c r="P82" s="445">
        <v>3</v>
      </c>
      <c r="Q82" s="445">
        <v>4</v>
      </c>
      <c r="R82" s="447">
        <v>4</v>
      </c>
      <c r="S82" s="446"/>
      <c r="T82" s="446"/>
      <c r="U82" s="446"/>
      <c r="V82" s="446">
        <v>1</v>
      </c>
      <c r="W82" s="448">
        <v>2</v>
      </c>
      <c r="X82" s="446">
        <v>2</v>
      </c>
      <c r="Y82" s="446">
        <v>2</v>
      </c>
      <c r="Z82" s="446">
        <v>3</v>
      </c>
      <c r="AA82" s="445">
        <v>3</v>
      </c>
      <c r="AB82" s="445">
        <v>3</v>
      </c>
      <c r="AC82" s="445">
        <v>3</v>
      </c>
      <c r="AD82" s="445">
        <v>4</v>
      </c>
      <c r="AE82" s="447">
        <v>4</v>
      </c>
      <c r="AF82" s="1213" t="s">
        <v>836</v>
      </c>
      <c r="AG82" s="1194" t="s">
        <v>373</v>
      </c>
      <c r="AH82" s="788" t="s">
        <v>1105</v>
      </c>
      <c r="AI82" s="788" t="s">
        <v>1104</v>
      </c>
      <c r="AJ82" s="792" t="s">
        <v>914</v>
      </c>
      <c r="AK82" s="788" t="s">
        <v>315</v>
      </c>
      <c r="AL82" s="788" t="s">
        <v>377</v>
      </c>
      <c r="AM82" s="788" t="s">
        <v>316</v>
      </c>
      <c r="AN82" s="791">
        <v>831378</v>
      </c>
      <c r="AO82" s="805">
        <v>392164</v>
      </c>
      <c r="AP82" s="805">
        <v>439214</v>
      </c>
      <c r="AQ82" s="786" t="s">
        <v>317</v>
      </c>
      <c r="AR82" s="786" t="s">
        <v>317</v>
      </c>
      <c r="AS82" s="786" t="s">
        <v>317</v>
      </c>
      <c r="AT82" s="786" t="s">
        <v>317</v>
      </c>
      <c r="AU82" s="787" t="s">
        <v>317</v>
      </c>
      <c r="AV82" s="787" t="s">
        <v>317</v>
      </c>
      <c r="AW82" s="787" t="s">
        <v>317</v>
      </c>
      <c r="AX82" s="783">
        <v>831378</v>
      </c>
      <c r="AY82" s="1214"/>
    </row>
    <row r="83" spans="1:51" ht="18" customHeight="1" x14ac:dyDescent="0.25">
      <c r="A83" s="1191"/>
      <c r="B83" s="833"/>
      <c r="C83" s="809"/>
      <c r="D83" s="132" t="s">
        <v>3</v>
      </c>
      <c r="E83" s="142"/>
      <c r="F83" s="143"/>
      <c r="G83" s="445"/>
      <c r="H83" s="445"/>
      <c r="I83" s="445"/>
      <c r="J83" s="445">
        <v>10205633.027522936</v>
      </c>
      <c r="K83" s="445">
        <f>+K82*$K$11/$K$10</f>
        <v>10205633.027522936</v>
      </c>
      <c r="L83" s="445">
        <f>+L82*$L$11/$L$10</f>
        <v>10205633.027522936</v>
      </c>
      <c r="M83" s="445">
        <f>+M82*$M$11/$M$10</f>
        <v>15308449.541284403</v>
      </c>
      <c r="N83" s="445">
        <f>+N82*$N$11/$N$10</f>
        <v>16660706.422018349</v>
      </c>
      <c r="O83" s="445">
        <f>+O82*$O$11/$O$10</f>
        <v>16660706.422018349</v>
      </c>
      <c r="P83" s="445">
        <f>+P82*$O$11/$O$10</f>
        <v>16660706.422018349</v>
      </c>
      <c r="Q83" s="445">
        <f>+Q82*$Q$11/$Q$10</f>
        <v>22214275.229357798</v>
      </c>
      <c r="R83" s="445">
        <f>+R82*$R$11/$R$10</f>
        <v>21427929.203539822</v>
      </c>
      <c r="S83" s="446"/>
      <c r="T83" s="446"/>
      <c r="U83" s="446"/>
      <c r="V83" s="449">
        <v>21558652.173913043</v>
      </c>
      <c r="W83" s="445">
        <v>30051454.545454547</v>
      </c>
      <c r="X83" s="445">
        <f>+X82*$X$11/$X$10</f>
        <v>23062744.186046511</v>
      </c>
      <c r="Y83" s="445">
        <f>+Y82*$Y$11/$Y$10</f>
        <v>20988943.396226414</v>
      </c>
      <c r="Z83" s="445">
        <f>+Z82*$Z$11/$Z$10</f>
        <v>26486047.619047619</v>
      </c>
      <c r="AA83" s="445">
        <f>+AA82*$AA$11/$AA$10</f>
        <v>22857821.91780822</v>
      </c>
      <c r="AB83" s="445">
        <f>+AB82*$AB$11/$AB$10</f>
        <v>20699945.783132531</v>
      </c>
      <c r="AC83" s="445">
        <f>+AC82*$AC$11/$AC$10</f>
        <v>18474145.161290321</v>
      </c>
      <c r="AD83" s="445">
        <f>+AD82*$AD$11/$AD$10</f>
        <v>22678116.50485437</v>
      </c>
      <c r="AE83" s="449">
        <f>+AE82*$AE$11/$AE$10</f>
        <v>20917610.619469028</v>
      </c>
      <c r="AF83" s="1217"/>
      <c r="AG83" s="1195"/>
      <c r="AH83" s="789"/>
      <c r="AI83" s="789"/>
      <c r="AJ83" s="793"/>
      <c r="AK83" s="789"/>
      <c r="AL83" s="789"/>
      <c r="AM83" s="789"/>
      <c r="AN83" s="791"/>
      <c r="AO83" s="805"/>
      <c r="AP83" s="805"/>
      <c r="AQ83" s="786"/>
      <c r="AR83" s="786"/>
      <c r="AS83" s="786"/>
      <c r="AT83" s="786"/>
      <c r="AU83" s="787"/>
      <c r="AV83" s="787"/>
      <c r="AW83" s="787"/>
      <c r="AX83" s="784"/>
      <c r="AY83" s="1214"/>
    </row>
    <row r="84" spans="1:51" ht="27" customHeight="1" x14ac:dyDescent="0.25">
      <c r="A84" s="1191"/>
      <c r="B84" s="833"/>
      <c r="C84" s="809"/>
      <c r="D84" s="136" t="s">
        <v>42</v>
      </c>
      <c r="E84" s="142"/>
      <c r="F84" s="143"/>
      <c r="G84" s="445"/>
      <c r="H84" s="445"/>
      <c r="I84" s="445"/>
      <c r="J84" s="445"/>
      <c r="K84" s="445"/>
      <c r="L84" s="445"/>
      <c r="M84" s="446"/>
      <c r="N84" s="445"/>
      <c r="O84" s="445"/>
      <c r="P84" s="445"/>
      <c r="Q84" s="445"/>
      <c r="R84" s="447"/>
      <c r="S84" s="446"/>
      <c r="T84" s="446"/>
      <c r="U84" s="446"/>
      <c r="V84" s="446"/>
      <c r="W84" s="446"/>
      <c r="X84" s="446"/>
      <c r="Y84" s="446"/>
      <c r="Z84" s="446"/>
      <c r="AA84" s="445"/>
      <c r="AB84" s="445"/>
      <c r="AC84" s="445"/>
      <c r="AD84" s="445"/>
      <c r="AE84" s="447"/>
      <c r="AF84" s="1217"/>
      <c r="AG84" s="1195"/>
      <c r="AH84" s="789"/>
      <c r="AI84" s="789"/>
      <c r="AJ84" s="793"/>
      <c r="AK84" s="789"/>
      <c r="AL84" s="789"/>
      <c r="AM84" s="789"/>
      <c r="AN84" s="791"/>
      <c r="AO84" s="805"/>
      <c r="AP84" s="805"/>
      <c r="AQ84" s="786"/>
      <c r="AR84" s="786"/>
      <c r="AS84" s="786"/>
      <c r="AT84" s="786"/>
      <c r="AU84" s="787"/>
      <c r="AV84" s="787"/>
      <c r="AW84" s="787"/>
      <c r="AX84" s="784"/>
      <c r="AY84" s="1214"/>
    </row>
    <row r="85" spans="1:51" ht="27" customHeight="1" x14ac:dyDescent="0.25">
      <c r="A85" s="1191"/>
      <c r="B85" s="833"/>
      <c r="C85" s="809"/>
      <c r="D85" s="132" t="s">
        <v>4</v>
      </c>
      <c r="E85" s="142"/>
      <c r="F85" s="143"/>
      <c r="G85" s="445"/>
      <c r="H85" s="445"/>
      <c r="I85" s="445"/>
      <c r="J85" s="445"/>
      <c r="K85" s="445"/>
      <c r="L85" s="445"/>
      <c r="M85" s="446"/>
      <c r="N85" s="445"/>
      <c r="O85" s="445"/>
      <c r="P85" s="445"/>
      <c r="Q85" s="445"/>
      <c r="R85" s="447"/>
      <c r="S85" s="446"/>
      <c r="T85" s="446"/>
      <c r="U85" s="446"/>
      <c r="V85" s="446"/>
      <c r="W85" s="446"/>
      <c r="X85" s="446"/>
      <c r="Y85" s="446"/>
      <c r="Z85" s="446"/>
      <c r="AA85" s="445"/>
      <c r="AB85" s="445"/>
      <c r="AC85" s="445"/>
      <c r="AD85" s="445"/>
      <c r="AE85" s="447"/>
      <c r="AF85" s="1217"/>
      <c r="AG85" s="1195"/>
      <c r="AH85" s="789"/>
      <c r="AI85" s="789"/>
      <c r="AJ85" s="793"/>
      <c r="AK85" s="789"/>
      <c r="AL85" s="789"/>
      <c r="AM85" s="789"/>
      <c r="AN85" s="791"/>
      <c r="AO85" s="805"/>
      <c r="AP85" s="805"/>
      <c r="AQ85" s="786"/>
      <c r="AR85" s="786"/>
      <c r="AS85" s="786"/>
      <c r="AT85" s="786"/>
      <c r="AU85" s="787"/>
      <c r="AV85" s="787"/>
      <c r="AW85" s="787"/>
      <c r="AX85" s="784"/>
      <c r="AY85" s="1214"/>
    </row>
    <row r="86" spans="1:51" ht="27" customHeight="1" x14ac:dyDescent="0.25">
      <c r="A86" s="1191"/>
      <c r="B86" s="833"/>
      <c r="C86" s="809"/>
      <c r="D86" s="136" t="s">
        <v>43</v>
      </c>
      <c r="E86" s="142"/>
      <c r="F86" s="143"/>
      <c r="G86" s="445"/>
      <c r="H86" s="445"/>
      <c r="I86" s="445">
        <v>1</v>
      </c>
      <c r="J86" s="445">
        <v>2</v>
      </c>
      <c r="K86" s="445">
        <v>2</v>
      </c>
      <c r="L86" s="445">
        <v>2</v>
      </c>
      <c r="M86" s="446">
        <v>3</v>
      </c>
      <c r="N86" s="445">
        <v>3</v>
      </c>
      <c r="O86" s="445">
        <v>3</v>
      </c>
      <c r="P86" s="445">
        <v>3</v>
      </c>
      <c r="Q86" s="445">
        <v>4</v>
      </c>
      <c r="R86" s="447">
        <v>4</v>
      </c>
      <c r="S86" s="446"/>
      <c r="T86" s="446"/>
      <c r="U86" s="446"/>
      <c r="V86" s="446">
        <v>1</v>
      </c>
      <c r="W86" s="446">
        <v>2</v>
      </c>
      <c r="X86" s="446">
        <v>2</v>
      </c>
      <c r="Y86" s="446">
        <v>2</v>
      </c>
      <c r="Z86" s="446">
        <v>3</v>
      </c>
      <c r="AA86" s="445">
        <v>3</v>
      </c>
      <c r="AB86" s="445">
        <v>3</v>
      </c>
      <c r="AC86" s="445">
        <v>3</v>
      </c>
      <c r="AD86" s="445">
        <v>4</v>
      </c>
      <c r="AE86" s="447">
        <v>4</v>
      </c>
      <c r="AF86" s="1217"/>
      <c r="AG86" s="1195"/>
      <c r="AH86" s="789"/>
      <c r="AI86" s="789"/>
      <c r="AJ86" s="793"/>
      <c r="AK86" s="789"/>
      <c r="AL86" s="789"/>
      <c r="AM86" s="789"/>
      <c r="AN86" s="791"/>
      <c r="AO86" s="805"/>
      <c r="AP86" s="805"/>
      <c r="AQ86" s="786"/>
      <c r="AR86" s="786"/>
      <c r="AS86" s="786"/>
      <c r="AT86" s="786"/>
      <c r="AU86" s="787"/>
      <c r="AV86" s="787"/>
      <c r="AW86" s="787"/>
      <c r="AX86" s="784"/>
      <c r="AY86" s="1214"/>
    </row>
    <row r="87" spans="1:51" ht="27.75" customHeight="1" thickBot="1" x14ac:dyDescent="0.3">
      <c r="A87" s="1191"/>
      <c r="B87" s="833"/>
      <c r="C87" s="809"/>
      <c r="D87" s="140" t="s">
        <v>45</v>
      </c>
      <c r="E87" s="142"/>
      <c r="F87" s="143"/>
      <c r="G87" s="445"/>
      <c r="H87" s="445"/>
      <c r="I87" s="445">
        <v>5272055.0458715595</v>
      </c>
      <c r="J87" s="445">
        <v>10205633.027522936</v>
      </c>
      <c r="K87" s="445">
        <f>+K86*$K$11/$K$10</f>
        <v>10205633.027522936</v>
      </c>
      <c r="L87" s="445">
        <f>+L86*$L$11/$L$10</f>
        <v>10205633.027522936</v>
      </c>
      <c r="M87" s="445">
        <f>+M86*$M$11/$M$10</f>
        <v>15308449.541284403</v>
      </c>
      <c r="N87" s="445">
        <f>+N86*$N$11/$N$10</f>
        <v>16660706.422018349</v>
      </c>
      <c r="O87" s="445">
        <f>+O86*$O$11/$O$10</f>
        <v>16660706.422018349</v>
      </c>
      <c r="P87" s="445">
        <f>+P86*$O$11/$O$10</f>
        <v>16660706.422018349</v>
      </c>
      <c r="Q87" s="445">
        <f>+Q86*$Q$11/$Q$10</f>
        <v>22214275.229357798</v>
      </c>
      <c r="R87" s="445">
        <f>+R86*$R$11/$R$10</f>
        <v>21427929.203539822</v>
      </c>
      <c r="S87" s="446"/>
      <c r="T87" s="446"/>
      <c r="U87" s="446"/>
      <c r="V87" s="449">
        <v>21558652.173913043</v>
      </c>
      <c r="W87" s="445">
        <v>30051454.545454547</v>
      </c>
      <c r="X87" s="445">
        <f>+X86*$X$11/$X$10</f>
        <v>23062744.186046511</v>
      </c>
      <c r="Y87" s="445">
        <f>+Y86*$Y$11/$Y$10</f>
        <v>20988943.396226414</v>
      </c>
      <c r="Z87" s="445">
        <f>+Z86*$Z$11/$Z$10</f>
        <v>26486047.619047619</v>
      </c>
      <c r="AA87" s="445">
        <f>+AA86*$AA$11/$AA$10</f>
        <v>22857821.91780822</v>
      </c>
      <c r="AB87" s="445">
        <f>+AB86*$AB$11/$AB$10</f>
        <v>20699945.783132531</v>
      </c>
      <c r="AC87" s="445">
        <f>+AC86*$AC$11/$AC$10</f>
        <v>18474145.161290321</v>
      </c>
      <c r="AD87" s="445">
        <f>+AD86*$AD$11/$AD$10</f>
        <v>22678116.50485437</v>
      </c>
      <c r="AE87" s="445">
        <f>+AE86*$AE$11/$AE$10</f>
        <v>20917610.619469028</v>
      </c>
      <c r="AF87" s="1222"/>
      <c r="AG87" s="1196"/>
      <c r="AH87" s="790"/>
      <c r="AI87" s="790"/>
      <c r="AJ87" s="794"/>
      <c r="AK87" s="790"/>
      <c r="AL87" s="790"/>
      <c r="AM87" s="790"/>
      <c r="AN87" s="791"/>
      <c r="AO87" s="805"/>
      <c r="AP87" s="805"/>
      <c r="AQ87" s="786"/>
      <c r="AR87" s="786"/>
      <c r="AS87" s="786"/>
      <c r="AT87" s="786"/>
      <c r="AU87" s="787"/>
      <c r="AV87" s="787"/>
      <c r="AW87" s="787"/>
      <c r="AX87" s="785"/>
      <c r="AY87" s="1214"/>
    </row>
    <row r="88" spans="1:51" ht="29.45" customHeight="1" x14ac:dyDescent="0.25">
      <c r="A88" s="1191"/>
      <c r="B88" s="833"/>
      <c r="C88" s="809" t="s">
        <v>1310</v>
      </c>
      <c r="D88" s="141" t="s">
        <v>41</v>
      </c>
      <c r="E88" s="142"/>
      <c r="F88" s="143"/>
      <c r="G88" s="445"/>
      <c r="H88" s="445">
        <v>2</v>
      </c>
      <c r="I88" s="445">
        <v>6</v>
      </c>
      <c r="J88" s="445">
        <v>6</v>
      </c>
      <c r="K88" s="445">
        <v>9</v>
      </c>
      <c r="L88" s="445">
        <v>11</v>
      </c>
      <c r="M88" s="446">
        <v>11</v>
      </c>
      <c r="N88" s="445">
        <v>11</v>
      </c>
      <c r="O88" s="445">
        <v>14</v>
      </c>
      <c r="P88" s="445">
        <v>18</v>
      </c>
      <c r="Q88" s="445">
        <v>20</v>
      </c>
      <c r="R88" s="447">
        <v>20</v>
      </c>
      <c r="S88" s="446"/>
      <c r="T88" s="446"/>
      <c r="U88" s="446">
        <v>2</v>
      </c>
      <c r="V88" s="446">
        <v>6</v>
      </c>
      <c r="W88" s="446">
        <v>6</v>
      </c>
      <c r="X88" s="446">
        <v>9</v>
      </c>
      <c r="Y88" s="446">
        <v>11</v>
      </c>
      <c r="Z88" s="446">
        <v>11</v>
      </c>
      <c r="AA88" s="445">
        <v>11</v>
      </c>
      <c r="AB88" s="445">
        <v>14</v>
      </c>
      <c r="AC88" s="445">
        <v>18</v>
      </c>
      <c r="AD88" s="445">
        <v>20</v>
      </c>
      <c r="AE88" s="447">
        <v>20</v>
      </c>
      <c r="AF88" s="1206" t="s">
        <v>1270</v>
      </c>
      <c r="AG88" s="1194" t="s">
        <v>378</v>
      </c>
      <c r="AH88" s="788" t="s">
        <v>1107</v>
      </c>
      <c r="AI88" s="788" t="s">
        <v>1106</v>
      </c>
      <c r="AJ88" s="792" t="s">
        <v>914</v>
      </c>
      <c r="AK88" s="788" t="s">
        <v>315</v>
      </c>
      <c r="AL88" s="788" t="s">
        <v>1002</v>
      </c>
      <c r="AM88" s="788" t="s">
        <v>316</v>
      </c>
      <c r="AN88" s="805">
        <v>1229903</v>
      </c>
      <c r="AO88" s="805">
        <v>579046</v>
      </c>
      <c r="AP88" s="805">
        <v>650857</v>
      </c>
      <c r="AQ88" s="786" t="s">
        <v>317</v>
      </c>
      <c r="AR88" s="786" t="s">
        <v>317</v>
      </c>
      <c r="AS88" s="786" t="s">
        <v>317</v>
      </c>
      <c r="AT88" s="786" t="s">
        <v>317</v>
      </c>
      <c r="AU88" s="787" t="s">
        <v>317</v>
      </c>
      <c r="AV88" s="787" t="s">
        <v>317</v>
      </c>
      <c r="AW88" s="787" t="s">
        <v>317</v>
      </c>
      <c r="AX88" s="783">
        <v>1229903</v>
      </c>
      <c r="AY88" s="1214"/>
    </row>
    <row r="89" spans="1:51" ht="41.25" customHeight="1" x14ac:dyDescent="0.25">
      <c r="A89" s="1191"/>
      <c r="B89" s="833"/>
      <c r="C89" s="809"/>
      <c r="D89" s="132" t="s">
        <v>3</v>
      </c>
      <c r="E89" s="142"/>
      <c r="F89" s="143"/>
      <c r="G89" s="445"/>
      <c r="H89" s="445">
        <v>10544110.091743119</v>
      </c>
      <c r="I89" s="445"/>
      <c r="J89" s="445">
        <v>30616899.082568806</v>
      </c>
      <c r="K89" s="445">
        <f>+K88*$K$11/$K$10</f>
        <v>45925348.623853214</v>
      </c>
      <c r="L89" s="445">
        <f>+L88*$L$11/$L$10</f>
        <v>56130981.651376143</v>
      </c>
      <c r="M89" s="445">
        <f>+M88*$M$11/$M$10</f>
        <v>56130981.651376143</v>
      </c>
      <c r="N89" s="445">
        <f>+N88*$N$11/$N$10</f>
        <v>61089256.880733944</v>
      </c>
      <c r="O89" s="445">
        <f>+O88*$O$11/$O$10</f>
        <v>77749963.302752286</v>
      </c>
      <c r="P89" s="445">
        <f>+P88*$O$11/$O$10</f>
        <v>99964238.532110095</v>
      </c>
      <c r="Q89" s="445">
        <f>+Q88*$Q$11/$Q$10</f>
        <v>111071376.14678898</v>
      </c>
      <c r="R89" s="445">
        <f>+R88*$R$11/$R$10</f>
        <v>107139646.01769912</v>
      </c>
      <c r="S89" s="446"/>
      <c r="T89" s="446"/>
      <c r="U89" s="445">
        <v>47452307.692307696</v>
      </c>
      <c r="V89" s="449">
        <v>129351913.04347827</v>
      </c>
      <c r="W89" s="445">
        <v>90154363.63636364</v>
      </c>
      <c r="X89" s="445">
        <f>+X88*$X$11/$X$10</f>
        <v>103782348.8372093</v>
      </c>
      <c r="Y89" s="445">
        <f>+Y88*$Y$11/$Y$10</f>
        <v>115439188.67924528</v>
      </c>
      <c r="Z89" s="445">
        <f>+Z88*$Z$11/$Z$10</f>
        <v>97115507.93650794</v>
      </c>
      <c r="AA89" s="445">
        <f>+AA88*$AA$11/$AA$10</f>
        <v>83812013.698630139</v>
      </c>
      <c r="AB89" s="445">
        <f>+AB88*$AB$11/$AB$10</f>
        <v>96599746.9879518</v>
      </c>
      <c r="AC89" s="445">
        <f>+AC88*$AC$11/$AC$10</f>
        <v>110844870.96774194</v>
      </c>
      <c r="AD89" s="445">
        <f>+AD88*$AD$11/$AD$10</f>
        <v>113390582.52427185</v>
      </c>
      <c r="AE89" s="445">
        <f>+AE88*$AE$11/$AE$10</f>
        <v>104588053.09734513</v>
      </c>
      <c r="AF89" s="1209"/>
      <c r="AG89" s="1195"/>
      <c r="AH89" s="789"/>
      <c r="AI89" s="789"/>
      <c r="AJ89" s="793"/>
      <c r="AK89" s="789"/>
      <c r="AL89" s="789"/>
      <c r="AM89" s="789"/>
      <c r="AN89" s="805"/>
      <c r="AO89" s="805"/>
      <c r="AP89" s="805"/>
      <c r="AQ89" s="786"/>
      <c r="AR89" s="786"/>
      <c r="AS89" s="786"/>
      <c r="AT89" s="786"/>
      <c r="AU89" s="787"/>
      <c r="AV89" s="787"/>
      <c r="AW89" s="787"/>
      <c r="AX89" s="784"/>
      <c r="AY89" s="1214"/>
    </row>
    <row r="90" spans="1:51" ht="41.25" customHeight="1" x14ac:dyDescent="0.25">
      <c r="A90" s="1191"/>
      <c r="B90" s="833"/>
      <c r="C90" s="809"/>
      <c r="D90" s="136" t="s">
        <v>42</v>
      </c>
      <c r="E90" s="142"/>
      <c r="F90" s="143"/>
      <c r="G90" s="445"/>
      <c r="H90" s="445"/>
      <c r="I90" s="445"/>
      <c r="J90" s="445"/>
      <c r="K90" s="445"/>
      <c r="L90" s="445"/>
      <c r="M90" s="446"/>
      <c r="N90" s="445"/>
      <c r="O90" s="445"/>
      <c r="P90" s="445"/>
      <c r="Q90" s="445"/>
      <c r="R90" s="447"/>
      <c r="S90" s="446"/>
      <c r="T90" s="446"/>
      <c r="U90" s="446"/>
      <c r="V90" s="446"/>
      <c r="W90" s="446"/>
      <c r="X90" s="446"/>
      <c r="Y90" s="446"/>
      <c r="Z90" s="446"/>
      <c r="AA90" s="445"/>
      <c r="AB90" s="445"/>
      <c r="AC90" s="445"/>
      <c r="AD90" s="445"/>
      <c r="AE90" s="447"/>
      <c r="AF90" s="1209"/>
      <c r="AG90" s="1195"/>
      <c r="AH90" s="789"/>
      <c r="AI90" s="789"/>
      <c r="AJ90" s="793"/>
      <c r="AK90" s="789"/>
      <c r="AL90" s="789"/>
      <c r="AM90" s="789"/>
      <c r="AN90" s="805"/>
      <c r="AO90" s="805"/>
      <c r="AP90" s="805"/>
      <c r="AQ90" s="786"/>
      <c r="AR90" s="786"/>
      <c r="AS90" s="786"/>
      <c r="AT90" s="786"/>
      <c r="AU90" s="787"/>
      <c r="AV90" s="787"/>
      <c r="AW90" s="787"/>
      <c r="AX90" s="784"/>
      <c r="AY90" s="1214"/>
    </row>
    <row r="91" spans="1:51" ht="41.25" customHeight="1" x14ac:dyDescent="0.25">
      <c r="A91" s="1191"/>
      <c r="B91" s="833"/>
      <c r="C91" s="809"/>
      <c r="D91" s="132" t="s">
        <v>4</v>
      </c>
      <c r="E91" s="142"/>
      <c r="F91" s="143"/>
      <c r="G91" s="445"/>
      <c r="H91" s="445"/>
      <c r="I91" s="445"/>
      <c r="J91" s="445"/>
      <c r="K91" s="445"/>
      <c r="L91" s="445"/>
      <c r="M91" s="446"/>
      <c r="N91" s="445"/>
      <c r="O91" s="445"/>
      <c r="P91" s="445"/>
      <c r="Q91" s="445"/>
      <c r="R91" s="447"/>
      <c r="S91" s="446"/>
      <c r="T91" s="446"/>
      <c r="U91" s="446"/>
      <c r="V91" s="446"/>
      <c r="W91" s="446"/>
      <c r="X91" s="446"/>
      <c r="Y91" s="446"/>
      <c r="Z91" s="446"/>
      <c r="AA91" s="445"/>
      <c r="AB91" s="445"/>
      <c r="AC91" s="445"/>
      <c r="AD91" s="445"/>
      <c r="AE91" s="447"/>
      <c r="AF91" s="1209"/>
      <c r="AG91" s="1195"/>
      <c r="AH91" s="789"/>
      <c r="AI91" s="789"/>
      <c r="AJ91" s="793"/>
      <c r="AK91" s="789"/>
      <c r="AL91" s="789"/>
      <c r="AM91" s="789"/>
      <c r="AN91" s="805"/>
      <c r="AO91" s="805"/>
      <c r="AP91" s="805"/>
      <c r="AQ91" s="786"/>
      <c r="AR91" s="786"/>
      <c r="AS91" s="786"/>
      <c r="AT91" s="786"/>
      <c r="AU91" s="787"/>
      <c r="AV91" s="787"/>
      <c r="AW91" s="787"/>
      <c r="AX91" s="784"/>
      <c r="AY91" s="1214"/>
    </row>
    <row r="92" spans="1:51" ht="41.25" customHeight="1" x14ac:dyDescent="0.25">
      <c r="A92" s="1191"/>
      <c r="B92" s="833"/>
      <c r="C92" s="809"/>
      <c r="D92" s="136" t="s">
        <v>43</v>
      </c>
      <c r="E92" s="142"/>
      <c r="F92" s="143"/>
      <c r="G92" s="445"/>
      <c r="H92" s="445">
        <v>2</v>
      </c>
      <c r="I92" s="445">
        <v>6</v>
      </c>
      <c r="J92" s="445">
        <v>6</v>
      </c>
      <c r="K92" s="445">
        <v>9</v>
      </c>
      <c r="L92" s="445">
        <v>11</v>
      </c>
      <c r="M92" s="446">
        <v>11</v>
      </c>
      <c r="N92" s="445">
        <v>11</v>
      </c>
      <c r="O92" s="445">
        <v>14</v>
      </c>
      <c r="P92" s="445">
        <v>18</v>
      </c>
      <c r="Q92" s="445">
        <v>20</v>
      </c>
      <c r="R92" s="447">
        <v>20</v>
      </c>
      <c r="S92" s="446"/>
      <c r="T92" s="446"/>
      <c r="U92" s="446">
        <v>2</v>
      </c>
      <c r="V92" s="446">
        <v>6</v>
      </c>
      <c r="W92" s="446">
        <v>6</v>
      </c>
      <c r="X92" s="446">
        <v>9</v>
      </c>
      <c r="Y92" s="446">
        <v>11</v>
      </c>
      <c r="Z92" s="446">
        <v>11</v>
      </c>
      <c r="AA92" s="445">
        <v>11</v>
      </c>
      <c r="AB92" s="445">
        <v>14</v>
      </c>
      <c r="AC92" s="445">
        <v>18</v>
      </c>
      <c r="AD92" s="445">
        <v>20</v>
      </c>
      <c r="AE92" s="447">
        <v>20</v>
      </c>
      <c r="AF92" s="1209"/>
      <c r="AG92" s="1195"/>
      <c r="AH92" s="789"/>
      <c r="AI92" s="789"/>
      <c r="AJ92" s="793"/>
      <c r="AK92" s="789"/>
      <c r="AL92" s="789"/>
      <c r="AM92" s="789"/>
      <c r="AN92" s="805"/>
      <c r="AO92" s="805"/>
      <c r="AP92" s="805"/>
      <c r="AQ92" s="786"/>
      <c r="AR92" s="786"/>
      <c r="AS92" s="786"/>
      <c r="AT92" s="786"/>
      <c r="AU92" s="787"/>
      <c r="AV92" s="787"/>
      <c r="AW92" s="787"/>
      <c r="AX92" s="784"/>
      <c r="AY92" s="1214"/>
    </row>
    <row r="93" spans="1:51" ht="41.25" customHeight="1" thickBot="1" x14ac:dyDescent="0.3">
      <c r="A93" s="1191"/>
      <c r="B93" s="833"/>
      <c r="C93" s="809"/>
      <c r="D93" s="140" t="s">
        <v>45</v>
      </c>
      <c r="E93" s="142"/>
      <c r="F93" s="143"/>
      <c r="G93" s="445"/>
      <c r="H93" s="445">
        <v>10544110.091743119</v>
      </c>
      <c r="I93" s="445">
        <v>31632330.275229357</v>
      </c>
      <c r="J93" s="445">
        <v>30616899.082568806</v>
      </c>
      <c r="K93" s="445">
        <f>+K92*$K$11/$K$10</f>
        <v>45925348.623853214</v>
      </c>
      <c r="L93" s="445">
        <f>+L92*$L$11/$L$10</f>
        <v>56130981.651376143</v>
      </c>
      <c r="M93" s="445">
        <f>+M92*$M$11/$M$10</f>
        <v>56130981.651376143</v>
      </c>
      <c r="N93" s="445">
        <f>+N92*$N$11/$N$10</f>
        <v>61089256.880733944</v>
      </c>
      <c r="O93" s="445">
        <f>+O92*$O$11/$O$10</f>
        <v>77749963.302752286</v>
      </c>
      <c r="P93" s="445">
        <f>+P92*$O$11/$O$10</f>
        <v>99964238.532110095</v>
      </c>
      <c r="Q93" s="445">
        <f>+Q92*$Q$11/$Q$10</f>
        <v>111071376.14678898</v>
      </c>
      <c r="R93" s="445">
        <f>+R92*$R$11/$R$10</f>
        <v>107139646.01769912</v>
      </c>
      <c r="S93" s="446"/>
      <c r="T93" s="446"/>
      <c r="U93" s="445">
        <v>47452307.692307696</v>
      </c>
      <c r="V93" s="449">
        <v>129351913.04347827</v>
      </c>
      <c r="W93" s="445">
        <v>90154363.63636364</v>
      </c>
      <c r="X93" s="445">
        <f>+X92*$X$11/$X$10</f>
        <v>103782348.8372093</v>
      </c>
      <c r="Y93" s="445">
        <f>+Y92*$Y$11/$Y$10</f>
        <v>115439188.67924528</v>
      </c>
      <c r="Z93" s="445">
        <f>+Z92*$Z$11/$Z$10</f>
        <v>97115507.93650794</v>
      </c>
      <c r="AA93" s="445">
        <f>+AA92*$AA$11/$AA$10</f>
        <v>83812013.698630139</v>
      </c>
      <c r="AB93" s="445">
        <f>+AB92*$AB$11/$AB$10</f>
        <v>96599746.9879518</v>
      </c>
      <c r="AC93" s="445">
        <f>+AC92*$AC$11/$AC$10</f>
        <v>110844870.96774194</v>
      </c>
      <c r="AD93" s="445">
        <f>+AD92*$AD$11/$AD$10</f>
        <v>113390582.52427185</v>
      </c>
      <c r="AE93" s="445">
        <f>+AE92*$AE$11/$AE$10</f>
        <v>104588053.09734513</v>
      </c>
      <c r="AF93" s="1212"/>
      <c r="AG93" s="1196"/>
      <c r="AH93" s="790"/>
      <c r="AI93" s="790"/>
      <c r="AJ93" s="794"/>
      <c r="AK93" s="790"/>
      <c r="AL93" s="790"/>
      <c r="AM93" s="790"/>
      <c r="AN93" s="805"/>
      <c r="AO93" s="805"/>
      <c r="AP93" s="805"/>
      <c r="AQ93" s="786"/>
      <c r="AR93" s="786"/>
      <c r="AS93" s="786"/>
      <c r="AT93" s="786"/>
      <c r="AU93" s="787"/>
      <c r="AV93" s="787"/>
      <c r="AW93" s="787"/>
      <c r="AX93" s="785"/>
      <c r="AY93" s="1214"/>
    </row>
    <row r="94" spans="1:51" ht="18" customHeight="1" x14ac:dyDescent="0.25">
      <c r="A94" s="1191"/>
      <c r="B94" s="833"/>
      <c r="C94" s="809" t="s">
        <v>1311</v>
      </c>
      <c r="D94" s="141" t="s">
        <v>41</v>
      </c>
      <c r="E94" s="142"/>
      <c r="F94" s="143"/>
      <c r="G94" s="445"/>
      <c r="H94" s="445"/>
      <c r="I94" s="445"/>
      <c r="J94" s="445"/>
      <c r="K94" s="445"/>
      <c r="L94" s="445">
        <v>1</v>
      </c>
      <c r="M94" s="446">
        <v>1</v>
      </c>
      <c r="N94" s="445">
        <v>1</v>
      </c>
      <c r="O94" s="445">
        <v>2</v>
      </c>
      <c r="P94" s="445">
        <v>2</v>
      </c>
      <c r="Q94" s="445">
        <v>2</v>
      </c>
      <c r="R94" s="447">
        <v>2</v>
      </c>
      <c r="S94" s="446"/>
      <c r="T94" s="446"/>
      <c r="U94" s="446"/>
      <c r="V94" s="446"/>
      <c r="W94" s="446"/>
      <c r="X94" s="446"/>
      <c r="Y94" s="446">
        <v>1</v>
      </c>
      <c r="Z94" s="446">
        <v>1</v>
      </c>
      <c r="AA94" s="445">
        <v>1</v>
      </c>
      <c r="AB94" s="445">
        <v>2</v>
      </c>
      <c r="AC94" s="445">
        <v>2</v>
      </c>
      <c r="AD94" s="445">
        <v>2</v>
      </c>
      <c r="AE94" s="447">
        <v>2</v>
      </c>
      <c r="AF94" s="1213" t="s">
        <v>965</v>
      </c>
      <c r="AG94" s="1194" t="s">
        <v>383</v>
      </c>
      <c r="AH94" s="788" t="s">
        <v>911</v>
      </c>
      <c r="AI94" s="788" t="s">
        <v>912</v>
      </c>
      <c r="AJ94" s="792" t="s">
        <v>914</v>
      </c>
      <c r="AK94" s="788" t="s">
        <v>315</v>
      </c>
      <c r="AL94" s="788" t="s">
        <v>70</v>
      </c>
      <c r="AM94" s="788" t="s">
        <v>316</v>
      </c>
      <c r="AN94" s="791">
        <v>137026</v>
      </c>
      <c r="AO94" s="805">
        <v>64519</v>
      </c>
      <c r="AP94" s="805">
        <v>72507</v>
      </c>
      <c r="AQ94" s="786" t="s">
        <v>317</v>
      </c>
      <c r="AR94" s="786" t="s">
        <v>317</v>
      </c>
      <c r="AS94" s="786" t="s">
        <v>317</v>
      </c>
      <c r="AT94" s="786" t="s">
        <v>317</v>
      </c>
      <c r="AU94" s="787" t="s">
        <v>317</v>
      </c>
      <c r="AV94" s="787" t="s">
        <v>317</v>
      </c>
      <c r="AW94" s="787" t="s">
        <v>317</v>
      </c>
      <c r="AX94" s="783">
        <v>137026</v>
      </c>
      <c r="AY94" s="1214"/>
    </row>
    <row r="95" spans="1:51" ht="18" customHeight="1" x14ac:dyDescent="0.25">
      <c r="A95" s="1191"/>
      <c r="B95" s="833"/>
      <c r="C95" s="809"/>
      <c r="D95" s="132" t="s">
        <v>3</v>
      </c>
      <c r="E95" s="142"/>
      <c r="F95" s="143"/>
      <c r="G95" s="445"/>
      <c r="H95" s="445"/>
      <c r="I95" s="445"/>
      <c r="J95" s="445"/>
      <c r="K95" s="445"/>
      <c r="L95" s="445">
        <f>+L94*$L$11/$L$10</f>
        <v>5102816.5137614682</v>
      </c>
      <c r="M95" s="445">
        <f>+M94*$M$11/$M$10</f>
        <v>5102816.5137614682</v>
      </c>
      <c r="N95" s="445">
        <f>+N94*$N$11/$N$10</f>
        <v>5553568.8073394494</v>
      </c>
      <c r="O95" s="445">
        <f>+O94*$O$11/$O$10</f>
        <v>11107137.614678899</v>
      </c>
      <c r="P95" s="445">
        <f>+P94*$O$11/$O$10</f>
        <v>11107137.614678899</v>
      </c>
      <c r="Q95" s="445">
        <f>+Q94*$Q$11/$Q$10</f>
        <v>11107137.614678899</v>
      </c>
      <c r="R95" s="445">
        <f>+R94*$R$11/$R$10</f>
        <v>10713964.601769911</v>
      </c>
      <c r="S95" s="446"/>
      <c r="T95" s="446"/>
      <c r="U95" s="446"/>
      <c r="V95" s="446"/>
      <c r="W95" s="446"/>
      <c r="X95" s="446"/>
      <c r="Y95" s="445">
        <f>+Y94*$Y$11/$Y$10</f>
        <v>10494471.698113207</v>
      </c>
      <c r="Z95" s="445">
        <f>+Z94*$Z$11/$Z$10</f>
        <v>8828682.5396825392</v>
      </c>
      <c r="AA95" s="445">
        <f>+AA94*$AA$11/$AA$10</f>
        <v>7619273.9726027399</v>
      </c>
      <c r="AB95" s="445">
        <f>+AB94*$AB$11/$AB$10</f>
        <v>13799963.855421687</v>
      </c>
      <c r="AC95" s="445">
        <f>+AC94*$AC$11/$AC$10</f>
        <v>12316096.774193548</v>
      </c>
      <c r="AD95" s="445">
        <f>+AD94*$AD$11/$AD$10</f>
        <v>11339058.252427185</v>
      </c>
      <c r="AE95" s="449">
        <f>+AE94*$AE$11/$AE$10</f>
        <v>10458805.309734514</v>
      </c>
      <c r="AF95" s="1217"/>
      <c r="AG95" s="1195"/>
      <c r="AH95" s="789"/>
      <c r="AI95" s="789"/>
      <c r="AJ95" s="793"/>
      <c r="AK95" s="789"/>
      <c r="AL95" s="789"/>
      <c r="AM95" s="789"/>
      <c r="AN95" s="791"/>
      <c r="AO95" s="805"/>
      <c r="AP95" s="805"/>
      <c r="AQ95" s="786"/>
      <c r="AR95" s="786"/>
      <c r="AS95" s="786"/>
      <c r="AT95" s="786"/>
      <c r="AU95" s="787"/>
      <c r="AV95" s="787"/>
      <c r="AW95" s="787"/>
      <c r="AX95" s="784"/>
      <c r="AY95" s="1214"/>
    </row>
    <row r="96" spans="1:51" ht="27" customHeight="1" x14ac:dyDescent="0.25">
      <c r="A96" s="1191"/>
      <c r="B96" s="833"/>
      <c r="C96" s="809"/>
      <c r="D96" s="136" t="s">
        <v>42</v>
      </c>
      <c r="E96" s="142"/>
      <c r="F96" s="143"/>
      <c r="G96" s="445"/>
      <c r="H96" s="445"/>
      <c r="I96" s="445"/>
      <c r="J96" s="445"/>
      <c r="K96" s="445"/>
      <c r="L96" s="445"/>
      <c r="M96" s="446"/>
      <c r="N96" s="445"/>
      <c r="O96" s="445"/>
      <c r="P96" s="445"/>
      <c r="Q96" s="445"/>
      <c r="R96" s="447"/>
      <c r="S96" s="446"/>
      <c r="T96" s="446"/>
      <c r="U96" s="446"/>
      <c r="V96" s="446"/>
      <c r="W96" s="446"/>
      <c r="X96" s="446"/>
      <c r="Y96" s="446"/>
      <c r="Z96" s="446"/>
      <c r="AA96" s="445"/>
      <c r="AB96" s="445"/>
      <c r="AC96" s="445"/>
      <c r="AD96" s="445"/>
      <c r="AE96" s="447"/>
      <c r="AF96" s="1217"/>
      <c r="AG96" s="1195"/>
      <c r="AH96" s="789"/>
      <c r="AI96" s="789"/>
      <c r="AJ96" s="793"/>
      <c r="AK96" s="789"/>
      <c r="AL96" s="789"/>
      <c r="AM96" s="789"/>
      <c r="AN96" s="791"/>
      <c r="AO96" s="805"/>
      <c r="AP96" s="805"/>
      <c r="AQ96" s="786"/>
      <c r="AR96" s="786"/>
      <c r="AS96" s="786"/>
      <c r="AT96" s="786"/>
      <c r="AU96" s="787"/>
      <c r="AV96" s="787"/>
      <c r="AW96" s="787"/>
      <c r="AX96" s="784"/>
      <c r="AY96" s="1214"/>
    </row>
    <row r="97" spans="1:51" ht="27" customHeight="1" x14ac:dyDescent="0.25">
      <c r="A97" s="1191"/>
      <c r="B97" s="833"/>
      <c r="C97" s="809"/>
      <c r="D97" s="132" t="s">
        <v>4</v>
      </c>
      <c r="E97" s="142"/>
      <c r="F97" s="143"/>
      <c r="G97" s="445"/>
      <c r="H97" s="445"/>
      <c r="I97" s="445"/>
      <c r="J97" s="445"/>
      <c r="K97" s="445"/>
      <c r="L97" s="1"/>
      <c r="M97" s="446"/>
      <c r="N97" s="445"/>
      <c r="O97" s="445"/>
      <c r="P97" s="445"/>
      <c r="Q97" s="445"/>
      <c r="R97" s="447"/>
      <c r="S97" s="446"/>
      <c r="T97" s="446"/>
      <c r="U97" s="446"/>
      <c r="V97" s="446"/>
      <c r="W97" s="446"/>
      <c r="X97" s="446"/>
      <c r="Y97" s="1"/>
      <c r="Z97" s="446"/>
      <c r="AA97" s="445"/>
      <c r="AB97" s="445"/>
      <c r="AC97" s="445"/>
      <c r="AD97" s="445"/>
      <c r="AE97" s="447"/>
      <c r="AF97" s="1217"/>
      <c r="AG97" s="1195"/>
      <c r="AH97" s="789"/>
      <c r="AI97" s="789"/>
      <c r="AJ97" s="793"/>
      <c r="AK97" s="789"/>
      <c r="AL97" s="789"/>
      <c r="AM97" s="789"/>
      <c r="AN97" s="791"/>
      <c r="AO97" s="805"/>
      <c r="AP97" s="805"/>
      <c r="AQ97" s="786"/>
      <c r="AR97" s="786"/>
      <c r="AS97" s="786"/>
      <c r="AT97" s="786"/>
      <c r="AU97" s="787"/>
      <c r="AV97" s="787"/>
      <c r="AW97" s="787"/>
      <c r="AX97" s="784"/>
      <c r="AY97" s="1214"/>
    </row>
    <row r="98" spans="1:51" ht="27" customHeight="1" x14ac:dyDescent="0.25">
      <c r="A98" s="1191"/>
      <c r="B98" s="833"/>
      <c r="C98" s="809"/>
      <c r="D98" s="136" t="s">
        <v>43</v>
      </c>
      <c r="E98" s="142"/>
      <c r="F98" s="143"/>
      <c r="G98" s="445"/>
      <c r="H98" s="445"/>
      <c r="I98" s="445"/>
      <c r="J98" s="445"/>
      <c r="K98" s="445"/>
      <c r="L98" s="445">
        <v>1</v>
      </c>
      <c r="M98" s="446">
        <v>1</v>
      </c>
      <c r="N98" s="445">
        <v>1</v>
      </c>
      <c r="O98" s="445">
        <v>2</v>
      </c>
      <c r="P98" s="445">
        <v>2</v>
      </c>
      <c r="Q98" s="445">
        <v>2</v>
      </c>
      <c r="R98" s="447">
        <v>2</v>
      </c>
      <c r="S98" s="446"/>
      <c r="T98" s="446"/>
      <c r="U98" s="446"/>
      <c r="V98" s="446"/>
      <c r="W98" s="446"/>
      <c r="X98" s="446"/>
      <c r="Y98" s="446">
        <v>1</v>
      </c>
      <c r="Z98" s="446">
        <v>1</v>
      </c>
      <c r="AA98" s="445">
        <v>1</v>
      </c>
      <c r="AB98" s="445">
        <v>2</v>
      </c>
      <c r="AC98" s="445">
        <v>2</v>
      </c>
      <c r="AD98" s="445">
        <v>2</v>
      </c>
      <c r="AE98" s="447">
        <v>2</v>
      </c>
      <c r="AF98" s="1217"/>
      <c r="AG98" s="1195"/>
      <c r="AH98" s="789"/>
      <c r="AI98" s="789"/>
      <c r="AJ98" s="793"/>
      <c r="AK98" s="789"/>
      <c r="AL98" s="789"/>
      <c r="AM98" s="789"/>
      <c r="AN98" s="791"/>
      <c r="AO98" s="805"/>
      <c r="AP98" s="805"/>
      <c r="AQ98" s="786"/>
      <c r="AR98" s="786"/>
      <c r="AS98" s="786"/>
      <c r="AT98" s="786"/>
      <c r="AU98" s="787"/>
      <c r="AV98" s="787"/>
      <c r="AW98" s="787"/>
      <c r="AX98" s="784"/>
      <c r="AY98" s="1214"/>
    </row>
    <row r="99" spans="1:51" ht="27.75" customHeight="1" thickBot="1" x14ac:dyDescent="0.3">
      <c r="A99" s="1191"/>
      <c r="B99" s="833"/>
      <c r="C99" s="809"/>
      <c r="D99" s="140" t="s">
        <v>45</v>
      </c>
      <c r="E99" s="142"/>
      <c r="F99" s="143"/>
      <c r="G99" s="445"/>
      <c r="H99" s="445"/>
      <c r="I99" s="445"/>
      <c r="J99" s="445"/>
      <c r="K99" s="445"/>
      <c r="L99" s="445">
        <f>+L98*$L$11/$L$10</f>
        <v>5102816.5137614682</v>
      </c>
      <c r="M99" s="445">
        <f>+M98*$M$11/$M$10</f>
        <v>5102816.5137614682</v>
      </c>
      <c r="N99" s="445">
        <f>+N98*$N$11/$N$10</f>
        <v>5553568.8073394494</v>
      </c>
      <c r="O99" s="445">
        <f>+O98*$O$11/$O$10</f>
        <v>11107137.614678899</v>
      </c>
      <c r="P99" s="445">
        <f>+P98*$O$11/$O$10</f>
        <v>11107137.614678899</v>
      </c>
      <c r="Q99" s="445">
        <f>+Q98*$Q$11/$Q$10</f>
        <v>11107137.614678899</v>
      </c>
      <c r="R99" s="445">
        <f>+R98*$R$11/$R$10</f>
        <v>10713964.601769911</v>
      </c>
      <c r="S99" s="446"/>
      <c r="T99" s="446"/>
      <c r="U99" s="446"/>
      <c r="V99" s="446"/>
      <c r="W99" s="446"/>
      <c r="X99" s="446"/>
      <c r="Y99" s="445">
        <f>+Y98*$Y$11/$Y$10</f>
        <v>10494471.698113207</v>
      </c>
      <c r="Z99" s="445">
        <f>+Z98*$Z$11/$Z$10</f>
        <v>8828682.5396825392</v>
      </c>
      <c r="AA99" s="445">
        <f>+AA98*$AA$11/$AA$10</f>
        <v>7619273.9726027399</v>
      </c>
      <c r="AB99" s="445">
        <f>+AB98*$AB$11/$AB$10</f>
        <v>13799963.855421687</v>
      </c>
      <c r="AC99" s="445">
        <f>+AC98*$AC$11/$AC$10</f>
        <v>12316096.774193548</v>
      </c>
      <c r="AD99" s="445">
        <f>+AD98*$AD$11/$AD$10</f>
        <v>11339058.252427185</v>
      </c>
      <c r="AE99" s="445">
        <f>+AE98*$AE$11/$AE$10</f>
        <v>10458805.309734514</v>
      </c>
      <c r="AF99" s="1217"/>
      <c r="AG99" s="1196"/>
      <c r="AH99" s="790"/>
      <c r="AI99" s="790"/>
      <c r="AJ99" s="794"/>
      <c r="AK99" s="790"/>
      <c r="AL99" s="790"/>
      <c r="AM99" s="790"/>
      <c r="AN99" s="791"/>
      <c r="AO99" s="805"/>
      <c r="AP99" s="805"/>
      <c r="AQ99" s="786"/>
      <c r="AR99" s="786"/>
      <c r="AS99" s="786"/>
      <c r="AT99" s="786"/>
      <c r="AU99" s="787"/>
      <c r="AV99" s="787"/>
      <c r="AW99" s="787"/>
      <c r="AX99" s="785"/>
      <c r="AY99" s="1214"/>
    </row>
    <row r="100" spans="1:51" ht="18" customHeight="1" x14ac:dyDescent="0.25">
      <c r="A100" s="1191"/>
      <c r="B100" s="833"/>
      <c r="C100" s="809" t="s">
        <v>1312</v>
      </c>
      <c r="D100" s="141" t="s">
        <v>41</v>
      </c>
      <c r="E100" s="142"/>
      <c r="F100" s="143"/>
      <c r="G100" s="445"/>
      <c r="H100" s="445"/>
      <c r="I100" s="445"/>
      <c r="J100" s="445"/>
      <c r="K100" s="445"/>
      <c r="L100" s="445"/>
      <c r="M100" s="446">
        <v>1</v>
      </c>
      <c r="N100" s="445">
        <v>1</v>
      </c>
      <c r="O100" s="445">
        <v>1</v>
      </c>
      <c r="P100" s="445">
        <v>1</v>
      </c>
      <c r="Q100" s="445">
        <v>1</v>
      </c>
      <c r="R100" s="447">
        <v>1</v>
      </c>
      <c r="S100" s="446"/>
      <c r="T100" s="446"/>
      <c r="U100" s="446"/>
      <c r="V100" s="446"/>
      <c r="W100" s="446"/>
      <c r="X100" s="446"/>
      <c r="Y100" s="446"/>
      <c r="Z100" s="446">
        <v>1</v>
      </c>
      <c r="AA100" s="445">
        <v>1</v>
      </c>
      <c r="AB100" s="445">
        <v>1</v>
      </c>
      <c r="AC100" s="445">
        <v>1</v>
      </c>
      <c r="AD100" s="445">
        <v>1</v>
      </c>
      <c r="AE100" s="447">
        <v>1</v>
      </c>
      <c r="AF100" s="1218" t="s">
        <v>892</v>
      </c>
      <c r="AG100" s="1219" t="s">
        <v>386</v>
      </c>
      <c r="AH100" s="788" t="s">
        <v>1108</v>
      </c>
      <c r="AI100" s="788" t="s">
        <v>1109</v>
      </c>
      <c r="AJ100" s="792" t="s">
        <v>914</v>
      </c>
      <c r="AK100" s="788" t="s">
        <v>315</v>
      </c>
      <c r="AL100" s="788" t="s">
        <v>70</v>
      </c>
      <c r="AM100" s="788" t="s">
        <v>316</v>
      </c>
      <c r="AN100" s="791">
        <v>140135</v>
      </c>
      <c r="AO100" s="805">
        <v>70844</v>
      </c>
      <c r="AP100" s="805">
        <v>80573</v>
      </c>
      <c r="AQ100" s="786" t="s">
        <v>317</v>
      </c>
      <c r="AR100" s="786" t="s">
        <v>317</v>
      </c>
      <c r="AS100" s="786" t="s">
        <v>317</v>
      </c>
      <c r="AT100" s="786" t="s">
        <v>317</v>
      </c>
      <c r="AU100" s="787" t="s">
        <v>317</v>
      </c>
      <c r="AV100" s="787" t="s">
        <v>317</v>
      </c>
      <c r="AW100" s="787" t="s">
        <v>317</v>
      </c>
      <c r="AX100" s="783">
        <v>140135</v>
      </c>
      <c r="AY100" s="1214"/>
    </row>
    <row r="101" spans="1:51" ht="18.75" customHeight="1" x14ac:dyDescent="0.25">
      <c r="A101" s="1191"/>
      <c r="B101" s="833"/>
      <c r="C101" s="809"/>
      <c r="D101" s="132" t="s">
        <v>3</v>
      </c>
      <c r="E101" s="142"/>
      <c r="F101" s="143"/>
      <c r="G101" s="445"/>
      <c r="H101" s="445"/>
      <c r="I101" s="445"/>
      <c r="J101" s="445"/>
      <c r="K101" s="445"/>
      <c r="L101" s="445"/>
      <c r="M101" s="445">
        <f>+M100*$M$11/$M$10</f>
        <v>5102816.5137614682</v>
      </c>
      <c r="N101" s="445">
        <f>+N100*$N$11/$N$10</f>
        <v>5553568.8073394494</v>
      </c>
      <c r="O101" s="445">
        <f>+O100*$O$11/$O$10</f>
        <v>5553568.8073394494</v>
      </c>
      <c r="P101" s="445">
        <f>+P100*$O$11/$O$10</f>
        <v>5553568.8073394494</v>
      </c>
      <c r="Q101" s="445">
        <f>+Q100*$Q$11/$Q$10</f>
        <v>5553568.8073394494</v>
      </c>
      <c r="R101" s="445">
        <f>+R100*$R$11/$R$10</f>
        <v>5356982.3008849556</v>
      </c>
      <c r="S101" s="446"/>
      <c r="T101" s="446"/>
      <c r="U101" s="446"/>
      <c r="V101" s="446"/>
      <c r="W101" s="446"/>
      <c r="X101" s="446"/>
      <c r="Y101" s="446"/>
      <c r="Z101" s="445">
        <f>+Z100*$Z$11/$Z$10</f>
        <v>8828682.5396825392</v>
      </c>
      <c r="AA101" s="445">
        <f>+AA100*$AA$11/$AA$10</f>
        <v>7619273.9726027399</v>
      </c>
      <c r="AB101" s="445">
        <f>+AB100*$AB$11/$AB$10</f>
        <v>6899981.9277108433</v>
      </c>
      <c r="AC101" s="445">
        <f>+AC100*$AC$11/$AC$10</f>
        <v>6158048.3870967738</v>
      </c>
      <c r="AD101" s="445">
        <f>+AD100*$AD$11/$AD$10</f>
        <v>5669529.1262135925</v>
      </c>
      <c r="AE101" s="445">
        <f>+AE100*$AE$11/$AE$10</f>
        <v>5229402.654867257</v>
      </c>
      <c r="AF101" s="1218"/>
      <c r="AG101" s="1220"/>
      <c r="AH101" s="789"/>
      <c r="AI101" s="789"/>
      <c r="AJ101" s="793"/>
      <c r="AK101" s="789"/>
      <c r="AL101" s="789"/>
      <c r="AM101" s="789"/>
      <c r="AN101" s="791"/>
      <c r="AO101" s="805"/>
      <c r="AP101" s="805"/>
      <c r="AQ101" s="786"/>
      <c r="AR101" s="786"/>
      <c r="AS101" s="786"/>
      <c r="AT101" s="786"/>
      <c r="AU101" s="787"/>
      <c r="AV101" s="787"/>
      <c r="AW101" s="787"/>
      <c r="AX101" s="784"/>
      <c r="AY101" s="1214"/>
    </row>
    <row r="102" spans="1:51" ht="27.75" customHeight="1" x14ac:dyDescent="0.25">
      <c r="A102" s="1191"/>
      <c r="B102" s="833"/>
      <c r="C102" s="809"/>
      <c r="D102" s="136" t="s">
        <v>42</v>
      </c>
      <c r="E102" s="142"/>
      <c r="F102" s="143"/>
      <c r="G102" s="445"/>
      <c r="H102" s="445"/>
      <c r="I102" s="445"/>
      <c r="J102" s="445"/>
      <c r="K102" s="445"/>
      <c r="L102" s="445"/>
      <c r="M102" s="446"/>
      <c r="N102" s="445"/>
      <c r="O102" s="445"/>
      <c r="P102" s="445"/>
      <c r="Q102" s="445"/>
      <c r="R102" s="447"/>
      <c r="S102" s="446"/>
      <c r="T102" s="446"/>
      <c r="U102" s="446"/>
      <c r="V102" s="446"/>
      <c r="W102" s="446"/>
      <c r="X102" s="446"/>
      <c r="Y102" s="446"/>
      <c r="Z102" s="446"/>
      <c r="AA102" s="445"/>
      <c r="AB102" s="445"/>
      <c r="AC102" s="445"/>
      <c r="AD102" s="445"/>
      <c r="AE102" s="447"/>
      <c r="AF102" s="1218"/>
      <c r="AG102" s="1220"/>
      <c r="AH102" s="789"/>
      <c r="AI102" s="789"/>
      <c r="AJ102" s="793"/>
      <c r="AK102" s="789"/>
      <c r="AL102" s="789"/>
      <c r="AM102" s="789"/>
      <c r="AN102" s="791"/>
      <c r="AO102" s="805"/>
      <c r="AP102" s="805"/>
      <c r="AQ102" s="786"/>
      <c r="AR102" s="786"/>
      <c r="AS102" s="786"/>
      <c r="AT102" s="786"/>
      <c r="AU102" s="787"/>
      <c r="AV102" s="787"/>
      <c r="AW102" s="787"/>
      <c r="AX102" s="784"/>
      <c r="AY102" s="1214"/>
    </row>
    <row r="103" spans="1:51" ht="27.75" customHeight="1" x14ac:dyDescent="0.25">
      <c r="A103" s="1191"/>
      <c r="B103" s="833"/>
      <c r="C103" s="809"/>
      <c r="D103" s="132" t="s">
        <v>4</v>
      </c>
      <c r="E103" s="142"/>
      <c r="F103" s="143"/>
      <c r="G103" s="445"/>
      <c r="H103" s="445"/>
      <c r="I103" s="445"/>
      <c r="J103" s="445"/>
      <c r="K103" s="445"/>
      <c r="L103" s="445"/>
      <c r="M103" s="446"/>
      <c r="N103" s="445"/>
      <c r="O103" s="445"/>
      <c r="P103" s="445"/>
      <c r="Q103" s="445"/>
      <c r="R103" s="447"/>
      <c r="S103" s="446"/>
      <c r="T103" s="446"/>
      <c r="U103" s="446"/>
      <c r="V103" s="446"/>
      <c r="W103" s="446"/>
      <c r="X103" s="446"/>
      <c r="Y103" s="446"/>
      <c r="Z103" s="446"/>
      <c r="AA103" s="445"/>
      <c r="AB103" s="445"/>
      <c r="AC103" s="445"/>
      <c r="AD103" s="445"/>
      <c r="AE103" s="447"/>
      <c r="AF103" s="1218"/>
      <c r="AG103" s="1220"/>
      <c r="AH103" s="789"/>
      <c r="AI103" s="789"/>
      <c r="AJ103" s="793"/>
      <c r="AK103" s="789"/>
      <c r="AL103" s="789"/>
      <c r="AM103" s="789"/>
      <c r="AN103" s="791"/>
      <c r="AO103" s="805"/>
      <c r="AP103" s="805"/>
      <c r="AQ103" s="786"/>
      <c r="AR103" s="786"/>
      <c r="AS103" s="786"/>
      <c r="AT103" s="786"/>
      <c r="AU103" s="787"/>
      <c r="AV103" s="787"/>
      <c r="AW103" s="787"/>
      <c r="AX103" s="784"/>
      <c r="AY103" s="1214"/>
    </row>
    <row r="104" spans="1:51" ht="27.75" customHeight="1" x14ac:dyDescent="0.25">
      <c r="A104" s="1191"/>
      <c r="B104" s="833"/>
      <c r="C104" s="809"/>
      <c r="D104" s="136" t="s">
        <v>43</v>
      </c>
      <c r="E104" s="142"/>
      <c r="F104" s="143"/>
      <c r="G104" s="445"/>
      <c r="H104" s="445"/>
      <c r="I104" s="445"/>
      <c r="J104" s="445"/>
      <c r="K104" s="445"/>
      <c r="L104" s="445"/>
      <c r="M104" s="446">
        <v>1</v>
      </c>
      <c r="N104" s="445">
        <v>1</v>
      </c>
      <c r="O104" s="445">
        <v>1</v>
      </c>
      <c r="P104" s="445">
        <v>1</v>
      </c>
      <c r="Q104" s="445">
        <v>1</v>
      </c>
      <c r="R104" s="447">
        <v>1</v>
      </c>
      <c r="S104" s="446"/>
      <c r="T104" s="446"/>
      <c r="U104" s="446"/>
      <c r="V104" s="446"/>
      <c r="W104" s="446"/>
      <c r="X104" s="446"/>
      <c r="Y104" s="446"/>
      <c r="Z104" s="446">
        <v>1</v>
      </c>
      <c r="AA104" s="445">
        <v>1</v>
      </c>
      <c r="AB104" s="445">
        <v>1</v>
      </c>
      <c r="AC104" s="445">
        <v>1</v>
      </c>
      <c r="AD104" s="445">
        <v>1</v>
      </c>
      <c r="AE104" s="447">
        <v>1</v>
      </c>
      <c r="AF104" s="1218"/>
      <c r="AG104" s="1220"/>
      <c r="AH104" s="789"/>
      <c r="AI104" s="789"/>
      <c r="AJ104" s="793"/>
      <c r="AK104" s="789"/>
      <c r="AL104" s="789"/>
      <c r="AM104" s="789"/>
      <c r="AN104" s="791"/>
      <c r="AO104" s="805"/>
      <c r="AP104" s="805"/>
      <c r="AQ104" s="786"/>
      <c r="AR104" s="786"/>
      <c r="AS104" s="786"/>
      <c r="AT104" s="786"/>
      <c r="AU104" s="787"/>
      <c r="AV104" s="787"/>
      <c r="AW104" s="787"/>
      <c r="AX104" s="784"/>
      <c r="AY104" s="1214"/>
    </row>
    <row r="105" spans="1:51" ht="27.75" customHeight="1" thickBot="1" x14ac:dyDescent="0.3">
      <c r="A105" s="1191"/>
      <c r="B105" s="833"/>
      <c r="C105" s="809"/>
      <c r="D105" s="140" t="s">
        <v>45</v>
      </c>
      <c r="E105" s="142"/>
      <c r="F105" s="143"/>
      <c r="G105" s="445"/>
      <c r="H105" s="445"/>
      <c r="I105" s="445"/>
      <c r="J105" s="445"/>
      <c r="K105" s="445"/>
      <c r="L105" s="445"/>
      <c r="M105" s="445">
        <f>+M104*$M$11/$M$10</f>
        <v>5102816.5137614682</v>
      </c>
      <c r="N105" s="445">
        <f>+N104*$N$11/$N$10</f>
        <v>5553568.8073394494</v>
      </c>
      <c r="O105" s="445">
        <f>+O104*$O$11/$O$10</f>
        <v>5553568.8073394494</v>
      </c>
      <c r="P105" s="445">
        <f>+P104*$O$11/$O$10</f>
        <v>5553568.8073394494</v>
      </c>
      <c r="Q105" s="445">
        <f>+Q104*$Q$11/$Q$10</f>
        <v>5553568.8073394494</v>
      </c>
      <c r="R105" s="445">
        <f>+R104*$R$11/$R$10</f>
        <v>5356982.3008849556</v>
      </c>
      <c r="S105" s="446"/>
      <c r="T105" s="446"/>
      <c r="U105" s="446"/>
      <c r="V105" s="446"/>
      <c r="W105" s="446"/>
      <c r="X105" s="446"/>
      <c r="Y105" s="446"/>
      <c r="Z105" s="445">
        <f>+Z104*$Z$11/$Z$10</f>
        <v>8828682.5396825392</v>
      </c>
      <c r="AA105" s="445">
        <f>+AA104*$AA$11/$AA$10</f>
        <v>7619273.9726027399</v>
      </c>
      <c r="AB105" s="445">
        <f>+AB104*$AB$11/$AB$10</f>
        <v>6899981.9277108433</v>
      </c>
      <c r="AC105" s="445">
        <f>+AC104*$AC$11/$AC$10</f>
        <v>6158048.3870967738</v>
      </c>
      <c r="AD105" s="445">
        <f>+AD104*$AD$11/$AD$10</f>
        <v>5669529.1262135925</v>
      </c>
      <c r="AE105" s="445">
        <f>+AE104*$AE$11/$AE$10</f>
        <v>5229402.654867257</v>
      </c>
      <c r="AF105" s="1218"/>
      <c r="AG105" s="1221"/>
      <c r="AH105" s="790"/>
      <c r="AI105" s="790"/>
      <c r="AJ105" s="794"/>
      <c r="AK105" s="790"/>
      <c r="AL105" s="790"/>
      <c r="AM105" s="790"/>
      <c r="AN105" s="791"/>
      <c r="AO105" s="805"/>
      <c r="AP105" s="805"/>
      <c r="AQ105" s="786"/>
      <c r="AR105" s="786"/>
      <c r="AS105" s="786"/>
      <c r="AT105" s="786"/>
      <c r="AU105" s="787"/>
      <c r="AV105" s="787"/>
      <c r="AW105" s="787"/>
      <c r="AX105" s="785"/>
      <c r="AY105" s="1214"/>
    </row>
    <row r="106" spans="1:51" ht="18" customHeight="1" x14ac:dyDescent="0.25">
      <c r="A106" s="1191"/>
      <c r="B106" s="833"/>
      <c r="C106" s="809" t="s">
        <v>389</v>
      </c>
      <c r="D106" s="141" t="s">
        <v>41</v>
      </c>
      <c r="E106" s="142"/>
      <c r="F106" s="143"/>
      <c r="G106" s="445"/>
      <c r="H106" s="445"/>
      <c r="I106" s="445"/>
      <c r="J106" s="445"/>
      <c r="K106" s="445"/>
      <c r="L106" s="445"/>
      <c r="M106" s="446"/>
      <c r="N106" s="445"/>
      <c r="O106" s="445"/>
      <c r="P106" s="445">
        <v>1</v>
      </c>
      <c r="Q106" s="445">
        <v>2</v>
      </c>
      <c r="R106" s="447">
        <v>2</v>
      </c>
      <c r="S106" s="446"/>
      <c r="T106" s="446"/>
      <c r="U106" s="446"/>
      <c r="V106" s="446"/>
      <c r="W106" s="446"/>
      <c r="X106" s="446"/>
      <c r="Y106" s="446"/>
      <c r="Z106" s="446"/>
      <c r="AA106" s="445"/>
      <c r="AB106" s="445"/>
      <c r="AC106" s="445">
        <v>1</v>
      </c>
      <c r="AD106" s="445">
        <v>2</v>
      </c>
      <c r="AE106" s="447">
        <v>2</v>
      </c>
      <c r="AF106" s="1213" t="s">
        <v>1271</v>
      </c>
      <c r="AG106" s="1194" t="s">
        <v>389</v>
      </c>
      <c r="AH106" s="788" t="s">
        <v>530</v>
      </c>
      <c r="AI106" s="788" t="s">
        <v>1006</v>
      </c>
      <c r="AJ106" s="792" t="s">
        <v>914</v>
      </c>
      <c r="AK106" s="788" t="s">
        <v>315</v>
      </c>
      <c r="AL106" s="788" t="s">
        <v>70</v>
      </c>
      <c r="AM106" s="788" t="s">
        <v>316</v>
      </c>
      <c r="AN106" s="791">
        <v>75776</v>
      </c>
      <c r="AO106" s="805">
        <v>37102</v>
      </c>
      <c r="AP106" s="805">
        <v>38674</v>
      </c>
      <c r="AQ106" s="786" t="s">
        <v>317</v>
      </c>
      <c r="AR106" s="786" t="s">
        <v>317</v>
      </c>
      <c r="AS106" s="786" t="s">
        <v>317</v>
      </c>
      <c r="AT106" s="786" t="s">
        <v>317</v>
      </c>
      <c r="AU106" s="787" t="s">
        <v>317</v>
      </c>
      <c r="AV106" s="787" t="s">
        <v>317</v>
      </c>
      <c r="AW106" s="787" t="s">
        <v>317</v>
      </c>
      <c r="AX106" s="783">
        <v>75776</v>
      </c>
      <c r="AY106" s="1214"/>
    </row>
    <row r="107" spans="1:51" ht="18" customHeight="1" x14ac:dyDescent="0.25">
      <c r="A107" s="1191"/>
      <c r="B107" s="833"/>
      <c r="C107" s="809"/>
      <c r="D107" s="132" t="s">
        <v>3</v>
      </c>
      <c r="E107" s="142"/>
      <c r="F107" s="143"/>
      <c r="G107" s="445"/>
      <c r="H107" s="445"/>
      <c r="I107" s="445"/>
      <c r="J107" s="445"/>
      <c r="K107" s="445"/>
      <c r="L107" s="445"/>
      <c r="M107" s="446"/>
      <c r="N107" s="1216"/>
      <c r="O107" s="445"/>
      <c r="P107" s="445">
        <f>+P106*$O$11/$O$10</f>
        <v>5553568.8073394494</v>
      </c>
      <c r="Q107" s="445">
        <f>+Q106*$Q$11/$Q$10</f>
        <v>11107137.614678899</v>
      </c>
      <c r="R107" s="445">
        <f>+R106*$R$11/$R$10</f>
        <v>10713964.601769911</v>
      </c>
      <c r="S107" s="446"/>
      <c r="T107" s="446"/>
      <c r="U107" s="446"/>
      <c r="V107" s="446"/>
      <c r="W107" s="446"/>
      <c r="X107" s="446"/>
      <c r="Y107" s="446"/>
      <c r="Z107" s="446"/>
      <c r="AA107" s="1216"/>
      <c r="AB107" s="445"/>
      <c r="AC107" s="445">
        <f>+AC106*$AC$11/$AC$10</f>
        <v>6158048.3870967738</v>
      </c>
      <c r="AD107" s="445">
        <f>+AD106*$AD$11/$AD$10</f>
        <v>11339058.252427185</v>
      </c>
      <c r="AE107" s="445">
        <f>+AE106*$AE$11/$AE$10</f>
        <v>10458805.309734514</v>
      </c>
      <c r="AF107" s="1217"/>
      <c r="AG107" s="1195"/>
      <c r="AH107" s="789"/>
      <c r="AI107" s="789"/>
      <c r="AJ107" s="793"/>
      <c r="AK107" s="789"/>
      <c r="AL107" s="789"/>
      <c r="AM107" s="789"/>
      <c r="AN107" s="791"/>
      <c r="AO107" s="805"/>
      <c r="AP107" s="805"/>
      <c r="AQ107" s="786"/>
      <c r="AR107" s="786"/>
      <c r="AS107" s="786"/>
      <c r="AT107" s="786"/>
      <c r="AU107" s="787"/>
      <c r="AV107" s="787"/>
      <c r="AW107" s="787"/>
      <c r="AX107" s="784"/>
      <c r="AY107" s="1214"/>
    </row>
    <row r="108" spans="1:51" ht="27" customHeight="1" x14ac:dyDescent="0.25">
      <c r="A108" s="1191"/>
      <c r="B108" s="833"/>
      <c r="C108" s="809"/>
      <c r="D108" s="136" t="s">
        <v>42</v>
      </c>
      <c r="E108" s="142"/>
      <c r="F108" s="143"/>
      <c r="G108" s="445"/>
      <c r="H108" s="445"/>
      <c r="I108" s="445"/>
      <c r="J108" s="445"/>
      <c r="K108" s="445"/>
      <c r="L108" s="445"/>
      <c r="M108" s="446"/>
      <c r="N108" s="445"/>
      <c r="O108" s="445"/>
      <c r="P108" s="445"/>
      <c r="Q108" s="445"/>
      <c r="R108" s="447"/>
      <c r="S108" s="446"/>
      <c r="T108" s="446"/>
      <c r="U108" s="446"/>
      <c r="V108" s="446"/>
      <c r="W108" s="446"/>
      <c r="X108" s="446"/>
      <c r="Y108" s="446"/>
      <c r="Z108" s="446"/>
      <c r="AA108" s="445"/>
      <c r="AB108" s="445"/>
      <c r="AC108" s="445"/>
      <c r="AD108" s="445"/>
      <c r="AE108" s="447"/>
      <c r="AF108" s="1217"/>
      <c r="AG108" s="1195"/>
      <c r="AH108" s="789"/>
      <c r="AI108" s="789"/>
      <c r="AJ108" s="793"/>
      <c r="AK108" s="789"/>
      <c r="AL108" s="789"/>
      <c r="AM108" s="789"/>
      <c r="AN108" s="791"/>
      <c r="AO108" s="805"/>
      <c r="AP108" s="805"/>
      <c r="AQ108" s="786"/>
      <c r="AR108" s="786"/>
      <c r="AS108" s="786"/>
      <c r="AT108" s="786"/>
      <c r="AU108" s="787"/>
      <c r="AV108" s="787"/>
      <c r="AW108" s="787"/>
      <c r="AX108" s="784"/>
      <c r="AY108" s="1214"/>
    </row>
    <row r="109" spans="1:51" ht="27" customHeight="1" x14ac:dyDescent="0.25">
      <c r="A109" s="1191"/>
      <c r="B109" s="833"/>
      <c r="C109" s="809"/>
      <c r="D109" s="132" t="s">
        <v>4</v>
      </c>
      <c r="E109" s="142"/>
      <c r="F109" s="143"/>
      <c r="G109" s="445"/>
      <c r="H109" s="445"/>
      <c r="I109" s="445"/>
      <c r="J109" s="445"/>
      <c r="K109" s="445"/>
      <c r="L109" s="445"/>
      <c r="M109" s="446"/>
      <c r="N109" s="445"/>
      <c r="O109" s="445"/>
      <c r="P109" s="445"/>
      <c r="Q109" s="445"/>
      <c r="R109" s="447"/>
      <c r="S109" s="446"/>
      <c r="T109" s="446"/>
      <c r="U109" s="446"/>
      <c r="V109" s="446"/>
      <c r="W109" s="446"/>
      <c r="X109" s="446"/>
      <c r="Y109" s="446"/>
      <c r="Z109" s="446"/>
      <c r="AA109" s="445"/>
      <c r="AB109" s="445"/>
      <c r="AC109" s="445"/>
      <c r="AD109" s="445"/>
      <c r="AE109" s="447"/>
      <c r="AF109" s="1217"/>
      <c r="AG109" s="1195"/>
      <c r="AH109" s="789"/>
      <c r="AI109" s="789"/>
      <c r="AJ109" s="793"/>
      <c r="AK109" s="789"/>
      <c r="AL109" s="789"/>
      <c r="AM109" s="789"/>
      <c r="AN109" s="791"/>
      <c r="AO109" s="805"/>
      <c r="AP109" s="805"/>
      <c r="AQ109" s="786"/>
      <c r="AR109" s="786"/>
      <c r="AS109" s="786"/>
      <c r="AT109" s="786"/>
      <c r="AU109" s="787"/>
      <c r="AV109" s="787"/>
      <c r="AW109" s="787"/>
      <c r="AX109" s="784"/>
      <c r="AY109" s="1214"/>
    </row>
    <row r="110" spans="1:51" ht="27" customHeight="1" x14ac:dyDescent="0.25">
      <c r="A110" s="1191"/>
      <c r="B110" s="833"/>
      <c r="C110" s="809"/>
      <c r="D110" s="136" t="s">
        <v>43</v>
      </c>
      <c r="E110" s="142"/>
      <c r="F110" s="143"/>
      <c r="G110" s="445"/>
      <c r="H110" s="445"/>
      <c r="I110" s="445"/>
      <c r="J110" s="445"/>
      <c r="K110" s="445"/>
      <c r="L110" s="445"/>
      <c r="M110" s="446"/>
      <c r="N110" s="445"/>
      <c r="O110" s="445"/>
      <c r="P110" s="445">
        <v>1</v>
      </c>
      <c r="Q110" s="445">
        <v>2</v>
      </c>
      <c r="R110" s="447">
        <v>2</v>
      </c>
      <c r="S110" s="446"/>
      <c r="T110" s="446"/>
      <c r="U110" s="446"/>
      <c r="V110" s="446"/>
      <c r="W110" s="446"/>
      <c r="X110" s="446"/>
      <c r="Y110" s="446"/>
      <c r="Z110" s="446"/>
      <c r="AA110" s="445"/>
      <c r="AB110" s="445"/>
      <c r="AC110" s="445">
        <v>1</v>
      </c>
      <c r="AD110" s="445">
        <v>2</v>
      </c>
      <c r="AE110" s="447">
        <v>2</v>
      </c>
      <c r="AF110" s="1217"/>
      <c r="AG110" s="1195"/>
      <c r="AH110" s="789"/>
      <c r="AI110" s="789"/>
      <c r="AJ110" s="793"/>
      <c r="AK110" s="789"/>
      <c r="AL110" s="789"/>
      <c r="AM110" s="789"/>
      <c r="AN110" s="791"/>
      <c r="AO110" s="805"/>
      <c r="AP110" s="805"/>
      <c r="AQ110" s="786"/>
      <c r="AR110" s="786"/>
      <c r="AS110" s="786"/>
      <c r="AT110" s="786"/>
      <c r="AU110" s="787"/>
      <c r="AV110" s="787"/>
      <c r="AW110" s="787"/>
      <c r="AX110" s="784"/>
      <c r="AY110" s="1214"/>
    </row>
    <row r="111" spans="1:51" ht="27.75" customHeight="1" thickBot="1" x14ac:dyDescent="0.3">
      <c r="A111" s="1191"/>
      <c r="B111" s="833"/>
      <c r="C111" s="809"/>
      <c r="D111" s="140" t="s">
        <v>45</v>
      </c>
      <c r="E111" s="142"/>
      <c r="F111" s="143"/>
      <c r="G111" s="445"/>
      <c r="H111" s="445"/>
      <c r="I111" s="445"/>
      <c r="J111" s="445"/>
      <c r="K111" s="445"/>
      <c r="L111" s="445"/>
      <c r="M111" s="446"/>
      <c r="N111" s="445"/>
      <c r="O111" s="445"/>
      <c r="P111" s="445">
        <f>+P110*$O$11/$O$10</f>
        <v>5553568.8073394494</v>
      </c>
      <c r="Q111" s="445">
        <f>+Q110*$Q$11/$Q$10</f>
        <v>11107137.614678899</v>
      </c>
      <c r="R111" s="445">
        <f>+R110*$R$11/$R$10</f>
        <v>10713964.601769911</v>
      </c>
      <c r="S111" s="446"/>
      <c r="T111" s="446"/>
      <c r="U111" s="446"/>
      <c r="V111" s="446"/>
      <c r="W111" s="446"/>
      <c r="X111" s="446"/>
      <c r="Y111" s="446"/>
      <c r="Z111" s="446"/>
      <c r="AA111" s="445"/>
      <c r="AB111" s="445"/>
      <c r="AC111" s="445">
        <f>+AC110*$AC$11/$AC$10</f>
        <v>6158048.3870967738</v>
      </c>
      <c r="AD111" s="445">
        <f>+AD110*$AD$11/$AD$10</f>
        <v>11339058.252427185</v>
      </c>
      <c r="AE111" s="445">
        <f>+AE110*$AE$11/$AE$10</f>
        <v>10458805.309734514</v>
      </c>
      <c r="AF111" s="1222"/>
      <c r="AG111" s="1196"/>
      <c r="AH111" s="790"/>
      <c r="AI111" s="790"/>
      <c r="AJ111" s="794"/>
      <c r="AK111" s="790"/>
      <c r="AL111" s="790"/>
      <c r="AM111" s="790"/>
      <c r="AN111" s="791"/>
      <c r="AO111" s="805"/>
      <c r="AP111" s="805"/>
      <c r="AQ111" s="786"/>
      <c r="AR111" s="786"/>
      <c r="AS111" s="786"/>
      <c r="AT111" s="786"/>
      <c r="AU111" s="787"/>
      <c r="AV111" s="787"/>
      <c r="AW111" s="787"/>
      <c r="AX111" s="785"/>
      <c r="AY111" s="1214"/>
    </row>
    <row r="112" spans="1:51" ht="18" customHeight="1" x14ac:dyDescent="0.25">
      <c r="A112" s="1191"/>
      <c r="B112" s="833"/>
      <c r="C112" s="809" t="s">
        <v>1313</v>
      </c>
      <c r="D112" s="141" t="s">
        <v>41</v>
      </c>
      <c r="E112" s="142"/>
      <c r="F112" s="143"/>
      <c r="G112" s="445"/>
      <c r="H112" s="445">
        <v>1</v>
      </c>
      <c r="I112" s="445">
        <v>1</v>
      </c>
      <c r="J112" s="445">
        <v>1</v>
      </c>
      <c r="K112" s="445">
        <v>1</v>
      </c>
      <c r="L112" s="445">
        <v>1</v>
      </c>
      <c r="M112" s="446">
        <v>1</v>
      </c>
      <c r="N112" s="445">
        <v>1</v>
      </c>
      <c r="O112" s="445">
        <v>1</v>
      </c>
      <c r="P112" s="445">
        <v>1</v>
      </c>
      <c r="Q112" s="445">
        <v>1</v>
      </c>
      <c r="R112" s="447">
        <v>1</v>
      </c>
      <c r="S112" s="446"/>
      <c r="T112" s="446"/>
      <c r="U112" s="446">
        <v>1</v>
      </c>
      <c r="V112" s="446">
        <v>1</v>
      </c>
      <c r="W112" s="446">
        <v>1</v>
      </c>
      <c r="X112" s="446">
        <v>1</v>
      </c>
      <c r="Y112" s="446">
        <v>1</v>
      </c>
      <c r="Z112" s="446">
        <v>1</v>
      </c>
      <c r="AA112" s="445">
        <v>1</v>
      </c>
      <c r="AB112" s="445">
        <v>1</v>
      </c>
      <c r="AC112" s="445">
        <v>1</v>
      </c>
      <c r="AD112" s="445">
        <v>1</v>
      </c>
      <c r="AE112" s="447">
        <v>1</v>
      </c>
      <c r="AF112" s="1206" t="s">
        <v>730</v>
      </c>
      <c r="AG112" s="1194" t="s">
        <v>390</v>
      </c>
      <c r="AH112" s="788" t="s">
        <v>392</v>
      </c>
      <c r="AI112" s="788" t="s">
        <v>393</v>
      </c>
      <c r="AJ112" s="792" t="s">
        <v>914</v>
      </c>
      <c r="AK112" s="788" t="s">
        <v>315</v>
      </c>
      <c r="AL112" s="788" t="s">
        <v>70</v>
      </c>
      <c r="AM112" s="788" t="s">
        <v>316</v>
      </c>
      <c r="AN112" s="791">
        <v>83774</v>
      </c>
      <c r="AO112" s="805">
        <v>40068</v>
      </c>
      <c r="AP112" s="805">
        <v>43706</v>
      </c>
      <c r="AQ112" s="786" t="s">
        <v>317</v>
      </c>
      <c r="AR112" s="786" t="s">
        <v>317</v>
      </c>
      <c r="AS112" s="786" t="s">
        <v>317</v>
      </c>
      <c r="AT112" s="786" t="s">
        <v>317</v>
      </c>
      <c r="AU112" s="787" t="s">
        <v>317</v>
      </c>
      <c r="AV112" s="787" t="s">
        <v>317</v>
      </c>
      <c r="AW112" s="787" t="s">
        <v>317</v>
      </c>
      <c r="AX112" s="783">
        <v>83774</v>
      </c>
      <c r="AY112" s="1214"/>
    </row>
    <row r="113" spans="1:51" ht="18.75" customHeight="1" x14ac:dyDescent="0.25">
      <c r="A113" s="1191"/>
      <c r="B113" s="833"/>
      <c r="C113" s="809"/>
      <c r="D113" s="132" t="s">
        <v>3</v>
      </c>
      <c r="E113" s="142"/>
      <c r="F113" s="143"/>
      <c r="G113" s="445"/>
      <c r="H113" s="445">
        <v>5272055.0458715595</v>
      </c>
      <c r="I113" s="445">
        <v>5272055.0458715595</v>
      </c>
      <c r="J113" s="445">
        <v>5102816.5137614682</v>
      </c>
      <c r="K113" s="445">
        <f>+K112*$K$11/$K$10</f>
        <v>5102816.5137614682</v>
      </c>
      <c r="L113" s="445">
        <f>+L112*$L$11/$L$10</f>
        <v>5102816.5137614682</v>
      </c>
      <c r="M113" s="445">
        <f>+M112*$M$11/$M$10</f>
        <v>5102816.5137614682</v>
      </c>
      <c r="N113" s="445">
        <f>+N112*$N$11/$N$10</f>
        <v>5553568.8073394494</v>
      </c>
      <c r="O113" s="445">
        <f>+O112*$O$11/$O$10</f>
        <v>5553568.8073394494</v>
      </c>
      <c r="P113" s="445">
        <f>+P112*$O$11/$O$10</f>
        <v>5553568.8073394494</v>
      </c>
      <c r="Q113" s="445">
        <f>+Q112*$Q$11/$Q$10</f>
        <v>5553568.8073394494</v>
      </c>
      <c r="R113" s="445">
        <f>+R112*$R$11/$R$10</f>
        <v>5356982.3008849556</v>
      </c>
      <c r="S113" s="446"/>
      <c r="T113" s="446"/>
      <c r="U113" s="445">
        <v>23726153.846153848</v>
      </c>
      <c r="V113" s="449">
        <v>21558652.173913043</v>
      </c>
      <c r="W113" s="445">
        <v>15025727.272727273</v>
      </c>
      <c r="X113" s="445">
        <f>+X112*$X$11/$X$10</f>
        <v>11531372.093023255</v>
      </c>
      <c r="Y113" s="445">
        <f>+Y112*$Y$11/$Y$10</f>
        <v>10494471.698113207</v>
      </c>
      <c r="Z113" s="445">
        <f>+Z112*$Z$11/$Z$10</f>
        <v>8828682.5396825392</v>
      </c>
      <c r="AA113" s="445">
        <f>+AA112*$AA$11/$AA$10</f>
        <v>7619273.9726027399</v>
      </c>
      <c r="AB113" s="445">
        <f>+AB112*$AB$11/$AB$10</f>
        <v>6899981.9277108433</v>
      </c>
      <c r="AC113" s="445">
        <f>+AC112*$AC$11/$AC$10</f>
        <v>6158048.3870967738</v>
      </c>
      <c r="AD113" s="445">
        <f>+AD112*$AD$11/$AD$10</f>
        <v>5669529.1262135925</v>
      </c>
      <c r="AE113" s="449">
        <f>+AE112*$AE$11/$AE$10</f>
        <v>5229402.654867257</v>
      </c>
      <c r="AF113" s="1209"/>
      <c r="AG113" s="1195"/>
      <c r="AH113" s="789"/>
      <c r="AI113" s="789"/>
      <c r="AJ113" s="793"/>
      <c r="AK113" s="789"/>
      <c r="AL113" s="789"/>
      <c r="AM113" s="789"/>
      <c r="AN113" s="791"/>
      <c r="AO113" s="805"/>
      <c r="AP113" s="805"/>
      <c r="AQ113" s="786"/>
      <c r="AR113" s="786"/>
      <c r="AS113" s="786"/>
      <c r="AT113" s="786"/>
      <c r="AU113" s="787"/>
      <c r="AV113" s="787"/>
      <c r="AW113" s="787"/>
      <c r="AX113" s="784"/>
      <c r="AY113" s="1214"/>
    </row>
    <row r="114" spans="1:51" ht="27.75" customHeight="1" x14ac:dyDescent="0.25">
      <c r="A114" s="1191"/>
      <c r="B114" s="833"/>
      <c r="C114" s="809"/>
      <c r="D114" s="136" t="s">
        <v>42</v>
      </c>
      <c r="E114" s="142"/>
      <c r="F114" s="143"/>
      <c r="G114" s="445"/>
      <c r="H114" s="445"/>
      <c r="I114" s="445"/>
      <c r="J114" s="445"/>
      <c r="K114" s="445"/>
      <c r="L114" s="445"/>
      <c r="M114" s="446"/>
      <c r="N114" s="445"/>
      <c r="O114" s="445"/>
      <c r="P114" s="445"/>
      <c r="Q114" s="445"/>
      <c r="R114" s="447"/>
      <c r="S114" s="446"/>
      <c r="T114" s="446"/>
      <c r="U114" s="446"/>
      <c r="V114" s="446"/>
      <c r="W114" s="446"/>
      <c r="X114" s="446"/>
      <c r="Y114" s="446"/>
      <c r="Z114" s="446"/>
      <c r="AA114" s="445"/>
      <c r="AB114" s="445"/>
      <c r="AC114" s="445"/>
      <c r="AD114" s="445"/>
      <c r="AE114" s="447"/>
      <c r="AF114" s="1209"/>
      <c r="AG114" s="1195"/>
      <c r="AH114" s="789"/>
      <c r="AI114" s="789"/>
      <c r="AJ114" s="793"/>
      <c r="AK114" s="789"/>
      <c r="AL114" s="789"/>
      <c r="AM114" s="789"/>
      <c r="AN114" s="791"/>
      <c r="AO114" s="805"/>
      <c r="AP114" s="805"/>
      <c r="AQ114" s="786"/>
      <c r="AR114" s="786"/>
      <c r="AS114" s="786"/>
      <c r="AT114" s="786"/>
      <c r="AU114" s="787"/>
      <c r="AV114" s="787"/>
      <c r="AW114" s="787"/>
      <c r="AX114" s="784"/>
      <c r="AY114" s="1214"/>
    </row>
    <row r="115" spans="1:51" ht="27.75" customHeight="1" x14ac:dyDescent="0.25">
      <c r="A115" s="1191"/>
      <c r="B115" s="833"/>
      <c r="C115" s="809"/>
      <c r="D115" s="132" t="s">
        <v>4</v>
      </c>
      <c r="E115" s="142"/>
      <c r="F115" s="143"/>
      <c r="G115" s="445"/>
      <c r="H115" s="445"/>
      <c r="I115" s="445"/>
      <c r="J115" s="445"/>
      <c r="K115" s="445"/>
      <c r="L115" s="445"/>
      <c r="M115" s="446"/>
      <c r="N115" s="445"/>
      <c r="O115" s="445"/>
      <c r="P115" s="445"/>
      <c r="Q115" s="445"/>
      <c r="R115" s="447"/>
      <c r="S115" s="446"/>
      <c r="T115" s="446"/>
      <c r="U115" s="446"/>
      <c r="V115" s="446"/>
      <c r="W115" s="446"/>
      <c r="X115" s="446"/>
      <c r="Y115" s="446"/>
      <c r="Z115" s="446"/>
      <c r="AA115" s="445"/>
      <c r="AB115" s="445"/>
      <c r="AC115" s="445"/>
      <c r="AD115" s="445"/>
      <c r="AE115" s="447"/>
      <c r="AF115" s="1209"/>
      <c r="AG115" s="1195"/>
      <c r="AH115" s="789"/>
      <c r="AI115" s="789"/>
      <c r="AJ115" s="793"/>
      <c r="AK115" s="789"/>
      <c r="AL115" s="789"/>
      <c r="AM115" s="789"/>
      <c r="AN115" s="791"/>
      <c r="AO115" s="805"/>
      <c r="AP115" s="805"/>
      <c r="AQ115" s="786"/>
      <c r="AR115" s="786"/>
      <c r="AS115" s="786"/>
      <c r="AT115" s="786"/>
      <c r="AU115" s="787"/>
      <c r="AV115" s="787"/>
      <c r="AW115" s="787"/>
      <c r="AX115" s="784"/>
      <c r="AY115" s="1214"/>
    </row>
    <row r="116" spans="1:51" ht="27.75" customHeight="1" x14ac:dyDescent="0.25">
      <c r="A116" s="1191"/>
      <c r="B116" s="833"/>
      <c r="C116" s="809"/>
      <c r="D116" s="136" t="s">
        <v>43</v>
      </c>
      <c r="E116" s="142"/>
      <c r="F116" s="143"/>
      <c r="G116" s="445"/>
      <c r="H116" s="445">
        <v>1</v>
      </c>
      <c r="I116" s="445">
        <v>1</v>
      </c>
      <c r="J116" s="445">
        <v>1</v>
      </c>
      <c r="K116" s="445">
        <v>1</v>
      </c>
      <c r="L116" s="445">
        <v>1</v>
      </c>
      <c r="M116" s="446">
        <v>1</v>
      </c>
      <c r="N116" s="445">
        <v>1</v>
      </c>
      <c r="O116" s="445">
        <v>1</v>
      </c>
      <c r="P116" s="445">
        <v>1</v>
      </c>
      <c r="Q116" s="445">
        <v>1</v>
      </c>
      <c r="R116" s="447">
        <v>1</v>
      </c>
      <c r="S116" s="446"/>
      <c r="T116" s="446"/>
      <c r="U116" s="446">
        <v>1</v>
      </c>
      <c r="V116" s="446">
        <v>1</v>
      </c>
      <c r="W116" s="446">
        <v>1</v>
      </c>
      <c r="X116" s="446">
        <v>1</v>
      </c>
      <c r="Y116" s="446">
        <v>1</v>
      </c>
      <c r="Z116" s="446">
        <v>1</v>
      </c>
      <c r="AA116" s="445">
        <v>1</v>
      </c>
      <c r="AB116" s="445">
        <v>1</v>
      </c>
      <c r="AC116" s="445">
        <v>1</v>
      </c>
      <c r="AD116" s="445">
        <v>1</v>
      </c>
      <c r="AE116" s="447">
        <v>1</v>
      </c>
      <c r="AF116" s="1209"/>
      <c r="AG116" s="1195"/>
      <c r="AH116" s="789"/>
      <c r="AI116" s="789"/>
      <c r="AJ116" s="793"/>
      <c r="AK116" s="789"/>
      <c r="AL116" s="789"/>
      <c r="AM116" s="789"/>
      <c r="AN116" s="791"/>
      <c r="AO116" s="805"/>
      <c r="AP116" s="805"/>
      <c r="AQ116" s="786"/>
      <c r="AR116" s="786"/>
      <c r="AS116" s="786"/>
      <c r="AT116" s="786"/>
      <c r="AU116" s="787"/>
      <c r="AV116" s="787"/>
      <c r="AW116" s="787"/>
      <c r="AX116" s="784"/>
      <c r="AY116" s="1214"/>
    </row>
    <row r="117" spans="1:51" ht="27.75" customHeight="1" thickBot="1" x14ac:dyDescent="0.3">
      <c r="A117" s="1191"/>
      <c r="B117" s="833"/>
      <c r="C117" s="809"/>
      <c r="D117" s="140" t="s">
        <v>45</v>
      </c>
      <c r="E117" s="142"/>
      <c r="F117" s="143"/>
      <c r="G117" s="445"/>
      <c r="H117" s="445">
        <v>5272055.0458715595</v>
      </c>
      <c r="I117" s="445">
        <v>5272055.0458715595</v>
      </c>
      <c r="J117" s="445">
        <v>5102816.5137614682</v>
      </c>
      <c r="K117" s="445">
        <f>+K116*$K$11/$K$10</f>
        <v>5102816.5137614682</v>
      </c>
      <c r="L117" s="445">
        <f>+L116*$L$11/$L$10</f>
        <v>5102816.5137614682</v>
      </c>
      <c r="M117" s="445">
        <f>+M116*$M$11/$M$10</f>
        <v>5102816.5137614682</v>
      </c>
      <c r="N117" s="445">
        <f>+N116*$N$11/$N$10</f>
        <v>5553568.8073394494</v>
      </c>
      <c r="O117" s="445">
        <f>+O116*$O$11/$O$10</f>
        <v>5553568.8073394494</v>
      </c>
      <c r="P117" s="445">
        <f>+P116*$O$11/$O$10</f>
        <v>5553568.8073394494</v>
      </c>
      <c r="Q117" s="445">
        <f>+Q116*$Q$11/$Q$10</f>
        <v>5553568.8073394494</v>
      </c>
      <c r="R117" s="445">
        <f>+R116*$R$11/$R$10</f>
        <v>5356982.3008849556</v>
      </c>
      <c r="S117" s="446"/>
      <c r="T117" s="446"/>
      <c r="U117" s="445">
        <v>23726153.846153848</v>
      </c>
      <c r="V117" s="449">
        <v>21558652.173913043</v>
      </c>
      <c r="W117" s="445">
        <v>15025727.272727273</v>
      </c>
      <c r="X117" s="445">
        <f>+X116*$X$11/$X$10</f>
        <v>11531372.093023255</v>
      </c>
      <c r="Y117" s="445">
        <f>+Y116*$Y$11/$Y$10</f>
        <v>10494471.698113207</v>
      </c>
      <c r="Z117" s="445">
        <f>+Z116*$Z$11/$Z$10</f>
        <v>8828682.5396825392</v>
      </c>
      <c r="AA117" s="445">
        <f>+AA116*$AA$11/$AA$10</f>
        <v>7619273.9726027399</v>
      </c>
      <c r="AB117" s="445">
        <f>+AB116*$AB$11/$AB$10</f>
        <v>6899981.9277108433</v>
      </c>
      <c r="AC117" s="445">
        <f>+AC116*$AC$11/$AC$10</f>
        <v>6158048.3870967738</v>
      </c>
      <c r="AD117" s="445">
        <f>+AD116*$AD$11/$AD$10</f>
        <v>5669529.1262135925</v>
      </c>
      <c r="AE117" s="445">
        <f>+AE116*$AE$11/$AE$10</f>
        <v>5229402.654867257</v>
      </c>
      <c r="AF117" s="1212"/>
      <c r="AG117" s="1196"/>
      <c r="AH117" s="790"/>
      <c r="AI117" s="790"/>
      <c r="AJ117" s="794"/>
      <c r="AK117" s="790"/>
      <c r="AL117" s="790"/>
      <c r="AM117" s="790"/>
      <c r="AN117" s="791"/>
      <c r="AO117" s="805"/>
      <c r="AP117" s="805"/>
      <c r="AQ117" s="786"/>
      <c r="AR117" s="786"/>
      <c r="AS117" s="786"/>
      <c r="AT117" s="786"/>
      <c r="AU117" s="787"/>
      <c r="AV117" s="787"/>
      <c r="AW117" s="787"/>
      <c r="AX117" s="785"/>
      <c r="AY117" s="1214"/>
    </row>
    <row r="118" spans="1:51" ht="18" customHeight="1" x14ac:dyDescent="0.25">
      <c r="A118" s="1191"/>
      <c r="B118" s="833"/>
      <c r="C118" s="809" t="s">
        <v>1314</v>
      </c>
      <c r="D118" s="141" t="s">
        <v>41</v>
      </c>
      <c r="E118" s="142"/>
      <c r="F118" s="143"/>
      <c r="G118" s="445">
        <v>1</v>
      </c>
      <c r="H118" s="445">
        <v>2</v>
      </c>
      <c r="I118" s="446">
        <v>3</v>
      </c>
      <c r="J118" s="445">
        <v>5</v>
      </c>
      <c r="K118" s="445">
        <v>7</v>
      </c>
      <c r="L118" s="445">
        <v>7</v>
      </c>
      <c r="M118" s="446">
        <v>7</v>
      </c>
      <c r="N118" s="445">
        <v>7</v>
      </c>
      <c r="O118" s="445">
        <v>7</v>
      </c>
      <c r="P118" s="445">
        <v>7</v>
      </c>
      <c r="Q118" s="445">
        <v>8</v>
      </c>
      <c r="R118" s="447">
        <v>8</v>
      </c>
      <c r="S118" s="446"/>
      <c r="T118" s="446">
        <v>1</v>
      </c>
      <c r="U118" s="446">
        <v>2</v>
      </c>
      <c r="V118" s="446">
        <v>3</v>
      </c>
      <c r="W118" s="448">
        <v>5</v>
      </c>
      <c r="X118" s="446">
        <v>7</v>
      </c>
      <c r="Y118" s="446">
        <v>7</v>
      </c>
      <c r="Z118" s="446">
        <v>7</v>
      </c>
      <c r="AA118" s="445">
        <v>7</v>
      </c>
      <c r="AB118" s="445">
        <v>7</v>
      </c>
      <c r="AC118" s="445">
        <v>7</v>
      </c>
      <c r="AD118" s="445">
        <v>8</v>
      </c>
      <c r="AE118" s="447">
        <v>8</v>
      </c>
      <c r="AF118" s="1206" t="s">
        <v>1272</v>
      </c>
      <c r="AG118" s="1194" t="s">
        <v>394</v>
      </c>
      <c r="AH118" s="788" t="s">
        <v>1111</v>
      </c>
      <c r="AI118" s="788" t="s">
        <v>1110</v>
      </c>
      <c r="AJ118" s="792" t="s">
        <v>914</v>
      </c>
      <c r="AK118" s="788" t="s">
        <v>315</v>
      </c>
      <c r="AL118" s="788" t="s">
        <v>70</v>
      </c>
      <c r="AM118" s="788" t="s">
        <v>316</v>
      </c>
      <c r="AN118" s="791">
        <v>254469</v>
      </c>
      <c r="AO118" s="805">
        <v>120116</v>
      </c>
      <c r="AP118" s="805">
        <v>134352</v>
      </c>
      <c r="AQ118" s="786" t="s">
        <v>317</v>
      </c>
      <c r="AR118" s="786" t="s">
        <v>317</v>
      </c>
      <c r="AS118" s="786" t="s">
        <v>317</v>
      </c>
      <c r="AT118" s="786" t="s">
        <v>317</v>
      </c>
      <c r="AU118" s="787" t="s">
        <v>317</v>
      </c>
      <c r="AV118" s="787" t="s">
        <v>317</v>
      </c>
      <c r="AW118" s="787" t="s">
        <v>317</v>
      </c>
      <c r="AX118" s="783">
        <v>254469</v>
      </c>
      <c r="AY118" s="1214"/>
    </row>
    <row r="119" spans="1:51" ht="18" x14ac:dyDescent="0.25">
      <c r="A119" s="1191"/>
      <c r="B119" s="833"/>
      <c r="C119" s="809"/>
      <c r="D119" s="132" t="s">
        <v>3</v>
      </c>
      <c r="E119" s="142"/>
      <c r="F119" s="143"/>
      <c r="G119" s="445">
        <v>5272055.0458715595</v>
      </c>
      <c r="H119" s="445">
        <v>10544110.091743119</v>
      </c>
      <c r="I119" s="445">
        <v>15816165.137614679</v>
      </c>
      <c r="J119" s="445">
        <v>25514082.568807341</v>
      </c>
      <c r="K119" s="445">
        <f>+K118*$K$11/$K$10</f>
        <v>35719715.596330278</v>
      </c>
      <c r="L119" s="445">
        <f>+L118*$L$11/$L$10</f>
        <v>35719715.596330278</v>
      </c>
      <c r="M119" s="445">
        <f>+M118*$M$11/$M$10</f>
        <v>35719715.596330278</v>
      </c>
      <c r="N119" s="445">
        <f>+N118*$N$11/$N$10</f>
        <v>38874981.651376143</v>
      </c>
      <c r="O119" s="445">
        <f>+O118*$O$11/$O$10</f>
        <v>38874981.651376143</v>
      </c>
      <c r="P119" s="445">
        <f>+P118*$O$11/$O$10</f>
        <v>38874981.651376143</v>
      </c>
      <c r="Q119" s="445">
        <f>+Q118*$Q$11/$Q$10</f>
        <v>44428550.458715595</v>
      </c>
      <c r="R119" s="445">
        <f>+R118*$R$11/$R$10</f>
        <v>42855858.407079645</v>
      </c>
      <c r="S119" s="446"/>
      <c r="T119" s="445">
        <v>0</v>
      </c>
      <c r="U119" s="445">
        <v>47452307.692307696</v>
      </c>
      <c r="V119" s="449">
        <v>64675956.521739133</v>
      </c>
      <c r="W119" s="445">
        <v>75128636.36363636</v>
      </c>
      <c r="X119" s="445">
        <f>+X118*$X$11/$X$10</f>
        <v>80719604.651162788</v>
      </c>
      <c r="Y119" s="445">
        <f>+Y118*$Y$11/$Y$10</f>
        <v>73461301.886792451</v>
      </c>
      <c r="Z119" s="445">
        <f>+Z118*$Z$11/$Z$10</f>
        <v>61800777.777777776</v>
      </c>
      <c r="AA119" s="445">
        <f>+AA118*$AA$11/$AA$10</f>
        <v>53334917.80821918</v>
      </c>
      <c r="AB119" s="445">
        <f>+AB118*$AB$11/$AB$10</f>
        <v>48299873.4939759</v>
      </c>
      <c r="AC119" s="445">
        <f>+AC118*$AC$11/$AC$10</f>
        <v>43106338.709677421</v>
      </c>
      <c r="AD119" s="445">
        <f>+AD118*$AD$11/$AD$10</f>
        <v>45356233.00970874</v>
      </c>
      <c r="AE119" s="445">
        <f>+AE118*$AE$11/$AE$10</f>
        <v>41835221.238938056</v>
      </c>
      <c r="AF119" s="1209"/>
      <c r="AG119" s="1195"/>
      <c r="AH119" s="789"/>
      <c r="AI119" s="789"/>
      <c r="AJ119" s="793"/>
      <c r="AK119" s="789"/>
      <c r="AL119" s="789"/>
      <c r="AM119" s="789"/>
      <c r="AN119" s="791"/>
      <c r="AO119" s="805"/>
      <c r="AP119" s="805"/>
      <c r="AQ119" s="786"/>
      <c r="AR119" s="786"/>
      <c r="AS119" s="786"/>
      <c r="AT119" s="786"/>
      <c r="AU119" s="787"/>
      <c r="AV119" s="787"/>
      <c r="AW119" s="787"/>
      <c r="AX119" s="784"/>
      <c r="AY119" s="1214"/>
    </row>
    <row r="120" spans="1:51" ht="27" x14ac:dyDescent="0.25">
      <c r="A120" s="1191"/>
      <c r="B120" s="833"/>
      <c r="C120" s="809"/>
      <c r="D120" s="136" t="s">
        <v>42</v>
      </c>
      <c r="E120" s="142"/>
      <c r="F120" s="143"/>
      <c r="G120" s="445"/>
      <c r="H120" s="445"/>
      <c r="I120" s="445"/>
      <c r="J120" s="445"/>
      <c r="K120" s="445"/>
      <c r="L120" s="445"/>
      <c r="M120" s="446"/>
      <c r="N120" s="445"/>
      <c r="O120" s="445"/>
      <c r="P120" s="445"/>
      <c r="Q120" s="445"/>
      <c r="R120" s="447"/>
      <c r="S120" s="446"/>
      <c r="T120" s="446"/>
      <c r="U120" s="446"/>
      <c r="V120" s="446"/>
      <c r="W120" s="446"/>
      <c r="X120" s="446"/>
      <c r="Y120" s="446"/>
      <c r="Z120" s="446"/>
      <c r="AA120" s="445"/>
      <c r="AB120" s="445"/>
      <c r="AC120" s="445"/>
      <c r="AD120" s="445"/>
      <c r="AE120" s="447"/>
      <c r="AF120" s="1209"/>
      <c r="AG120" s="1195"/>
      <c r="AH120" s="789"/>
      <c r="AI120" s="789"/>
      <c r="AJ120" s="793"/>
      <c r="AK120" s="789"/>
      <c r="AL120" s="789"/>
      <c r="AM120" s="789"/>
      <c r="AN120" s="791"/>
      <c r="AO120" s="805"/>
      <c r="AP120" s="805"/>
      <c r="AQ120" s="786"/>
      <c r="AR120" s="786"/>
      <c r="AS120" s="786"/>
      <c r="AT120" s="786"/>
      <c r="AU120" s="787"/>
      <c r="AV120" s="787"/>
      <c r="AW120" s="787"/>
      <c r="AX120" s="784"/>
      <c r="AY120" s="1214"/>
    </row>
    <row r="121" spans="1:51" ht="27" x14ac:dyDescent="0.25">
      <c r="A121" s="1191"/>
      <c r="B121" s="833"/>
      <c r="C121" s="809"/>
      <c r="D121" s="132" t="s">
        <v>4</v>
      </c>
      <c r="E121" s="142"/>
      <c r="F121" s="143"/>
      <c r="G121" s="445"/>
      <c r="H121" s="445"/>
      <c r="I121" s="445"/>
      <c r="J121" s="445"/>
      <c r="K121" s="445"/>
      <c r="L121" s="445"/>
      <c r="M121" s="446"/>
      <c r="N121" s="445"/>
      <c r="O121" s="445"/>
      <c r="P121" s="445"/>
      <c r="Q121" s="445"/>
      <c r="R121" s="447"/>
      <c r="S121" s="446"/>
      <c r="T121" s="445">
        <v>1355400</v>
      </c>
      <c r="U121" s="441">
        <v>14532248.6</v>
      </c>
      <c r="V121" s="446"/>
      <c r="W121" s="446"/>
      <c r="X121" s="446"/>
      <c r="Y121" s="446"/>
      <c r="Z121" s="446"/>
      <c r="AA121" s="445"/>
      <c r="AB121" s="445"/>
      <c r="AC121" s="445"/>
      <c r="AD121" s="445"/>
      <c r="AE121" s="447"/>
      <c r="AF121" s="1209"/>
      <c r="AG121" s="1195"/>
      <c r="AH121" s="789"/>
      <c r="AI121" s="789"/>
      <c r="AJ121" s="793"/>
      <c r="AK121" s="789"/>
      <c r="AL121" s="789"/>
      <c r="AM121" s="789"/>
      <c r="AN121" s="791"/>
      <c r="AO121" s="805"/>
      <c r="AP121" s="805"/>
      <c r="AQ121" s="786"/>
      <c r="AR121" s="786"/>
      <c r="AS121" s="786"/>
      <c r="AT121" s="786"/>
      <c r="AU121" s="787"/>
      <c r="AV121" s="787"/>
      <c r="AW121" s="787"/>
      <c r="AX121" s="784"/>
      <c r="AY121" s="1214"/>
    </row>
    <row r="122" spans="1:51" ht="27" x14ac:dyDescent="0.25">
      <c r="A122" s="1191"/>
      <c r="B122" s="833"/>
      <c r="C122" s="809"/>
      <c r="D122" s="136" t="s">
        <v>43</v>
      </c>
      <c r="E122" s="142"/>
      <c r="F122" s="143"/>
      <c r="G122" s="445">
        <v>1</v>
      </c>
      <c r="H122" s="445">
        <v>2</v>
      </c>
      <c r="I122" s="445">
        <v>2</v>
      </c>
      <c r="J122" s="445">
        <v>5</v>
      </c>
      <c r="K122" s="445">
        <v>7</v>
      </c>
      <c r="L122" s="445">
        <v>7</v>
      </c>
      <c r="M122" s="446">
        <v>7</v>
      </c>
      <c r="N122" s="445">
        <v>7</v>
      </c>
      <c r="O122" s="445">
        <v>7</v>
      </c>
      <c r="P122" s="445">
        <v>7</v>
      </c>
      <c r="Q122" s="445">
        <v>8</v>
      </c>
      <c r="R122" s="447">
        <v>8</v>
      </c>
      <c r="S122" s="446"/>
      <c r="T122" s="446">
        <v>1</v>
      </c>
      <c r="U122" s="446">
        <v>2</v>
      </c>
      <c r="V122" s="446">
        <v>2</v>
      </c>
      <c r="W122" s="446">
        <v>5</v>
      </c>
      <c r="X122" s="446">
        <v>7</v>
      </c>
      <c r="Y122" s="446">
        <v>7</v>
      </c>
      <c r="Z122" s="446">
        <v>7</v>
      </c>
      <c r="AA122" s="445">
        <v>7</v>
      </c>
      <c r="AB122" s="445">
        <v>7</v>
      </c>
      <c r="AC122" s="445">
        <v>7</v>
      </c>
      <c r="AD122" s="445">
        <v>8</v>
      </c>
      <c r="AE122" s="447">
        <v>8</v>
      </c>
      <c r="AF122" s="1209"/>
      <c r="AG122" s="1195"/>
      <c r="AH122" s="789"/>
      <c r="AI122" s="789"/>
      <c r="AJ122" s="793"/>
      <c r="AK122" s="789"/>
      <c r="AL122" s="789"/>
      <c r="AM122" s="789"/>
      <c r="AN122" s="791"/>
      <c r="AO122" s="805"/>
      <c r="AP122" s="805"/>
      <c r="AQ122" s="786"/>
      <c r="AR122" s="786"/>
      <c r="AS122" s="786"/>
      <c r="AT122" s="786"/>
      <c r="AU122" s="787"/>
      <c r="AV122" s="787"/>
      <c r="AW122" s="787"/>
      <c r="AX122" s="784"/>
      <c r="AY122" s="1214"/>
    </row>
    <row r="123" spans="1:51" ht="27.75" thickBot="1" x14ac:dyDescent="0.3">
      <c r="A123" s="1191"/>
      <c r="B123" s="833"/>
      <c r="C123" s="809"/>
      <c r="D123" s="140" t="s">
        <v>45</v>
      </c>
      <c r="E123" s="142"/>
      <c r="F123" s="143"/>
      <c r="G123" s="445">
        <v>5272055.0458715595</v>
      </c>
      <c r="H123" s="445">
        <v>10544110.091743119</v>
      </c>
      <c r="I123" s="445">
        <v>10544110.091743119</v>
      </c>
      <c r="J123" s="445">
        <v>25514082.568807341</v>
      </c>
      <c r="K123" s="445">
        <f>+K122*$K$11/$K$10</f>
        <v>35719715.596330278</v>
      </c>
      <c r="L123" s="445">
        <f>+L122*$L$11/$L$10</f>
        <v>35719715.596330278</v>
      </c>
      <c r="M123" s="445">
        <f>+M122*$M$11/$M$10</f>
        <v>35719715.596330278</v>
      </c>
      <c r="N123" s="445">
        <f>+N122*$N$11/$N$10</f>
        <v>38874981.651376143</v>
      </c>
      <c r="O123" s="445">
        <f>+O122*$O$11/$O$10</f>
        <v>38874981.651376143</v>
      </c>
      <c r="P123" s="445">
        <f>+P122*$O$11/$O$10</f>
        <v>38874981.651376143</v>
      </c>
      <c r="Q123" s="445">
        <f>+Q122*$Q$11/$Q$10</f>
        <v>44428550.458715595</v>
      </c>
      <c r="R123" s="445">
        <f>+R122*$R$11/$R$10</f>
        <v>42855858.407079645</v>
      </c>
      <c r="S123" s="446"/>
      <c r="T123" s="445">
        <v>0</v>
      </c>
      <c r="U123" s="445">
        <v>47452307.692307696</v>
      </c>
      <c r="V123" s="449">
        <v>43117304.347826086</v>
      </c>
      <c r="W123" s="445">
        <v>75128636.36363636</v>
      </c>
      <c r="X123" s="445">
        <f>+X122*$X$11/$X$10</f>
        <v>80719604.651162788</v>
      </c>
      <c r="Y123" s="445">
        <f>+Y122*$Y$11/$Y$10</f>
        <v>73461301.886792451</v>
      </c>
      <c r="Z123" s="445">
        <f>+Z122*$Z$11/$Z$10</f>
        <v>61800777.777777776</v>
      </c>
      <c r="AA123" s="445">
        <f>+AA122*$AA$11/$AA$10</f>
        <v>53334917.80821918</v>
      </c>
      <c r="AB123" s="445">
        <f>+AB122*$AB$11/$AB$10</f>
        <v>48299873.4939759</v>
      </c>
      <c r="AC123" s="445">
        <f>+AC122*$AC$11/$AC$10</f>
        <v>43106338.709677421</v>
      </c>
      <c r="AD123" s="445">
        <f>+AD122*$AD$11/$AD$10</f>
        <v>45356233.00970874</v>
      </c>
      <c r="AE123" s="445">
        <f>+AE122*$AE$11/$AE$10</f>
        <v>41835221.238938056</v>
      </c>
      <c r="AF123" s="1212"/>
      <c r="AG123" s="1196"/>
      <c r="AH123" s="790"/>
      <c r="AI123" s="790"/>
      <c r="AJ123" s="794"/>
      <c r="AK123" s="790"/>
      <c r="AL123" s="790"/>
      <c r="AM123" s="790"/>
      <c r="AN123" s="791"/>
      <c r="AO123" s="805"/>
      <c r="AP123" s="805"/>
      <c r="AQ123" s="786"/>
      <c r="AR123" s="786"/>
      <c r="AS123" s="786"/>
      <c r="AT123" s="786"/>
      <c r="AU123" s="787"/>
      <c r="AV123" s="787"/>
      <c r="AW123" s="787"/>
      <c r="AX123" s="785"/>
      <c r="AY123" s="1214"/>
    </row>
    <row r="124" spans="1:51" ht="18" hidden="1" customHeight="1" x14ac:dyDescent="0.25">
      <c r="A124" s="1191"/>
      <c r="B124" s="833"/>
      <c r="C124" s="809" t="s">
        <v>330</v>
      </c>
      <c r="D124" s="141" t="s">
        <v>41</v>
      </c>
      <c r="E124" s="142"/>
      <c r="F124" s="143"/>
      <c r="G124" s="445"/>
      <c r="H124" s="445"/>
      <c r="I124" s="445"/>
      <c r="J124" s="445"/>
      <c r="K124" s="445"/>
      <c r="L124" s="445"/>
      <c r="M124" s="446"/>
      <c r="N124" s="445"/>
      <c r="O124" s="445"/>
      <c r="P124" s="445"/>
      <c r="Q124" s="445"/>
      <c r="R124" s="447"/>
      <c r="S124" s="446"/>
      <c r="T124" s="446"/>
      <c r="U124" s="446"/>
      <c r="V124" s="446"/>
      <c r="W124" s="446"/>
      <c r="X124" s="446"/>
      <c r="Y124" s="446"/>
      <c r="Z124" s="446"/>
      <c r="AA124" s="445"/>
      <c r="AB124" s="445"/>
      <c r="AC124" s="445"/>
      <c r="AD124" s="445"/>
      <c r="AE124" s="447"/>
      <c r="AF124" s="1223"/>
      <c r="AG124" s="1194" t="s">
        <v>330</v>
      </c>
      <c r="AH124" s="788" t="s">
        <v>350</v>
      </c>
      <c r="AI124" s="788" t="s">
        <v>350</v>
      </c>
      <c r="AJ124" s="792" t="s">
        <v>914</v>
      </c>
      <c r="AK124" s="788" t="s">
        <v>315</v>
      </c>
      <c r="AL124" s="788" t="s">
        <v>70</v>
      </c>
      <c r="AM124" s="788" t="s">
        <v>316</v>
      </c>
      <c r="AN124" s="791">
        <v>22438</v>
      </c>
      <c r="AO124" s="805">
        <v>9562</v>
      </c>
      <c r="AP124" s="805">
        <v>9141</v>
      </c>
      <c r="AQ124" s="786" t="s">
        <v>317</v>
      </c>
      <c r="AR124" s="786" t="s">
        <v>317</v>
      </c>
      <c r="AS124" s="786" t="s">
        <v>317</v>
      </c>
      <c r="AT124" s="786" t="s">
        <v>317</v>
      </c>
      <c r="AU124" s="787" t="s">
        <v>317</v>
      </c>
      <c r="AV124" s="787" t="s">
        <v>317</v>
      </c>
      <c r="AW124" s="787" t="s">
        <v>317</v>
      </c>
      <c r="AX124" s="783">
        <v>22438</v>
      </c>
      <c r="AY124" s="1214"/>
    </row>
    <row r="125" spans="1:51" ht="18.75" hidden="1" customHeight="1" x14ac:dyDescent="0.25">
      <c r="A125" s="1191"/>
      <c r="B125" s="833"/>
      <c r="C125" s="809"/>
      <c r="D125" s="132" t="s">
        <v>3</v>
      </c>
      <c r="E125" s="142"/>
      <c r="F125" s="143"/>
      <c r="G125" s="445"/>
      <c r="H125" s="445"/>
      <c r="I125" s="445"/>
      <c r="J125" s="445"/>
      <c r="K125" s="445"/>
      <c r="L125" s="445"/>
      <c r="M125" s="446"/>
      <c r="N125" s="445"/>
      <c r="O125" s="445"/>
      <c r="P125" s="445"/>
      <c r="Q125" s="445"/>
      <c r="R125" s="447"/>
      <c r="S125" s="446"/>
      <c r="T125" s="446"/>
      <c r="U125" s="446"/>
      <c r="V125" s="446"/>
      <c r="W125" s="446"/>
      <c r="X125" s="446"/>
      <c r="Y125" s="446"/>
      <c r="Z125" s="446"/>
      <c r="AA125" s="445"/>
      <c r="AB125" s="445"/>
      <c r="AC125" s="445"/>
      <c r="AD125" s="445"/>
      <c r="AE125" s="447"/>
      <c r="AF125" s="1223"/>
      <c r="AG125" s="1195"/>
      <c r="AH125" s="789"/>
      <c r="AI125" s="789"/>
      <c r="AJ125" s="793"/>
      <c r="AK125" s="789"/>
      <c r="AL125" s="789"/>
      <c r="AM125" s="789"/>
      <c r="AN125" s="791"/>
      <c r="AO125" s="805"/>
      <c r="AP125" s="805"/>
      <c r="AQ125" s="786"/>
      <c r="AR125" s="786"/>
      <c r="AS125" s="786"/>
      <c r="AT125" s="786"/>
      <c r="AU125" s="787"/>
      <c r="AV125" s="787"/>
      <c r="AW125" s="787"/>
      <c r="AX125" s="784"/>
      <c r="AY125" s="1214"/>
    </row>
    <row r="126" spans="1:51" ht="27.75" hidden="1" customHeight="1" x14ac:dyDescent="0.25">
      <c r="A126" s="1191"/>
      <c r="B126" s="833"/>
      <c r="C126" s="809"/>
      <c r="D126" s="136" t="s">
        <v>42</v>
      </c>
      <c r="E126" s="142"/>
      <c r="F126" s="143"/>
      <c r="G126" s="445"/>
      <c r="H126" s="445"/>
      <c r="I126" s="445"/>
      <c r="J126" s="445"/>
      <c r="K126" s="445"/>
      <c r="L126" s="445"/>
      <c r="M126" s="446"/>
      <c r="N126" s="445"/>
      <c r="O126" s="445"/>
      <c r="P126" s="445"/>
      <c r="Q126" s="445"/>
      <c r="R126" s="447"/>
      <c r="S126" s="446"/>
      <c r="T126" s="446"/>
      <c r="U126" s="446"/>
      <c r="V126" s="446"/>
      <c r="W126" s="446"/>
      <c r="X126" s="446"/>
      <c r="Y126" s="446"/>
      <c r="Z126" s="446"/>
      <c r="AA126" s="445"/>
      <c r="AB126" s="445"/>
      <c r="AC126" s="445"/>
      <c r="AD126" s="445"/>
      <c r="AE126" s="447"/>
      <c r="AF126" s="1223"/>
      <c r="AG126" s="1195"/>
      <c r="AH126" s="789"/>
      <c r="AI126" s="789"/>
      <c r="AJ126" s="793"/>
      <c r="AK126" s="789"/>
      <c r="AL126" s="789"/>
      <c r="AM126" s="789"/>
      <c r="AN126" s="791"/>
      <c r="AO126" s="805"/>
      <c r="AP126" s="805"/>
      <c r="AQ126" s="786"/>
      <c r="AR126" s="786"/>
      <c r="AS126" s="786"/>
      <c r="AT126" s="786"/>
      <c r="AU126" s="787"/>
      <c r="AV126" s="787"/>
      <c r="AW126" s="787"/>
      <c r="AX126" s="784"/>
      <c r="AY126" s="1214"/>
    </row>
    <row r="127" spans="1:51" ht="27.75" hidden="1" customHeight="1" x14ac:dyDescent="0.25">
      <c r="A127" s="1191"/>
      <c r="B127" s="833"/>
      <c r="C127" s="809"/>
      <c r="D127" s="132" t="s">
        <v>4</v>
      </c>
      <c r="E127" s="142"/>
      <c r="F127" s="143"/>
      <c r="G127" s="445"/>
      <c r="H127" s="445"/>
      <c r="I127" s="445"/>
      <c r="J127" s="445"/>
      <c r="K127" s="445"/>
      <c r="L127" s="445"/>
      <c r="M127" s="446"/>
      <c r="N127" s="445"/>
      <c r="O127" s="445"/>
      <c r="P127" s="445"/>
      <c r="Q127" s="445"/>
      <c r="R127" s="447"/>
      <c r="S127" s="446"/>
      <c r="T127" s="446"/>
      <c r="U127" s="446"/>
      <c r="V127" s="446"/>
      <c r="W127" s="446"/>
      <c r="X127" s="446"/>
      <c r="Y127" s="446"/>
      <c r="Z127" s="446"/>
      <c r="AA127" s="445"/>
      <c r="AB127" s="445"/>
      <c r="AC127" s="445"/>
      <c r="AD127" s="445"/>
      <c r="AE127" s="447"/>
      <c r="AF127" s="1223"/>
      <c r="AG127" s="1195"/>
      <c r="AH127" s="789"/>
      <c r="AI127" s="789"/>
      <c r="AJ127" s="793"/>
      <c r="AK127" s="789"/>
      <c r="AL127" s="789"/>
      <c r="AM127" s="789"/>
      <c r="AN127" s="791"/>
      <c r="AO127" s="805"/>
      <c r="AP127" s="805"/>
      <c r="AQ127" s="786"/>
      <c r="AR127" s="786"/>
      <c r="AS127" s="786"/>
      <c r="AT127" s="786"/>
      <c r="AU127" s="787"/>
      <c r="AV127" s="787"/>
      <c r="AW127" s="787"/>
      <c r="AX127" s="784"/>
      <c r="AY127" s="1214"/>
    </row>
    <row r="128" spans="1:51" ht="27.75" hidden="1" customHeight="1" x14ac:dyDescent="0.25">
      <c r="A128" s="1191"/>
      <c r="B128" s="833"/>
      <c r="C128" s="809"/>
      <c r="D128" s="136" t="s">
        <v>43</v>
      </c>
      <c r="E128" s="142"/>
      <c r="F128" s="143"/>
      <c r="G128" s="445"/>
      <c r="H128" s="445"/>
      <c r="I128" s="445"/>
      <c r="J128" s="445"/>
      <c r="K128" s="445"/>
      <c r="L128" s="445"/>
      <c r="M128" s="446"/>
      <c r="N128" s="445"/>
      <c r="O128" s="445"/>
      <c r="P128" s="445"/>
      <c r="Q128" s="445"/>
      <c r="R128" s="447"/>
      <c r="S128" s="446"/>
      <c r="T128" s="446"/>
      <c r="U128" s="446"/>
      <c r="V128" s="446"/>
      <c r="W128" s="446"/>
      <c r="X128" s="446"/>
      <c r="Y128" s="446"/>
      <c r="Z128" s="446"/>
      <c r="AA128" s="445"/>
      <c r="AB128" s="445"/>
      <c r="AC128" s="445"/>
      <c r="AD128" s="445"/>
      <c r="AE128" s="447"/>
      <c r="AF128" s="1223"/>
      <c r="AG128" s="1195"/>
      <c r="AH128" s="789"/>
      <c r="AI128" s="789"/>
      <c r="AJ128" s="793"/>
      <c r="AK128" s="789"/>
      <c r="AL128" s="789"/>
      <c r="AM128" s="789"/>
      <c r="AN128" s="791"/>
      <c r="AO128" s="805"/>
      <c r="AP128" s="805"/>
      <c r="AQ128" s="786"/>
      <c r="AR128" s="786"/>
      <c r="AS128" s="786"/>
      <c r="AT128" s="786"/>
      <c r="AU128" s="787"/>
      <c r="AV128" s="787"/>
      <c r="AW128" s="787"/>
      <c r="AX128" s="784"/>
      <c r="AY128" s="1214"/>
    </row>
    <row r="129" spans="1:51" ht="27.75" hidden="1" customHeight="1" thickBot="1" x14ac:dyDescent="0.3">
      <c r="A129" s="1191"/>
      <c r="B129" s="833"/>
      <c r="C129" s="809"/>
      <c r="D129" s="140" t="s">
        <v>45</v>
      </c>
      <c r="E129" s="142"/>
      <c r="F129" s="143"/>
      <c r="G129" s="445"/>
      <c r="H129" s="445"/>
      <c r="I129" s="445"/>
      <c r="J129" s="445"/>
      <c r="K129" s="445"/>
      <c r="L129" s="445"/>
      <c r="M129" s="446"/>
      <c r="N129" s="445"/>
      <c r="O129" s="445"/>
      <c r="P129" s="445"/>
      <c r="Q129" s="445"/>
      <c r="R129" s="447"/>
      <c r="S129" s="446"/>
      <c r="T129" s="446"/>
      <c r="U129" s="446"/>
      <c r="V129" s="446"/>
      <c r="W129" s="446"/>
      <c r="X129" s="446"/>
      <c r="Y129" s="446"/>
      <c r="Z129" s="446"/>
      <c r="AA129" s="445"/>
      <c r="AB129" s="445"/>
      <c r="AC129" s="445"/>
      <c r="AD129" s="445"/>
      <c r="AE129" s="447"/>
      <c r="AF129" s="1223"/>
      <c r="AG129" s="1196"/>
      <c r="AH129" s="790"/>
      <c r="AI129" s="790"/>
      <c r="AJ129" s="794"/>
      <c r="AK129" s="790"/>
      <c r="AL129" s="790"/>
      <c r="AM129" s="790"/>
      <c r="AN129" s="791"/>
      <c r="AO129" s="805"/>
      <c r="AP129" s="805"/>
      <c r="AQ129" s="786"/>
      <c r="AR129" s="786"/>
      <c r="AS129" s="786"/>
      <c r="AT129" s="786"/>
      <c r="AU129" s="787"/>
      <c r="AV129" s="787"/>
      <c r="AW129" s="787"/>
      <c r="AX129" s="785"/>
      <c r="AY129" s="1214"/>
    </row>
    <row r="130" spans="1:51" ht="21.6" customHeight="1" x14ac:dyDescent="0.25">
      <c r="A130" s="1191"/>
      <c r="B130" s="833"/>
      <c r="C130" s="809" t="s">
        <v>1315</v>
      </c>
      <c r="D130" s="141" t="s">
        <v>41</v>
      </c>
      <c r="E130" s="142"/>
      <c r="F130" s="143"/>
      <c r="G130" s="445"/>
      <c r="H130" s="445"/>
      <c r="I130" s="446">
        <v>1</v>
      </c>
      <c r="J130" s="445">
        <v>3</v>
      </c>
      <c r="K130" s="445">
        <v>7</v>
      </c>
      <c r="L130" s="445">
        <v>8</v>
      </c>
      <c r="M130" s="446">
        <v>9</v>
      </c>
      <c r="N130" s="445">
        <v>9</v>
      </c>
      <c r="O130" s="445">
        <v>10</v>
      </c>
      <c r="P130" s="445">
        <v>10</v>
      </c>
      <c r="Q130" s="445">
        <v>10</v>
      </c>
      <c r="R130" s="447">
        <v>10</v>
      </c>
      <c r="S130" s="446"/>
      <c r="T130" s="446"/>
      <c r="U130" s="446"/>
      <c r="V130" s="446">
        <v>1</v>
      </c>
      <c r="W130" s="448">
        <v>3</v>
      </c>
      <c r="X130" s="446">
        <v>7</v>
      </c>
      <c r="Y130" s="446">
        <v>8</v>
      </c>
      <c r="Z130" s="446">
        <v>9</v>
      </c>
      <c r="AA130" s="445">
        <v>9</v>
      </c>
      <c r="AB130" s="445">
        <v>10</v>
      </c>
      <c r="AC130" s="445">
        <v>10</v>
      </c>
      <c r="AD130" s="445">
        <v>10</v>
      </c>
      <c r="AE130" s="447">
        <v>10</v>
      </c>
      <c r="AF130" s="1217" t="s">
        <v>1273</v>
      </c>
      <c r="AG130" s="1194" t="s">
        <v>398</v>
      </c>
      <c r="AH130" s="788" t="s">
        <v>910</v>
      </c>
      <c r="AI130" s="788" t="s">
        <v>1112</v>
      </c>
      <c r="AJ130" s="792" t="s">
        <v>914</v>
      </c>
      <c r="AK130" s="788" t="s">
        <v>315</v>
      </c>
      <c r="AL130" s="788" t="s">
        <v>1003</v>
      </c>
      <c r="AM130" s="788" t="s">
        <v>316</v>
      </c>
      <c r="AN130" s="791">
        <v>372618</v>
      </c>
      <c r="AO130" s="805">
        <v>179866</v>
      </c>
      <c r="AP130" s="805">
        <v>192751</v>
      </c>
      <c r="AQ130" s="786" t="s">
        <v>317</v>
      </c>
      <c r="AR130" s="786" t="s">
        <v>317</v>
      </c>
      <c r="AS130" s="786" t="s">
        <v>317</v>
      </c>
      <c r="AT130" s="786" t="s">
        <v>317</v>
      </c>
      <c r="AU130" s="787" t="s">
        <v>317</v>
      </c>
      <c r="AV130" s="787" t="s">
        <v>317</v>
      </c>
      <c r="AW130" s="787" t="s">
        <v>317</v>
      </c>
      <c r="AX130" s="783">
        <v>372618</v>
      </c>
      <c r="AY130" s="1214"/>
    </row>
    <row r="131" spans="1:51" ht="21.6" customHeight="1" x14ac:dyDescent="0.25">
      <c r="A131" s="1191"/>
      <c r="B131" s="833"/>
      <c r="C131" s="809"/>
      <c r="D131" s="132" t="s">
        <v>3</v>
      </c>
      <c r="E131" s="142"/>
      <c r="F131" s="143"/>
      <c r="G131" s="445"/>
      <c r="H131" s="445"/>
      <c r="I131" s="445">
        <v>5272055.0458715595</v>
      </c>
      <c r="J131" s="445">
        <v>15308449.541284403</v>
      </c>
      <c r="K131" s="445">
        <f>+K130*$K$11/$K$10</f>
        <v>35719715.596330278</v>
      </c>
      <c r="L131" s="445">
        <f>+L130*$L$11/$L$10</f>
        <v>40822532.110091746</v>
      </c>
      <c r="M131" s="445">
        <f>+M130*$M$11/$M$10</f>
        <v>45925348.623853214</v>
      </c>
      <c r="N131" s="445">
        <f>+N130*$N$11/$N$10</f>
        <v>49982119.266055048</v>
      </c>
      <c r="O131" s="445">
        <f>+O130*$O$11/$O$10</f>
        <v>55535688.073394492</v>
      </c>
      <c r="P131" s="445">
        <f>+P130*$O$11/$O$10</f>
        <v>55535688.073394492</v>
      </c>
      <c r="Q131" s="445">
        <f>+Q130*$Q$11/$Q$10</f>
        <v>55535688.073394492</v>
      </c>
      <c r="R131" s="445">
        <f>+R130*$R$11/$R$10</f>
        <v>53569823.008849561</v>
      </c>
      <c r="S131" s="446"/>
      <c r="T131" s="446"/>
      <c r="U131" s="446"/>
      <c r="V131" s="449">
        <v>21558652.173913043</v>
      </c>
      <c r="W131" s="445">
        <v>45077181.81818182</v>
      </c>
      <c r="X131" s="445">
        <f>+X130*$X$11/$X$10</f>
        <v>80719604.651162788</v>
      </c>
      <c r="Y131" s="445">
        <f>+Y130*$Y$11/$Y$10</f>
        <v>83955773.584905654</v>
      </c>
      <c r="Z131" s="445">
        <f>+Z130*$Z$11/$Z$10</f>
        <v>79458142.857142851</v>
      </c>
      <c r="AA131" s="445">
        <f>+AA130*$AA$11/$AA$10</f>
        <v>68573465.753424659</v>
      </c>
      <c r="AB131" s="445">
        <f>+AB130*$AB$11/$AB$10</f>
        <v>68999819.277108431</v>
      </c>
      <c r="AC131" s="445">
        <f>+AC130*$AC$11/$AC$10</f>
        <v>61580483.870967738</v>
      </c>
      <c r="AD131" s="445">
        <f>+AD130*$AD$11/$AD$10</f>
        <v>56695291.262135923</v>
      </c>
      <c r="AE131" s="449">
        <f>+AE130*$AE$11/$AE$10</f>
        <v>52294026.548672564</v>
      </c>
      <c r="AF131" s="1217"/>
      <c r="AG131" s="1195"/>
      <c r="AH131" s="789"/>
      <c r="AI131" s="789"/>
      <c r="AJ131" s="793"/>
      <c r="AK131" s="789"/>
      <c r="AL131" s="789"/>
      <c r="AM131" s="789"/>
      <c r="AN131" s="791"/>
      <c r="AO131" s="805"/>
      <c r="AP131" s="805"/>
      <c r="AQ131" s="786"/>
      <c r="AR131" s="786"/>
      <c r="AS131" s="786"/>
      <c r="AT131" s="786"/>
      <c r="AU131" s="787"/>
      <c r="AV131" s="787"/>
      <c r="AW131" s="787"/>
      <c r="AX131" s="784"/>
      <c r="AY131" s="1214"/>
    </row>
    <row r="132" spans="1:51" ht="21.6" customHeight="1" x14ac:dyDescent="0.25">
      <c r="A132" s="1191"/>
      <c r="B132" s="833"/>
      <c r="C132" s="809"/>
      <c r="D132" s="136" t="s">
        <v>42</v>
      </c>
      <c r="E132" s="142"/>
      <c r="F132" s="143"/>
      <c r="G132" s="445"/>
      <c r="H132" s="445"/>
      <c r="I132" s="445"/>
      <c r="J132" s="445"/>
      <c r="K132" s="445"/>
      <c r="L132" s="445"/>
      <c r="M132" s="446"/>
      <c r="N132" s="445"/>
      <c r="O132" s="445"/>
      <c r="P132" s="445"/>
      <c r="Q132" s="445"/>
      <c r="R132" s="447"/>
      <c r="S132" s="446"/>
      <c r="T132" s="446"/>
      <c r="U132" s="446"/>
      <c r="V132" s="446"/>
      <c r="W132" s="446"/>
      <c r="X132" s="446"/>
      <c r="Y132" s="446"/>
      <c r="Z132" s="446"/>
      <c r="AA132" s="445"/>
      <c r="AB132" s="445"/>
      <c r="AC132" s="445"/>
      <c r="AD132" s="445"/>
      <c r="AE132" s="447"/>
      <c r="AF132" s="1217"/>
      <c r="AG132" s="1195"/>
      <c r="AH132" s="789"/>
      <c r="AI132" s="789"/>
      <c r="AJ132" s="793"/>
      <c r="AK132" s="789"/>
      <c r="AL132" s="789"/>
      <c r="AM132" s="789"/>
      <c r="AN132" s="791"/>
      <c r="AO132" s="805"/>
      <c r="AP132" s="805"/>
      <c r="AQ132" s="786"/>
      <c r="AR132" s="786"/>
      <c r="AS132" s="786"/>
      <c r="AT132" s="786"/>
      <c r="AU132" s="787"/>
      <c r="AV132" s="787"/>
      <c r="AW132" s="787"/>
      <c r="AX132" s="784"/>
      <c r="AY132" s="1214"/>
    </row>
    <row r="133" spans="1:51" ht="21.6" customHeight="1" x14ac:dyDescent="0.25">
      <c r="A133" s="1191"/>
      <c r="B133" s="833"/>
      <c r="C133" s="809"/>
      <c r="D133" s="132" t="s">
        <v>4</v>
      </c>
      <c r="E133" s="142"/>
      <c r="F133" s="143"/>
      <c r="G133" s="445"/>
      <c r="H133" s="445"/>
      <c r="I133" s="445"/>
      <c r="J133" s="445"/>
      <c r="K133" s="445"/>
      <c r="L133" s="445"/>
      <c r="M133" s="446"/>
      <c r="N133" s="445"/>
      <c r="O133" s="445"/>
      <c r="P133" s="445"/>
      <c r="Q133" s="445"/>
      <c r="R133" s="447"/>
      <c r="S133" s="446"/>
      <c r="T133" s="446"/>
      <c r="U133" s="446"/>
      <c r="V133" s="446"/>
      <c r="W133" s="446"/>
      <c r="X133" s="446"/>
      <c r="Y133" s="446"/>
      <c r="Z133" s="446"/>
      <c r="AA133" s="445"/>
      <c r="AB133" s="445"/>
      <c r="AC133" s="445"/>
      <c r="AD133" s="445"/>
      <c r="AE133" s="447"/>
      <c r="AF133" s="1217"/>
      <c r="AG133" s="1195"/>
      <c r="AH133" s="789"/>
      <c r="AI133" s="789"/>
      <c r="AJ133" s="793"/>
      <c r="AK133" s="789"/>
      <c r="AL133" s="789"/>
      <c r="AM133" s="789"/>
      <c r="AN133" s="791"/>
      <c r="AO133" s="805"/>
      <c r="AP133" s="805"/>
      <c r="AQ133" s="786"/>
      <c r="AR133" s="786"/>
      <c r="AS133" s="786"/>
      <c r="AT133" s="786"/>
      <c r="AU133" s="787"/>
      <c r="AV133" s="787"/>
      <c r="AW133" s="787"/>
      <c r="AX133" s="784"/>
      <c r="AY133" s="1214"/>
    </row>
    <row r="134" spans="1:51" ht="21.6" customHeight="1" x14ac:dyDescent="0.25">
      <c r="A134" s="1191"/>
      <c r="B134" s="833"/>
      <c r="C134" s="809"/>
      <c r="D134" s="136" t="s">
        <v>43</v>
      </c>
      <c r="E134" s="142"/>
      <c r="F134" s="143"/>
      <c r="G134" s="445"/>
      <c r="H134" s="445"/>
      <c r="I134" s="445">
        <v>1</v>
      </c>
      <c r="J134" s="445">
        <v>3</v>
      </c>
      <c r="K134" s="445">
        <v>7</v>
      </c>
      <c r="L134" s="445">
        <v>8</v>
      </c>
      <c r="M134" s="446">
        <v>9</v>
      </c>
      <c r="N134" s="445">
        <v>9</v>
      </c>
      <c r="O134" s="445">
        <v>10</v>
      </c>
      <c r="P134" s="445">
        <v>10</v>
      </c>
      <c r="Q134" s="445">
        <v>10</v>
      </c>
      <c r="R134" s="447">
        <v>10</v>
      </c>
      <c r="S134" s="446"/>
      <c r="T134" s="446"/>
      <c r="U134" s="446"/>
      <c r="V134" s="446">
        <v>1</v>
      </c>
      <c r="W134" s="446">
        <v>3</v>
      </c>
      <c r="X134" s="446">
        <v>7</v>
      </c>
      <c r="Y134" s="446">
        <v>8</v>
      </c>
      <c r="Z134" s="446">
        <v>9</v>
      </c>
      <c r="AA134" s="445">
        <v>9</v>
      </c>
      <c r="AB134" s="445">
        <v>10</v>
      </c>
      <c r="AC134" s="445">
        <v>10</v>
      </c>
      <c r="AD134" s="445">
        <v>10</v>
      </c>
      <c r="AE134" s="447">
        <v>10</v>
      </c>
      <c r="AF134" s="1217"/>
      <c r="AG134" s="1195"/>
      <c r="AH134" s="789"/>
      <c r="AI134" s="789"/>
      <c r="AJ134" s="793"/>
      <c r="AK134" s="789"/>
      <c r="AL134" s="789"/>
      <c r="AM134" s="789"/>
      <c r="AN134" s="791"/>
      <c r="AO134" s="805"/>
      <c r="AP134" s="805"/>
      <c r="AQ134" s="786"/>
      <c r="AR134" s="786"/>
      <c r="AS134" s="786"/>
      <c r="AT134" s="786"/>
      <c r="AU134" s="787"/>
      <c r="AV134" s="787"/>
      <c r="AW134" s="787"/>
      <c r="AX134" s="784"/>
      <c r="AY134" s="1214"/>
    </row>
    <row r="135" spans="1:51" ht="21.6" customHeight="1" thickBot="1" x14ac:dyDescent="0.3">
      <c r="A135" s="1191"/>
      <c r="B135" s="833"/>
      <c r="C135" s="809"/>
      <c r="D135" s="140" t="s">
        <v>45</v>
      </c>
      <c r="E135" s="142"/>
      <c r="F135" s="143"/>
      <c r="G135" s="445"/>
      <c r="H135" s="445"/>
      <c r="I135" s="445">
        <v>5272055.0458715595</v>
      </c>
      <c r="J135" s="445">
        <v>15308449.541284403</v>
      </c>
      <c r="K135" s="445">
        <f>+K134*$K$11/$K$10</f>
        <v>35719715.596330278</v>
      </c>
      <c r="L135" s="445">
        <f>+L134*$L$11/$L$10</f>
        <v>40822532.110091746</v>
      </c>
      <c r="M135" s="445">
        <f>+M134*$M$11/$M$10</f>
        <v>45925348.623853214</v>
      </c>
      <c r="N135" s="445">
        <f>+N134*$N$11/$N$10</f>
        <v>49982119.266055048</v>
      </c>
      <c r="O135" s="445">
        <f>+O134*$O$11/$O$10</f>
        <v>55535688.073394492</v>
      </c>
      <c r="P135" s="445">
        <f>+P134*$O$11/$O$10</f>
        <v>55535688.073394492</v>
      </c>
      <c r="Q135" s="445">
        <f>+Q134*$Q$11/$Q$10</f>
        <v>55535688.073394492</v>
      </c>
      <c r="R135" s="445">
        <f>+R134*$R$11/$R$10</f>
        <v>53569823.008849561</v>
      </c>
      <c r="S135" s="446"/>
      <c r="T135" s="446"/>
      <c r="U135" s="446"/>
      <c r="V135" s="449">
        <v>21558652.173913043</v>
      </c>
      <c r="W135" s="445">
        <v>45077181.81818182</v>
      </c>
      <c r="X135" s="445">
        <f>+X134*$X$11/$X$10</f>
        <v>80719604.651162788</v>
      </c>
      <c r="Y135" s="445">
        <f>+Y134*$Y$11/$Y$10</f>
        <v>83955773.584905654</v>
      </c>
      <c r="Z135" s="445">
        <f>+Z134*$Z$11/$Z$10</f>
        <v>79458142.857142851</v>
      </c>
      <c r="AA135" s="445">
        <f>+AA134*$AA$11/$AA$10</f>
        <v>68573465.753424659</v>
      </c>
      <c r="AB135" s="445">
        <f>+AB134*$AB$11/$AB$10</f>
        <v>68999819.277108431</v>
      </c>
      <c r="AC135" s="445">
        <f>+AC134*$AC$11/$AC$10</f>
        <v>61580483.870967738</v>
      </c>
      <c r="AD135" s="445">
        <f>+AD134*$AD$11/$AD$10</f>
        <v>56695291.262135923</v>
      </c>
      <c r="AE135" s="445">
        <f>+AE134*$AE$11/$AE$10</f>
        <v>52294026.548672564</v>
      </c>
      <c r="AF135" s="1217"/>
      <c r="AG135" s="1196"/>
      <c r="AH135" s="790"/>
      <c r="AI135" s="790"/>
      <c r="AJ135" s="794"/>
      <c r="AK135" s="790"/>
      <c r="AL135" s="790"/>
      <c r="AM135" s="790"/>
      <c r="AN135" s="791"/>
      <c r="AO135" s="805"/>
      <c r="AP135" s="805"/>
      <c r="AQ135" s="786"/>
      <c r="AR135" s="786"/>
      <c r="AS135" s="786"/>
      <c r="AT135" s="786"/>
      <c r="AU135" s="787"/>
      <c r="AV135" s="787"/>
      <c r="AW135" s="787"/>
      <c r="AX135" s="785"/>
      <c r="AY135" s="1214"/>
    </row>
    <row r="136" spans="1:51" ht="21.6" customHeight="1" x14ac:dyDescent="0.25">
      <c r="A136" s="1191"/>
      <c r="B136" s="833"/>
      <c r="C136" s="809" t="s">
        <v>1316</v>
      </c>
      <c r="D136" s="141" t="s">
        <v>41</v>
      </c>
      <c r="E136" s="142"/>
      <c r="F136" s="143"/>
      <c r="G136" s="445"/>
      <c r="H136" s="445"/>
      <c r="I136" s="446">
        <v>1</v>
      </c>
      <c r="J136" s="445">
        <v>2</v>
      </c>
      <c r="K136" s="445">
        <v>2</v>
      </c>
      <c r="L136" s="445">
        <v>3</v>
      </c>
      <c r="M136" s="446">
        <v>3</v>
      </c>
      <c r="N136" s="445">
        <v>6</v>
      </c>
      <c r="O136" s="445">
        <v>7</v>
      </c>
      <c r="P136" s="445">
        <v>8</v>
      </c>
      <c r="Q136" s="445">
        <v>8</v>
      </c>
      <c r="R136" s="447">
        <v>8</v>
      </c>
      <c r="S136" s="446"/>
      <c r="T136" s="446"/>
      <c r="U136" s="446"/>
      <c r="V136" s="446">
        <v>1</v>
      </c>
      <c r="W136" s="448">
        <v>2</v>
      </c>
      <c r="X136" s="446">
        <v>2</v>
      </c>
      <c r="Y136" s="446">
        <v>3</v>
      </c>
      <c r="Z136" s="446">
        <v>3</v>
      </c>
      <c r="AA136" s="445">
        <v>6</v>
      </c>
      <c r="AB136" s="445">
        <v>7</v>
      </c>
      <c r="AC136" s="445">
        <v>8</v>
      </c>
      <c r="AD136" s="445">
        <v>8</v>
      </c>
      <c r="AE136" s="447">
        <v>8</v>
      </c>
      <c r="AF136" s="1217" t="s">
        <v>1056</v>
      </c>
      <c r="AG136" s="1194" t="s">
        <v>404</v>
      </c>
      <c r="AH136" s="788" t="s">
        <v>1114</v>
      </c>
      <c r="AI136" s="788" t="s">
        <v>1113</v>
      </c>
      <c r="AJ136" s="792" t="s">
        <v>914</v>
      </c>
      <c r="AK136" s="788" t="s">
        <v>315</v>
      </c>
      <c r="AL136" s="788" t="s">
        <v>408</v>
      </c>
      <c r="AM136" s="788" t="s">
        <v>316</v>
      </c>
      <c r="AN136" s="791">
        <v>621368</v>
      </c>
      <c r="AO136" s="805">
        <v>303282</v>
      </c>
      <c r="AP136" s="805">
        <v>318086</v>
      </c>
      <c r="AQ136" s="786" t="s">
        <v>317</v>
      </c>
      <c r="AR136" s="786" t="s">
        <v>317</v>
      </c>
      <c r="AS136" s="786" t="s">
        <v>317</v>
      </c>
      <c r="AT136" s="786" t="s">
        <v>317</v>
      </c>
      <c r="AU136" s="787" t="s">
        <v>317</v>
      </c>
      <c r="AV136" s="787" t="s">
        <v>317</v>
      </c>
      <c r="AW136" s="787" t="s">
        <v>317</v>
      </c>
      <c r="AX136" s="783">
        <v>621368</v>
      </c>
      <c r="AY136" s="1214"/>
    </row>
    <row r="137" spans="1:51" ht="28.9" customHeight="1" x14ac:dyDescent="0.25">
      <c r="A137" s="1191"/>
      <c r="B137" s="833"/>
      <c r="C137" s="809"/>
      <c r="D137" s="132" t="s">
        <v>3</v>
      </c>
      <c r="E137" s="142"/>
      <c r="F137" s="143"/>
      <c r="G137" s="445"/>
      <c r="H137" s="445"/>
      <c r="I137" s="445">
        <v>5272055.0458715595</v>
      </c>
      <c r="J137" s="445">
        <v>10205633.027522936</v>
      </c>
      <c r="K137" s="445">
        <f>+K136*$K$11/$K$10</f>
        <v>10205633.027522936</v>
      </c>
      <c r="L137" s="445">
        <f>+L136*$L$11/$L$10</f>
        <v>15308449.541284403</v>
      </c>
      <c r="M137" s="445">
        <f>+M136*$M$11/$M$10</f>
        <v>15308449.541284403</v>
      </c>
      <c r="N137" s="445">
        <f>+N136*$N$11/$N$10</f>
        <v>33321412.844036698</v>
      </c>
      <c r="O137" s="445">
        <f>+O136*$O$11/$O$10</f>
        <v>38874981.651376143</v>
      </c>
      <c r="P137" s="445">
        <f>+P136*$O$11/$O$10</f>
        <v>44428550.458715595</v>
      </c>
      <c r="Q137" s="445">
        <f>+Q136*$Q$11/$Q$10</f>
        <v>44428550.458715595</v>
      </c>
      <c r="R137" s="445">
        <f>+R136*$R$11/$R$10</f>
        <v>42855858.407079645</v>
      </c>
      <c r="S137" s="446"/>
      <c r="T137" s="446"/>
      <c r="U137" s="446"/>
      <c r="V137" s="449">
        <v>21558652.173913043</v>
      </c>
      <c r="W137" s="445">
        <v>30051454.545454547</v>
      </c>
      <c r="X137" s="445">
        <f>+X136*$X$11/$X$10</f>
        <v>23062744.186046511</v>
      </c>
      <c r="Y137" s="445">
        <f>+Y136*$Y$11/$Y$10</f>
        <v>31483415.094339624</v>
      </c>
      <c r="Z137" s="445">
        <f>+Z136*$Z$11/$Z$10</f>
        <v>26486047.619047619</v>
      </c>
      <c r="AA137" s="445">
        <f>+AA136*$AA$11/$AA$10</f>
        <v>45715643.83561644</v>
      </c>
      <c r="AB137" s="445">
        <f>+AB136*$AB$11/$AB$10</f>
        <v>48299873.4939759</v>
      </c>
      <c r="AC137" s="445">
        <f>+AC136*$AC$11/$AC$10</f>
        <v>49264387.096774191</v>
      </c>
      <c r="AD137" s="445">
        <f>+AD136*$AD$11/$AD$10</f>
        <v>45356233.00970874</v>
      </c>
      <c r="AE137" s="445">
        <f>+AE136*$AE$11/$AE$10</f>
        <v>41835221.238938056</v>
      </c>
      <c r="AF137" s="1217"/>
      <c r="AG137" s="1195"/>
      <c r="AH137" s="789"/>
      <c r="AI137" s="789"/>
      <c r="AJ137" s="793"/>
      <c r="AK137" s="789"/>
      <c r="AL137" s="789"/>
      <c r="AM137" s="789"/>
      <c r="AN137" s="791"/>
      <c r="AO137" s="805"/>
      <c r="AP137" s="805"/>
      <c r="AQ137" s="786"/>
      <c r="AR137" s="786"/>
      <c r="AS137" s="786"/>
      <c r="AT137" s="786"/>
      <c r="AU137" s="787"/>
      <c r="AV137" s="787"/>
      <c r="AW137" s="787"/>
      <c r="AX137" s="784"/>
      <c r="AY137" s="1214"/>
    </row>
    <row r="138" spans="1:51" ht="28.9" customHeight="1" x14ac:dyDescent="0.25">
      <c r="A138" s="1191"/>
      <c r="B138" s="833"/>
      <c r="C138" s="809"/>
      <c r="D138" s="136" t="s">
        <v>42</v>
      </c>
      <c r="E138" s="142"/>
      <c r="F138" s="143"/>
      <c r="G138" s="445"/>
      <c r="H138" s="445"/>
      <c r="I138" s="445"/>
      <c r="J138" s="445"/>
      <c r="K138" s="445"/>
      <c r="L138" s="445"/>
      <c r="M138" s="446"/>
      <c r="N138" s="445"/>
      <c r="O138" s="445"/>
      <c r="P138" s="445"/>
      <c r="Q138" s="445"/>
      <c r="R138" s="447"/>
      <c r="S138" s="446"/>
      <c r="T138" s="446"/>
      <c r="U138" s="446"/>
      <c r="V138" s="446"/>
      <c r="W138" s="446"/>
      <c r="X138" s="446"/>
      <c r="Y138" s="446"/>
      <c r="Z138" s="446"/>
      <c r="AA138" s="445"/>
      <c r="AB138" s="445"/>
      <c r="AC138" s="445"/>
      <c r="AD138" s="445"/>
      <c r="AE138" s="447"/>
      <c r="AF138" s="1217"/>
      <c r="AG138" s="1195"/>
      <c r="AH138" s="789"/>
      <c r="AI138" s="789"/>
      <c r="AJ138" s="793"/>
      <c r="AK138" s="789"/>
      <c r="AL138" s="789"/>
      <c r="AM138" s="789"/>
      <c r="AN138" s="791"/>
      <c r="AO138" s="805"/>
      <c r="AP138" s="805"/>
      <c r="AQ138" s="786"/>
      <c r="AR138" s="786"/>
      <c r="AS138" s="786"/>
      <c r="AT138" s="786"/>
      <c r="AU138" s="787"/>
      <c r="AV138" s="787"/>
      <c r="AW138" s="787"/>
      <c r="AX138" s="784"/>
      <c r="AY138" s="1214"/>
    </row>
    <row r="139" spans="1:51" ht="28.9" customHeight="1" x14ac:dyDescent="0.25">
      <c r="A139" s="1191"/>
      <c r="B139" s="833"/>
      <c r="C139" s="809"/>
      <c r="D139" s="132" t="s">
        <v>4</v>
      </c>
      <c r="E139" s="142"/>
      <c r="F139" s="143"/>
      <c r="G139" s="445"/>
      <c r="H139" s="445"/>
      <c r="I139" s="445"/>
      <c r="J139" s="445"/>
      <c r="K139" s="445"/>
      <c r="L139" s="445"/>
      <c r="M139" s="446"/>
      <c r="N139" s="445"/>
      <c r="O139" s="445"/>
      <c r="P139" s="445"/>
      <c r="Q139" s="445"/>
      <c r="R139" s="447"/>
      <c r="S139" s="446"/>
      <c r="T139" s="446"/>
      <c r="U139" s="446"/>
      <c r="V139" s="446"/>
      <c r="W139" s="446"/>
      <c r="X139" s="446"/>
      <c r="Y139" s="446"/>
      <c r="Z139" s="446"/>
      <c r="AA139" s="445"/>
      <c r="AB139" s="445"/>
      <c r="AC139" s="445"/>
      <c r="AD139" s="445"/>
      <c r="AE139" s="447"/>
      <c r="AF139" s="1217"/>
      <c r="AG139" s="1195"/>
      <c r="AH139" s="789"/>
      <c r="AI139" s="789"/>
      <c r="AJ139" s="793"/>
      <c r="AK139" s="789"/>
      <c r="AL139" s="789"/>
      <c r="AM139" s="789"/>
      <c r="AN139" s="791"/>
      <c r="AO139" s="805"/>
      <c r="AP139" s="805"/>
      <c r="AQ139" s="786"/>
      <c r="AR139" s="786"/>
      <c r="AS139" s="786"/>
      <c r="AT139" s="786"/>
      <c r="AU139" s="787"/>
      <c r="AV139" s="787"/>
      <c r="AW139" s="787"/>
      <c r="AX139" s="784"/>
      <c r="AY139" s="1214"/>
    </row>
    <row r="140" spans="1:51" ht="28.9" customHeight="1" x14ac:dyDescent="0.25">
      <c r="A140" s="1191"/>
      <c r="B140" s="833"/>
      <c r="C140" s="809"/>
      <c r="D140" s="136" t="s">
        <v>43</v>
      </c>
      <c r="E140" s="142"/>
      <c r="F140" s="143"/>
      <c r="G140" s="445"/>
      <c r="H140" s="445"/>
      <c r="I140" s="445">
        <v>1</v>
      </c>
      <c r="J140" s="445">
        <v>1</v>
      </c>
      <c r="K140" s="445">
        <v>2</v>
      </c>
      <c r="L140" s="445">
        <v>3</v>
      </c>
      <c r="M140" s="446">
        <v>3</v>
      </c>
      <c r="N140" s="445">
        <v>6</v>
      </c>
      <c r="O140" s="445">
        <v>7</v>
      </c>
      <c r="P140" s="445">
        <v>8</v>
      </c>
      <c r="Q140" s="445">
        <v>8</v>
      </c>
      <c r="R140" s="447">
        <v>8</v>
      </c>
      <c r="S140" s="446"/>
      <c r="T140" s="446"/>
      <c r="U140" s="446"/>
      <c r="V140" s="446">
        <v>1</v>
      </c>
      <c r="W140" s="446">
        <v>2</v>
      </c>
      <c r="X140" s="446">
        <v>2</v>
      </c>
      <c r="Y140" s="446">
        <v>3</v>
      </c>
      <c r="Z140" s="446">
        <v>3</v>
      </c>
      <c r="AA140" s="445">
        <v>6</v>
      </c>
      <c r="AB140" s="445">
        <v>7</v>
      </c>
      <c r="AC140" s="445">
        <v>8</v>
      </c>
      <c r="AD140" s="445">
        <v>8</v>
      </c>
      <c r="AE140" s="447">
        <v>8</v>
      </c>
      <c r="AF140" s="1217"/>
      <c r="AG140" s="1195"/>
      <c r="AH140" s="789"/>
      <c r="AI140" s="789"/>
      <c r="AJ140" s="793"/>
      <c r="AK140" s="789"/>
      <c r="AL140" s="789"/>
      <c r="AM140" s="789"/>
      <c r="AN140" s="791"/>
      <c r="AO140" s="805"/>
      <c r="AP140" s="805"/>
      <c r="AQ140" s="786"/>
      <c r="AR140" s="786"/>
      <c r="AS140" s="786"/>
      <c r="AT140" s="786"/>
      <c r="AU140" s="787"/>
      <c r="AV140" s="787"/>
      <c r="AW140" s="787"/>
      <c r="AX140" s="784"/>
      <c r="AY140" s="1214"/>
    </row>
    <row r="141" spans="1:51" ht="28.9" customHeight="1" thickBot="1" x14ac:dyDescent="0.3">
      <c r="A141" s="1191"/>
      <c r="B141" s="833"/>
      <c r="C141" s="809"/>
      <c r="D141" s="140" t="s">
        <v>45</v>
      </c>
      <c r="E141" s="142"/>
      <c r="F141" s="143"/>
      <c r="G141" s="445"/>
      <c r="H141" s="445"/>
      <c r="I141" s="445">
        <v>5272055.0458715595</v>
      </c>
      <c r="J141" s="445">
        <v>5102816.5137614682</v>
      </c>
      <c r="K141" s="445">
        <f>+K140*$K$11/$K$10</f>
        <v>10205633.027522936</v>
      </c>
      <c r="L141" s="445">
        <f>+L140*$L$11/$L$10</f>
        <v>15308449.541284403</v>
      </c>
      <c r="M141" s="445">
        <f>+M140*$M$11/$M$10</f>
        <v>15308449.541284403</v>
      </c>
      <c r="N141" s="445">
        <f>+N140*$N$11/$N$10</f>
        <v>33321412.844036698</v>
      </c>
      <c r="O141" s="445">
        <f>+O140*$O$11/$O$10</f>
        <v>38874981.651376143</v>
      </c>
      <c r="P141" s="445">
        <f>+P140*$O$11/$O$10</f>
        <v>44428550.458715595</v>
      </c>
      <c r="Q141" s="445">
        <f>+Q140*$Q$11/$Q$10</f>
        <v>44428550.458715595</v>
      </c>
      <c r="R141" s="445">
        <f>+R140*$R$11/$R$10</f>
        <v>42855858.407079645</v>
      </c>
      <c r="S141" s="446"/>
      <c r="T141" s="446"/>
      <c r="U141" s="446"/>
      <c r="V141" s="449">
        <v>21558652.173913043</v>
      </c>
      <c r="W141" s="445">
        <v>30051454.545454547</v>
      </c>
      <c r="X141" s="445">
        <f>+X140*$X$11/$X$10</f>
        <v>23062744.186046511</v>
      </c>
      <c r="Y141" s="445">
        <f>+Y140*$Y$11/$Y$10</f>
        <v>31483415.094339624</v>
      </c>
      <c r="Z141" s="445">
        <f>+Z140*$Z$11/$Z$10</f>
        <v>26486047.619047619</v>
      </c>
      <c r="AA141" s="445">
        <f>+AA140*$AA$11/$AA$10</f>
        <v>45715643.83561644</v>
      </c>
      <c r="AB141" s="445">
        <f>+AB140*$AB$11/$AB$10</f>
        <v>48299873.4939759</v>
      </c>
      <c r="AC141" s="445">
        <f>+AC140*$AC$11/$AC$10</f>
        <v>49264387.096774191</v>
      </c>
      <c r="AD141" s="445">
        <f>+AD140*$AD$11/$AD$10</f>
        <v>45356233.00970874</v>
      </c>
      <c r="AE141" s="445">
        <f>+AE140*$AE$11/$AE$10</f>
        <v>41835221.238938056</v>
      </c>
      <c r="AF141" s="1217"/>
      <c r="AG141" s="1196"/>
      <c r="AH141" s="790"/>
      <c r="AI141" s="790"/>
      <c r="AJ141" s="794"/>
      <c r="AK141" s="790"/>
      <c r="AL141" s="790"/>
      <c r="AM141" s="790"/>
      <c r="AN141" s="791"/>
      <c r="AO141" s="805"/>
      <c r="AP141" s="805"/>
      <c r="AQ141" s="786"/>
      <c r="AR141" s="786"/>
      <c r="AS141" s="786"/>
      <c r="AT141" s="786"/>
      <c r="AU141" s="787"/>
      <c r="AV141" s="787"/>
      <c r="AW141" s="787"/>
      <c r="AX141" s="785"/>
      <c r="AY141" s="1214"/>
    </row>
    <row r="142" spans="1:51" ht="18" customHeight="1" x14ac:dyDescent="0.25">
      <c r="A142" s="1191"/>
      <c r="B142" s="833"/>
      <c r="C142" s="809" t="s">
        <v>409</v>
      </c>
      <c r="D142" s="141" t="s">
        <v>41</v>
      </c>
      <c r="E142" s="142"/>
      <c r="F142" s="143"/>
      <c r="G142" s="445">
        <v>104</v>
      </c>
      <c r="H142" s="445">
        <v>96</v>
      </c>
      <c r="I142" s="445">
        <v>86</v>
      </c>
      <c r="J142" s="445">
        <v>76</v>
      </c>
      <c r="K142" s="445">
        <v>66</v>
      </c>
      <c r="L142" s="445">
        <v>56</v>
      </c>
      <c r="M142" s="446">
        <v>46</v>
      </c>
      <c r="N142" s="445">
        <v>36</v>
      </c>
      <c r="O142" s="445">
        <v>26</v>
      </c>
      <c r="P142" s="445">
        <v>16</v>
      </c>
      <c r="Q142" s="445">
        <v>6</v>
      </c>
      <c r="R142" s="447">
        <v>0</v>
      </c>
      <c r="S142" s="446"/>
      <c r="T142" s="446"/>
      <c r="U142" s="446"/>
      <c r="V142" s="446"/>
      <c r="W142" s="446"/>
      <c r="X142" s="445"/>
      <c r="Y142" s="446"/>
      <c r="Z142" s="446"/>
      <c r="AA142" s="445"/>
      <c r="AB142" s="1224"/>
      <c r="AC142" s="1225"/>
      <c r="AD142" s="1226"/>
      <c r="AE142" s="447"/>
      <c r="AF142" s="1218"/>
      <c r="AG142" s="1227"/>
      <c r="AH142" s="788"/>
      <c r="AI142" s="788"/>
      <c r="AJ142" s="792"/>
      <c r="AK142" s="788"/>
      <c r="AL142" s="788"/>
      <c r="AM142" s="788" t="s">
        <v>316</v>
      </c>
      <c r="AN142" s="805">
        <v>7804660</v>
      </c>
      <c r="AO142" s="783">
        <v>3721767</v>
      </c>
      <c r="AP142" s="783">
        <v>4082893</v>
      </c>
      <c r="AQ142" s="786" t="s">
        <v>317</v>
      </c>
      <c r="AR142" s="786" t="s">
        <v>317</v>
      </c>
      <c r="AS142" s="786" t="s">
        <v>317</v>
      </c>
      <c r="AT142" s="786" t="s">
        <v>317</v>
      </c>
      <c r="AU142" s="787" t="s">
        <v>317</v>
      </c>
      <c r="AV142" s="787" t="s">
        <v>317</v>
      </c>
      <c r="AW142" s="787" t="s">
        <v>317</v>
      </c>
      <c r="AX142" s="783">
        <v>7804660</v>
      </c>
      <c r="AY142" s="1214"/>
    </row>
    <row r="143" spans="1:51" ht="18" x14ac:dyDescent="0.25">
      <c r="A143" s="1191"/>
      <c r="B143" s="833"/>
      <c r="C143" s="809"/>
      <c r="D143" s="132" t="s">
        <v>3</v>
      </c>
      <c r="E143" s="142"/>
      <c r="F143" s="143"/>
      <c r="G143" s="445">
        <v>548293724.77064216</v>
      </c>
      <c r="H143" s="445">
        <v>506117284.40366971</v>
      </c>
      <c r="I143" s="445">
        <v>453396733.94495416</v>
      </c>
      <c r="J143" s="445">
        <v>387814055.04587156</v>
      </c>
      <c r="K143" s="445">
        <f>+K142*$K$11/$K$10</f>
        <v>336785889.90825689</v>
      </c>
      <c r="L143" s="445">
        <f>+L142*$L$11/$L$10</f>
        <v>285757724.77064222</v>
      </c>
      <c r="M143" s="445">
        <f>+M142*$M$11/$M$10</f>
        <v>234729559.63302752</v>
      </c>
      <c r="N143" s="445">
        <f>+N142*$N$11/$N$10</f>
        <v>199928477.06422019</v>
      </c>
      <c r="O143" s="445">
        <f>+O142*$O$11/$O$10</f>
        <v>144392788.99082568</v>
      </c>
      <c r="P143" s="445">
        <f>+P142*$O$11/$O$10</f>
        <v>88857100.917431191</v>
      </c>
      <c r="Q143" s="445">
        <f>+Q142*$Q$11/$Q$10</f>
        <v>33321412.844036698</v>
      </c>
      <c r="R143" s="447">
        <v>0</v>
      </c>
      <c r="S143" s="446"/>
      <c r="T143" s="446"/>
      <c r="U143" s="445"/>
      <c r="V143" s="446"/>
      <c r="W143" s="446"/>
      <c r="X143" s="446"/>
      <c r="Y143" s="446"/>
      <c r="Z143" s="1215"/>
      <c r="AA143" s="445"/>
      <c r="AB143" s="445"/>
      <c r="AC143" s="445"/>
      <c r="AD143" s="1226"/>
      <c r="AE143" s="447"/>
      <c r="AF143" s="1218"/>
      <c r="AG143" s="1228"/>
      <c r="AH143" s="789"/>
      <c r="AI143" s="789"/>
      <c r="AJ143" s="793"/>
      <c r="AK143" s="789"/>
      <c r="AL143" s="789"/>
      <c r="AM143" s="789"/>
      <c r="AN143" s="805"/>
      <c r="AO143" s="784"/>
      <c r="AP143" s="784"/>
      <c r="AQ143" s="786"/>
      <c r="AR143" s="786"/>
      <c r="AS143" s="786"/>
      <c r="AT143" s="786"/>
      <c r="AU143" s="787"/>
      <c r="AV143" s="787"/>
      <c r="AW143" s="787"/>
      <c r="AX143" s="784"/>
      <c r="AY143" s="1214"/>
    </row>
    <row r="144" spans="1:51" ht="27" x14ac:dyDescent="0.25">
      <c r="A144" s="1191"/>
      <c r="B144" s="833"/>
      <c r="C144" s="809"/>
      <c r="D144" s="136" t="s">
        <v>42</v>
      </c>
      <c r="E144" s="142"/>
      <c r="F144" s="143"/>
      <c r="G144" s="445"/>
      <c r="H144" s="445"/>
      <c r="I144" s="445"/>
      <c r="J144" s="445"/>
      <c r="K144" s="445"/>
      <c r="L144" s="445"/>
      <c r="M144" s="446"/>
      <c r="N144" s="445"/>
      <c r="O144" s="445"/>
      <c r="P144" s="445"/>
      <c r="Q144" s="445"/>
      <c r="R144" s="447">
        <f>R28+R106</f>
        <v>4</v>
      </c>
      <c r="S144" s="446"/>
      <c r="T144" s="446"/>
      <c r="U144" s="446"/>
      <c r="V144" s="446"/>
      <c r="W144" s="446"/>
      <c r="X144" s="446"/>
      <c r="Y144" s="446"/>
      <c r="Z144" s="446"/>
      <c r="AA144" s="445"/>
      <c r="AB144" s="1224"/>
      <c r="AC144" s="1225"/>
      <c r="AD144" s="1226"/>
      <c r="AE144" s="447">
        <f>AE28+AE106</f>
        <v>4</v>
      </c>
      <c r="AF144" s="1218"/>
      <c r="AG144" s="1228"/>
      <c r="AH144" s="789"/>
      <c r="AI144" s="789"/>
      <c r="AJ144" s="793"/>
      <c r="AK144" s="789"/>
      <c r="AL144" s="789"/>
      <c r="AM144" s="789"/>
      <c r="AN144" s="805"/>
      <c r="AO144" s="784"/>
      <c r="AP144" s="784"/>
      <c r="AQ144" s="786"/>
      <c r="AR144" s="786"/>
      <c r="AS144" s="786"/>
      <c r="AT144" s="786"/>
      <c r="AU144" s="787"/>
      <c r="AV144" s="787"/>
      <c r="AW144" s="787"/>
      <c r="AX144" s="784"/>
      <c r="AY144" s="1214"/>
    </row>
    <row r="145" spans="1:51" ht="23.25" customHeight="1" x14ac:dyDescent="0.25">
      <c r="A145" s="1191"/>
      <c r="B145" s="833"/>
      <c r="C145" s="809"/>
      <c r="D145" s="132" t="s">
        <v>4</v>
      </c>
      <c r="E145" s="142"/>
      <c r="F145" s="143"/>
      <c r="G145" s="445"/>
      <c r="H145" s="445"/>
      <c r="I145" s="445"/>
      <c r="J145" s="445"/>
      <c r="K145" s="445"/>
      <c r="L145" s="445"/>
      <c r="M145" s="446"/>
      <c r="N145" s="445"/>
      <c r="O145" s="445"/>
      <c r="P145" s="445"/>
      <c r="Q145" s="445"/>
      <c r="R145" s="447">
        <f>R29+R107</f>
        <v>21427929.203539822</v>
      </c>
      <c r="S145" s="446"/>
      <c r="T145" s="446"/>
      <c r="U145" s="446"/>
      <c r="V145" s="446"/>
      <c r="W145" s="446"/>
      <c r="X145" s="446"/>
      <c r="Y145" s="446"/>
      <c r="Z145" s="446"/>
      <c r="AA145" s="445"/>
      <c r="AB145" s="1224"/>
      <c r="AC145" s="1225"/>
      <c r="AD145" s="1226"/>
      <c r="AE145" s="447">
        <f>AE29+AE107</f>
        <v>20917610.619469028</v>
      </c>
      <c r="AF145" s="1218"/>
      <c r="AG145" s="1228"/>
      <c r="AH145" s="789"/>
      <c r="AI145" s="789"/>
      <c r="AJ145" s="793"/>
      <c r="AK145" s="789"/>
      <c r="AL145" s="789"/>
      <c r="AM145" s="789"/>
      <c r="AN145" s="805"/>
      <c r="AO145" s="784"/>
      <c r="AP145" s="784"/>
      <c r="AQ145" s="786"/>
      <c r="AR145" s="786"/>
      <c r="AS145" s="786"/>
      <c r="AT145" s="786"/>
      <c r="AU145" s="787"/>
      <c r="AV145" s="787"/>
      <c r="AW145" s="787"/>
      <c r="AX145" s="784"/>
      <c r="AY145" s="1214"/>
    </row>
    <row r="146" spans="1:51" ht="18" customHeight="1" x14ac:dyDescent="0.25">
      <c r="A146" s="1191"/>
      <c r="B146" s="833"/>
      <c r="C146" s="809"/>
      <c r="D146" s="136" t="s">
        <v>43</v>
      </c>
      <c r="E146" s="142"/>
      <c r="F146" s="143"/>
      <c r="G146" s="445">
        <v>104</v>
      </c>
      <c r="H146" s="445">
        <v>96</v>
      </c>
      <c r="I146" s="445">
        <v>86</v>
      </c>
      <c r="J146" s="445">
        <v>76</v>
      </c>
      <c r="K146" s="445">
        <v>66</v>
      </c>
      <c r="L146" s="445">
        <v>56</v>
      </c>
      <c r="M146" s="446">
        <v>46</v>
      </c>
      <c r="N146" s="445">
        <v>36</v>
      </c>
      <c r="O146" s="445">
        <v>26</v>
      </c>
      <c r="P146" s="445">
        <v>16</v>
      </c>
      <c r="Q146" s="445">
        <v>6</v>
      </c>
      <c r="R146" s="447">
        <v>0</v>
      </c>
      <c r="S146" s="446"/>
      <c r="T146" s="446"/>
      <c r="U146" s="446"/>
      <c r="V146" s="446"/>
      <c r="W146" s="446"/>
      <c r="X146" s="446"/>
      <c r="Y146" s="446"/>
      <c r="Z146" s="446"/>
      <c r="AA146" s="445"/>
      <c r="AB146" s="445"/>
      <c r="AC146" s="1225"/>
      <c r="AD146" s="1226"/>
      <c r="AE146" s="447"/>
      <c r="AF146" s="1218"/>
      <c r="AG146" s="1228"/>
      <c r="AH146" s="789"/>
      <c r="AI146" s="789"/>
      <c r="AJ146" s="793"/>
      <c r="AK146" s="789"/>
      <c r="AL146" s="789"/>
      <c r="AM146" s="789"/>
      <c r="AN146" s="805"/>
      <c r="AO146" s="784"/>
      <c r="AP146" s="784"/>
      <c r="AQ146" s="786"/>
      <c r="AR146" s="786"/>
      <c r="AS146" s="786"/>
      <c r="AT146" s="786"/>
      <c r="AU146" s="787"/>
      <c r="AV146" s="787"/>
      <c r="AW146" s="787"/>
      <c r="AX146" s="784"/>
      <c r="AY146" s="1214"/>
    </row>
    <row r="147" spans="1:51" ht="18.75" customHeight="1" thickBot="1" x14ac:dyDescent="0.3">
      <c r="A147" s="1191"/>
      <c r="B147" s="833"/>
      <c r="C147" s="809"/>
      <c r="D147" s="140" t="s">
        <v>45</v>
      </c>
      <c r="E147" s="142"/>
      <c r="F147" s="143"/>
      <c r="G147" s="445">
        <v>548293724.77064216</v>
      </c>
      <c r="H147" s="445">
        <v>506117284.40366971</v>
      </c>
      <c r="I147" s="445">
        <v>453396733.94495416</v>
      </c>
      <c r="J147" s="445">
        <v>387814055.04587156</v>
      </c>
      <c r="K147" s="445">
        <f>+K146*$K$11/$K$10</f>
        <v>336785889.90825689</v>
      </c>
      <c r="L147" s="445">
        <f>+L146*$L$11/$L$10</f>
        <v>285757724.77064222</v>
      </c>
      <c r="M147" s="445">
        <f>+M146*$M$11/$M$10</f>
        <v>234729559.63302752</v>
      </c>
      <c r="N147" s="445">
        <f>+N146*$N$11/$N$10</f>
        <v>199928477.06422019</v>
      </c>
      <c r="O147" s="445">
        <f>+O146*$O$11/$O$10</f>
        <v>144392788.99082568</v>
      </c>
      <c r="P147" s="445">
        <f>+P146*$O$11/$O$10</f>
        <v>88857100.917431191</v>
      </c>
      <c r="Q147" s="445">
        <f>+Q146*$Q$11/$Q$10</f>
        <v>33321412.844036698</v>
      </c>
      <c r="R147" s="445">
        <f>+R146*$R$11/$R$10</f>
        <v>0</v>
      </c>
      <c r="S147" s="446"/>
      <c r="T147" s="446"/>
      <c r="U147" s="445"/>
      <c r="V147" s="446"/>
      <c r="W147" s="446"/>
      <c r="X147" s="446"/>
      <c r="Y147" s="446"/>
      <c r="Z147" s="446"/>
      <c r="AA147" s="445"/>
      <c r="AB147" s="445"/>
      <c r="AC147" s="1225"/>
      <c r="AD147" s="1226"/>
      <c r="AE147" s="447"/>
      <c r="AF147" s="1218"/>
      <c r="AG147" s="1229"/>
      <c r="AH147" s="790"/>
      <c r="AI147" s="790"/>
      <c r="AJ147" s="794"/>
      <c r="AK147" s="790"/>
      <c r="AL147" s="790"/>
      <c r="AM147" s="790"/>
      <c r="AN147" s="805"/>
      <c r="AO147" s="785"/>
      <c r="AP147" s="785"/>
      <c r="AQ147" s="786"/>
      <c r="AR147" s="786"/>
      <c r="AS147" s="786"/>
      <c r="AT147" s="786"/>
      <c r="AU147" s="787"/>
      <c r="AV147" s="787"/>
      <c r="AW147" s="787"/>
      <c r="AX147" s="785"/>
      <c r="AY147" s="1214"/>
    </row>
    <row r="148" spans="1:51" ht="19.350000000000001" customHeight="1" x14ac:dyDescent="0.25">
      <c r="A148" s="1191"/>
      <c r="B148" s="833"/>
      <c r="C148" s="809" t="s">
        <v>410</v>
      </c>
      <c r="D148" s="141" t="s">
        <v>41</v>
      </c>
      <c r="E148" s="142"/>
      <c r="F148" s="143"/>
      <c r="G148" s="450">
        <v>109</v>
      </c>
      <c r="H148" s="450">
        <v>109</v>
      </c>
      <c r="I148" s="450">
        <v>109</v>
      </c>
      <c r="J148" s="450">
        <v>109</v>
      </c>
      <c r="K148" s="445">
        <f>+K142+K136+K130+K118+K112+K88+K82+K76+K70+K64+K46+K40+K34+K22+K16</f>
        <v>109</v>
      </c>
      <c r="L148" s="445">
        <f>+L142+L136+L130+L118+L112+L88+L94+L82+L76+L70+L64+L46+L40+L34+L22+L16</f>
        <v>109</v>
      </c>
      <c r="M148" s="445">
        <f>+M142+M136+M130+M118+M112+M88+M94+M82+M76+M70+M64+M46+M40+M34+M22+M16+M100</f>
        <v>109</v>
      </c>
      <c r="N148" s="445">
        <f t="shared" ref="N148" si="1">+N142+N136+N130+N118+N112+N88+N94+N82+N76+N70+N64+N46+N40+N34+N22+N16+N100</f>
        <v>109</v>
      </c>
      <c r="O148" s="445">
        <v>109</v>
      </c>
      <c r="P148" s="445">
        <v>109</v>
      </c>
      <c r="Q148" s="445">
        <v>109</v>
      </c>
      <c r="R148" s="445">
        <f>+R142+R136+R130+R118+R112+R88+R94+R82+R76+R70+R64+R46+R40+R34+R22+R28+R16+R100+R106</f>
        <v>113</v>
      </c>
      <c r="S148" s="446"/>
      <c r="T148" s="446">
        <v>5</v>
      </c>
      <c r="U148" s="450">
        <v>13</v>
      </c>
      <c r="V148" s="450">
        <v>23</v>
      </c>
      <c r="W148" s="450">
        <v>33</v>
      </c>
      <c r="X148" s="445">
        <f>+X142+X136+X130+X118+X112+X88+X82+X76+X70+X64+X46+X40+X34+X22+X16</f>
        <v>43</v>
      </c>
      <c r="Y148" s="445">
        <f>+Y142+Y136+Y130+Y118+Y112+Y88+Y94+Y82+Y76+Y70+Y64+Y46+Y40+Y34+Y22+Y16</f>
        <v>53</v>
      </c>
      <c r="Z148" s="445">
        <f>+Z142+Z136+Z130+Z118+Z112+Z88+Z94+Z82+Z76+Z70+Z64+Z46+Z40+Z34+Z22+Z16+Z100</f>
        <v>63</v>
      </c>
      <c r="AA148" s="445">
        <f>+AA142+AA136+AA130+AA118+AA112+AA88+AA94+AA82+AA76+AA70+AA64+AA46+AA40+AA34+AA22+AA16+AA100</f>
        <v>73</v>
      </c>
      <c r="AB148" s="445">
        <f>+AB142+AB136+AB130+AB118+AB112+AB88+AB94+AB82+AB76+AB70+AB64+AB46+AB40+AB34+AB22+AB16+AB100</f>
        <v>83</v>
      </c>
      <c r="AC148" s="445">
        <f>+AC142+AC136+AC130+AC118+AC112+AC88+AC94+AC82+AC76+AC70+AC64+AC46+AC40+AC34+AC22+AC28+AC16+AC100+AC106</f>
        <v>93</v>
      </c>
      <c r="AD148" s="445">
        <f>+AD142+AD136+AD130+AD118+AD112+AD88+AD94+AD82+AD76+AD70+AD64+AD46+AD40+AD34+AD22+AD28+AD16+AD100+AD106</f>
        <v>103</v>
      </c>
      <c r="AE148" s="445">
        <f>+AE142+AE136+AE130+AE118+AE112+AE88+AE94+AE82+AE76+AE70+AE64+AE46+AE40+AE34+AE22+AE28+AE16+AE100+AE106</f>
        <v>113</v>
      </c>
      <c r="AF148" s="1223"/>
      <c r="AG148" s="1230"/>
      <c r="AH148" s="809"/>
      <c r="AI148" s="809"/>
      <c r="AJ148" s="792"/>
      <c r="AK148" s="809"/>
      <c r="AL148" s="810"/>
      <c r="AM148" s="810" t="s">
        <v>316</v>
      </c>
      <c r="AN148" s="805">
        <v>7804660</v>
      </c>
      <c r="AO148" s="783">
        <v>3721767</v>
      </c>
      <c r="AP148" s="783">
        <v>4082893</v>
      </c>
      <c r="AQ148" s="787" t="s">
        <v>317</v>
      </c>
      <c r="AR148" s="787" t="s">
        <v>317</v>
      </c>
      <c r="AS148" s="787" t="s">
        <v>317</v>
      </c>
      <c r="AT148" s="787" t="s">
        <v>317</v>
      </c>
      <c r="AU148" s="787" t="s">
        <v>317</v>
      </c>
      <c r="AV148" s="787" t="s">
        <v>317</v>
      </c>
      <c r="AW148" s="787" t="s">
        <v>317</v>
      </c>
      <c r="AX148" s="783">
        <v>7804660</v>
      </c>
      <c r="AY148" s="1214"/>
    </row>
    <row r="149" spans="1:51" ht="18" x14ac:dyDescent="0.25">
      <c r="A149" s="1191"/>
      <c r="B149" s="833"/>
      <c r="C149" s="809"/>
      <c r="D149" s="132" t="s">
        <v>3</v>
      </c>
      <c r="E149" s="142"/>
      <c r="F149" s="143"/>
      <c r="G149" s="450">
        <v>574654000</v>
      </c>
      <c r="H149" s="450">
        <v>574654000</v>
      </c>
      <c r="I149" s="450">
        <v>537749614.67889905</v>
      </c>
      <c r="J149" s="450">
        <v>556207000</v>
      </c>
      <c r="K149" s="445">
        <f t="shared" ref="K149:K153" si="2">+K143+K137+K131+K119+K113+K89+K83+K77+K71+K65+K47+K41+K35+K23+K17</f>
        <v>556207000</v>
      </c>
      <c r="L149" s="445">
        <f>+L143+L137+L131+L119+L113+L89+L95+L83+L77+L71+L65+L47+L41+L35+L23+L17</f>
        <v>556207000</v>
      </c>
      <c r="M149" s="445">
        <f t="shared" ref="M149:N153" si="3">+M143+M137+M131+M119+M113+M89+M95+M83+M77+M71+M65+M47+M41+M35+M23+M17+M101</f>
        <v>556207000</v>
      </c>
      <c r="N149" s="445">
        <f t="shared" si="3"/>
        <v>605338999.99999976</v>
      </c>
      <c r="O149" s="445">
        <f>+O148*$O$11/$O$10</f>
        <v>605339000</v>
      </c>
      <c r="P149" s="445">
        <f>+P148*$O$11/$O$10</f>
        <v>605339000</v>
      </c>
      <c r="Q149" s="445">
        <f>+Q148*$Q$11/$Q$10</f>
        <v>605339000</v>
      </c>
      <c r="R149" s="445">
        <f>+R143+R137+R131+R119+R113+R89+R95+R83+R77+R71+R65+R47+R41+R35+R23+R29+R17+R101+R107</f>
        <v>605339000.00000012</v>
      </c>
      <c r="S149" s="446"/>
      <c r="T149" s="446">
        <v>0</v>
      </c>
      <c r="U149" s="450">
        <v>308440000.00000006</v>
      </c>
      <c r="V149" s="450">
        <v>495849000.00000006</v>
      </c>
      <c r="W149" s="450">
        <v>495849000</v>
      </c>
      <c r="X149" s="445">
        <f t="shared" ref="X149:X153" si="4">+X143+X137+X131+X119+X113+X89+X83+X77+X71+X65+X47+X41+X35+X23+X17</f>
        <v>495848999.99999976</v>
      </c>
      <c r="Y149" s="445">
        <f t="shared" ref="Y149:Y150" si="5">+Y143+Y137+Y131+Y119+Y113+Y89+Y95+Y83+Y77+Y71+Y65+Y47+Y41+Y35+Y23+Y17</f>
        <v>556206999.99999988</v>
      </c>
      <c r="Z149" s="445">
        <f t="shared" ref="Z149:AB153" si="6">+Z143+Z137+Z131+Z119+Z113+Z89+Z95+Z83+Z77+Z71+Z65+Z47+Z41+Z35+Z23+Z17+Z101</f>
        <v>556207000</v>
      </c>
      <c r="AA149" s="445">
        <f t="shared" si="6"/>
        <v>556207000</v>
      </c>
      <c r="AB149" s="445">
        <f>+AB143+AB137+AB131+AB119+AB113+AB89+AB95+AB83+AB77+AB71+AB65+AB47+AB41+AB35+AB23+AB17+AB101</f>
        <v>572698500</v>
      </c>
      <c r="AC149" s="445">
        <f t="shared" ref="AC149:AE153" si="7">+AC143+AC137+AC131+AC119+AC113+AC89+AC95+AC83+AC77+AC71+AC65+AC47+AC41+AC35+AC23+AC29+AC17+AC101+AC107</f>
        <v>572698499.99999988</v>
      </c>
      <c r="AD149" s="445">
        <f t="shared" si="7"/>
        <v>583961499.99999988</v>
      </c>
      <c r="AE149" s="445">
        <f t="shared" si="7"/>
        <v>590922500</v>
      </c>
      <c r="AF149" s="1223"/>
      <c r="AG149" s="1230"/>
      <c r="AH149" s="809"/>
      <c r="AI149" s="809"/>
      <c r="AJ149" s="793"/>
      <c r="AK149" s="809"/>
      <c r="AL149" s="810"/>
      <c r="AM149" s="810"/>
      <c r="AN149" s="805"/>
      <c r="AO149" s="784"/>
      <c r="AP149" s="784"/>
      <c r="AQ149" s="787"/>
      <c r="AR149" s="787"/>
      <c r="AS149" s="787"/>
      <c r="AT149" s="787"/>
      <c r="AU149" s="787"/>
      <c r="AV149" s="787"/>
      <c r="AW149" s="787"/>
      <c r="AX149" s="784"/>
      <c r="AY149" s="1214"/>
    </row>
    <row r="150" spans="1:51" ht="27" x14ac:dyDescent="0.25">
      <c r="A150" s="1191"/>
      <c r="B150" s="833"/>
      <c r="C150" s="809"/>
      <c r="D150" s="136" t="s">
        <v>42</v>
      </c>
      <c r="E150" s="142"/>
      <c r="F150" s="143"/>
      <c r="G150" s="450">
        <v>0</v>
      </c>
      <c r="H150" s="450">
        <v>0</v>
      </c>
      <c r="I150" s="450">
        <v>0</v>
      </c>
      <c r="J150" s="450">
        <v>0</v>
      </c>
      <c r="K150" s="445">
        <f t="shared" si="2"/>
        <v>0</v>
      </c>
      <c r="L150" s="445">
        <f t="shared" ref="L150" si="8">+L144+L138+L132+L120+L114+L90+L96+L84+L78+L72+L66+L48+L42+L36+L24+L18</f>
        <v>0</v>
      </c>
      <c r="M150" s="445">
        <f t="shared" si="3"/>
        <v>0</v>
      </c>
      <c r="N150" s="445">
        <f t="shared" si="3"/>
        <v>0</v>
      </c>
      <c r="O150" s="445">
        <v>0</v>
      </c>
      <c r="P150" s="445"/>
      <c r="Q150" s="445"/>
      <c r="R150" s="445"/>
      <c r="S150" s="446"/>
      <c r="T150" s="446">
        <v>0</v>
      </c>
      <c r="U150" s="450">
        <v>0</v>
      </c>
      <c r="V150" s="450">
        <v>0</v>
      </c>
      <c r="W150" s="450">
        <v>0</v>
      </c>
      <c r="X150" s="445">
        <f t="shared" si="4"/>
        <v>0</v>
      </c>
      <c r="Y150" s="445">
        <f t="shared" si="5"/>
        <v>0</v>
      </c>
      <c r="Z150" s="445">
        <f t="shared" si="6"/>
        <v>0</v>
      </c>
      <c r="AA150" s="445">
        <f t="shared" si="6"/>
        <v>0</v>
      </c>
      <c r="AB150" s="445">
        <f t="shared" si="6"/>
        <v>0</v>
      </c>
      <c r="AC150" s="445">
        <f t="shared" si="7"/>
        <v>0</v>
      </c>
      <c r="AD150" s="445">
        <f t="shared" si="7"/>
        <v>0</v>
      </c>
      <c r="AE150" s="445"/>
      <c r="AF150" s="1223"/>
      <c r="AG150" s="1230"/>
      <c r="AH150" s="809"/>
      <c r="AI150" s="809"/>
      <c r="AJ150" s="793"/>
      <c r="AK150" s="809"/>
      <c r="AL150" s="810"/>
      <c r="AM150" s="810"/>
      <c r="AN150" s="805"/>
      <c r="AO150" s="784"/>
      <c r="AP150" s="784"/>
      <c r="AQ150" s="787"/>
      <c r="AR150" s="787"/>
      <c r="AS150" s="787"/>
      <c r="AT150" s="787"/>
      <c r="AU150" s="787"/>
      <c r="AV150" s="787"/>
      <c r="AW150" s="787"/>
      <c r="AX150" s="784"/>
      <c r="AY150" s="1214"/>
    </row>
    <row r="151" spans="1:51" ht="27" x14ac:dyDescent="0.25">
      <c r="A151" s="1191"/>
      <c r="B151" s="833"/>
      <c r="C151" s="809"/>
      <c r="D151" s="132" t="s">
        <v>4</v>
      </c>
      <c r="E151" s="142"/>
      <c r="F151" s="143"/>
      <c r="G151" s="450">
        <v>0</v>
      </c>
      <c r="H151" s="450">
        <v>0</v>
      </c>
      <c r="I151" s="450">
        <v>0</v>
      </c>
      <c r="J151" s="450">
        <v>0</v>
      </c>
      <c r="K151" s="445">
        <f t="shared" si="2"/>
        <v>0</v>
      </c>
      <c r="L151" s="445">
        <f>+L145+L139+L133+L121+L115+L91+L97+L85+L79+L73+L67+L49+L43+L37+L25+L19</f>
        <v>0</v>
      </c>
      <c r="M151" s="445">
        <f t="shared" si="3"/>
        <v>0</v>
      </c>
      <c r="N151" s="445">
        <f t="shared" si="3"/>
        <v>0</v>
      </c>
      <c r="O151" s="445">
        <v>0</v>
      </c>
      <c r="P151" s="445"/>
      <c r="Q151" s="445"/>
      <c r="R151" s="445" t="s">
        <v>1317</v>
      </c>
      <c r="S151" s="446"/>
      <c r="T151" s="451">
        <v>6777000</v>
      </c>
      <c r="U151" s="450">
        <v>72661243</v>
      </c>
      <c r="V151" s="450">
        <v>0</v>
      </c>
      <c r="W151" s="450">
        <v>0</v>
      </c>
      <c r="X151" s="445">
        <f t="shared" si="4"/>
        <v>0</v>
      </c>
      <c r="Y151" s="445">
        <f>+Y145+Y139+Y133+Y121+Y115+Y91+Y97+Y85+Y79+Y73+Y67+Y49+Y43+Y37+Y25+Y19</f>
        <v>0</v>
      </c>
      <c r="Z151" s="445">
        <f t="shared" si="6"/>
        <v>0</v>
      </c>
      <c r="AA151" s="445">
        <f t="shared" si="6"/>
        <v>0</v>
      </c>
      <c r="AB151" s="445">
        <f t="shared" si="6"/>
        <v>0</v>
      </c>
      <c r="AC151" s="445">
        <f t="shared" si="7"/>
        <v>0</v>
      </c>
      <c r="AD151" s="445">
        <f t="shared" si="7"/>
        <v>0</v>
      </c>
      <c r="AE151" s="445" t="s">
        <v>1317</v>
      </c>
      <c r="AF151" s="1223"/>
      <c r="AG151" s="1230"/>
      <c r="AH151" s="809"/>
      <c r="AI151" s="809"/>
      <c r="AJ151" s="793"/>
      <c r="AK151" s="809"/>
      <c r="AL151" s="810"/>
      <c r="AM151" s="810"/>
      <c r="AN151" s="805"/>
      <c r="AO151" s="784"/>
      <c r="AP151" s="784"/>
      <c r="AQ151" s="787"/>
      <c r="AR151" s="787"/>
      <c r="AS151" s="787"/>
      <c r="AT151" s="787"/>
      <c r="AU151" s="787"/>
      <c r="AV151" s="787"/>
      <c r="AW151" s="787"/>
      <c r="AX151" s="784"/>
      <c r="AY151" s="1214"/>
    </row>
    <row r="152" spans="1:51" ht="27" x14ac:dyDescent="0.25">
      <c r="A152" s="1191"/>
      <c r="B152" s="833"/>
      <c r="C152" s="809"/>
      <c r="D152" s="136" t="s">
        <v>43</v>
      </c>
      <c r="E152" s="142"/>
      <c r="F152" s="143"/>
      <c r="G152" s="450">
        <v>109</v>
      </c>
      <c r="H152" s="450">
        <v>109</v>
      </c>
      <c r="I152" s="450">
        <v>108</v>
      </c>
      <c r="J152" s="450">
        <v>107</v>
      </c>
      <c r="K152" s="445">
        <f t="shared" si="2"/>
        <v>109</v>
      </c>
      <c r="L152" s="445">
        <f>+L146+L140+L134+L122+L116+L92+L98+L86+L80+L74+L68+L50+L44+L38+L26+L20</f>
        <v>109</v>
      </c>
      <c r="M152" s="445">
        <f t="shared" si="3"/>
        <v>109</v>
      </c>
      <c r="N152" s="445">
        <f t="shared" si="3"/>
        <v>109</v>
      </c>
      <c r="O152" s="445">
        <v>109</v>
      </c>
      <c r="P152" s="445">
        <v>109</v>
      </c>
      <c r="Q152" s="445">
        <v>109</v>
      </c>
      <c r="R152" s="445">
        <f t="shared" ref="R152:R153" si="9">+R146+R140+R134+R122+R116+R92+R98+R86+R80+R74+R68+R50+R44+R38+R26+R32+R20+R104+R110</f>
        <v>113</v>
      </c>
      <c r="S152" s="446"/>
      <c r="T152" s="446">
        <v>5</v>
      </c>
      <c r="U152" s="450">
        <v>13</v>
      </c>
      <c r="V152" s="450">
        <v>22</v>
      </c>
      <c r="W152" s="450">
        <v>33</v>
      </c>
      <c r="X152" s="445">
        <f t="shared" si="4"/>
        <v>43</v>
      </c>
      <c r="Y152" s="445">
        <f>+Y146+Y140+Y134+Y122+Y116+Y92+Y98+Y86+Y80+Y74+Y68+Y50+Y44+Y38+Y26+Y20</f>
        <v>53</v>
      </c>
      <c r="Z152" s="445">
        <f t="shared" si="6"/>
        <v>63</v>
      </c>
      <c r="AA152" s="445">
        <f t="shared" si="6"/>
        <v>73</v>
      </c>
      <c r="AB152" s="445">
        <f t="shared" si="6"/>
        <v>83</v>
      </c>
      <c r="AC152" s="445">
        <f t="shared" si="7"/>
        <v>93</v>
      </c>
      <c r="AD152" s="445">
        <f t="shared" si="7"/>
        <v>103</v>
      </c>
      <c r="AE152" s="445">
        <f t="shared" si="7"/>
        <v>113</v>
      </c>
      <c r="AF152" s="1223"/>
      <c r="AG152" s="1230"/>
      <c r="AH152" s="809"/>
      <c r="AI152" s="809"/>
      <c r="AJ152" s="793"/>
      <c r="AK152" s="809"/>
      <c r="AL152" s="810"/>
      <c r="AM152" s="810"/>
      <c r="AN152" s="805"/>
      <c r="AO152" s="784"/>
      <c r="AP152" s="784"/>
      <c r="AQ152" s="787"/>
      <c r="AR152" s="787"/>
      <c r="AS152" s="787"/>
      <c r="AT152" s="787"/>
      <c r="AU152" s="787"/>
      <c r="AV152" s="787"/>
      <c r="AW152" s="787"/>
      <c r="AX152" s="784"/>
      <c r="AY152" s="1214"/>
    </row>
    <row r="153" spans="1:51" ht="27.75" thickBot="1" x14ac:dyDescent="0.3">
      <c r="A153" s="1192"/>
      <c r="B153" s="1193"/>
      <c r="C153" s="809"/>
      <c r="D153" s="140" t="s">
        <v>45</v>
      </c>
      <c r="E153" s="142"/>
      <c r="F153" s="143"/>
      <c r="G153" s="450">
        <v>574654000</v>
      </c>
      <c r="H153" s="450">
        <v>574654000</v>
      </c>
      <c r="I153" s="450">
        <v>569381944.9541285</v>
      </c>
      <c r="J153" s="450">
        <v>546001366.97247708</v>
      </c>
      <c r="K153" s="445">
        <f t="shared" si="2"/>
        <v>556207000</v>
      </c>
      <c r="L153" s="445">
        <f>+L147+L141+L135+L123+L117+L99+L93+L87+L81+L75+L69+L51+L45+L39+L27+L21</f>
        <v>556207000</v>
      </c>
      <c r="M153" s="445">
        <f t="shared" si="3"/>
        <v>556207000</v>
      </c>
      <c r="N153" s="445">
        <f t="shared" si="3"/>
        <v>605338999.99999976</v>
      </c>
      <c r="O153" s="445">
        <f>+O149</f>
        <v>605339000</v>
      </c>
      <c r="P153" s="445">
        <f>+P149</f>
        <v>605339000</v>
      </c>
      <c r="Q153" s="445">
        <f>+Q152*$Q$11/$Q$10</f>
        <v>605339000</v>
      </c>
      <c r="R153" s="445">
        <f t="shared" si="9"/>
        <v>605339000.00000012</v>
      </c>
      <c r="S153" s="446"/>
      <c r="T153" s="446">
        <v>0</v>
      </c>
      <c r="U153" s="450">
        <v>308440000.00000006</v>
      </c>
      <c r="V153" s="450">
        <v>474290347.826087</v>
      </c>
      <c r="W153" s="450">
        <v>495849000</v>
      </c>
      <c r="X153" s="445">
        <f t="shared" si="4"/>
        <v>495848999.99999976</v>
      </c>
      <c r="Y153" s="445">
        <f>+Y147+Y141+Y135+Y123+Y117+Y93+Y100+Y87+Y81+Y75+Y69+Y51+Y45+Y39+Y27+Y21</f>
        <v>545712528.30188668</v>
      </c>
      <c r="Z153" s="445">
        <f t="shared" si="6"/>
        <v>556207000</v>
      </c>
      <c r="AA153" s="445">
        <f t="shared" si="6"/>
        <v>556207000</v>
      </c>
      <c r="AB153" s="445">
        <f>+AB147+AB141+AB135+AB123+AB117+AB93+AB99+AB87+AB81+AB75+AB69+AB51+AB45+AB39+AB27+AB21+AB105</f>
        <v>572698500</v>
      </c>
      <c r="AC153" s="445">
        <f t="shared" si="7"/>
        <v>572698499.99999988</v>
      </c>
      <c r="AD153" s="445">
        <f t="shared" si="7"/>
        <v>583961499.99999988</v>
      </c>
      <c r="AE153" s="445">
        <f t="shared" si="7"/>
        <v>590922500</v>
      </c>
      <c r="AF153" s="1231"/>
      <c r="AG153" s="1230"/>
      <c r="AH153" s="809"/>
      <c r="AI153" s="809"/>
      <c r="AJ153" s="794"/>
      <c r="AK153" s="809"/>
      <c r="AL153" s="810"/>
      <c r="AM153" s="810"/>
      <c r="AN153" s="805"/>
      <c r="AO153" s="785"/>
      <c r="AP153" s="785"/>
      <c r="AQ153" s="787"/>
      <c r="AR153" s="787"/>
      <c r="AS153" s="787"/>
      <c r="AT153" s="787"/>
      <c r="AU153" s="787"/>
      <c r="AV153" s="787"/>
      <c r="AW153" s="787"/>
      <c r="AX153" s="785"/>
      <c r="AY153" s="1214"/>
    </row>
    <row r="154" spans="1:51" ht="18" customHeight="1" x14ac:dyDescent="0.25">
      <c r="A154" s="1194">
        <v>2</v>
      </c>
      <c r="B154" s="1190" t="s">
        <v>288</v>
      </c>
      <c r="C154" s="809" t="s">
        <v>411</v>
      </c>
      <c r="D154" s="141" t="s">
        <v>41</v>
      </c>
      <c r="E154" s="168" t="e">
        <v>#REF!</v>
      </c>
      <c r="F154" s="168" t="e">
        <v>#REF!</v>
      </c>
      <c r="G154" s="452">
        <v>77</v>
      </c>
      <c r="H154" s="452">
        <v>77</v>
      </c>
      <c r="I154" s="452">
        <v>77</v>
      </c>
      <c r="J154" s="452">
        <v>77</v>
      </c>
      <c r="K154" s="453">
        <v>77</v>
      </c>
      <c r="L154" s="452">
        <v>77</v>
      </c>
      <c r="M154" s="452">
        <v>77</v>
      </c>
      <c r="N154" s="455">
        <v>77</v>
      </c>
      <c r="O154" s="452">
        <v>77</v>
      </c>
      <c r="P154" s="453">
        <v>77</v>
      </c>
      <c r="Q154" s="453">
        <v>77</v>
      </c>
      <c r="R154" s="1232">
        <v>78</v>
      </c>
      <c r="S154" s="1233" t="s">
        <v>412</v>
      </c>
      <c r="T154" s="454">
        <v>5</v>
      </c>
      <c r="U154" s="454">
        <v>11</v>
      </c>
      <c r="V154" s="454">
        <v>18</v>
      </c>
      <c r="W154" s="454">
        <v>25</v>
      </c>
      <c r="X154" s="455">
        <v>32</v>
      </c>
      <c r="Y154" s="454">
        <v>39</v>
      </c>
      <c r="Z154" s="454">
        <v>46</v>
      </c>
      <c r="AA154" s="455">
        <v>53</v>
      </c>
      <c r="AB154" s="1234">
        <v>60</v>
      </c>
      <c r="AC154" s="1235">
        <v>67</v>
      </c>
      <c r="AD154" s="455">
        <v>72</v>
      </c>
      <c r="AE154" s="1232">
        <v>78</v>
      </c>
      <c r="AF154" s="1236" t="s">
        <v>1084</v>
      </c>
      <c r="AG154" s="872" t="s">
        <v>938</v>
      </c>
      <c r="AH154" s="788" t="s">
        <v>1115</v>
      </c>
      <c r="AI154" s="788" t="s">
        <v>1116</v>
      </c>
      <c r="AJ154" s="792" t="s">
        <v>913</v>
      </c>
      <c r="AK154" s="788" t="s">
        <v>315</v>
      </c>
      <c r="AL154" s="788" t="s">
        <v>70</v>
      </c>
      <c r="AM154" s="788" t="s">
        <v>316</v>
      </c>
      <c r="AN154" s="805">
        <v>7804660</v>
      </c>
      <c r="AO154" s="783">
        <v>3721767</v>
      </c>
      <c r="AP154" s="783">
        <v>4082893</v>
      </c>
      <c r="AQ154" s="787" t="s">
        <v>317</v>
      </c>
      <c r="AR154" s="787" t="s">
        <v>317</v>
      </c>
      <c r="AS154" s="787" t="s">
        <v>317</v>
      </c>
      <c r="AT154" s="787" t="s">
        <v>317</v>
      </c>
      <c r="AU154" s="787" t="s">
        <v>317</v>
      </c>
      <c r="AV154" s="787" t="s">
        <v>317</v>
      </c>
      <c r="AW154" s="787" t="s">
        <v>317</v>
      </c>
      <c r="AX154" s="783">
        <v>7804660</v>
      </c>
      <c r="AY154" s="1214"/>
    </row>
    <row r="155" spans="1:51" ht="18" x14ac:dyDescent="0.25">
      <c r="A155" s="1195"/>
      <c r="B155" s="833"/>
      <c r="C155" s="809"/>
      <c r="D155" s="132" t="s">
        <v>3</v>
      </c>
      <c r="E155" s="168" t="e">
        <v>#REF!</v>
      </c>
      <c r="F155" s="168" t="e">
        <v>#REF!</v>
      </c>
      <c r="G155" s="452">
        <v>198130000</v>
      </c>
      <c r="H155" s="452">
        <v>198130000</v>
      </c>
      <c r="I155" s="452">
        <v>198130000</v>
      </c>
      <c r="J155" s="452">
        <v>172920000</v>
      </c>
      <c r="K155" s="456">
        <v>168597000</v>
      </c>
      <c r="L155" s="456">
        <v>168597000</v>
      </c>
      <c r="M155" s="452">
        <v>168597000</v>
      </c>
      <c r="N155" s="455">
        <v>172920000</v>
      </c>
      <c r="O155" s="452">
        <v>172920000</v>
      </c>
      <c r="P155" s="452">
        <v>172920000</v>
      </c>
      <c r="Q155" s="452">
        <v>172920000</v>
      </c>
      <c r="R155" s="1232">
        <v>172920000</v>
      </c>
      <c r="S155" s="1237"/>
      <c r="T155" s="454">
        <v>0</v>
      </c>
      <c r="U155" s="454">
        <v>129690000</v>
      </c>
      <c r="V155" s="454">
        <v>168597000</v>
      </c>
      <c r="W155" s="454">
        <v>168597000</v>
      </c>
      <c r="X155" s="457">
        <v>168597000</v>
      </c>
      <c r="Y155" s="454">
        <v>168597000</v>
      </c>
      <c r="Z155" s="454">
        <v>168597000</v>
      </c>
      <c r="AA155" s="455">
        <v>168597000</v>
      </c>
      <c r="AB155" s="1234">
        <v>168597000</v>
      </c>
      <c r="AC155" s="1238">
        <v>168597000</v>
      </c>
      <c r="AD155" s="455">
        <v>168597000</v>
      </c>
      <c r="AE155" s="1232">
        <v>172920000</v>
      </c>
      <c r="AF155" s="1239"/>
      <c r="AG155" s="873"/>
      <c r="AH155" s="789"/>
      <c r="AI155" s="789"/>
      <c r="AJ155" s="793"/>
      <c r="AK155" s="789"/>
      <c r="AL155" s="789"/>
      <c r="AM155" s="789"/>
      <c r="AN155" s="805"/>
      <c r="AO155" s="784"/>
      <c r="AP155" s="784"/>
      <c r="AQ155" s="787"/>
      <c r="AR155" s="787"/>
      <c r="AS155" s="787"/>
      <c r="AT155" s="787"/>
      <c r="AU155" s="787"/>
      <c r="AV155" s="787"/>
      <c r="AW155" s="787"/>
      <c r="AX155" s="784"/>
      <c r="AY155" s="1214"/>
    </row>
    <row r="156" spans="1:51" ht="27" x14ac:dyDescent="0.25">
      <c r="A156" s="1195"/>
      <c r="B156" s="833"/>
      <c r="C156" s="809"/>
      <c r="D156" s="136" t="s">
        <v>42</v>
      </c>
      <c r="E156" s="168" t="e">
        <v>#REF!</v>
      </c>
      <c r="F156" s="168" t="e">
        <v>#REF!</v>
      </c>
      <c r="G156" s="452">
        <v>0</v>
      </c>
      <c r="H156" s="452">
        <v>0</v>
      </c>
      <c r="I156" s="452">
        <v>0</v>
      </c>
      <c r="J156" s="452">
        <v>0</v>
      </c>
      <c r="K156" s="445">
        <v>0</v>
      </c>
      <c r="L156" s="445">
        <v>0</v>
      </c>
      <c r="M156" s="452">
        <v>0</v>
      </c>
      <c r="N156" s="455">
        <v>0</v>
      </c>
      <c r="O156" s="452">
        <v>0</v>
      </c>
      <c r="P156" s="452">
        <v>0</v>
      </c>
      <c r="Q156" s="452">
        <v>0</v>
      </c>
      <c r="R156" s="1232">
        <v>0</v>
      </c>
      <c r="S156" s="1237"/>
      <c r="T156" s="454">
        <v>0</v>
      </c>
      <c r="U156" s="454">
        <v>0</v>
      </c>
      <c r="V156" s="454">
        <v>0</v>
      </c>
      <c r="W156" s="454">
        <v>0</v>
      </c>
      <c r="X156" s="454">
        <v>0</v>
      </c>
      <c r="Y156" s="447">
        <v>0</v>
      </c>
      <c r="Z156" s="454">
        <v>0</v>
      </c>
      <c r="AA156" s="455">
        <v>0</v>
      </c>
      <c r="AB156" s="1234">
        <v>0</v>
      </c>
      <c r="AC156" s="1238">
        <v>0</v>
      </c>
      <c r="AD156" s="455">
        <v>0</v>
      </c>
      <c r="AE156" s="1232">
        <v>0</v>
      </c>
      <c r="AF156" s="1239"/>
      <c r="AG156" s="873"/>
      <c r="AH156" s="789"/>
      <c r="AI156" s="789"/>
      <c r="AJ156" s="793"/>
      <c r="AK156" s="789"/>
      <c r="AL156" s="789"/>
      <c r="AM156" s="789"/>
      <c r="AN156" s="805"/>
      <c r="AO156" s="784"/>
      <c r="AP156" s="784"/>
      <c r="AQ156" s="787"/>
      <c r="AR156" s="787"/>
      <c r="AS156" s="787"/>
      <c r="AT156" s="787"/>
      <c r="AU156" s="787"/>
      <c r="AV156" s="787"/>
      <c r="AW156" s="787"/>
      <c r="AX156" s="784"/>
      <c r="AY156" s="1214"/>
    </row>
    <row r="157" spans="1:51" ht="27" x14ac:dyDescent="0.25">
      <c r="A157" s="1195"/>
      <c r="B157" s="833"/>
      <c r="C157" s="809"/>
      <c r="D157" s="132" t="s">
        <v>4</v>
      </c>
      <c r="E157" s="168" t="e">
        <v>#REF!</v>
      </c>
      <c r="F157" s="168" t="e">
        <v>#REF!</v>
      </c>
      <c r="G157" s="452">
        <v>41858171</v>
      </c>
      <c r="H157" s="452">
        <v>41858171</v>
      </c>
      <c r="I157" s="452">
        <v>41858171</v>
      </c>
      <c r="J157" s="452">
        <v>41858171</v>
      </c>
      <c r="K157" s="445">
        <v>41858171</v>
      </c>
      <c r="L157" s="445">
        <v>41858171</v>
      </c>
      <c r="M157" s="452">
        <v>41858171</v>
      </c>
      <c r="N157" s="455">
        <v>41858171</v>
      </c>
      <c r="O157" s="452">
        <v>41858171</v>
      </c>
      <c r="P157" s="452">
        <v>41858171</v>
      </c>
      <c r="Q157" s="452">
        <v>41858171</v>
      </c>
      <c r="R157" s="1232">
        <v>41858171</v>
      </c>
      <c r="S157" s="1237"/>
      <c r="T157" s="454">
        <v>0</v>
      </c>
      <c r="U157" s="454">
        <v>19427343</v>
      </c>
      <c r="V157" s="454">
        <v>41858171</v>
      </c>
      <c r="W157" s="454">
        <v>41858171</v>
      </c>
      <c r="X157" s="454">
        <v>41858171</v>
      </c>
      <c r="Y157" s="447">
        <v>41858171</v>
      </c>
      <c r="Z157" s="454">
        <v>41858171</v>
      </c>
      <c r="AA157" s="455">
        <v>41858171</v>
      </c>
      <c r="AB157" s="1234">
        <v>41858171</v>
      </c>
      <c r="AC157" s="1238">
        <v>41858171</v>
      </c>
      <c r="AD157" s="455">
        <v>41858171</v>
      </c>
      <c r="AE157" s="1232">
        <v>41858171</v>
      </c>
      <c r="AF157" s="1239"/>
      <c r="AG157" s="873"/>
      <c r="AH157" s="789"/>
      <c r="AI157" s="789"/>
      <c r="AJ157" s="793"/>
      <c r="AK157" s="789"/>
      <c r="AL157" s="789"/>
      <c r="AM157" s="789"/>
      <c r="AN157" s="805"/>
      <c r="AO157" s="784"/>
      <c r="AP157" s="784"/>
      <c r="AQ157" s="787"/>
      <c r="AR157" s="787"/>
      <c r="AS157" s="787"/>
      <c r="AT157" s="787"/>
      <c r="AU157" s="787"/>
      <c r="AV157" s="787"/>
      <c r="AW157" s="787"/>
      <c r="AX157" s="784"/>
      <c r="AY157" s="1214"/>
    </row>
    <row r="158" spans="1:51" ht="27" x14ac:dyDescent="0.25">
      <c r="A158" s="1195"/>
      <c r="B158" s="833"/>
      <c r="C158" s="809"/>
      <c r="D158" s="136" t="s">
        <v>43</v>
      </c>
      <c r="E158" s="168" t="e">
        <v>#REF!</v>
      </c>
      <c r="F158" s="168" t="e">
        <v>#REF!</v>
      </c>
      <c r="G158" s="452">
        <v>77</v>
      </c>
      <c r="H158" s="452">
        <v>77</v>
      </c>
      <c r="I158" s="452">
        <v>77</v>
      </c>
      <c r="J158" s="452">
        <v>77</v>
      </c>
      <c r="K158" s="445">
        <v>77</v>
      </c>
      <c r="L158" s="445">
        <v>77</v>
      </c>
      <c r="M158" s="452">
        <v>77</v>
      </c>
      <c r="N158" s="455">
        <v>77</v>
      </c>
      <c r="O158" s="452">
        <v>77</v>
      </c>
      <c r="P158" s="452">
        <v>77</v>
      </c>
      <c r="Q158" s="452">
        <v>77</v>
      </c>
      <c r="R158" s="1232">
        <v>78</v>
      </c>
      <c r="S158" s="1237"/>
      <c r="T158" s="454">
        <v>5</v>
      </c>
      <c r="U158" s="454">
        <v>11</v>
      </c>
      <c r="V158" s="454">
        <v>18</v>
      </c>
      <c r="W158" s="454">
        <v>25</v>
      </c>
      <c r="X158" s="454">
        <v>25</v>
      </c>
      <c r="Y158" s="447">
        <v>39</v>
      </c>
      <c r="Z158" s="454">
        <v>46</v>
      </c>
      <c r="AA158" s="455">
        <v>53</v>
      </c>
      <c r="AB158" s="1234">
        <v>60</v>
      </c>
      <c r="AC158" s="1238">
        <v>67</v>
      </c>
      <c r="AD158" s="455">
        <v>67</v>
      </c>
      <c r="AE158" s="1232">
        <v>78</v>
      </c>
      <c r="AF158" s="1239"/>
      <c r="AG158" s="873"/>
      <c r="AH158" s="789"/>
      <c r="AI158" s="789"/>
      <c r="AJ158" s="793"/>
      <c r="AK158" s="789"/>
      <c r="AL158" s="789"/>
      <c r="AM158" s="789"/>
      <c r="AN158" s="805"/>
      <c r="AO158" s="784"/>
      <c r="AP158" s="784"/>
      <c r="AQ158" s="787"/>
      <c r="AR158" s="787"/>
      <c r="AS158" s="787"/>
      <c r="AT158" s="787"/>
      <c r="AU158" s="787"/>
      <c r="AV158" s="787"/>
      <c r="AW158" s="787"/>
      <c r="AX158" s="784"/>
      <c r="AY158" s="1214"/>
    </row>
    <row r="159" spans="1:51" ht="27.75" thickBot="1" x14ac:dyDescent="0.3">
      <c r="A159" s="1195"/>
      <c r="B159" s="833"/>
      <c r="C159" s="809"/>
      <c r="D159" s="140" t="s">
        <v>45</v>
      </c>
      <c r="E159" s="168" t="e">
        <v>#REF!</v>
      </c>
      <c r="F159" s="168" t="e">
        <v>#REF!</v>
      </c>
      <c r="G159" s="452">
        <v>239988171</v>
      </c>
      <c r="H159" s="452">
        <v>239988171</v>
      </c>
      <c r="I159" s="452">
        <v>239988171</v>
      </c>
      <c r="J159" s="452">
        <v>214778171</v>
      </c>
      <c r="K159" s="458">
        <v>210455171</v>
      </c>
      <c r="L159" s="458">
        <f>+L155+L157</f>
        <v>210455171</v>
      </c>
      <c r="M159" s="458">
        <f>+M155+M157</f>
        <v>210455171</v>
      </c>
      <c r="N159" s="458">
        <f>+N155+N157</f>
        <v>214778171</v>
      </c>
      <c r="O159" s="452">
        <v>214778171</v>
      </c>
      <c r="P159" s="452">
        <v>214778171</v>
      </c>
      <c r="Q159" s="452">
        <v>214778171</v>
      </c>
      <c r="R159" s="1232">
        <f>+R155+R157</f>
        <v>214778171</v>
      </c>
      <c r="S159" s="1237"/>
      <c r="T159" s="454">
        <v>0</v>
      </c>
      <c r="U159" s="454">
        <v>149117343</v>
      </c>
      <c r="V159" s="454">
        <v>210455171</v>
      </c>
      <c r="W159" s="454">
        <v>210455171</v>
      </c>
      <c r="X159" s="454">
        <v>210455171</v>
      </c>
      <c r="Y159" s="447">
        <v>210455171</v>
      </c>
      <c r="Z159" s="454">
        <v>210455171</v>
      </c>
      <c r="AA159" s="455">
        <f>+AA155+AA157</f>
        <v>210455171</v>
      </c>
      <c r="AB159" s="1234">
        <f>+AB155+AB157</f>
        <v>210455171</v>
      </c>
      <c r="AC159" s="1238">
        <f>+AC155+AC157</f>
        <v>210455171</v>
      </c>
      <c r="AD159" s="455">
        <v>210455171</v>
      </c>
      <c r="AE159" s="1232">
        <f>+AE155+AE157</f>
        <v>214778171</v>
      </c>
      <c r="AF159" s="1239"/>
      <c r="AG159" s="874"/>
      <c r="AH159" s="790"/>
      <c r="AI159" s="790"/>
      <c r="AJ159" s="794"/>
      <c r="AK159" s="790"/>
      <c r="AL159" s="790"/>
      <c r="AM159" s="790"/>
      <c r="AN159" s="805"/>
      <c r="AO159" s="785"/>
      <c r="AP159" s="785"/>
      <c r="AQ159" s="787"/>
      <c r="AR159" s="787"/>
      <c r="AS159" s="787"/>
      <c r="AT159" s="787"/>
      <c r="AU159" s="787"/>
      <c r="AV159" s="787"/>
      <c r="AW159" s="787"/>
      <c r="AX159" s="785"/>
      <c r="AY159" s="1214"/>
    </row>
    <row r="160" spans="1:51" ht="18" customHeight="1" x14ac:dyDescent="0.25">
      <c r="A160" s="1195"/>
      <c r="B160" s="833"/>
      <c r="C160" s="809" t="s">
        <v>1302</v>
      </c>
      <c r="D160" s="141" t="s">
        <v>41</v>
      </c>
      <c r="E160" s="142"/>
      <c r="F160" s="143"/>
      <c r="G160" s="445"/>
      <c r="H160" s="445"/>
      <c r="I160" s="445">
        <v>3</v>
      </c>
      <c r="J160" s="445">
        <v>3</v>
      </c>
      <c r="K160" s="445">
        <v>3</v>
      </c>
      <c r="L160" s="445">
        <v>3</v>
      </c>
      <c r="M160" s="445">
        <v>3</v>
      </c>
      <c r="N160" s="448">
        <v>3</v>
      </c>
      <c r="O160" s="445">
        <v>3</v>
      </c>
      <c r="P160" s="445">
        <v>5</v>
      </c>
      <c r="Q160" s="445">
        <v>6</v>
      </c>
      <c r="R160" s="1232">
        <v>9</v>
      </c>
      <c r="S160" s="1237"/>
      <c r="T160" s="446"/>
      <c r="U160" s="446"/>
      <c r="V160" s="446">
        <v>3</v>
      </c>
      <c r="W160" s="446">
        <v>3</v>
      </c>
      <c r="X160" s="446">
        <v>3</v>
      </c>
      <c r="Y160" s="446">
        <v>3</v>
      </c>
      <c r="Z160" s="446">
        <v>3</v>
      </c>
      <c r="AA160" s="448">
        <v>3</v>
      </c>
      <c r="AB160" s="445">
        <v>3</v>
      </c>
      <c r="AC160" s="1225">
        <v>5</v>
      </c>
      <c r="AD160" s="445">
        <v>6</v>
      </c>
      <c r="AE160" s="1232">
        <v>9</v>
      </c>
      <c r="AF160" s="1239" t="s">
        <v>1088</v>
      </c>
      <c r="AG160" s="1194" t="s">
        <v>319</v>
      </c>
      <c r="AH160" s="788" t="s">
        <v>1134</v>
      </c>
      <c r="AI160" s="788" t="s">
        <v>1133</v>
      </c>
      <c r="AJ160" s="792" t="s">
        <v>913</v>
      </c>
      <c r="AK160" s="788" t="s">
        <v>315</v>
      </c>
      <c r="AL160" s="788" t="s">
        <v>1135</v>
      </c>
      <c r="AM160" s="788" t="s">
        <v>316</v>
      </c>
      <c r="AN160" s="791">
        <v>475275</v>
      </c>
      <c r="AO160" s="805">
        <v>255912</v>
      </c>
      <c r="AP160" s="805">
        <v>300846</v>
      </c>
      <c r="AQ160" s="786" t="s">
        <v>317</v>
      </c>
      <c r="AR160" s="786" t="s">
        <v>317</v>
      </c>
      <c r="AS160" s="786" t="s">
        <v>317</v>
      </c>
      <c r="AT160" s="786" t="s">
        <v>317</v>
      </c>
      <c r="AU160" s="787" t="s">
        <v>317</v>
      </c>
      <c r="AV160" s="787" t="s">
        <v>317</v>
      </c>
      <c r="AW160" s="787" t="s">
        <v>317</v>
      </c>
      <c r="AX160" s="783">
        <v>475275</v>
      </c>
      <c r="AY160" s="1214"/>
    </row>
    <row r="161" spans="1:51" ht="18.75" customHeight="1" x14ac:dyDescent="0.25">
      <c r="A161" s="1195"/>
      <c r="B161" s="833"/>
      <c r="C161" s="809"/>
      <c r="D161" s="132" t="s">
        <v>3</v>
      </c>
      <c r="E161" s="142"/>
      <c r="F161" s="143"/>
      <c r="G161" s="445"/>
      <c r="H161" s="445"/>
      <c r="I161" s="445">
        <v>7719350.6493506497</v>
      </c>
      <c r="J161" s="445">
        <v>6737142.8571428573</v>
      </c>
      <c r="K161" s="445">
        <f>+K160*$K$155/$K$154</f>
        <v>6568714.2857142854</v>
      </c>
      <c r="L161" s="445">
        <f>+L160*$L$155/$L$154</f>
        <v>6568714.2857142854</v>
      </c>
      <c r="M161" s="445">
        <f>+M160*$M$155/$M$154</f>
        <v>6568714.2857142854</v>
      </c>
      <c r="N161" s="445">
        <f>+N160*$N$155/$N$154</f>
        <v>6737142.8571428573</v>
      </c>
      <c r="O161" s="445">
        <f>+O160*$O$155/$O$154</f>
        <v>6737142.8571428573</v>
      </c>
      <c r="P161" s="445">
        <f>+P160*$P$155/$P$154</f>
        <v>11228571.428571429</v>
      </c>
      <c r="Q161" s="445">
        <f>+Q160*$Q$155/$Q$154</f>
        <v>13474285.714285715</v>
      </c>
      <c r="R161" s="445">
        <f>+R160*$R$155/$R$154</f>
        <v>19952307.692307692</v>
      </c>
      <c r="S161" s="1237"/>
      <c r="T161" s="446"/>
      <c r="U161" s="446"/>
      <c r="V161" s="445">
        <v>28099500</v>
      </c>
      <c r="W161" s="445">
        <v>20231640</v>
      </c>
      <c r="X161" s="445">
        <f>+X160*$X$155/$X$154</f>
        <v>15805968.75</v>
      </c>
      <c r="Y161" s="445">
        <f>+Y160*$Y$155/$Y$154</f>
        <v>12969000</v>
      </c>
      <c r="Z161" s="445">
        <f>+Z160*$Z$155/$Z$154</f>
        <v>10995456.521739131</v>
      </c>
      <c r="AA161" s="445">
        <f>+AA160*$N$155/$N$154</f>
        <v>6737142.8571428573</v>
      </c>
      <c r="AB161" s="445">
        <f>+AB160*$AB$155/$AB$154</f>
        <v>8429850</v>
      </c>
      <c r="AC161" s="445">
        <f>+AC160*$AC$155/$AC$154</f>
        <v>12581865.671641791</v>
      </c>
      <c r="AD161" s="445">
        <f>+AD160*$AD$155/$AD$154</f>
        <v>14049750</v>
      </c>
      <c r="AE161" s="445">
        <f>+AE160*$AE$155/$AE$154</f>
        <v>19952307.692307692</v>
      </c>
      <c r="AF161" s="1239"/>
      <c r="AG161" s="1195"/>
      <c r="AH161" s="789"/>
      <c r="AI161" s="789"/>
      <c r="AJ161" s="793"/>
      <c r="AK161" s="789"/>
      <c r="AL161" s="789"/>
      <c r="AM161" s="789"/>
      <c r="AN161" s="791"/>
      <c r="AO161" s="805"/>
      <c r="AP161" s="805"/>
      <c r="AQ161" s="786"/>
      <c r="AR161" s="786"/>
      <c r="AS161" s="786"/>
      <c r="AT161" s="786"/>
      <c r="AU161" s="787"/>
      <c r="AV161" s="787"/>
      <c r="AW161" s="787"/>
      <c r="AX161" s="784"/>
      <c r="AY161" s="1214"/>
    </row>
    <row r="162" spans="1:51" ht="18" customHeight="1" x14ac:dyDescent="0.25">
      <c r="A162" s="1195"/>
      <c r="B162" s="833"/>
      <c r="C162" s="809"/>
      <c r="D162" s="136" t="s">
        <v>42</v>
      </c>
      <c r="E162" s="142"/>
      <c r="F162" s="143"/>
      <c r="G162" s="445"/>
      <c r="H162" s="445"/>
      <c r="I162" s="445"/>
      <c r="J162" s="445"/>
      <c r="K162" s="445"/>
      <c r="L162" s="445"/>
      <c r="M162" s="445"/>
      <c r="N162" s="448"/>
      <c r="O162" s="445"/>
      <c r="P162" s="445"/>
      <c r="Q162" s="445"/>
      <c r="R162" s="1232"/>
      <c r="S162" s="1237"/>
      <c r="T162" s="446"/>
      <c r="U162" s="446"/>
      <c r="V162" s="446"/>
      <c r="W162" s="446"/>
      <c r="X162" s="446"/>
      <c r="Y162" s="446"/>
      <c r="Z162" s="446"/>
      <c r="AA162" s="448"/>
      <c r="AB162" s="445"/>
      <c r="AC162" s="1225"/>
      <c r="AD162" s="445"/>
      <c r="AE162" s="1232"/>
      <c r="AF162" s="1239"/>
      <c r="AG162" s="1195"/>
      <c r="AH162" s="789"/>
      <c r="AI162" s="789"/>
      <c r="AJ162" s="793"/>
      <c r="AK162" s="789"/>
      <c r="AL162" s="789"/>
      <c r="AM162" s="789"/>
      <c r="AN162" s="791"/>
      <c r="AO162" s="805"/>
      <c r="AP162" s="805"/>
      <c r="AQ162" s="786"/>
      <c r="AR162" s="786"/>
      <c r="AS162" s="786"/>
      <c r="AT162" s="786"/>
      <c r="AU162" s="787"/>
      <c r="AV162" s="787"/>
      <c r="AW162" s="787"/>
      <c r="AX162" s="784"/>
      <c r="AY162" s="1214"/>
    </row>
    <row r="163" spans="1:51" ht="27.75" customHeight="1" x14ac:dyDescent="0.25">
      <c r="A163" s="1195"/>
      <c r="B163" s="833"/>
      <c r="C163" s="809"/>
      <c r="D163" s="132" t="s">
        <v>4</v>
      </c>
      <c r="E163" s="142"/>
      <c r="F163" s="143"/>
      <c r="G163" s="445"/>
      <c r="H163" s="445"/>
      <c r="I163" s="445"/>
      <c r="J163" s="445"/>
      <c r="K163" s="445"/>
      <c r="L163" s="445"/>
      <c r="M163" s="445"/>
      <c r="N163" s="448"/>
      <c r="O163" s="445"/>
      <c r="P163" s="445"/>
      <c r="Q163" s="445"/>
      <c r="R163" s="1232"/>
      <c r="S163" s="1237"/>
      <c r="T163" s="446"/>
      <c r="U163" s="446"/>
      <c r="V163" s="446"/>
      <c r="W163" s="446"/>
      <c r="X163" s="446"/>
      <c r="Y163" s="446"/>
      <c r="Z163" s="446"/>
      <c r="AA163" s="448"/>
      <c r="AB163" s="445"/>
      <c r="AC163" s="1225"/>
      <c r="AD163" s="445"/>
      <c r="AE163" s="1232"/>
      <c r="AF163" s="1239"/>
      <c r="AG163" s="1195"/>
      <c r="AH163" s="789"/>
      <c r="AI163" s="789"/>
      <c r="AJ163" s="793"/>
      <c r="AK163" s="789"/>
      <c r="AL163" s="789"/>
      <c r="AM163" s="789"/>
      <c r="AN163" s="791"/>
      <c r="AO163" s="805"/>
      <c r="AP163" s="805"/>
      <c r="AQ163" s="786"/>
      <c r="AR163" s="786"/>
      <c r="AS163" s="786"/>
      <c r="AT163" s="786"/>
      <c r="AU163" s="787"/>
      <c r="AV163" s="787"/>
      <c r="AW163" s="787"/>
      <c r="AX163" s="784"/>
      <c r="AY163" s="1214"/>
    </row>
    <row r="164" spans="1:51" ht="27.75" customHeight="1" x14ac:dyDescent="0.25">
      <c r="A164" s="1195"/>
      <c r="B164" s="833"/>
      <c r="C164" s="809"/>
      <c r="D164" s="136" t="s">
        <v>43</v>
      </c>
      <c r="E164" s="142"/>
      <c r="F164" s="143"/>
      <c r="G164" s="445"/>
      <c r="H164" s="445"/>
      <c r="I164" s="445">
        <v>3</v>
      </c>
      <c r="J164" s="445">
        <v>3</v>
      </c>
      <c r="K164" s="445">
        <v>3</v>
      </c>
      <c r="L164" s="445">
        <v>3</v>
      </c>
      <c r="M164" s="445">
        <v>3</v>
      </c>
      <c r="N164" s="448">
        <v>3</v>
      </c>
      <c r="O164" s="445">
        <v>3</v>
      </c>
      <c r="P164" s="445">
        <v>5</v>
      </c>
      <c r="Q164" s="445">
        <v>6</v>
      </c>
      <c r="R164" s="1232">
        <v>9</v>
      </c>
      <c r="S164" s="1237"/>
      <c r="T164" s="446"/>
      <c r="U164" s="446"/>
      <c r="V164" s="446">
        <v>3</v>
      </c>
      <c r="W164" s="446">
        <v>3</v>
      </c>
      <c r="X164" s="446">
        <v>3</v>
      </c>
      <c r="Y164" s="446">
        <v>3</v>
      </c>
      <c r="Z164" s="446">
        <v>3</v>
      </c>
      <c r="AA164" s="448">
        <v>3</v>
      </c>
      <c r="AB164" s="445">
        <v>3</v>
      </c>
      <c r="AC164" s="1225">
        <v>5</v>
      </c>
      <c r="AD164" s="445">
        <v>6</v>
      </c>
      <c r="AE164" s="1232">
        <v>9</v>
      </c>
      <c r="AF164" s="1239"/>
      <c r="AG164" s="1195"/>
      <c r="AH164" s="789"/>
      <c r="AI164" s="789"/>
      <c r="AJ164" s="793"/>
      <c r="AK164" s="789"/>
      <c r="AL164" s="789"/>
      <c r="AM164" s="789"/>
      <c r="AN164" s="791"/>
      <c r="AO164" s="805"/>
      <c r="AP164" s="805"/>
      <c r="AQ164" s="786"/>
      <c r="AR164" s="786"/>
      <c r="AS164" s="786"/>
      <c r="AT164" s="786"/>
      <c r="AU164" s="787"/>
      <c r="AV164" s="787"/>
      <c r="AW164" s="787"/>
      <c r="AX164" s="784"/>
      <c r="AY164" s="1214"/>
    </row>
    <row r="165" spans="1:51" ht="27.75" customHeight="1" thickBot="1" x14ac:dyDescent="0.3">
      <c r="A165" s="1195"/>
      <c r="B165" s="833"/>
      <c r="C165" s="809"/>
      <c r="D165" s="140" t="s">
        <v>45</v>
      </c>
      <c r="E165" s="142"/>
      <c r="F165" s="143"/>
      <c r="G165" s="445"/>
      <c r="H165" s="445"/>
      <c r="I165" s="445">
        <v>7719350.6493506497</v>
      </c>
      <c r="J165" s="445">
        <v>6737142.8571428573</v>
      </c>
      <c r="K165" s="445">
        <f>+K164*$K$155/$K$154</f>
        <v>6568714.2857142854</v>
      </c>
      <c r="L165" s="445">
        <f>+L164*$L$155/$L$154</f>
        <v>6568714.2857142854</v>
      </c>
      <c r="M165" s="445">
        <f>+M164*$M$155/$M$154</f>
        <v>6568714.2857142854</v>
      </c>
      <c r="N165" s="445">
        <f>+N164*$N$155/$N$154</f>
        <v>6737142.8571428573</v>
      </c>
      <c r="O165" s="445">
        <f>+O164*$O$155/$O$154</f>
        <v>6737142.8571428573</v>
      </c>
      <c r="P165" s="445">
        <f>+P164*$P$155/$P$154</f>
        <v>11228571.428571429</v>
      </c>
      <c r="Q165" s="445">
        <f>+Q164*$Q$155/$Q$154</f>
        <v>13474285.714285715</v>
      </c>
      <c r="R165" s="445">
        <f>+R164*$R$155/$R$154</f>
        <v>19952307.692307692</v>
      </c>
      <c r="S165" s="1237"/>
      <c r="T165" s="446"/>
      <c r="U165" s="446"/>
      <c r="V165" s="445">
        <v>28099500</v>
      </c>
      <c r="W165" s="445">
        <v>20231640</v>
      </c>
      <c r="X165" s="445">
        <f>+X164*$X$155/$X$154</f>
        <v>15805968.75</v>
      </c>
      <c r="Y165" s="445">
        <f>+Y164*$Y$155/$Y$154</f>
        <v>12969000</v>
      </c>
      <c r="Z165" s="445">
        <f>+Z164*$Z$155/$Z$154</f>
        <v>10995456.521739131</v>
      </c>
      <c r="AA165" s="445">
        <f>+AA164*$N$155/$N$154</f>
        <v>6737142.8571428573</v>
      </c>
      <c r="AB165" s="445">
        <f>+AB164*$AB$155/$AB$154</f>
        <v>8429850</v>
      </c>
      <c r="AC165" s="445">
        <f>+AC164*$AC$155/$AC$154</f>
        <v>12581865.671641791</v>
      </c>
      <c r="AD165" s="445">
        <f>+AD164*$AD$155/$AD$154</f>
        <v>14049750</v>
      </c>
      <c r="AE165" s="445">
        <f>+AE164*$AE$155/$AE$154</f>
        <v>19952307.692307692</v>
      </c>
      <c r="AF165" s="1240"/>
      <c r="AG165" s="1196"/>
      <c r="AH165" s="790"/>
      <c r="AI165" s="790"/>
      <c r="AJ165" s="794"/>
      <c r="AK165" s="790"/>
      <c r="AL165" s="790"/>
      <c r="AM165" s="790"/>
      <c r="AN165" s="791"/>
      <c r="AO165" s="805"/>
      <c r="AP165" s="805"/>
      <c r="AQ165" s="786"/>
      <c r="AR165" s="786"/>
      <c r="AS165" s="786"/>
      <c r="AT165" s="786"/>
      <c r="AU165" s="787"/>
      <c r="AV165" s="787"/>
      <c r="AW165" s="787"/>
      <c r="AX165" s="785"/>
      <c r="AY165" s="1214"/>
    </row>
    <row r="166" spans="1:51" ht="18" customHeight="1" x14ac:dyDescent="0.25">
      <c r="A166" s="1195"/>
      <c r="B166" s="833"/>
      <c r="C166" s="809" t="s">
        <v>1318</v>
      </c>
      <c r="D166" s="141" t="s">
        <v>41</v>
      </c>
      <c r="E166" s="142"/>
      <c r="F166" s="143"/>
      <c r="G166" s="445"/>
      <c r="H166" s="445">
        <v>1</v>
      </c>
      <c r="I166" s="445">
        <v>2</v>
      </c>
      <c r="J166" s="445">
        <v>3</v>
      </c>
      <c r="K166" s="445">
        <v>6</v>
      </c>
      <c r="L166" s="445">
        <v>7</v>
      </c>
      <c r="M166" s="445">
        <v>7</v>
      </c>
      <c r="N166" s="448">
        <v>9</v>
      </c>
      <c r="O166" s="445">
        <v>10</v>
      </c>
      <c r="P166" s="445">
        <v>10</v>
      </c>
      <c r="Q166" s="445">
        <v>11</v>
      </c>
      <c r="R166" s="1232">
        <v>11</v>
      </c>
      <c r="S166" s="1237"/>
      <c r="T166" s="446">
        <v>1</v>
      </c>
      <c r="U166" s="446">
        <v>1</v>
      </c>
      <c r="V166" s="446">
        <v>2</v>
      </c>
      <c r="W166" s="446">
        <v>3</v>
      </c>
      <c r="X166" s="446">
        <v>6</v>
      </c>
      <c r="Y166" s="446">
        <v>7</v>
      </c>
      <c r="Z166" s="446">
        <v>7</v>
      </c>
      <c r="AA166" s="448">
        <v>9</v>
      </c>
      <c r="AB166" s="445">
        <v>10</v>
      </c>
      <c r="AC166" s="1225">
        <v>10</v>
      </c>
      <c r="AD166" s="445">
        <v>11</v>
      </c>
      <c r="AE166" s="1232">
        <v>11</v>
      </c>
      <c r="AF166" s="1233" t="s">
        <v>1274</v>
      </c>
      <c r="AG166" s="1194" t="s">
        <v>334</v>
      </c>
      <c r="AH166" s="788" t="s">
        <v>917</v>
      </c>
      <c r="AI166" s="788" t="s">
        <v>1118</v>
      </c>
      <c r="AJ166" s="792" t="s">
        <v>913</v>
      </c>
      <c r="AK166" s="788" t="s">
        <v>315</v>
      </c>
      <c r="AL166" s="788" t="s">
        <v>70</v>
      </c>
      <c r="AM166" s="788" t="s">
        <v>316</v>
      </c>
      <c r="AN166" s="791">
        <v>163231</v>
      </c>
      <c r="AO166" s="805">
        <v>77499</v>
      </c>
      <c r="AP166" s="805">
        <v>85731</v>
      </c>
      <c r="AQ166" s="786" t="s">
        <v>317</v>
      </c>
      <c r="AR166" s="786" t="s">
        <v>317</v>
      </c>
      <c r="AS166" s="786" t="s">
        <v>317</v>
      </c>
      <c r="AT166" s="786" t="s">
        <v>317</v>
      </c>
      <c r="AU166" s="787" t="s">
        <v>317</v>
      </c>
      <c r="AV166" s="787" t="s">
        <v>317</v>
      </c>
      <c r="AW166" s="787" t="s">
        <v>317</v>
      </c>
      <c r="AX166" s="783">
        <v>163231</v>
      </c>
      <c r="AY166" s="1214"/>
    </row>
    <row r="167" spans="1:51" ht="18.75" customHeight="1" x14ac:dyDescent="0.25">
      <c r="A167" s="1195"/>
      <c r="B167" s="833"/>
      <c r="C167" s="809"/>
      <c r="D167" s="132" t="s">
        <v>3</v>
      </c>
      <c r="E167" s="142"/>
      <c r="F167" s="143"/>
      <c r="G167" s="445"/>
      <c r="H167" s="445">
        <v>2573116.8831168832</v>
      </c>
      <c r="I167" s="445">
        <v>5146233.7662337665</v>
      </c>
      <c r="J167" s="445">
        <v>6737142.8571428573</v>
      </c>
      <c r="K167" s="445">
        <f>+K166*$K$155/$K$154</f>
        <v>13137428.571428571</v>
      </c>
      <c r="L167" s="445">
        <f>+L166*$L$155/$L$154</f>
        <v>15327000</v>
      </c>
      <c r="M167" s="445">
        <f>+M166*$M$155/$M$154</f>
        <v>15327000</v>
      </c>
      <c r="N167" s="445">
        <f>+N166*$N$155/$N$154</f>
        <v>20211428.571428571</v>
      </c>
      <c r="O167" s="445">
        <f>+O166*$O$155/$O$154</f>
        <v>22457142.857142858</v>
      </c>
      <c r="P167" s="445">
        <f>+P166*$P$155/$P$154</f>
        <v>22457142.857142858</v>
      </c>
      <c r="Q167" s="445">
        <f>+Q166*$Q$155/$Q$154</f>
        <v>24702857.142857142</v>
      </c>
      <c r="R167" s="445">
        <f>+R166*$R$155/$R$154</f>
        <v>24386153.846153848</v>
      </c>
      <c r="S167" s="1237"/>
      <c r="T167" s="446"/>
      <c r="U167" s="445">
        <v>11790000</v>
      </c>
      <c r="V167" s="445">
        <v>18733000</v>
      </c>
      <c r="W167" s="445">
        <v>20231640</v>
      </c>
      <c r="X167" s="445">
        <f>+X166*$X$155/$X$154</f>
        <v>31611937.5</v>
      </c>
      <c r="Y167" s="445">
        <f>+Y166*$Y$155/$Y$154</f>
        <v>30261000</v>
      </c>
      <c r="Z167" s="445">
        <f>+Z166*$Z$155/$Z$154</f>
        <v>25656065.217391305</v>
      </c>
      <c r="AA167" s="445">
        <f>+AA166*$N$155/$N$154</f>
        <v>20211428.571428571</v>
      </c>
      <c r="AB167" s="445">
        <f>+AB166*$AB$155/$AB$154</f>
        <v>28099500</v>
      </c>
      <c r="AC167" s="445">
        <f>+AC166*$AC$155/$AC$154</f>
        <v>25163731.343283582</v>
      </c>
      <c r="AD167" s="445">
        <f>+AD166*$AD$155/$AD$154</f>
        <v>25757875</v>
      </c>
      <c r="AE167" s="445">
        <f>+AE166*$AE$155/$AE$154</f>
        <v>24386153.846153848</v>
      </c>
      <c r="AF167" s="1237"/>
      <c r="AG167" s="1195"/>
      <c r="AH167" s="789"/>
      <c r="AI167" s="789"/>
      <c r="AJ167" s="793"/>
      <c r="AK167" s="789"/>
      <c r="AL167" s="789"/>
      <c r="AM167" s="789"/>
      <c r="AN167" s="791"/>
      <c r="AO167" s="805"/>
      <c r="AP167" s="805"/>
      <c r="AQ167" s="786"/>
      <c r="AR167" s="786"/>
      <c r="AS167" s="786"/>
      <c r="AT167" s="786"/>
      <c r="AU167" s="787"/>
      <c r="AV167" s="787"/>
      <c r="AW167" s="787"/>
      <c r="AX167" s="784"/>
      <c r="AY167" s="1214"/>
    </row>
    <row r="168" spans="1:51" ht="18" customHeight="1" x14ac:dyDescent="0.25">
      <c r="A168" s="1195"/>
      <c r="B168" s="833"/>
      <c r="C168" s="809"/>
      <c r="D168" s="136" t="s">
        <v>42</v>
      </c>
      <c r="E168" s="142"/>
      <c r="F168" s="143"/>
      <c r="G168" s="445"/>
      <c r="H168" s="445"/>
      <c r="I168" s="445"/>
      <c r="J168" s="445"/>
      <c r="K168" s="445"/>
      <c r="L168" s="445"/>
      <c r="M168" s="445"/>
      <c r="N168" s="448"/>
      <c r="O168" s="445"/>
      <c r="P168" s="445"/>
      <c r="Q168" s="445"/>
      <c r="R168" s="1232"/>
      <c r="S168" s="1237"/>
      <c r="T168" s="446"/>
      <c r="U168" s="446"/>
      <c r="V168" s="446"/>
      <c r="W168" s="446"/>
      <c r="X168" s="446"/>
      <c r="Y168" s="446"/>
      <c r="Z168" s="446"/>
      <c r="AA168" s="448"/>
      <c r="AB168" s="445"/>
      <c r="AC168" s="1225"/>
      <c r="AD168" s="445"/>
      <c r="AE168" s="1232"/>
      <c r="AF168" s="1237"/>
      <c r="AG168" s="1195"/>
      <c r="AH168" s="789"/>
      <c r="AI168" s="789"/>
      <c r="AJ168" s="793"/>
      <c r="AK168" s="789"/>
      <c r="AL168" s="789"/>
      <c r="AM168" s="789"/>
      <c r="AN168" s="791"/>
      <c r="AO168" s="805"/>
      <c r="AP168" s="805"/>
      <c r="AQ168" s="786"/>
      <c r="AR168" s="786"/>
      <c r="AS168" s="786"/>
      <c r="AT168" s="786"/>
      <c r="AU168" s="787"/>
      <c r="AV168" s="787"/>
      <c r="AW168" s="787"/>
      <c r="AX168" s="784"/>
      <c r="AY168" s="1214"/>
    </row>
    <row r="169" spans="1:51" ht="27.75" customHeight="1" x14ac:dyDescent="0.25">
      <c r="A169" s="1195"/>
      <c r="B169" s="833"/>
      <c r="C169" s="809"/>
      <c r="D169" s="132" t="s">
        <v>4</v>
      </c>
      <c r="E169" s="142"/>
      <c r="F169" s="143"/>
      <c r="G169" s="445"/>
      <c r="H169" s="445"/>
      <c r="I169" s="445"/>
      <c r="J169" s="445"/>
      <c r="K169" s="445"/>
      <c r="L169" s="445"/>
      <c r="M169" s="445"/>
      <c r="N169" s="448"/>
      <c r="O169" s="445"/>
      <c r="P169" s="445"/>
      <c r="Q169" s="445"/>
      <c r="R169" s="1232"/>
      <c r="S169" s="1237"/>
      <c r="T169" s="446"/>
      <c r="U169" s="443">
        <v>2428417.875</v>
      </c>
      <c r="V169" s="446"/>
      <c r="W169" s="446"/>
      <c r="X169" s="446"/>
      <c r="Y169" s="446"/>
      <c r="Z169" s="446"/>
      <c r="AA169" s="448"/>
      <c r="AB169" s="445"/>
      <c r="AC169" s="1225"/>
      <c r="AD169" s="445"/>
      <c r="AE169" s="1232"/>
      <c r="AF169" s="1237"/>
      <c r="AG169" s="1195"/>
      <c r="AH169" s="789"/>
      <c r="AI169" s="789"/>
      <c r="AJ169" s="793"/>
      <c r="AK169" s="789"/>
      <c r="AL169" s="789"/>
      <c r="AM169" s="789"/>
      <c r="AN169" s="791"/>
      <c r="AO169" s="805"/>
      <c r="AP169" s="805"/>
      <c r="AQ169" s="786"/>
      <c r="AR169" s="786"/>
      <c r="AS169" s="786"/>
      <c r="AT169" s="786"/>
      <c r="AU169" s="787"/>
      <c r="AV169" s="787"/>
      <c r="AW169" s="787"/>
      <c r="AX169" s="784"/>
      <c r="AY169" s="1214"/>
    </row>
    <row r="170" spans="1:51" ht="27.75" customHeight="1" x14ac:dyDescent="0.25">
      <c r="A170" s="1195"/>
      <c r="B170" s="833"/>
      <c r="C170" s="809"/>
      <c r="D170" s="136" t="s">
        <v>43</v>
      </c>
      <c r="E170" s="142"/>
      <c r="F170" s="143"/>
      <c r="G170" s="445"/>
      <c r="H170" s="445">
        <v>1</v>
      </c>
      <c r="I170" s="445">
        <v>2</v>
      </c>
      <c r="J170" s="445">
        <v>3</v>
      </c>
      <c r="K170" s="445">
        <v>6</v>
      </c>
      <c r="L170" s="445">
        <v>7</v>
      </c>
      <c r="M170" s="445">
        <v>7</v>
      </c>
      <c r="N170" s="448">
        <v>9</v>
      </c>
      <c r="O170" s="445">
        <v>10</v>
      </c>
      <c r="P170" s="445">
        <v>10</v>
      </c>
      <c r="Q170" s="445">
        <v>11</v>
      </c>
      <c r="R170" s="1232">
        <v>11</v>
      </c>
      <c r="S170" s="1237"/>
      <c r="T170" s="446">
        <v>1</v>
      </c>
      <c r="U170" s="446">
        <v>1</v>
      </c>
      <c r="V170" s="446">
        <v>2</v>
      </c>
      <c r="W170" s="446">
        <v>3</v>
      </c>
      <c r="X170" s="446">
        <v>6</v>
      </c>
      <c r="Y170" s="446">
        <v>7</v>
      </c>
      <c r="Z170" s="446">
        <v>7</v>
      </c>
      <c r="AA170" s="448">
        <v>9</v>
      </c>
      <c r="AB170" s="445">
        <v>10</v>
      </c>
      <c r="AC170" s="1225">
        <v>10</v>
      </c>
      <c r="AD170" s="445">
        <v>1</v>
      </c>
      <c r="AE170" s="1232">
        <v>11</v>
      </c>
      <c r="AF170" s="1237"/>
      <c r="AG170" s="1195"/>
      <c r="AH170" s="789"/>
      <c r="AI170" s="789"/>
      <c r="AJ170" s="793"/>
      <c r="AK170" s="789"/>
      <c r="AL170" s="789"/>
      <c r="AM170" s="789"/>
      <c r="AN170" s="791"/>
      <c r="AO170" s="805"/>
      <c r="AP170" s="805"/>
      <c r="AQ170" s="786"/>
      <c r="AR170" s="786"/>
      <c r="AS170" s="786"/>
      <c r="AT170" s="786"/>
      <c r="AU170" s="787"/>
      <c r="AV170" s="787"/>
      <c r="AW170" s="787"/>
      <c r="AX170" s="784"/>
      <c r="AY170" s="1214"/>
    </row>
    <row r="171" spans="1:51" ht="27.75" customHeight="1" thickBot="1" x14ac:dyDescent="0.3">
      <c r="A171" s="1195"/>
      <c r="B171" s="833"/>
      <c r="C171" s="809"/>
      <c r="D171" s="140" t="s">
        <v>45</v>
      </c>
      <c r="E171" s="142"/>
      <c r="F171" s="143"/>
      <c r="G171" s="445"/>
      <c r="H171" s="445">
        <v>2573116.8831168832</v>
      </c>
      <c r="I171" s="445">
        <v>5146233.7662337665</v>
      </c>
      <c r="J171" s="445">
        <v>6737142.8571428573</v>
      </c>
      <c r="K171" s="445">
        <f>+K170*$K$155/$K$154</f>
        <v>13137428.571428571</v>
      </c>
      <c r="L171" s="445">
        <f>+L170*$L$155/$L$154</f>
        <v>15327000</v>
      </c>
      <c r="M171" s="445">
        <f>+M170*$M$155/$M$154</f>
        <v>15327000</v>
      </c>
      <c r="N171" s="445">
        <f>+N170*$N$155/$N$154</f>
        <v>20211428.571428571</v>
      </c>
      <c r="O171" s="445">
        <f>+O170*$O$155/$O$154</f>
        <v>22457142.857142858</v>
      </c>
      <c r="P171" s="445">
        <f>+P170*$P$155/$P$154</f>
        <v>22457142.857142858</v>
      </c>
      <c r="Q171" s="445">
        <f>+Q170*$Q$155/$Q$154</f>
        <v>24702857.142857142</v>
      </c>
      <c r="R171" s="445">
        <f>+R170*$R$155/$R$154</f>
        <v>24386153.846153848</v>
      </c>
      <c r="S171" s="1237"/>
      <c r="T171" s="446"/>
      <c r="U171" s="445">
        <v>11790000</v>
      </c>
      <c r="V171" s="445">
        <v>18733000</v>
      </c>
      <c r="W171" s="445">
        <v>20231640</v>
      </c>
      <c r="X171" s="445">
        <f>+X170*$X$155/$X$154</f>
        <v>31611937.5</v>
      </c>
      <c r="Y171" s="445">
        <f>+Y170*$Y$155/$Y$154</f>
        <v>30261000</v>
      </c>
      <c r="Z171" s="445">
        <f>+Z170*$Z$155/$Z$154</f>
        <v>25656065.217391305</v>
      </c>
      <c r="AA171" s="445">
        <f>+AA170*$N$155/$N$154</f>
        <v>20211428.571428571</v>
      </c>
      <c r="AB171" s="445">
        <f>+AB170*$AB$155/$AB$154</f>
        <v>28099500</v>
      </c>
      <c r="AC171" s="445">
        <f>+AC170*$AC$155/$AC$154</f>
        <v>25163731.343283582</v>
      </c>
      <c r="AD171" s="445">
        <f>+AD170*$AD$155/$AD$154</f>
        <v>2341625</v>
      </c>
      <c r="AE171" s="445">
        <f>+AE170*$AE$155/$AE$154</f>
        <v>24386153.846153848</v>
      </c>
      <c r="AF171" s="1241"/>
      <c r="AG171" s="1196"/>
      <c r="AH171" s="790"/>
      <c r="AI171" s="790"/>
      <c r="AJ171" s="794"/>
      <c r="AK171" s="790"/>
      <c r="AL171" s="790"/>
      <c r="AM171" s="790"/>
      <c r="AN171" s="791"/>
      <c r="AO171" s="805"/>
      <c r="AP171" s="805"/>
      <c r="AQ171" s="786"/>
      <c r="AR171" s="786"/>
      <c r="AS171" s="786"/>
      <c r="AT171" s="786"/>
      <c r="AU171" s="787"/>
      <c r="AV171" s="787"/>
      <c r="AW171" s="787"/>
      <c r="AX171" s="785"/>
      <c r="AY171" s="1214"/>
    </row>
    <row r="172" spans="1:51" ht="18" customHeight="1" x14ac:dyDescent="0.25">
      <c r="A172" s="1195"/>
      <c r="B172" s="833"/>
      <c r="C172" s="809" t="s">
        <v>1304</v>
      </c>
      <c r="D172" s="141" t="s">
        <v>41</v>
      </c>
      <c r="E172" s="142"/>
      <c r="F172" s="143"/>
      <c r="G172" s="445"/>
      <c r="H172" s="445"/>
      <c r="I172" s="445">
        <v>1</v>
      </c>
      <c r="J172" s="445">
        <v>1</v>
      </c>
      <c r="K172" s="445">
        <v>1</v>
      </c>
      <c r="L172" s="445">
        <v>1</v>
      </c>
      <c r="M172" s="445">
        <v>1</v>
      </c>
      <c r="N172" s="448">
        <v>1</v>
      </c>
      <c r="O172" s="445">
        <v>1</v>
      </c>
      <c r="P172" s="445">
        <v>1</v>
      </c>
      <c r="Q172" s="445">
        <v>1</v>
      </c>
      <c r="R172" s="447">
        <v>1</v>
      </c>
      <c r="S172" s="1237"/>
      <c r="T172" s="446"/>
      <c r="U172" s="446"/>
      <c r="V172" s="446">
        <v>1</v>
      </c>
      <c r="W172" s="446">
        <v>1</v>
      </c>
      <c r="X172" s="446">
        <v>1</v>
      </c>
      <c r="Y172" s="446">
        <v>1</v>
      </c>
      <c r="Z172" s="446">
        <v>1</v>
      </c>
      <c r="AA172" s="448">
        <v>1</v>
      </c>
      <c r="AB172" s="445">
        <v>1</v>
      </c>
      <c r="AC172" s="1225">
        <v>1</v>
      </c>
      <c r="AD172" s="445">
        <v>1</v>
      </c>
      <c r="AE172" s="447">
        <v>1</v>
      </c>
      <c r="AF172" s="1236" t="s">
        <v>966</v>
      </c>
      <c r="AG172" s="1194" t="s">
        <v>341</v>
      </c>
      <c r="AH172" s="788" t="s">
        <v>1126</v>
      </c>
      <c r="AI172" s="788" t="s">
        <v>1127</v>
      </c>
      <c r="AJ172" s="792" t="s">
        <v>913</v>
      </c>
      <c r="AK172" s="788" t="s">
        <v>315</v>
      </c>
      <c r="AL172" s="788" t="s">
        <v>70</v>
      </c>
      <c r="AM172" s="788" t="s">
        <v>316</v>
      </c>
      <c r="AN172" s="791">
        <v>22438</v>
      </c>
      <c r="AO172" s="805">
        <v>53075</v>
      </c>
      <c r="AP172" s="805">
        <v>53484</v>
      </c>
      <c r="AQ172" s="786" t="s">
        <v>317</v>
      </c>
      <c r="AR172" s="786" t="s">
        <v>317</v>
      </c>
      <c r="AS172" s="786" t="s">
        <v>317</v>
      </c>
      <c r="AT172" s="786" t="s">
        <v>317</v>
      </c>
      <c r="AU172" s="787" t="s">
        <v>317</v>
      </c>
      <c r="AV172" s="787" t="s">
        <v>317</v>
      </c>
      <c r="AW172" s="787" t="s">
        <v>317</v>
      </c>
      <c r="AX172" s="783">
        <v>22438</v>
      </c>
      <c r="AY172" s="1214"/>
    </row>
    <row r="173" spans="1:51" ht="18" customHeight="1" x14ac:dyDescent="0.25">
      <c r="A173" s="1195"/>
      <c r="B173" s="833"/>
      <c r="C173" s="809"/>
      <c r="D173" s="132" t="s">
        <v>3</v>
      </c>
      <c r="E173" s="142"/>
      <c r="F173" s="143"/>
      <c r="G173" s="445"/>
      <c r="H173" s="445"/>
      <c r="I173" s="445">
        <v>2573116.8831168832</v>
      </c>
      <c r="J173" s="445">
        <v>2245714.2857142859</v>
      </c>
      <c r="K173" s="445">
        <f>+K172*$K$155/$K$154</f>
        <v>2189571.4285714286</v>
      </c>
      <c r="L173" s="445">
        <f>+L172*$L$155/$L$154</f>
        <v>2189571.4285714286</v>
      </c>
      <c r="M173" s="445">
        <f>+M172*$M$155/$M$154</f>
        <v>2189571.4285714286</v>
      </c>
      <c r="N173" s="445">
        <f>+N172*$N$155/$N$154</f>
        <v>2245714.2857142859</v>
      </c>
      <c r="O173" s="445">
        <f>+O172*$O$155/$O$154</f>
        <v>2245714.2857142859</v>
      </c>
      <c r="P173" s="445">
        <f>+P172*$P$155/$P$154</f>
        <v>2245714.2857142859</v>
      </c>
      <c r="Q173" s="445">
        <f>+Q172*$Q$155/$Q$154</f>
        <v>2245714.2857142859</v>
      </c>
      <c r="R173" s="445">
        <f>+R172*$R$155/$R$154</f>
        <v>2216923.076923077</v>
      </c>
      <c r="S173" s="1237"/>
      <c r="T173" s="446"/>
      <c r="U173" s="446"/>
      <c r="V173" s="445">
        <v>9366500</v>
      </c>
      <c r="W173" s="445">
        <v>6743880</v>
      </c>
      <c r="X173" s="445">
        <f>+X172*$X$155/$X$154</f>
        <v>5268656.25</v>
      </c>
      <c r="Y173" s="445">
        <f>+Y172*$Y$155/$Y$154</f>
        <v>4323000</v>
      </c>
      <c r="Z173" s="445">
        <f>+Z172*$Z$155/$Z$154</f>
        <v>3665152.1739130435</v>
      </c>
      <c r="AA173" s="445">
        <f>+AA172*$N$155/$N$154</f>
        <v>2245714.2857142859</v>
      </c>
      <c r="AB173" s="445">
        <f>+AB172*$AB$155/$AB$154</f>
        <v>2809950</v>
      </c>
      <c r="AC173" s="445">
        <f>+AC172*$AC$155/$AC$154</f>
        <v>2516373.1343283583</v>
      </c>
      <c r="AD173" s="445">
        <f>+AD172*$AD$155/$AD$154</f>
        <v>2341625</v>
      </c>
      <c r="AE173" s="445">
        <f>+AE172*$AE$155/$AE$154</f>
        <v>2216923.076923077</v>
      </c>
      <c r="AF173" s="1239"/>
      <c r="AG173" s="1195"/>
      <c r="AH173" s="789"/>
      <c r="AI173" s="789"/>
      <c r="AJ173" s="793"/>
      <c r="AK173" s="789"/>
      <c r="AL173" s="789"/>
      <c r="AM173" s="789"/>
      <c r="AN173" s="791"/>
      <c r="AO173" s="805"/>
      <c r="AP173" s="805"/>
      <c r="AQ173" s="786"/>
      <c r="AR173" s="786"/>
      <c r="AS173" s="786"/>
      <c r="AT173" s="786"/>
      <c r="AU173" s="787"/>
      <c r="AV173" s="787"/>
      <c r="AW173" s="787"/>
      <c r="AX173" s="784"/>
      <c r="AY173" s="1214"/>
    </row>
    <row r="174" spans="1:51" ht="18" customHeight="1" x14ac:dyDescent="0.25">
      <c r="A174" s="1195"/>
      <c r="B174" s="833"/>
      <c r="C174" s="809"/>
      <c r="D174" s="136" t="s">
        <v>42</v>
      </c>
      <c r="E174" s="142"/>
      <c r="F174" s="143"/>
      <c r="G174" s="445"/>
      <c r="H174" s="445"/>
      <c r="I174" s="445"/>
      <c r="J174" s="445"/>
      <c r="K174" s="445"/>
      <c r="L174" s="445"/>
      <c r="M174" s="445"/>
      <c r="N174" s="448"/>
      <c r="O174" s="445"/>
      <c r="P174" s="445"/>
      <c r="Q174" s="445"/>
      <c r="R174" s="447"/>
      <c r="S174" s="1237"/>
      <c r="T174" s="446"/>
      <c r="U174" s="446"/>
      <c r="V174" s="446"/>
      <c r="W174" s="446"/>
      <c r="X174" s="446"/>
      <c r="Y174" s="446"/>
      <c r="Z174" s="446"/>
      <c r="AA174" s="448"/>
      <c r="AB174" s="445"/>
      <c r="AC174" s="1225"/>
      <c r="AD174" s="445"/>
      <c r="AE174" s="447"/>
      <c r="AF174" s="1239"/>
      <c r="AG174" s="1195"/>
      <c r="AH174" s="789"/>
      <c r="AI174" s="789"/>
      <c r="AJ174" s="793"/>
      <c r="AK174" s="789"/>
      <c r="AL174" s="789"/>
      <c r="AM174" s="789"/>
      <c r="AN174" s="791"/>
      <c r="AO174" s="805"/>
      <c r="AP174" s="805"/>
      <c r="AQ174" s="786"/>
      <c r="AR174" s="786"/>
      <c r="AS174" s="786"/>
      <c r="AT174" s="786"/>
      <c r="AU174" s="787"/>
      <c r="AV174" s="787"/>
      <c r="AW174" s="787"/>
      <c r="AX174" s="784"/>
      <c r="AY174" s="1214"/>
    </row>
    <row r="175" spans="1:51" ht="27" customHeight="1" x14ac:dyDescent="0.25">
      <c r="A175" s="1195"/>
      <c r="B175" s="833"/>
      <c r="C175" s="809"/>
      <c r="D175" s="132" t="s">
        <v>4</v>
      </c>
      <c r="E175" s="142"/>
      <c r="F175" s="143"/>
      <c r="G175" s="445"/>
      <c r="H175" s="445"/>
      <c r="I175" s="445"/>
      <c r="J175" s="445"/>
      <c r="K175" s="445"/>
      <c r="L175" s="445"/>
      <c r="M175" s="445"/>
      <c r="N175" s="448"/>
      <c r="O175" s="445"/>
      <c r="P175" s="445"/>
      <c r="Q175" s="445"/>
      <c r="R175" s="447"/>
      <c r="S175" s="1237"/>
      <c r="T175" s="446"/>
      <c r="U175" s="446"/>
      <c r="V175" s="446"/>
      <c r="W175" s="446"/>
      <c r="X175" s="446"/>
      <c r="Y175" s="446"/>
      <c r="Z175" s="446"/>
      <c r="AA175" s="448"/>
      <c r="AB175" s="445"/>
      <c r="AC175" s="1225"/>
      <c r="AD175" s="445"/>
      <c r="AE175" s="447"/>
      <c r="AF175" s="1239"/>
      <c r="AG175" s="1195"/>
      <c r="AH175" s="789"/>
      <c r="AI175" s="789"/>
      <c r="AJ175" s="793"/>
      <c r="AK175" s="789"/>
      <c r="AL175" s="789"/>
      <c r="AM175" s="789"/>
      <c r="AN175" s="791"/>
      <c r="AO175" s="805"/>
      <c r="AP175" s="805"/>
      <c r="AQ175" s="786"/>
      <c r="AR175" s="786"/>
      <c r="AS175" s="786"/>
      <c r="AT175" s="786"/>
      <c r="AU175" s="787"/>
      <c r="AV175" s="787"/>
      <c r="AW175" s="787"/>
      <c r="AX175" s="784"/>
      <c r="AY175" s="1214"/>
    </row>
    <row r="176" spans="1:51" ht="27" customHeight="1" x14ac:dyDescent="0.25">
      <c r="A176" s="1195"/>
      <c r="B176" s="833"/>
      <c r="C176" s="809"/>
      <c r="D176" s="136" t="s">
        <v>43</v>
      </c>
      <c r="E176" s="142"/>
      <c r="F176" s="143"/>
      <c r="G176" s="445"/>
      <c r="H176" s="445"/>
      <c r="I176" s="445">
        <v>1</v>
      </c>
      <c r="J176" s="445">
        <v>1</v>
      </c>
      <c r="K176" s="445">
        <v>1</v>
      </c>
      <c r="L176" s="445">
        <v>1</v>
      </c>
      <c r="M176" s="445">
        <v>1</v>
      </c>
      <c r="N176" s="448">
        <v>1</v>
      </c>
      <c r="O176" s="445">
        <v>1</v>
      </c>
      <c r="P176" s="445">
        <v>1</v>
      </c>
      <c r="Q176" s="445">
        <v>1</v>
      </c>
      <c r="R176" s="447">
        <v>1</v>
      </c>
      <c r="S176" s="1237"/>
      <c r="T176" s="446"/>
      <c r="U176" s="446"/>
      <c r="V176" s="446">
        <v>1</v>
      </c>
      <c r="W176" s="446">
        <v>1</v>
      </c>
      <c r="X176" s="446">
        <v>1</v>
      </c>
      <c r="Y176" s="446">
        <v>1</v>
      </c>
      <c r="Z176" s="446">
        <v>1</v>
      </c>
      <c r="AA176" s="448">
        <v>1</v>
      </c>
      <c r="AB176" s="445">
        <v>1</v>
      </c>
      <c r="AC176" s="1225">
        <v>1</v>
      </c>
      <c r="AD176" s="445">
        <v>1</v>
      </c>
      <c r="AE176" s="447">
        <v>1</v>
      </c>
      <c r="AF176" s="1239"/>
      <c r="AG176" s="1195"/>
      <c r="AH176" s="789"/>
      <c r="AI176" s="789"/>
      <c r="AJ176" s="793"/>
      <c r="AK176" s="789"/>
      <c r="AL176" s="789"/>
      <c r="AM176" s="789"/>
      <c r="AN176" s="791"/>
      <c r="AO176" s="805"/>
      <c r="AP176" s="805"/>
      <c r="AQ176" s="786"/>
      <c r="AR176" s="786"/>
      <c r="AS176" s="786"/>
      <c r="AT176" s="786"/>
      <c r="AU176" s="787"/>
      <c r="AV176" s="787"/>
      <c r="AW176" s="787"/>
      <c r="AX176" s="784"/>
      <c r="AY176" s="1214"/>
    </row>
    <row r="177" spans="1:51" ht="27.75" customHeight="1" thickBot="1" x14ac:dyDescent="0.3">
      <c r="A177" s="1195"/>
      <c r="B177" s="833"/>
      <c r="C177" s="809"/>
      <c r="D177" s="140" t="s">
        <v>45</v>
      </c>
      <c r="E177" s="142"/>
      <c r="F177" s="143"/>
      <c r="G177" s="445"/>
      <c r="H177" s="445"/>
      <c r="I177" s="445">
        <v>2573116.8831168832</v>
      </c>
      <c r="J177" s="445">
        <v>2245714.2857142859</v>
      </c>
      <c r="K177" s="445">
        <f>+K176*$K$155/$K$154</f>
        <v>2189571.4285714286</v>
      </c>
      <c r="L177" s="445">
        <f>+L176*$L$155/$L$154</f>
        <v>2189571.4285714286</v>
      </c>
      <c r="M177" s="445">
        <f>+M176*$M$155/$M$154</f>
        <v>2189571.4285714286</v>
      </c>
      <c r="N177" s="445">
        <f>+N176*$N$155/$N$154</f>
        <v>2245714.2857142859</v>
      </c>
      <c r="O177" s="445">
        <f>+O176*$O$155/$O$154</f>
        <v>2245714.2857142859</v>
      </c>
      <c r="P177" s="445">
        <f>+P176*$P$155/$P$154</f>
        <v>2245714.2857142859</v>
      </c>
      <c r="Q177" s="445">
        <f>+Q176*$Q$155/$Q$154</f>
        <v>2245714.2857142859</v>
      </c>
      <c r="R177" s="445">
        <f>+R176*$R$155/$R$154</f>
        <v>2216923.076923077</v>
      </c>
      <c r="S177" s="1237"/>
      <c r="T177" s="446"/>
      <c r="U177" s="446"/>
      <c r="V177" s="446"/>
      <c r="W177" s="445">
        <v>6743880</v>
      </c>
      <c r="X177" s="445">
        <f>+X176*$X$155/$X$154</f>
        <v>5268656.25</v>
      </c>
      <c r="Y177" s="445">
        <f>+Y176*$Y$155/$Y$154</f>
        <v>4323000</v>
      </c>
      <c r="Z177" s="445">
        <f>+Z176*$Z$155/$Z$154</f>
        <v>3665152.1739130435</v>
      </c>
      <c r="AA177" s="445">
        <f>+AA176*$N$155/$N$154</f>
        <v>2245714.2857142859</v>
      </c>
      <c r="AB177" s="445">
        <f>+AB176*$AB$155/$AB$154</f>
        <v>2809950</v>
      </c>
      <c r="AC177" s="445">
        <f>+AC176*$AC$155/$AC$154</f>
        <v>2516373.1343283583</v>
      </c>
      <c r="AD177" s="445">
        <f>+AD176*$AD$155/$AD$154</f>
        <v>2341625</v>
      </c>
      <c r="AE177" s="445">
        <f>+AE176*$AE$155/$AE$154</f>
        <v>2216923.076923077</v>
      </c>
      <c r="AF177" s="1239"/>
      <c r="AG177" s="1196"/>
      <c r="AH177" s="790"/>
      <c r="AI177" s="790"/>
      <c r="AJ177" s="794"/>
      <c r="AK177" s="790"/>
      <c r="AL177" s="790"/>
      <c r="AM177" s="790"/>
      <c r="AN177" s="791"/>
      <c r="AO177" s="805"/>
      <c r="AP177" s="805"/>
      <c r="AQ177" s="786"/>
      <c r="AR177" s="786"/>
      <c r="AS177" s="786"/>
      <c r="AT177" s="786"/>
      <c r="AU177" s="787"/>
      <c r="AV177" s="787"/>
      <c r="AW177" s="787"/>
      <c r="AX177" s="785"/>
      <c r="AY177" s="1214"/>
    </row>
    <row r="178" spans="1:51" ht="18" hidden="1" customHeight="1" x14ac:dyDescent="0.25">
      <c r="A178" s="1195"/>
      <c r="B178" s="833"/>
      <c r="C178" s="809" t="s">
        <v>345</v>
      </c>
      <c r="D178" s="141" t="s">
        <v>41</v>
      </c>
      <c r="E178" s="142"/>
      <c r="F178" s="143"/>
      <c r="G178" s="445"/>
      <c r="H178" s="445"/>
      <c r="I178" s="445"/>
      <c r="J178" s="445"/>
      <c r="K178" s="445"/>
      <c r="L178" s="445"/>
      <c r="M178" s="445"/>
      <c r="N178" s="448"/>
      <c r="O178" s="445"/>
      <c r="P178" s="445"/>
      <c r="Q178" s="445"/>
      <c r="R178" s="447"/>
      <c r="S178" s="1237"/>
      <c r="T178" s="446"/>
      <c r="U178" s="446"/>
      <c r="V178" s="446"/>
      <c r="W178" s="446"/>
      <c r="X178" s="446"/>
      <c r="Y178" s="446"/>
      <c r="Z178" s="446"/>
      <c r="AA178" s="448"/>
      <c r="AB178" s="445"/>
      <c r="AC178" s="1225"/>
      <c r="AD178" s="445"/>
      <c r="AE178" s="447"/>
      <c r="AF178" s="1242"/>
      <c r="AG178" s="1194" t="s">
        <v>345</v>
      </c>
      <c r="AH178" s="788" t="s">
        <v>350</v>
      </c>
      <c r="AI178" s="788" t="s">
        <v>350</v>
      </c>
      <c r="AJ178" s="792" t="s">
        <v>913</v>
      </c>
      <c r="AK178" s="788" t="s">
        <v>315</v>
      </c>
      <c r="AL178" s="788" t="s">
        <v>70</v>
      </c>
      <c r="AM178" s="788" t="s">
        <v>316</v>
      </c>
      <c r="AN178" s="791">
        <v>392220</v>
      </c>
      <c r="AO178" s="805">
        <v>194318</v>
      </c>
      <c r="AP178" s="805">
        <v>207625</v>
      </c>
      <c r="AQ178" s="786" t="s">
        <v>317</v>
      </c>
      <c r="AR178" s="786" t="s">
        <v>317</v>
      </c>
      <c r="AS178" s="786" t="s">
        <v>317</v>
      </c>
      <c r="AT178" s="786" t="s">
        <v>317</v>
      </c>
      <c r="AU178" s="787" t="s">
        <v>317</v>
      </c>
      <c r="AV178" s="787" t="s">
        <v>317</v>
      </c>
      <c r="AW178" s="787" t="s">
        <v>317</v>
      </c>
      <c r="AX178" s="783">
        <v>392220</v>
      </c>
      <c r="AY178" s="1214"/>
    </row>
    <row r="179" spans="1:51" ht="18.75" hidden="1" customHeight="1" x14ac:dyDescent="0.25">
      <c r="A179" s="1195"/>
      <c r="B179" s="833"/>
      <c r="C179" s="809"/>
      <c r="D179" s="132" t="s">
        <v>3</v>
      </c>
      <c r="E179" s="142"/>
      <c r="F179" s="143"/>
      <c r="G179" s="445"/>
      <c r="H179" s="445"/>
      <c r="I179" s="445"/>
      <c r="J179" s="445"/>
      <c r="K179" s="445"/>
      <c r="L179" s="445"/>
      <c r="M179" s="445"/>
      <c r="N179" s="448"/>
      <c r="O179" s="445"/>
      <c r="P179" s="445"/>
      <c r="Q179" s="445"/>
      <c r="R179" s="447"/>
      <c r="S179" s="1237"/>
      <c r="T179" s="446"/>
      <c r="U179" s="446"/>
      <c r="V179" s="446"/>
      <c r="W179" s="446"/>
      <c r="X179" s="446"/>
      <c r="Y179" s="446"/>
      <c r="Z179" s="446"/>
      <c r="AA179" s="448"/>
      <c r="AB179" s="445"/>
      <c r="AC179" s="1225"/>
      <c r="AD179" s="445"/>
      <c r="AE179" s="447"/>
      <c r="AF179" s="1242"/>
      <c r="AG179" s="1195"/>
      <c r="AH179" s="789"/>
      <c r="AI179" s="789"/>
      <c r="AJ179" s="793"/>
      <c r="AK179" s="789"/>
      <c r="AL179" s="789"/>
      <c r="AM179" s="789"/>
      <c r="AN179" s="791"/>
      <c r="AO179" s="805"/>
      <c r="AP179" s="805"/>
      <c r="AQ179" s="786"/>
      <c r="AR179" s="786"/>
      <c r="AS179" s="786"/>
      <c r="AT179" s="786"/>
      <c r="AU179" s="787"/>
      <c r="AV179" s="787"/>
      <c r="AW179" s="787"/>
      <c r="AX179" s="784"/>
      <c r="AY179" s="1214"/>
    </row>
    <row r="180" spans="1:51" ht="18" hidden="1" customHeight="1" x14ac:dyDescent="0.25">
      <c r="A180" s="1195"/>
      <c r="B180" s="833"/>
      <c r="C180" s="809"/>
      <c r="D180" s="136" t="s">
        <v>42</v>
      </c>
      <c r="E180" s="142"/>
      <c r="F180" s="143"/>
      <c r="G180" s="445"/>
      <c r="H180" s="445"/>
      <c r="I180" s="445"/>
      <c r="J180" s="445"/>
      <c r="K180" s="445"/>
      <c r="L180" s="445"/>
      <c r="M180" s="445"/>
      <c r="N180" s="448"/>
      <c r="O180" s="445"/>
      <c r="P180" s="445"/>
      <c r="Q180" s="445"/>
      <c r="R180" s="447"/>
      <c r="S180" s="1237"/>
      <c r="T180" s="446"/>
      <c r="U180" s="446"/>
      <c r="V180" s="446"/>
      <c r="W180" s="446"/>
      <c r="X180" s="446"/>
      <c r="Y180" s="446"/>
      <c r="Z180" s="446"/>
      <c r="AA180" s="448"/>
      <c r="AB180" s="445"/>
      <c r="AC180" s="1225"/>
      <c r="AD180" s="445"/>
      <c r="AE180" s="447"/>
      <c r="AF180" s="1242"/>
      <c r="AG180" s="1195"/>
      <c r="AH180" s="789"/>
      <c r="AI180" s="789"/>
      <c r="AJ180" s="793"/>
      <c r="AK180" s="789"/>
      <c r="AL180" s="789"/>
      <c r="AM180" s="789"/>
      <c r="AN180" s="791"/>
      <c r="AO180" s="805"/>
      <c r="AP180" s="805"/>
      <c r="AQ180" s="786"/>
      <c r="AR180" s="786"/>
      <c r="AS180" s="786"/>
      <c r="AT180" s="786"/>
      <c r="AU180" s="787"/>
      <c r="AV180" s="787"/>
      <c r="AW180" s="787"/>
      <c r="AX180" s="784"/>
      <c r="AY180" s="1214"/>
    </row>
    <row r="181" spans="1:51" ht="27.75" hidden="1" customHeight="1" x14ac:dyDescent="0.25">
      <c r="A181" s="1195"/>
      <c r="B181" s="833"/>
      <c r="C181" s="809"/>
      <c r="D181" s="132" t="s">
        <v>4</v>
      </c>
      <c r="E181" s="142"/>
      <c r="F181" s="143"/>
      <c r="G181" s="445"/>
      <c r="H181" s="445"/>
      <c r="I181" s="445"/>
      <c r="J181" s="445"/>
      <c r="K181" s="445"/>
      <c r="L181" s="445"/>
      <c r="M181" s="445"/>
      <c r="N181" s="448"/>
      <c r="O181" s="445"/>
      <c r="P181" s="445"/>
      <c r="Q181" s="445"/>
      <c r="R181" s="447"/>
      <c r="S181" s="1237"/>
      <c r="T181" s="446"/>
      <c r="U181" s="446"/>
      <c r="V181" s="446"/>
      <c r="W181" s="446"/>
      <c r="X181" s="446"/>
      <c r="Y181" s="446"/>
      <c r="Z181" s="446"/>
      <c r="AA181" s="448"/>
      <c r="AB181" s="445"/>
      <c r="AC181" s="1225"/>
      <c r="AD181" s="445"/>
      <c r="AE181" s="447"/>
      <c r="AF181" s="1242"/>
      <c r="AG181" s="1195"/>
      <c r="AH181" s="789"/>
      <c r="AI181" s="789"/>
      <c r="AJ181" s="793"/>
      <c r="AK181" s="789"/>
      <c r="AL181" s="789"/>
      <c r="AM181" s="789"/>
      <c r="AN181" s="791"/>
      <c r="AO181" s="805"/>
      <c r="AP181" s="805"/>
      <c r="AQ181" s="786"/>
      <c r="AR181" s="786"/>
      <c r="AS181" s="786"/>
      <c r="AT181" s="786"/>
      <c r="AU181" s="787"/>
      <c r="AV181" s="787"/>
      <c r="AW181" s="787"/>
      <c r="AX181" s="784"/>
      <c r="AY181" s="1214"/>
    </row>
    <row r="182" spans="1:51" ht="27.75" hidden="1" customHeight="1" x14ac:dyDescent="0.25">
      <c r="A182" s="1195"/>
      <c r="B182" s="833"/>
      <c r="C182" s="809"/>
      <c r="D182" s="136" t="s">
        <v>43</v>
      </c>
      <c r="E182" s="142"/>
      <c r="F182" s="143"/>
      <c r="G182" s="445"/>
      <c r="H182" s="445"/>
      <c r="I182" s="445"/>
      <c r="J182" s="445"/>
      <c r="K182" s="445"/>
      <c r="L182" s="445"/>
      <c r="M182" s="445"/>
      <c r="N182" s="448"/>
      <c r="O182" s="445"/>
      <c r="P182" s="445"/>
      <c r="Q182" s="445"/>
      <c r="R182" s="447"/>
      <c r="S182" s="1237"/>
      <c r="T182" s="446"/>
      <c r="U182" s="446"/>
      <c r="V182" s="446"/>
      <c r="W182" s="446"/>
      <c r="X182" s="446"/>
      <c r="Y182" s="446"/>
      <c r="Z182" s="446"/>
      <c r="AA182" s="448"/>
      <c r="AB182" s="445"/>
      <c r="AC182" s="1225"/>
      <c r="AD182" s="445"/>
      <c r="AE182" s="447"/>
      <c r="AF182" s="1242"/>
      <c r="AG182" s="1195"/>
      <c r="AH182" s="789"/>
      <c r="AI182" s="789"/>
      <c r="AJ182" s="793"/>
      <c r="AK182" s="789"/>
      <c r="AL182" s="789"/>
      <c r="AM182" s="789"/>
      <c r="AN182" s="791"/>
      <c r="AO182" s="805"/>
      <c r="AP182" s="805"/>
      <c r="AQ182" s="786"/>
      <c r="AR182" s="786"/>
      <c r="AS182" s="786"/>
      <c r="AT182" s="786"/>
      <c r="AU182" s="787"/>
      <c r="AV182" s="787"/>
      <c r="AW182" s="787"/>
      <c r="AX182" s="784"/>
      <c r="AY182" s="1214"/>
    </row>
    <row r="183" spans="1:51" ht="27.75" hidden="1" customHeight="1" thickBot="1" x14ac:dyDescent="0.3">
      <c r="A183" s="1195"/>
      <c r="B183" s="833"/>
      <c r="C183" s="809"/>
      <c r="D183" s="140" t="s">
        <v>45</v>
      </c>
      <c r="E183" s="142"/>
      <c r="F183" s="143"/>
      <c r="G183" s="445"/>
      <c r="H183" s="445"/>
      <c r="I183" s="445"/>
      <c r="J183" s="445"/>
      <c r="K183" s="445"/>
      <c r="L183" s="445"/>
      <c r="M183" s="445"/>
      <c r="N183" s="448"/>
      <c r="O183" s="445"/>
      <c r="P183" s="445"/>
      <c r="Q183" s="445"/>
      <c r="R183" s="447"/>
      <c r="S183" s="1237"/>
      <c r="T183" s="446"/>
      <c r="U183" s="446"/>
      <c r="V183" s="446"/>
      <c r="W183" s="446"/>
      <c r="X183" s="446"/>
      <c r="Y183" s="446"/>
      <c r="Z183" s="446"/>
      <c r="AA183" s="448"/>
      <c r="AB183" s="445"/>
      <c r="AC183" s="1225"/>
      <c r="AD183" s="445"/>
      <c r="AE183" s="447"/>
      <c r="AF183" s="1242"/>
      <c r="AG183" s="1196"/>
      <c r="AH183" s="790"/>
      <c r="AI183" s="790"/>
      <c r="AJ183" s="794"/>
      <c r="AK183" s="790"/>
      <c r="AL183" s="790"/>
      <c r="AM183" s="790"/>
      <c r="AN183" s="791"/>
      <c r="AO183" s="805"/>
      <c r="AP183" s="805"/>
      <c r="AQ183" s="786"/>
      <c r="AR183" s="786"/>
      <c r="AS183" s="786"/>
      <c r="AT183" s="786"/>
      <c r="AU183" s="787"/>
      <c r="AV183" s="787"/>
      <c r="AW183" s="787"/>
      <c r="AX183" s="785"/>
      <c r="AY183" s="1214"/>
    </row>
    <row r="184" spans="1:51" ht="18" customHeight="1" x14ac:dyDescent="0.25">
      <c r="A184" s="1195"/>
      <c r="B184" s="833"/>
      <c r="C184" s="809" t="s">
        <v>1306</v>
      </c>
      <c r="D184" s="141" t="s">
        <v>41</v>
      </c>
      <c r="E184" s="142"/>
      <c r="F184" s="143"/>
      <c r="G184" s="445"/>
      <c r="H184" s="445"/>
      <c r="I184" s="445"/>
      <c r="J184" s="445"/>
      <c r="K184" s="445"/>
      <c r="L184" s="445"/>
      <c r="M184" s="445"/>
      <c r="N184" s="448"/>
      <c r="O184" s="445"/>
      <c r="P184" s="445"/>
      <c r="Q184" s="445"/>
      <c r="R184" s="447">
        <v>1</v>
      </c>
      <c r="S184" s="1237"/>
      <c r="T184" s="446"/>
      <c r="U184" s="446"/>
      <c r="V184" s="446"/>
      <c r="W184" s="446"/>
      <c r="X184" s="446"/>
      <c r="Y184" s="446"/>
      <c r="Z184" s="446"/>
      <c r="AA184" s="448"/>
      <c r="AB184" s="445"/>
      <c r="AC184" s="1225"/>
      <c r="AD184" s="445"/>
      <c r="AE184" s="447">
        <v>1</v>
      </c>
      <c r="AF184" s="1239" t="s">
        <v>1087</v>
      </c>
      <c r="AG184" s="1194" t="s">
        <v>324</v>
      </c>
      <c r="AH184" s="788" t="s">
        <v>1137</v>
      </c>
      <c r="AI184" s="788" t="s">
        <v>1136</v>
      </c>
      <c r="AJ184" s="792" t="s">
        <v>913</v>
      </c>
      <c r="AK184" s="788" t="s">
        <v>315</v>
      </c>
      <c r="AL184" s="788" t="s">
        <v>1138</v>
      </c>
      <c r="AM184" s="788" t="s">
        <v>316</v>
      </c>
      <c r="AN184" s="791">
        <v>22438</v>
      </c>
      <c r="AO184" s="805">
        <v>181364</v>
      </c>
      <c r="AP184" s="805">
        <v>191238</v>
      </c>
      <c r="AQ184" s="786" t="s">
        <v>317</v>
      </c>
      <c r="AR184" s="786" t="s">
        <v>317</v>
      </c>
      <c r="AS184" s="786" t="s">
        <v>317</v>
      </c>
      <c r="AT184" s="786" t="s">
        <v>317</v>
      </c>
      <c r="AU184" s="787" t="s">
        <v>317</v>
      </c>
      <c r="AV184" s="787" t="s">
        <v>317</v>
      </c>
      <c r="AW184" s="787" t="s">
        <v>317</v>
      </c>
      <c r="AX184" s="783">
        <v>22438</v>
      </c>
      <c r="AY184" s="1214"/>
    </row>
    <row r="185" spans="1:51" ht="18.75" customHeight="1" x14ac:dyDescent="0.25">
      <c r="A185" s="1195"/>
      <c r="B185" s="833"/>
      <c r="C185" s="809"/>
      <c r="D185" s="132" t="s">
        <v>3</v>
      </c>
      <c r="E185" s="142"/>
      <c r="F185" s="143"/>
      <c r="G185" s="445"/>
      <c r="H185" s="445"/>
      <c r="I185" s="445"/>
      <c r="J185" s="445"/>
      <c r="K185" s="445"/>
      <c r="L185" s="445"/>
      <c r="M185" s="445"/>
      <c r="N185" s="448"/>
      <c r="O185" s="445"/>
      <c r="P185" s="445"/>
      <c r="Q185" s="445"/>
      <c r="R185" s="445">
        <f>+R184*$R$155/$R$154</f>
        <v>2216923.076923077</v>
      </c>
      <c r="S185" s="1237"/>
      <c r="T185" s="446"/>
      <c r="U185" s="446"/>
      <c r="V185" s="446"/>
      <c r="W185" s="446"/>
      <c r="X185" s="446"/>
      <c r="Y185" s="446"/>
      <c r="Z185" s="446"/>
      <c r="AA185" s="448"/>
      <c r="AB185" s="445"/>
      <c r="AC185" s="1225"/>
      <c r="AD185" s="445"/>
      <c r="AE185" s="445">
        <f>+AE184*$AE$155/$AE$154</f>
        <v>2216923.076923077</v>
      </c>
      <c r="AF185" s="1239"/>
      <c r="AG185" s="1195"/>
      <c r="AH185" s="789"/>
      <c r="AI185" s="789"/>
      <c r="AJ185" s="793"/>
      <c r="AK185" s="789"/>
      <c r="AL185" s="789"/>
      <c r="AM185" s="789"/>
      <c r="AN185" s="791"/>
      <c r="AO185" s="805"/>
      <c r="AP185" s="805"/>
      <c r="AQ185" s="786"/>
      <c r="AR185" s="786"/>
      <c r="AS185" s="786"/>
      <c r="AT185" s="786"/>
      <c r="AU185" s="787"/>
      <c r="AV185" s="787"/>
      <c r="AW185" s="787"/>
      <c r="AX185" s="784"/>
      <c r="AY185" s="1214"/>
    </row>
    <row r="186" spans="1:51" ht="18" customHeight="1" x14ac:dyDescent="0.25">
      <c r="A186" s="1195"/>
      <c r="B186" s="833"/>
      <c r="C186" s="809"/>
      <c r="D186" s="136" t="s">
        <v>42</v>
      </c>
      <c r="E186" s="142"/>
      <c r="F186" s="143"/>
      <c r="G186" s="445"/>
      <c r="H186" s="445"/>
      <c r="I186" s="445"/>
      <c r="J186" s="445"/>
      <c r="K186" s="445"/>
      <c r="L186" s="445"/>
      <c r="M186" s="445"/>
      <c r="N186" s="448"/>
      <c r="O186" s="445"/>
      <c r="P186" s="445"/>
      <c r="Q186" s="445"/>
      <c r="R186" s="447"/>
      <c r="S186" s="1237"/>
      <c r="T186" s="446"/>
      <c r="U186" s="446"/>
      <c r="V186" s="446"/>
      <c r="W186" s="446"/>
      <c r="X186" s="446"/>
      <c r="Y186" s="446"/>
      <c r="Z186" s="446"/>
      <c r="AA186" s="448"/>
      <c r="AB186" s="445"/>
      <c r="AC186" s="1225"/>
      <c r="AD186" s="445"/>
      <c r="AE186" s="447"/>
      <c r="AF186" s="1239"/>
      <c r="AG186" s="1195"/>
      <c r="AH186" s="789"/>
      <c r="AI186" s="789"/>
      <c r="AJ186" s="793"/>
      <c r="AK186" s="789"/>
      <c r="AL186" s="789"/>
      <c r="AM186" s="789"/>
      <c r="AN186" s="791"/>
      <c r="AO186" s="805"/>
      <c r="AP186" s="805"/>
      <c r="AQ186" s="786"/>
      <c r="AR186" s="786"/>
      <c r="AS186" s="786"/>
      <c r="AT186" s="786"/>
      <c r="AU186" s="787"/>
      <c r="AV186" s="787"/>
      <c r="AW186" s="787"/>
      <c r="AX186" s="784"/>
      <c r="AY186" s="1214"/>
    </row>
    <row r="187" spans="1:51" ht="27.75" customHeight="1" x14ac:dyDescent="0.25">
      <c r="A187" s="1195"/>
      <c r="B187" s="833"/>
      <c r="C187" s="809"/>
      <c r="D187" s="132" t="s">
        <v>4</v>
      </c>
      <c r="E187" s="142"/>
      <c r="F187" s="143"/>
      <c r="G187" s="445"/>
      <c r="H187" s="445"/>
      <c r="I187" s="445"/>
      <c r="J187" s="445"/>
      <c r="K187" s="445"/>
      <c r="L187" s="445"/>
      <c r="M187" s="445"/>
      <c r="N187" s="448"/>
      <c r="O187" s="445"/>
      <c r="P187" s="445"/>
      <c r="Q187" s="445"/>
      <c r="R187" s="447"/>
      <c r="S187" s="1237"/>
      <c r="T187" s="446"/>
      <c r="U187" s="446"/>
      <c r="V187" s="446"/>
      <c r="W187" s="446"/>
      <c r="X187" s="446"/>
      <c r="Y187" s="446"/>
      <c r="Z187" s="446"/>
      <c r="AA187" s="448"/>
      <c r="AB187" s="445"/>
      <c r="AC187" s="1225"/>
      <c r="AD187" s="445"/>
      <c r="AE187" s="447"/>
      <c r="AF187" s="1239"/>
      <c r="AG187" s="1195"/>
      <c r="AH187" s="789"/>
      <c r="AI187" s="789"/>
      <c r="AJ187" s="793"/>
      <c r="AK187" s="789"/>
      <c r="AL187" s="789"/>
      <c r="AM187" s="789"/>
      <c r="AN187" s="791"/>
      <c r="AO187" s="805"/>
      <c r="AP187" s="805"/>
      <c r="AQ187" s="786"/>
      <c r="AR187" s="786"/>
      <c r="AS187" s="786"/>
      <c r="AT187" s="786"/>
      <c r="AU187" s="787"/>
      <c r="AV187" s="787"/>
      <c r="AW187" s="787"/>
      <c r="AX187" s="784"/>
      <c r="AY187" s="1214"/>
    </row>
    <row r="188" spans="1:51" ht="27.75" customHeight="1" x14ac:dyDescent="0.25">
      <c r="A188" s="1195"/>
      <c r="B188" s="833"/>
      <c r="C188" s="809"/>
      <c r="D188" s="136" t="s">
        <v>43</v>
      </c>
      <c r="E188" s="142"/>
      <c r="F188" s="143"/>
      <c r="G188" s="445"/>
      <c r="H188" s="445"/>
      <c r="I188" s="445"/>
      <c r="J188" s="445"/>
      <c r="K188" s="445"/>
      <c r="L188" s="445"/>
      <c r="M188" s="445"/>
      <c r="N188" s="448"/>
      <c r="O188" s="445"/>
      <c r="P188" s="445"/>
      <c r="Q188" s="445"/>
      <c r="R188" s="447">
        <v>1</v>
      </c>
      <c r="S188" s="1237"/>
      <c r="T188" s="446"/>
      <c r="U188" s="446"/>
      <c r="V188" s="446"/>
      <c r="W188" s="446"/>
      <c r="X188" s="446"/>
      <c r="Y188" s="446"/>
      <c r="Z188" s="446"/>
      <c r="AA188" s="448"/>
      <c r="AB188" s="445"/>
      <c r="AC188" s="1225"/>
      <c r="AD188" s="445"/>
      <c r="AE188" s="447">
        <v>1</v>
      </c>
      <c r="AF188" s="1239"/>
      <c r="AG188" s="1195"/>
      <c r="AH188" s="789"/>
      <c r="AI188" s="789"/>
      <c r="AJ188" s="793"/>
      <c r="AK188" s="789"/>
      <c r="AL188" s="789"/>
      <c r="AM188" s="789"/>
      <c r="AN188" s="791"/>
      <c r="AO188" s="805"/>
      <c r="AP188" s="805"/>
      <c r="AQ188" s="786"/>
      <c r="AR188" s="786"/>
      <c r="AS188" s="786"/>
      <c r="AT188" s="786"/>
      <c r="AU188" s="787"/>
      <c r="AV188" s="787"/>
      <c r="AW188" s="787"/>
      <c r="AX188" s="784"/>
      <c r="AY188" s="1214"/>
    </row>
    <row r="189" spans="1:51" ht="27.75" customHeight="1" thickBot="1" x14ac:dyDescent="0.3">
      <c r="A189" s="1195"/>
      <c r="B189" s="833"/>
      <c r="C189" s="809"/>
      <c r="D189" s="140" t="s">
        <v>45</v>
      </c>
      <c r="E189" s="142"/>
      <c r="F189" s="143"/>
      <c r="G189" s="445"/>
      <c r="H189" s="445"/>
      <c r="I189" s="445"/>
      <c r="J189" s="445"/>
      <c r="K189" s="445"/>
      <c r="L189" s="445"/>
      <c r="M189" s="445"/>
      <c r="N189" s="448"/>
      <c r="O189" s="445"/>
      <c r="P189" s="445"/>
      <c r="Q189" s="445"/>
      <c r="R189" s="445">
        <f>+R188*$R$155/$R$154</f>
        <v>2216923.076923077</v>
      </c>
      <c r="S189" s="1237"/>
      <c r="T189" s="446"/>
      <c r="U189" s="446"/>
      <c r="V189" s="446"/>
      <c r="W189" s="446"/>
      <c r="X189" s="446"/>
      <c r="Y189" s="446"/>
      <c r="Z189" s="446"/>
      <c r="AA189" s="448"/>
      <c r="AB189" s="445"/>
      <c r="AC189" s="1225"/>
      <c r="AD189" s="445"/>
      <c r="AE189" s="445">
        <f>+AE188*$AE$155/$AE$154</f>
        <v>2216923.076923077</v>
      </c>
      <c r="AF189" s="1239"/>
      <c r="AG189" s="1196"/>
      <c r="AH189" s="790"/>
      <c r="AI189" s="790"/>
      <c r="AJ189" s="794"/>
      <c r="AK189" s="790"/>
      <c r="AL189" s="790"/>
      <c r="AM189" s="790"/>
      <c r="AN189" s="791"/>
      <c r="AO189" s="805"/>
      <c r="AP189" s="805"/>
      <c r="AQ189" s="786"/>
      <c r="AR189" s="786"/>
      <c r="AS189" s="786"/>
      <c r="AT189" s="786"/>
      <c r="AU189" s="787"/>
      <c r="AV189" s="787"/>
      <c r="AW189" s="787"/>
      <c r="AX189" s="785"/>
      <c r="AY189" s="1214"/>
    </row>
    <row r="190" spans="1:51" ht="18" hidden="1" customHeight="1" x14ac:dyDescent="0.25">
      <c r="A190" s="1195"/>
      <c r="B190" s="833"/>
      <c r="C190" s="809" t="s">
        <v>352</v>
      </c>
      <c r="D190" s="141" t="s">
        <v>41</v>
      </c>
      <c r="E190" s="142"/>
      <c r="F190" s="143"/>
      <c r="G190" s="445"/>
      <c r="H190" s="445"/>
      <c r="I190" s="445"/>
      <c r="J190" s="445"/>
      <c r="K190" s="445"/>
      <c r="L190" s="445"/>
      <c r="M190" s="445"/>
      <c r="N190" s="448"/>
      <c r="O190" s="445"/>
      <c r="P190" s="445"/>
      <c r="Q190" s="445"/>
      <c r="R190" s="447"/>
      <c r="S190" s="1237"/>
      <c r="T190" s="446"/>
      <c r="U190" s="446"/>
      <c r="V190" s="446"/>
      <c r="W190" s="446"/>
      <c r="X190" s="446"/>
      <c r="Y190" s="446"/>
      <c r="Z190" s="446"/>
      <c r="AA190" s="448"/>
      <c r="AB190" s="445"/>
      <c r="AC190" s="1225"/>
      <c r="AD190" s="445"/>
      <c r="AE190" s="447"/>
      <c r="AF190" s="1242"/>
      <c r="AG190" s="1194" t="s">
        <v>352</v>
      </c>
      <c r="AH190" s="788" t="s">
        <v>350</v>
      </c>
      <c r="AI190" s="788" t="s">
        <v>350</v>
      </c>
      <c r="AJ190" s="792" t="s">
        <v>913</v>
      </c>
      <c r="AK190" s="788" t="s">
        <v>315</v>
      </c>
      <c r="AL190" s="788" t="s">
        <v>70</v>
      </c>
      <c r="AM190" s="788" t="s">
        <v>316</v>
      </c>
      <c r="AN190" s="791">
        <v>186383</v>
      </c>
      <c r="AO190" s="805">
        <v>86612</v>
      </c>
      <c r="AP190" s="805">
        <v>92493</v>
      </c>
      <c r="AQ190" s="786" t="s">
        <v>317</v>
      </c>
      <c r="AR190" s="786" t="s">
        <v>317</v>
      </c>
      <c r="AS190" s="786" t="s">
        <v>317</v>
      </c>
      <c r="AT190" s="786" t="s">
        <v>317</v>
      </c>
      <c r="AU190" s="787" t="s">
        <v>317</v>
      </c>
      <c r="AV190" s="787" t="s">
        <v>317</v>
      </c>
      <c r="AW190" s="787" t="s">
        <v>317</v>
      </c>
      <c r="AX190" s="783">
        <v>186383</v>
      </c>
      <c r="AY190" s="1214"/>
    </row>
    <row r="191" spans="1:51" ht="18.75" hidden="1" customHeight="1" x14ac:dyDescent="0.25">
      <c r="A191" s="1195"/>
      <c r="B191" s="833"/>
      <c r="C191" s="809"/>
      <c r="D191" s="132" t="s">
        <v>3</v>
      </c>
      <c r="E191" s="142"/>
      <c r="F191" s="143"/>
      <c r="G191" s="445"/>
      <c r="H191" s="445"/>
      <c r="I191" s="445"/>
      <c r="J191" s="445"/>
      <c r="K191" s="445"/>
      <c r="L191" s="445"/>
      <c r="M191" s="445"/>
      <c r="N191" s="448"/>
      <c r="O191" s="445"/>
      <c r="P191" s="445"/>
      <c r="Q191" s="445"/>
      <c r="R191" s="447"/>
      <c r="S191" s="1237"/>
      <c r="T191" s="446"/>
      <c r="U191" s="446"/>
      <c r="V191" s="446"/>
      <c r="W191" s="446"/>
      <c r="X191" s="446"/>
      <c r="Y191" s="446"/>
      <c r="Z191" s="446"/>
      <c r="AA191" s="448"/>
      <c r="AB191" s="445"/>
      <c r="AC191" s="1225"/>
      <c r="AD191" s="445"/>
      <c r="AE191" s="447"/>
      <c r="AF191" s="1242"/>
      <c r="AG191" s="1195"/>
      <c r="AH191" s="789"/>
      <c r="AI191" s="789"/>
      <c r="AJ191" s="793"/>
      <c r="AK191" s="789"/>
      <c r="AL191" s="789"/>
      <c r="AM191" s="789"/>
      <c r="AN191" s="791"/>
      <c r="AO191" s="805"/>
      <c r="AP191" s="805"/>
      <c r="AQ191" s="786"/>
      <c r="AR191" s="786"/>
      <c r="AS191" s="786"/>
      <c r="AT191" s="786"/>
      <c r="AU191" s="787"/>
      <c r="AV191" s="787"/>
      <c r="AW191" s="787"/>
      <c r="AX191" s="784"/>
      <c r="AY191" s="1214"/>
    </row>
    <row r="192" spans="1:51" ht="18" hidden="1" customHeight="1" x14ac:dyDescent="0.25">
      <c r="A192" s="1195"/>
      <c r="B192" s="833"/>
      <c r="C192" s="809"/>
      <c r="D192" s="136" t="s">
        <v>42</v>
      </c>
      <c r="E192" s="142"/>
      <c r="F192" s="143"/>
      <c r="G192" s="445"/>
      <c r="H192" s="445"/>
      <c r="I192" s="445"/>
      <c r="J192" s="445"/>
      <c r="K192" s="445"/>
      <c r="L192" s="445"/>
      <c r="M192" s="445"/>
      <c r="N192" s="448"/>
      <c r="O192" s="445"/>
      <c r="P192" s="445"/>
      <c r="Q192" s="445"/>
      <c r="R192" s="447"/>
      <c r="S192" s="1237"/>
      <c r="T192" s="446"/>
      <c r="U192" s="446"/>
      <c r="V192" s="446"/>
      <c r="W192" s="446"/>
      <c r="X192" s="446"/>
      <c r="Y192" s="446"/>
      <c r="Z192" s="446"/>
      <c r="AA192" s="448"/>
      <c r="AB192" s="445"/>
      <c r="AC192" s="1225"/>
      <c r="AD192" s="445"/>
      <c r="AE192" s="447"/>
      <c r="AF192" s="1242"/>
      <c r="AG192" s="1195"/>
      <c r="AH192" s="789"/>
      <c r="AI192" s="789"/>
      <c r="AJ192" s="793"/>
      <c r="AK192" s="789"/>
      <c r="AL192" s="789"/>
      <c r="AM192" s="789"/>
      <c r="AN192" s="791"/>
      <c r="AO192" s="805"/>
      <c r="AP192" s="805"/>
      <c r="AQ192" s="786"/>
      <c r="AR192" s="786"/>
      <c r="AS192" s="786"/>
      <c r="AT192" s="786"/>
      <c r="AU192" s="787"/>
      <c r="AV192" s="787"/>
      <c r="AW192" s="787"/>
      <c r="AX192" s="784"/>
      <c r="AY192" s="1214"/>
    </row>
    <row r="193" spans="1:51" ht="27.75" hidden="1" customHeight="1" x14ac:dyDescent="0.25">
      <c r="A193" s="1195"/>
      <c r="B193" s="833"/>
      <c r="C193" s="809"/>
      <c r="D193" s="132" t="s">
        <v>4</v>
      </c>
      <c r="E193" s="142"/>
      <c r="F193" s="143"/>
      <c r="G193" s="445"/>
      <c r="H193" s="445"/>
      <c r="I193" s="445"/>
      <c r="J193" s="445"/>
      <c r="K193" s="445"/>
      <c r="L193" s="445"/>
      <c r="M193" s="445"/>
      <c r="N193" s="448"/>
      <c r="O193" s="445"/>
      <c r="P193" s="445"/>
      <c r="Q193" s="445"/>
      <c r="R193" s="447"/>
      <c r="S193" s="1237"/>
      <c r="T193" s="446"/>
      <c r="U193" s="446"/>
      <c r="V193" s="446"/>
      <c r="W193" s="446"/>
      <c r="X193" s="446"/>
      <c r="Y193" s="446"/>
      <c r="Z193" s="446"/>
      <c r="AA193" s="448"/>
      <c r="AB193" s="445"/>
      <c r="AC193" s="1225"/>
      <c r="AD193" s="445"/>
      <c r="AE193" s="447"/>
      <c r="AF193" s="1242"/>
      <c r="AG193" s="1195"/>
      <c r="AH193" s="789"/>
      <c r="AI193" s="789"/>
      <c r="AJ193" s="793"/>
      <c r="AK193" s="789"/>
      <c r="AL193" s="789"/>
      <c r="AM193" s="789"/>
      <c r="AN193" s="791"/>
      <c r="AO193" s="805"/>
      <c r="AP193" s="805"/>
      <c r="AQ193" s="786"/>
      <c r="AR193" s="786"/>
      <c r="AS193" s="786"/>
      <c r="AT193" s="786"/>
      <c r="AU193" s="787"/>
      <c r="AV193" s="787"/>
      <c r="AW193" s="787"/>
      <c r="AX193" s="784"/>
      <c r="AY193" s="1214"/>
    </row>
    <row r="194" spans="1:51" ht="27.75" hidden="1" customHeight="1" x14ac:dyDescent="0.25">
      <c r="A194" s="1195"/>
      <c r="B194" s="833"/>
      <c r="C194" s="809"/>
      <c r="D194" s="136" t="s">
        <v>43</v>
      </c>
      <c r="E194" s="142"/>
      <c r="F194" s="143"/>
      <c r="G194" s="445"/>
      <c r="H194" s="445"/>
      <c r="I194" s="445"/>
      <c r="J194" s="445"/>
      <c r="K194" s="445"/>
      <c r="L194" s="445"/>
      <c r="M194" s="445"/>
      <c r="N194" s="448"/>
      <c r="O194" s="445"/>
      <c r="P194" s="445"/>
      <c r="Q194" s="445"/>
      <c r="R194" s="447"/>
      <c r="S194" s="1237"/>
      <c r="T194" s="446"/>
      <c r="U194" s="446"/>
      <c r="V194" s="446"/>
      <c r="W194" s="446"/>
      <c r="X194" s="446"/>
      <c r="Y194" s="446"/>
      <c r="Z194" s="446"/>
      <c r="AA194" s="448"/>
      <c r="AB194" s="445"/>
      <c r="AC194" s="1225"/>
      <c r="AD194" s="445"/>
      <c r="AE194" s="447"/>
      <c r="AF194" s="1242"/>
      <c r="AG194" s="1195"/>
      <c r="AH194" s="789"/>
      <c r="AI194" s="789"/>
      <c r="AJ194" s="793"/>
      <c r="AK194" s="789"/>
      <c r="AL194" s="789"/>
      <c r="AM194" s="789"/>
      <c r="AN194" s="791"/>
      <c r="AO194" s="805"/>
      <c r="AP194" s="805"/>
      <c r="AQ194" s="786"/>
      <c r="AR194" s="786"/>
      <c r="AS194" s="786"/>
      <c r="AT194" s="786"/>
      <c r="AU194" s="787"/>
      <c r="AV194" s="787"/>
      <c r="AW194" s="787"/>
      <c r="AX194" s="784"/>
      <c r="AY194" s="1214"/>
    </row>
    <row r="195" spans="1:51" ht="27.75" hidden="1" customHeight="1" thickBot="1" x14ac:dyDescent="0.3">
      <c r="A195" s="1195"/>
      <c r="B195" s="833"/>
      <c r="C195" s="809"/>
      <c r="D195" s="140" t="s">
        <v>45</v>
      </c>
      <c r="E195" s="142"/>
      <c r="F195" s="143"/>
      <c r="G195" s="445"/>
      <c r="H195" s="445"/>
      <c r="I195" s="445"/>
      <c r="J195" s="445"/>
      <c r="K195" s="445"/>
      <c r="L195" s="445"/>
      <c r="M195" s="445"/>
      <c r="N195" s="448"/>
      <c r="O195" s="445"/>
      <c r="P195" s="445"/>
      <c r="Q195" s="445"/>
      <c r="R195" s="447"/>
      <c r="S195" s="1237"/>
      <c r="T195" s="446"/>
      <c r="U195" s="446"/>
      <c r="V195" s="446"/>
      <c r="W195" s="446"/>
      <c r="X195" s="446"/>
      <c r="Y195" s="446"/>
      <c r="Z195" s="446"/>
      <c r="AA195" s="448"/>
      <c r="AB195" s="445"/>
      <c r="AC195" s="1225"/>
      <c r="AD195" s="445"/>
      <c r="AE195" s="447"/>
      <c r="AF195" s="1242"/>
      <c r="AG195" s="1196"/>
      <c r="AH195" s="790"/>
      <c r="AI195" s="790"/>
      <c r="AJ195" s="794"/>
      <c r="AK195" s="790"/>
      <c r="AL195" s="790"/>
      <c r="AM195" s="790"/>
      <c r="AN195" s="791"/>
      <c r="AO195" s="805"/>
      <c r="AP195" s="805"/>
      <c r="AQ195" s="786"/>
      <c r="AR195" s="786"/>
      <c r="AS195" s="786"/>
      <c r="AT195" s="786"/>
      <c r="AU195" s="787"/>
      <c r="AV195" s="787"/>
      <c r="AW195" s="787"/>
      <c r="AX195" s="785"/>
      <c r="AY195" s="1214"/>
    </row>
    <row r="196" spans="1:51" ht="18" customHeight="1" x14ac:dyDescent="0.25">
      <c r="A196" s="1195"/>
      <c r="B196" s="833"/>
      <c r="C196" s="809" t="s">
        <v>1307</v>
      </c>
      <c r="D196" s="141" t="s">
        <v>41</v>
      </c>
      <c r="E196" s="142"/>
      <c r="F196" s="143"/>
      <c r="G196" s="445">
        <v>1</v>
      </c>
      <c r="H196" s="445">
        <v>1</v>
      </c>
      <c r="I196" s="445">
        <v>1</v>
      </c>
      <c r="J196" s="445">
        <v>1</v>
      </c>
      <c r="K196" s="445">
        <v>1</v>
      </c>
      <c r="L196" s="445">
        <v>1</v>
      </c>
      <c r="M196" s="445">
        <v>2</v>
      </c>
      <c r="N196" s="448">
        <v>2</v>
      </c>
      <c r="O196" s="445">
        <v>2</v>
      </c>
      <c r="P196" s="445">
        <v>3</v>
      </c>
      <c r="Q196" s="445">
        <v>3</v>
      </c>
      <c r="R196" s="447">
        <v>3</v>
      </c>
      <c r="S196" s="1237"/>
      <c r="T196" s="446">
        <v>1</v>
      </c>
      <c r="U196" s="446">
        <v>1</v>
      </c>
      <c r="V196" s="446">
        <v>1</v>
      </c>
      <c r="W196" s="446">
        <v>1</v>
      </c>
      <c r="X196" s="446">
        <v>1</v>
      </c>
      <c r="Y196" s="446">
        <v>1</v>
      </c>
      <c r="Z196" s="446">
        <v>2</v>
      </c>
      <c r="AA196" s="448">
        <v>2</v>
      </c>
      <c r="AB196" s="445">
        <v>2</v>
      </c>
      <c r="AC196" s="1225">
        <v>3</v>
      </c>
      <c r="AD196" s="445">
        <v>3</v>
      </c>
      <c r="AE196" s="447">
        <v>3</v>
      </c>
      <c r="AF196" s="1233" t="s">
        <v>1057</v>
      </c>
      <c r="AG196" s="1194" t="s">
        <v>356</v>
      </c>
      <c r="AH196" s="788" t="s">
        <v>916</v>
      </c>
      <c r="AI196" s="788" t="s">
        <v>945</v>
      </c>
      <c r="AJ196" s="792" t="s">
        <v>913</v>
      </c>
      <c r="AK196" s="788" t="s">
        <v>315</v>
      </c>
      <c r="AL196" s="788" t="s">
        <v>70</v>
      </c>
      <c r="AM196" s="788" t="s">
        <v>316</v>
      </c>
      <c r="AN196" s="791">
        <v>735606</v>
      </c>
      <c r="AO196" s="805">
        <v>354354</v>
      </c>
      <c r="AP196" s="805">
        <v>381252</v>
      </c>
      <c r="AQ196" s="786" t="s">
        <v>317</v>
      </c>
      <c r="AR196" s="786" t="s">
        <v>317</v>
      </c>
      <c r="AS196" s="786" t="s">
        <v>317</v>
      </c>
      <c r="AT196" s="786" t="s">
        <v>317</v>
      </c>
      <c r="AU196" s="787" t="s">
        <v>317</v>
      </c>
      <c r="AV196" s="787" t="s">
        <v>317</v>
      </c>
      <c r="AW196" s="787" t="s">
        <v>317</v>
      </c>
      <c r="AX196" s="783">
        <v>270280</v>
      </c>
      <c r="AY196" s="1214"/>
    </row>
    <row r="197" spans="1:51" ht="18.75" customHeight="1" x14ac:dyDescent="0.25">
      <c r="A197" s="1195"/>
      <c r="B197" s="833"/>
      <c r="C197" s="809"/>
      <c r="D197" s="132" t="s">
        <v>3</v>
      </c>
      <c r="E197" s="142"/>
      <c r="F197" s="143"/>
      <c r="G197" s="445">
        <v>2573116.8831168832</v>
      </c>
      <c r="H197" s="445">
        <v>2573116.8831168832</v>
      </c>
      <c r="I197" s="445">
        <v>2573116.8831168832</v>
      </c>
      <c r="J197" s="445">
        <v>2245714.2857142859</v>
      </c>
      <c r="K197" s="445">
        <f>+K196*$K$155/$K$154</f>
        <v>2189571.4285714286</v>
      </c>
      <c r="L197" s="445">
        <f>+L196*$L$155/$L$154</f>
        <v>2189571.4285714286</v>
      </c>
      <c r="M197" s="445">
        <f>+M196*$M$155/$M$154</f>
        <v>4379142.8571428573</v>
      </c>
      <c r="N197" s="445">
        <f>+N196*$N$155/$N$154</f>
        <v>4491428.5714285718</v>
      </c>
      <c r="O197" s="445">
        <f>+O196*$O$155/$O$154</f>
        <v>4491428.5714285718</v>
      </c>
      <c r="P197" s="445">
        <f>+P196*$P$155/$P$154</f>
        <v>6737142.8571428573</v>
      </c>
      <c r="Q197" s="445">
        <f>+Q196*$Q$155/$Q$154</f>
        <v>6737142.8571428573</v>
      </c>
      <c r="R197" s="445">
        <f>+R196*$R$155/$R$154</f>
        <v>6650769.230769231</v>
      </c>
      <c r="S197" s="1237"/>
      <c r="T197" s="445">
        <v>0</v>
      </c>
      <c r="U197" s="445">
        <v>11790000</v>
      </c>
      <c r="V197" s="445">
        <v>9366500</v>
      </c>
      <c r="W197" s="445">
        <v>6743880</v>
      </c>
      <c r="X197" s="445">
        <f>+X196*$X$155/$X$154</f>
        <v>5268656.25</v>
      </c>
      <c r="Y197" s="445">
        <f>+Y196*$Y$155/$Y$154</f>
        <v>4323000</v>
      </c>
      <c r="Z197" s="445">
        <f>+Z196*$Z$155/$Z$154</f>
        <v>7330304.3478260869</v>
      </c>
      <c r="AA197" s="445">
        <f>+AA196*$N$155/$N$154</f>
        <v>4491428.5714285718</v>
      </c>
      <c r="AB197" s="445">
        <f>+AB196*$AB$155/$AB$154</f>
        <v>5619900</v>
      </c>
      <c r="AC197" s="445">
        <f>+AC196*$AC$155/$AC$154</f>
        <v>7549119.4029850746</v>
      </c>
      <c r="AD197" s="445">
        <f>+AD196*$AD$155/$AD$154</f>
        <v>7024875</v>
      </c>
      <c r="AE197" s="445">
        <f>+AE196*$AE$155/$AE$154</f>
        <v>6650769.230769231</v>
      </c>
      <c r="AF197" s="1237"/>
      <c r="AG197" s="1195"/>
      <c r="AH197" s="789"/>
      <c r="AI197" s="789"/>
      <c r="AJ197" s="793"/>
      <c r="AK197" s="789"/>
      <c r="AL197" s="789"/>
      <c r="AM197" s="789"/>
      <c r="AN197" s="791"/>
      <c r="AO197" s="805"/>
      <c r="AP197" s="805"/>
      <c r="AQ197" s="786"/>
      <c r="AR197" s="786"/>
      <c r="AS197" s="786"/>
      <c r="AT197" s="786"/>
      <c r="AU197" s="787"/>
      <c r="AV197" s="787"/>
      <c r="AW197" s="787"/>
      <c r="AX197" s="784"/>
      <c r="AY197" s="1214"/>
    </row>
    <row r="198" spans="1:51" ht="27.75" customHeight="1" x14ac:dyDescent="0.25">
      <c r="A198" s="1195"/>
      <c r="B198" s="833"/>
      <c r="C198" s="809"/>
      <c r="D198" s="136" t="s">
        <v>42</v>
      </c>
      <c r="E198" s="142"/>
      <c r="F198" s="143"/>
      <c r="G198" s="445"/>
      <c r="H198" s="445"/>
      <c r="I198" s="445"/>
      <c r="J198" s="445"/>
      <c r="K198" s="445"/>
      <c r="L198" s="445"/>
      <c r="M198" s="445"/>
      <c r="N198" s="448"/>
      <c r="O198" s="445"/>
      <c r="P198" s="445"/>
      <c r="Q198" s="445"/>
      <c r="R198" s="447"/>
      <c r="S198" s="1237"/>
      <c r="T198" s="446"/>
      <c r="U198" s="446"/>
      <c r="V198" s="446"/>
      <c r="W198" s="446"/>
      <c r="X198" s="446"/>
      <c r="Y198" s="446"/>
      <c r="Z198" s="446"/>
      <c r="AA198" s="448"/>
      <c r="AB198" s="445"/>
      <c r="AC198" s="1225"/>
      <c r="AD198" s="445"/>
      <c r="AE198" s="447"/>
      <c r="AF198" s="1237"/>
      <c r="AG198" s="1195"/>
      <c r="AH198" s="789"/>
      <c r="AI198" s="789"/>
      <c r="AJ198" s="793"/>
      <c r="AK198" s="789"/>
      <c r="AL198" s="789"/>
      <c r="AM198" s="789"/>
      <c r="AN198" s="791"/>
      <c r="AO198" s="805"/>
      <c r="AP198" s="805"/>
      <c r="AQ198" s="786"/>
      <c r="AR198" s="786"/>
      <c r="AS198" s="786"/>
      <c r="AT198" s="786"/>
      <c r="AU198" s="787"/>
      <c r="AV198" s="787"/>
      <c r="AW198" s="787"/>
      <c r="AX198" s="784"/>
      <c r="AY198" s="1214"/>
    </row>
    <row r="199" spans="1:51" ht="27.75" customHeight="1" x14ac:dyDescent="0.25">
      <c r="A199" s="1195"/>
      <c r="B199" s="833"/>
      <c r="C199" s="809"/>
      <c r="D199" s="132" t="s">
        <v>4</v>
      </c>
      <c r="E199" s="142"/>
      <c r="F199" s="143"/>
      <c r="G199" s="445"/>
      <c r="H199" s="445"/>
      <c r="I199" s="445"/>
      <c r="J199" s="445"/>
      <c r="K199" s="445"/>
      <c r="L199" s="445"/>
      <c r="M199" s="445"/>
      <c r="N199" s="448"/>
      <c r="O199" s="445"/>
      <c r="P199" s="445"/>
      <c r="Q199" s="445"/>
      <c r="R199" s="447"/>
      <c r="S199" s="1237"/>
      <c r="T199" s="446"/>
      <c r="U199" s="443">
        <v>2428417.875</v>
      </c>
      <c r="V199" s="446"/>
      <c r="W199" s="446"/>
      <c r="X199" s="446"/>
      <c r="Y199" s="446"/>
      <c r="Z199" s="446"/>
      <c r="AA199" s="448"/>
      <c r="AB199" s="445"/>
      <c r="AC199" s="1225"/>
      <c r="AD199" s="445"/>
      <c r="AE199" s="447"/>
      <c r="AF199" s="1237"/>
      <c r="AG199" s="1195"/>
      <c r="AH199" s="789"/>
      <c r="AI199" s="789"/>
      <c r="AJ199" s="793"/>
      <c r="AK199" s="789"/>
      <c r="AL199" s="789"/>
      <c r="AM199" s="789"/>
      <c r="AN199" s="791"/>
      <c r="AO199" s="805"/>
      <c r="AP199" s="805"/>
      <c r="AQ199" s="786"/>
      <c r="AR199" s="786"/>
      <c r="AS199" s="786"/>
      <c r="AT199" s="786"/>
      <c r="AU199" s="787"/>
      <c r="AV199" s="787"/>
      <c r="AW199" s="787"/>
      <c r="AX199" s="784"/>
      <c r="AY199" s="1214"/>
    </row>
    <row r="200" spans="1:51" ht="27.75" customHeight="1" x14ac:dyDescent="0.25">
      <c r="A200" s="1195"/>
      <c r="B200" s="833"/>
      <c r="C200" s="809"/>
      <c r="D200" s="136" t="s">
        <v>43</v>
      </c>
      <c r="E200" s="142"/>
      <c r="F200" s="143"/>
      <c r="G200" s="445">
        <v>1</v>
      </c>
      <c r="H200" s="445">
        <v>1</v>
      </c>
      <c r="I200" s="445">
        <v>1</v>
      </c>
      <c r="J200" s="445">
        <v>1</v>
      </c>
      <c r="K200" s="445">
        <v>1</v>
      </c>
      <c r="L200" s="445">
        <v>1</v>
      </c>
      <c r="M200" s="445">
        <v>2</v>
      </c>
      <c r="N200" s="448">
        <v>2</v>
      </c>
      <c r="O200" s="445">
        <v>2</v>
      </c>
      <c r="P200" s="445">
        <v>3</v>
      </c>
      <c r="Q200" s="445">
        <v>3</v>
      </c>
      <c r="R200" s="447">
        <v>3</v>
      </c>
      <c r="S200" s="1237"/>
      <c r="T200" s="446">
        <v>1</v>
      </c>
      <c r="U200" s="446">
        <v>1</v>
      </c>
      <c r="V200" s="446">
        <v>1</v>
      </c>
      <c r="W200" s="446">
        <v>1</v>
      </c>
      <c r="X200" s="446">
        <v>1</v>
      </c>
      <c r="Y200" s="446">
        <v>1</v>
      </c>
      <c r="Z200" s="446">
        <v>2</v>
      </c>
      <c r="AA200" s="448">
        <v>2</v>
      </c>
      <c r="AB200" s="445">
        <v>2</v>
      </c>
      <c r="AC200" s="1225">
        <v>3</v>
      </c>
      <c r="AD200" s="445">
        <v>3</v>
      </c>
      <c r="AE200" s="447">
        <v>3</v>
      </c>
      <c r="AF200" s="1237"/>
      <c r="AG200" s="1195"/>
      <c r="AH200" s="789"/>
      <c r="AI200" s="789"/>
      <c r="AJ200" s="793"/>
      <c r="AK200" s="789"/>
      <c r="AL200" s="789"/>
      <c r="AM200" s="789"/>
      <c r="AN200" s="791"/>
      <c r="AO200" s="805"/>
      <c r="AP200" s="805"/>
      <c r="AQ200" s="786"/>
      <c r="AR200" s="786"/>
      <c r="AS200" s="786"/>
      <c r="AT200" s="786"/>
      <c r="AU200" s="787"/>
      <c r="AV200" s="787"/>
      <c r="AW200" s="787"/>
      <c r="AX200" s="784"/>
      <c r="AY200" s="1214"/>
    </row>
    <row r="201" spans="1:51" ht="27.75" customHeight="1" thickBot="1" x14ac:dyDescent="0.3">
      <c r="A201" s="1195"/>
      <c r="B201" s="833"/>
      <c r="C201" s="809"/>
      <c r="D201" s="140" t="s">
        <v>45</v>
      </c>
      <c r="E201" s="142"/>
      <c r="F201" s="143"/>
      <c r="G201" s="445"/>
      <c r="H201" s="445">
        <v>2573116.8831168832</v>
      </c>
      <c r="I201" s="445">
        <v>2573116.8831168832</v>
      </c>
      <c r="J201" s="445">
        <v>2245714.2857142859</v>
      </c>
      <c r="K201" s="445">
        <f>+K200*$K$155/$K$154</f>
        <v>2189571.4285714286</v>
      </c>
      <c r="L201" s="445">
        <f>+L200*$L$155/$L$154</f>
        <v>2189571.4285714286</v>
      </c>
      <c r="M201" s="445">
        <f>+M200*$M$155/$M$154</f>
        <v>4379142.8571428573</v>
      </c>
      <c r="N201" s="445">
        <f>+N200*$N$155/$N$154</f>
        <v>4491428.5714285718</v>
      </c>
      <c r="O201" s="445">
        <f>+O200*$O$155/$O$154</f>
        <v>4491428.5714285718</v>
      </c>
      <c r="P201" s="445">
        <f>+P200*$P$155/$P$154</f>
        <v>6737142.8571428573</v>
      </c>
      <c r="Q201" s="445">
        <f>+Q200*$Q$155/$Q$154</f>
        <v>6737142.8571428573</v>
      </c>
      <c r="R201" s="445">
        <f>+R200*$R$155/$R$154</f>
        <v>6650769.230769231</v>
      </c>
      <c r="S201" s="1237"/>
      <c r="T201" s="445">
        <v>0</v>
      </c>
      <c r="U201" s="445">
        <v>11790000</v>
      </c>
      <c r="V201" s="445">
        <v>9366500</v>
      </c>
      <c r="W201" s="445">
        <v>6743880</v>
      </c>
      <c r="X201" s="445">
        <f>+X200*$X$155/$X$154</f>
        <v>5268656.25</v>
      </c>
      <c r="Y201" s="445">
        <f>+Y200*$Y$155/$Y$154</f>
        <v>4323000</v>
      </c>
      <c r="Z201" s="445">
        <f>+Z200*$Z$155/$Z$154</f>
        <v>7330304.3478260869</v>
      </c>
      <c r="AA201" s="445">
        <f>+AA200*$N$155/$N$154</f>
        <v>4491428.5714285718</v>
      </c>
      <c r="AB201" s="445">
        <f>+AB200*$AB$155/$AB$154</f>
        <v>5619900</v>
      </c>
      <c r="AC201" s="445">
        <f>+AC200*$AC$155/$AC$154</f>
        <v>7549119.4029850746</v>
      </c>
      <c r="AD201" s="445">
        <f>+AD200*$AD$155/$AD$154</f>
        <v>7024875</v>
      </c>
      <c r="AE201" s="445">
        <f>+AE200*$AE$155/$AE$154</f>
        <v>6650769.230769231</v>
      </c>
      <c r="AF201" s="1241"/>
      <c r="AG201" s="1196"/>
      <c r="AH201" s="790"/>
      <c r="AI201" s="790"/>
      <c r="AJ201" s="794"/>
      <c r="AK201" s="790"/>
      <c r="AL201" s="790"/>
      <c r="AM201" s="790"/>
      <c r="AN201" s="791"/>
      <c r="AO201" s="805"/>
      <c r="AP201" s="805"/>
      <c r="AQ201" s="786"/>
      <c r="AR201" s="786"/>
      <c r="AS201" s="786"/>
      <c r="AT201" s="786"/>
      <c r="AU201" s="787"/>
      <c r="AV201" s="787"/>
      <c r="AW201" s="787"/>
      <c r="AX201" s="785"/>
      <c r="AY201" s="1214"/>
    </row>
    <row r="202" spans="1:51" ht="18" customHeight="1" x14ac:dyDescent="0.25">
      <c r="A202" s="1195"/>
      <c r="B202" s="833"/>
      <c r="C202" s="809" t="s">
        <v>1308</v>
      </c>
      <c r="D202" s="141" t="s">
        <v>41</v>
      </c>
      <c r="E202" s="142"/>
      <c r="F202" s="143"/>
      <c r="G202" s="445"/>
      <c r="H202" s="445"/>
      <c r="I202" s="445">
        <v>1</v>
      </c>
      <c r="J202" s="445">
        <v>1</v>
      </c>
      <c r="K202" s="445">
        <v>1</v>
      </c>
      <c r="L202" s="445">
        <v>1</v>
      </c>
      <c r="M202" s="445">
        <v>2</v>
      </c>
      <c r="N202" s="448">
        <v>2</v>
      </c>
      <c r="O202" s="445">
        <v>2</v>
      </c>
      <c r="P202" s="445">
        <v>3</v>
      </c>
      <c r="Q202" s="445">
        <v>3</v>
      </c>
      <c r="R202" s="447">
        <v>3</v>
      </c>
      <c r="S202" s="1237"/>
      <c r="T202" s="446"/>
      <c r="U202" s="446"/>
      <c r="V202" s="446">
        <v>1</v>
      </c>
      <c r="W202" s="446">
        <v>1</v>
      </c>
      <c r="X202" s="446">
        <v>1</v>
      </c>
      <c r="Y202" s="446">
        <v>1</v>
      </c>
      <c r="Z202" s="446">
        <v>2</v>
      </c>
      <c r="AA202" s="448">
        <v>2</v>
      </c>
      <c r="AB202" s="445">
        <v>2</v>
      </c>
      <c r="AC202" s="1225">
        <v>3</v>
      </c>
      <c r="AD202" s="445">
        <v>3</v>
      </c>
      <c r="AE202" s="447">
        <v>3</v>
      </c>
      <c r="AF202" s="1236" t="s">
        <v>1058</v>
      </c>
      <c r="AG202" s="1194" t="s">
        <v>361</v>
      </c>
      <c r="AH202" s="788" t="s">
        <v>1123</v>
      </c>
      <c r="AI202" s="788" t="s">
        <v>1122</v>
      </c>
      <c r="AJ202" s="792" t="s">
        <v>913</v>
      </c>
      <c r="AK202" s="788" t="s">
        <v>315</v>
      </c>
      <c r="AL202" s="788" t="s">
        <v>1121</v>
      </c>
      <c r="AM202" s="788" t="s">
        <v>316</v>
      </c>
      <c r="AN202" s="791">
        <v>1230539</v>
      </c>
      <c r="AO202" s="805">
        <v>511137</v>
      </c>
      <c r="AP202" s="805">
        <v>556761</v>
      </c>
      <c r="AQ202" s="786" t="s">
        <v>317</v>
      </c>
      <c r="AR202" s="786" t="s">
        <v>317</v>
      </c>
      <c r="AS202" s="786" t="s">
        <v>317</v>
      </c>
      <c r="AT202" s="786" t="s">
        <v>317</v>
      </c>
      <c r="AU202" s="787" t="s">
        <v>317</v>
      </c>
      <c r="AV202" s="787" t="s">
        <v>317</v>
      </c>
      <c r="AW202" s="787" t="s">
        <v>317</v>
      </c>
      <c r="AX202" s="783">
        <v>1230539</v>
      </c>
      <c r="AY202" s="1214"/>
    </row>
    <row r="203" spans="1:51" ht="18.75" customHeight="1" x14ac:dyDescent="0.25">
      <c r="A203" s="1195"/>
      <c r="B203" s="833"/>
      <c r="C203" s="809"/>
      <c r="D203" s="132" t="s">
        <v>3</v>
      </c>
      <c r="E203" s="142"/>
      <c r="F203" s="143"/>
      <c r="G203" s="445"/>
      <c r="H203" s="445"/>
      <c r="I203" s="445">
        <v>2573116.8831168832</v>
      </c>
      <c r="J203" s="445">
        <v>2245714.2857142859</v>
      </c>
      <c r="K203" s="445">
        <f>+K202*$K$155/$K$154</f>
        <v>2189571.4285714286</v>
      </c>
      <c r="L203" s="445">
        <f>+L202*$L$155/$L$154</f>
        <v>2189571.4285714286</v>
      </c>
      <c r="M203" s="445">
        <f>+M202*$M$155/$M$154</f>
        <v>4379142.8571428573</v>
      </c>
      <c r="N203" s="445">
        <f>+N202*$N$155/$N$154</f>
        <v>4491428.5714285718</v>
      </c>
      <c r="O203" s="445">
        <f>+O202*$O$155/$O$154</f>
        <v>4491428.5714285718</v>
      </c>
      <c r="P203" s="445">
        <f>+P202*$P$155/$P$154</f>
        <v>6737142.8571428573</v>
      </c>
      <c r="Q203" s="445">
        <f>+Q202*$Q$155/$Q$154</f>
        <v>6737142.8571428573</v>
      </c>
      <c r="R203" s="445">
        <f>+R202*$R$155/$R$154</f>
        <v>6650769.230769231</v>
      </c>
      <c r="S203" s="1237"/>
      <c r="T203" s="446"/>
      <c r="U203" s="446"/>
      <c r="V203" s="445">
        <v>9366500</v>
      </c>
      <c r="W203" s="445">
        <v>6743880</v>
      </c>
      <c r="X203" s="445">
        <f>+X202*$X$155/$X$154</f>
        <v>5268656.25</v>
      </c>
      <c r="Y203" s="445">
        <f>+Y202*$Y$155/$Y$154</f>
        <v>4323000</v>
      </c>
      <c r="Z203" s="445">
        <f>+Z202*$Z$155/$Z$154</f>
        <v>7330304.3478260869</v>
      </c>
      <c r="AA203" s="445">
        <f>+AA202*$N$155/$N$154</f>
        <v>4491428.5714285718</v>
      </c>
      <c r="AB203" s="445">
        <f>+AB202*$AB$155/$AB$154</f>
        <v>5619900</v>
      </c>
      <c r="AC203" s="445">
        <f>+AC202*$AC$155/$AC$154</f>
        <v>7549119.4029850746</v>
      </c>
      <c r="AD203" s="445">
        <f>+AD202*$AD$155/$AD$154</f>
        <v>7024875</v>
      </c>
      <c r="AE203" s="445">
        <f>+AE202*$AE$155/$AE$154</f>
        <v>6650769.230769231</v>
      </c>
      <c r="AF203" s="1239"/>
      <c r="AG203" s="1195"/>
      <c r="AH203" s="789"/>
      <c r="AI203" s="789"/>
      <c r="AJ203" s="793"/>
      <c r="AK203" s="789"/>
      <c r="AL203" s="789"/>
      <c r="AM203" s="789"/>
      <c r="AN203" s="791"/>
      <c r="AO203" s="805"/>
      <c r="AP203" s="805"/>
      <c r="AQ203" s="786"/>
      <c r="AR203" s="786"/>
      <c r="AS203" s="786"/>
      <c r="AT203" s="786"/>
      <c r="AU203" s="787"/>
      <c r="AV203" s="787"/>
      <c r="AW203" s="787"/>
      <c r="AX203" s="784"/>
      <c r="AY203" s="1214"/>
    </row>
    <row r="204" spans="1:51" ht="27.75" customHeight="1" x14ac:dyDescent="0.25">
      <c r="A204" s="1195"/>
      <c r="B204" s="833"/>
      <c r="C204" s="809"/>
      <c r="D204" s="136" t="s">
        <v>42</v>
      </c>
      <c r="E204" s="142"/>
      <c r="F204" s="143"/>
      <c r="G204" s="445"/>
      <c r="H204" s="445"/>
      <c r="I204" s="445"/>
      <c r="J204" s="445"/>
      <c r="K204" s="445"/>
      <c r="L204" s="445"/>
      <c r="M204" s="445"/>
      <c r="N204" s="448"/>
      <c r="O204" s="445"/>
      <c r="P204" s="445"/>
      <c r="Q204" s="445"/>
      <c r="R204" s="447"/>
      <c r="S204" s="1237"/>
      <c r="T204" s="446"/>
      <c r="U204" s="446"/>
      <c r="V204" s="446"/>
      <c r="W204" s="446"/>
      <c r="X204" s="446"/>
      <c r="Y204" s="446"/>
      <c r="Z204" s="446"/>
      <c r="AA204" s="448"/>
      <c r="AB204" s="445"/>
      <c r="AC204" s="1225"/>
      <c r="AD204" s="445"/>
      <c r="AE204" s="447"/>
      <c r="AF204" s="1239"/>
      <c r="AG204" s="1195"/>
      <c r="AH204" s="789"/>
      <c r="AI204" s="789"/>
      <c r="AJ204" s="793"/>
      <c r="AK204" s="789"/>
      <c r="AL204" s="789"/>
      <c r="AM204" s="789"/>
      <c r="AN204" s="791"/>
      <c r="AO204" s="805"/>
      <c r="AP204" s="805"/>
      <c r="AQ204" s="786"/>
      <c r="AR204" s="786"/>
      <c r="AS204" s="786"/>
      <c r="AT204" s="786"/>
      <c r="AU204" s="787"/>
      <c r="AV204" s="787"/>
      <c r="AW204" s="787"/>
      <c r="AX204" s="784"/>
      <c r="AY204" s="1214"/>
    </row>
    <row r="205" spans="1:51" ht="27.75" customHeight="1" x14ac:dyDescent="0.25">
      <c r="A205" s="1195"/>
      <c r="B205" s="833"/>
      <c r="C205" s="809"/>
      <c r="D205" s="132" t="s">
        <v>4</v>
      </c>
      <c r="E205" s="142"/>
      <c r="F205" s="143"/>
      <c r="G205" s="445"/>
      <c r="H205" s="445"/>
      <c r="I205" s="445"/>
      <c r="J205" s="445"/>
      <c r="K205" s="445"/>
      <c r="L205" s="445"/>
      <c r="M205" s="445"/>
      <c r="N205" s="448"/>
      <c r="O205" s="445"/>
      <c r="P205" s="445"/>
      <c r="Q205" s="445"/>
      <c r="R205" s="447"/>
      <c r="S205" s="1237"/>
      <c r="T205" s="446"/>
      <c r="U205" s="446"/>
      <c r="V205" s="446"/>
      <c r="W205" s="446"/>
      <c r="X205" s="446"/>
      <c r="Y205" s="446"/>
      <c r="Z205" s="446"/>
      <c r="AA205" s="448"/>
      <c r="AB205" s="445"/>
      <c r="AC205" s="1225"/>
      <c r="AD205" s="445"/>
      <c r="AE205" s="447"/>
      <c r="AF205" s="1239"/>
      <c r="AG205" s="1195"/>
      <c r="AH205" s="789"/>
      <c r="AI205" s="789"/>
      <c r="AJ205" s="793"/>
      <c r="AK205" s="789"/>
      <c r="AL205" s="789"/>
      <c r="AM205" s="789"/>
      <c r="AN205" s="791"/>
      <c r="AO205" s="805"/>
      <c r="AP205" s="805"/>
      <c r="AQ205" s="786"/>
      <c r="AR205" s="786"/>
      <c r="AS205" s="786"/>
      <c r="AT205" s="786"/>
      <c r="AU205" s="787"/>
      <c r="AV205" s="787"/>
      <c r="AW205" s="787"/>
      <c r="AX205" s="784"/>
      <c r="AY205" s="1214"/>
    </row>
    <row r="206" spans="1:51" ht="27.75" customHeight="1" x14ac:dyDescent="0.25">
      <c r="A206" s="1195"/>
      <c r="B206" s="833"/>
      <c r="C206" s="809"/>
      <c r="D206" s="136" t="s">
        <v>43</v>
      </c>
      <c r="E206" s="142"/>
      <c r="F206" s="143"/>
      <c r="G206" s="445"/>
      <c r="H206" s="445"/>
      <c r="I206" s="445">
        <v>1</v>
      </c>
      <c r="J206" s="445">
        <v>1</v>
      </c>
      <c r="K206" s="445">
        <v>1</v>
      </c>
      <c r="L206" s="445">
        <v>1</v>
      </c>
      <c r="M206" s="445">
        <v>2</v>
      </c>
      <c r="N206" s="448">
        <v>2</v>
      </c>
      <c r="O206" s="445">
        <v>2</v>
      </c>
      <c r="P206" s="445">
        <v>3</v>
      </c>
      <c r="Q206" s="445">
        <v>3</v>
      </c>
      <c r="R206" s="447">
        <v>3</v>
      </c>
      <c r="S206" s="1237"/>
      <c r="T206" s="446"/>
      <c r="U206" s="446"/>
      <c r="V206" s="446">
        <v>1</v>
      </c>
      <c r="W206" s="446">
        <v>1</v>
      </c>
      <c r="X206" s="446">
        <v>1</v>
      </c>
      <c r="Y206" s="446">
        <v>1</v>
      </c>
      <c r="Z206" s="446">
        <v>2</v>
      </c>
      <c r="AA206" s="448">
        <v>2</v>
      </c>
      <c r="AB206" s="445">
        <v>2</v>
      </c>
      <c r="AC206" s="1225">
        <v>3</v>
      </c>
      <c r="AD206" s="445">
        <v>3</v>
      </c>
      <c r="AE206" s="447">
        <v>3</v>
      </c>
      <c r="AF206" s="1239"/>
      <c r="AG206" s="1195"/>
      <c r="AH206" s="789"/>
      <c r="AI206" s="789"/>
      <c r="AJ206" s="793"/>
      <c r="AK206" s="789"/>
      <c r="AL206" s="789"/>
      <c r="AM206" s="789"/>
      <c r="AN206" s="791"/>
      <c r="AO206" s="805"/>
      <c r="AP206" s="805"/>
      <c r="AQ206" s="786"/>
      <c r="AR206" s="786"/>
      <c r="AS206" s="786"/>
      <c r="AT206" s="786"/>
      <c r="AU206" s="787"/>
      <c r="AV206" s="787"/>
      <c r="AW206" s="787"/>
      <c r="AX206" s="784"/>
      <c r="AY206" s="1214"/>
    </row>
    <row r="207" spans="1:51" ht="27.75" customHeight="1" thickBot="1" x14ac:dyDescent="0.3">
      <c r="A207" s="1195"/>
      <c r="B207" s="833"/>
      <c r="C207" s="809"/>
      <c r="D207" s="140" t="s">
        <v>45</v>
      </c>
      <c r="E207" s="142"/>
      <c r="F207" s="143"/>
      <c r="G207" s="445"/>
      <c r="H207" s="445"/>
      <c r="I207" s="445">
        <v>2573116.8831168832</v>
      </c>
      <c r="J207" s="445">
        <v>2245714.2857142859</v>
      </c>
      <c r="K207" s="445">
        <f>+K206*$K$155/$K$154</f>
        <v>2189571.4285714286</v>
      </c>
      <c r="L207" s="445">
        <f>+L206*$L$155/$L$154</f>
        <v>2189571.4285714286</v>
      </c>
      <c r="M207" s="445">
        <f>+M206*$M$155/$M$154</f>
        <v>4379142.8571428573</v>
      </c>
      <c r="N207" s="445">
        <f>+N206*$N$155/$N$154</f>
        <v>4491428.5714285718</v>
      </c>
      <c r="O207" s="445">
        <f>+O206*$O$155/$O$154</f>
        <v>4491428.5714285718</v>
      </c>
      <c r="P207" s="445">
        <f>+P206*$P$155/$P$154</f>
        <v>6737142.8571428573</v>
      </c>
      <c r="Q207" s="445">
        <f>+Q206*$Q$155/$Q$154</f>
        <v>6737142.8571428573</v>
      </c>
      <c r="R207" s="445">
        <f>+R206*$R$155/$R$154</f>
        <v>6650769.230769231</v>
      </c>
      <c r="S207" s="1237"/>
      <c r="T207" s="446"/>
      <c r="U207" s="446"/>
      <c r="V207" s="445">
        <v>9366500</v>
      </c>
      <c r="W207" s="445">
        <v>6743880</v>
      </c>
      <c r="X207" s="445">
        <f>+X206*$X$155/$X$154</f>
        <v>5268656.25</v>
      </c>
      <c r="Y207" s="445">
        <f>+Y206*$Y$155/$Y$154</f>
        <v>4323000</v>
      </c>
      <c r="Z207" s="445">
        <f>+Z206*$Z$155/$Z$154</f>
        <v>7330304.3478260869</v>
      </c>
      <c r="AA207" s="445">
        <f>+AA206*$N$155/$N$154</f>
        <v>4491428.5714285718</v>
      </c>
      <c r="AB207" s="445">
        <f>+AB206*$AB$155/$AB$154</f>
        <v>5619900</v>
      </c>
      <c r="AC207" s="445">
        <f>+AC206*$AC$155/$AC$154</f>
        <v>7549119.4029850746</v>
      </c>
      <c r="AD207" s="445">
        <f>+AD206*$AD$155/$AD$154</f>
        <v>7024875</v>
      </c>
      <c r="AE207" s="445">
        <f>+AE206*$AE$155/$AE$154</f>
        <v>6650769.230769231</v>
      </c>
      <c r="AF207" s="1240"/>
      <c r="AG207" s="1196"/>
      <c r="AH207" s="790"/>
      <c r="AI207" s="790"/>
      <c r="AJ207" s="794"/>
      <c r="AK207" s="790"/>
      <c r="AL207" s="790"/>
      <c r="AM207" s="790"/>
      <c r="AN207" s="791"/>
      <c r="AO207" s="805"/>
      <c r="AP207" s="805"/>
      <c r="AQ207" s="786"/>
      <c r="AR207" s="786"/>
      <c r="AS207" s="786"/>
      <c r="AT207" s="786"/>
      <c r="AU207" s="787"/>
      <c r="AV207" s="787"/>
      <c r="AW207" s="787"/>
      <c r="AX207" s="785"/>
      <c r="AY207" s="1214"/>
    </row>
    <row r="208" spans="1:51" ht="18" customHeight="1" x14ac:dyDescent="0.25">
      <c r="A208" s="1195"/>
      <c r="B208" s="833"/>
      <c r="C208" s="809" t="s">
        <v>1309</v>
      </c>
      <c r="D208" s="141" t="s">
        <v>41</v>
      </c>
      <c r="E208" s="142"/>
      <c r="F208" s="143"/>
      <c r="G208" s="445"/>
      <c r="H208" s="445">
        <v>3</v>
      </c>
      <c r="I208" s="445">
        <v>4</v>
      </c>
      <c r="J208" s="445">
        <v>5</v>
      </c>
      <c r="K208" s="445">
        <v>5</v>
      </c>
      <c r="L208" s="445">
        <v>7</v>
      </c>
      <c r="M208" s="445">
        <v>8</v>
      </c>
      <c r="N208" s="448">
        <v>8</v>
      </c>
      <c r="O208" s="445">
        <v>8</v>
      </c>
      <c r="P208" s="445">
        <v>9</v>
      </c>
      <c r="Q208" s="445">
        <v>9</v>
      </c>
      <c r="R208" s="447">
        <v>9</v>
      </c>
      <c r="S208" s="1237"/>
      <c r="T208" s="446"/>
      <c r="U208" s="446">
        <v>3</v>
      </c>
      <c r="V208" s="446">
        <v>4</v>
      </c>
      <c r="W208" s="446">
        <v>5</v>
      </c>
      <c r="X208" s="446">
        <v>5</v>
      </c>
      <c r="Y208" s="446">
        <v>7</v>
      </c>
      <c r="Z208" s="446">
        <v>8</v>
      </c>
      <c r="AA208" s="448">
        <v>8</v>
      </c>
      <c r="AB208" s="445">
        <v>8</v>
      </c>
      <c r="AC208" s="1225">
        <v>9</v>
      </c>
      <c r="AD208" s="445">
        <v>9</v>
      </c>
      <c r="AE208" s="447">
        <v>9</v>
      </c>
      <c r="AF208" s="1233" t="s">
        <v>1059</v>
      </c>
      <c r="AG208" s="1194" t="s">
        <v>433</v>
      </c>
      <c r="AH208" s="788" t="s">
        <v>1120</v>
      </c>
      <c r="AI208" s="788" t="s">
        <v>1119</v>
      </c>
      <c r="AJ208" s="792" t="s">
        <v>913</v>
      </c>
      <c r="AK208" s="788" t="s">
        <v>315</v>
      </c>
      <c r="AL208" s="788" t="s">
        <v>70</v>
      </c>
      <c r="AM208" s="788" t="s">
        <v>316</v>
      </c>
      <c r="AN208" s="791">
        <v>388154</v>
      </c>
      <c r="AO208" s="805">
        <v>183971</v>
      </c>
      <c r="AP208" s="805">
        <v>204184</v>
      </c>
      <c r="AQ208" s="786" t="s">
        <v>317</v>
      </c>
      <c r="AR208" s="786" t="s">
        <v>317</v>
      </c>
      <c r="AS208" s="786" t="s">
        <v>317</v>
      </c>
      <c r="AT208" s="786" t="s">
        <v>317</v>
      </c>
      <c r="AU208" s="787" t="s">
        <v>317</v>
      </c>
      <c r="AV208" s="787" t="s">
        <v>317</v>
      </c>
      <c r="AW208" s="787" t="s">
        <v>317</v>
      </c>
      <c r="AX208" s="783">
        <v>388154</v>
      </c>
      <c r="AY208" s="1214"/>
    </row>
    <row r="209" spans="1:51" ht="18" customHeight="1" x14ac:dyDescent="0.25">
      <c r="A209" s="1195"/>
      <c r="B209" s="833"/>
      <c r="C209" s="809"/>
      <c r="D209" s="132" t="s">
        <v>3</v>
      </c>
      <c r="E209" s="142"/>
      <c r="F209" s="143"/>
      <c r="G209" s="445"/>
      <c r="H209" s="445">
        <v>7719350.6493506497</v>
      </c>
      <c r="I209" s="445">
        <v>10292467.532467533</v>
      </c>
      <c r="J209" s="445">
        <v>11228571.428571429</v>
      </c>
      <c r="K209" s="445">
        <f>+K208*$K$155/$K$154</f>
        <v>10947857.142857144</v>
      </c>
      <c r="L209" s="445">
        <f>+L208*$L$155/$L$154</f>
        <v>15327000</v>
      </c>
      <c r="M209" s="445">
        <f>+M208*$M$155/$M$154</f>
        <v>17516571.428571429</v>
      </c>
      <c r="N209" s="445">
        <f>+N208*$N$155/$N$154</f>
        <v>17965714.285714287</v>
      </c>
      <c r="O209" s="445">
        <f>+O208*$O$155/$O$154</f>
        <v>17965714.285714287</v>
      </c>
      <c r="P209" s="445">
        <f>+P208*$P$155/$P$154</f>
        <v>20211428.571428571</v>
      </c>
      <c r="Q209" s="445">
        <f>+Q208*$Q$155/$Q$154</f>
        <v>20211428.571428571</v>
      </c>
      <c r="R209" s="445">
        <f>+R208*$R$155/$R$154</f>
        <v>19952307.692307692</v>
      </c>
      <c r="S209" s="1237"/>
      <c r="T209" s="446"/>
      <c r="U209" s="445">
        <v>35370000</v>
      </c>
      <c r="V209" s="445">
        <v>37466000</v>
      </c>
      <c r="W209" s="445">
        <v>33719400</v>
      </c>
      <c r="X209" s="445">
        <f>+X208*$X$155/$X$154</f>
        <v>26343281.25</v>
      </c>
      <c r="Y209" s="445">
        <f>+Y208*$Y$155/$Y$154</f>
        <v>30261000</v>
      </c>
      <c r="Z209" s="445">
        <f>+Z208*$Z$155/$Z$154</f>
        <v>29321217.391304348</v>
      </c>
      <c r="AA209" s="445">
        <f>+AA208*$N$155/$N$154</f>
        <v>17965714.285714287</v>
      </c>
      <c r="AB209" s="445">
        <f>+AB208*$AB$155/$AB$154</f>
        <v>22479600</v>
      </c>
      <c r="AC209" s="445">
        <f>+AC208*$AC$155/$AC$154</f>
        <v>22647358.208955225</v>
      </c>
      <c r="AD209" s="445">
        <f>+AD208*$AD$155/$AD$154</f>
        <v>21074625</v>
      </c>
      <c r="AE209" s="445">
        <f>+AE208*$AE$155/$AE$154</f>
        <v>19952307.692307692</v>
      </c>
      <c r="AF209" s="1237"/>
      <c r="AG209" s="1195"/>
      <c r="AH209" s="789"/>
      <c r="AI209" s="789"/>
      <c r="AJ209" s="793"/>
      <c r="AK209" s="789"/>
      <c r="AL209" s="789"/>
      <c r="AM209" s="789"/>
      <c r="AN209" s="791"/>
      <c r="AO209" s="805"/>
      <c r="AP209" s="805"/>
      <c r="AQ209" s="786"/>
      <c r="AR209" s="786"/>
      <c r="AS209" s="786"/>
      <c r="AT209" s="786"/>
      <c r="AU209" s="787"/>
      <c r="AV209" s="787"/>
      <c r="AW209" s="787"/>
      <c r="AX209" s="784"/>
      <c r="AY209" s="1214"/>
    </row>
    <row r="210" spans="1:51" ht="27" customHeight="1" x14ac:dyDescent="0.25">
      <c r="A210" s="1195"/>
      <c r="B210" s="833"/>
      <c r="C210" s="809"/>
      <c r="D210" s="136" t="s">
        <v>42</v>
      </c>
      <c r="E210" s="142"/>
      <c r="F210" s="143"/>
      <c r="G210" s="445"/>
      <c r="H210" s="445"/>
      <c r="I210" s="445"/>
      <c r="J210" s="445"/>
      <c r="K210" s="445"/>
      <c r="L210" s="445"/>
      <c r="M210" s="445"/>
      <c r="N210" s="448"/>
      <c r="O210" s="445"/>
      <c r="P210" s="445"/>
      <c r="Q210" s="445"/>
      <c r="R210" s="447"/>
      <c r="S210" s="1237"/>
      <c r="T210" s="446"/>
      <c r="U210" s="446"/>
      <c r="V210" s="446"/>
      <c r="W210" s="446"/>
      <c r="X210" s="446"/>
      <c r="Y210" s="446"/>
      <c r="Z210" s="446"/>
      <c r="AA210" s="448"/>
      <c r="AB210" s="445"/>
      <c r="AC210" s="1225"/>
      <c r="AD210" s="445"/>
      <c r="AE210" s="447"/>
      <c r="AF210" s="1237"/>
      <c r="AG210" s="1195"/>
      <c r="AH210" s="789"/>
      <c r="AI210" s="789"/>
      <c r="AJ210" s="793"/>
      <c r="AK210" s="789"/>
      <c r="AL210" s="789"/>
      <c r="AM210" s="789"/>
      <c r="AN210" s="791"/>
      <c r="AO210" s="805"/>
      <c r="AP210" s="805"/>
      <c r="AQ210" s="786"/>
      <c r="AR210" s="786"/>
      <c r="AS210" s="786"/>
      <c r="AT210" s="786"/>
      <c r="AU210" s="787"/>
      <c r="AV210" s="787"/>
      <c r="AW210" s="787"/>
      <c r="AX210" s="784"/>
      <c r="AY210" s="1214"/>
    </row>
    <row r="211" spans="1:51" ht="27" customHeight="1" x14ac:dyDescent="0.25">
      <c r="A211" s="1195"/>
      <c r="B211" s="833"/>
      <c r="C211" s="809"/>
      <c r="D211" s="132" t="s">
        <v>4</v>
      </c>
      <c r="E211" s="142"/>
      <c r="F211" s="143"/>
      <c r="G211" s="445"/>
      <c r="H211" s="445"/>
      <c r="I211" s="445"/>
      <c r="J211" s="445"/>
      <c r="K211" s="445"/>
      <c r="L211" s="445"/>
      <c r="M211" s="445"/>
      <c r="N211" s="448"/>
      <c r="O211" s="445"/>
      <c r="P211" s="445"/>
      <c r="Q211" s="445"/>
      <c r="R211" s="447"/>
      <c r="S211" s="1237"/>
      <c r="T211" s="446"/>
      <c r="U211" s="443">
        <v>2428417.875</v>
      </c>
      <c r="V211" s="446"/>
      <c r="W211" s="446"/>
      <c r="X211" s="446"/>
      <c r="Y211" s="446"/>
      <c r="Z211" s="446"/>
      <c r="AA211" s="448"/>
      <c r="AB211" s="445"/>
      <c r="AC211" s="1225"/>
      <c r="AD211" s="445"/>
      <c r="AE211" s="447"/>
      <c r="AF211" s="1237"/>
      <c r="AG211" s="1195"/>
      <c r="AH211" s="789"/>
      <c r="AI211" s="789"/>
      <c r="AJ211" s="793"/>
      <c r="AK211" s="789"/>
      <c r="AL211" s="789"/>
      <c r="AM211" s="789"/>
      <c r="AN211" s="791"/>
      <c r="AO211" s="805"/>
      <c r="AP211" s="805"/>
      <c r="AQ211" s="786"/>
      <c r="AR211" s="786"/>
      <c r="AS211" s="786"/>
      <c r="AT211" s="786"/>
      <c r="AU211" s="787"/>
      <c r="AV211" s="787"/>
      <c r="AW211" s="787"/>
      <c r="AX211" s="784"/>
      <c r="AY211" s="1214"/>
    </row>
    <row r="212" spans="1:51" ht="27" customHeight="1" x14ac:dyDescent="0.25">
      <c r="A212" s="1195"/>
      <c r="B212" s="833"/>
      <c r="C212" s="809"/>
      <c r="D212" s="136" t="s">
        <v>43</v>
      </c>
      <c r="E212" s="142"/>
      <c r="F212" s="143"/>
      <c r="G212" s="445"/>
      <c r="H212" s="445">
        <v>3</v>
      </c>
      <c r="I212" s="445">
        <v>4</v>
      </c>
      <c r="J212" s="445">
        <v>5</v>
      </c>
      <c r="K212" s="445">
        <v>5</v>
      </c>
      <c r="L212" s="445">
        <v>7</v>
      </c>
      <c r="M212" s="445">
        <v>8</v>
      </c>
      <c r="N212" s="448">
        <v>8</v>
      </c>
      <c r="O212" s="445">
        <v>8</v>
      </c>
      <c r="P212" s="445">
        <v>9</v>
      </c>
      <c r="Q212" s="445">
        <v>9</v>
      </c>
      <c r="R212" s="447">
        <v>9</v>
      </c>
      <c r="S212" s="1237"/>
      <c r="T212" s="446"/>
      <c r="U212" s="446">
        <v>3</v>
      </c>
      <c r="V212" s="446">
        <v>4</v>
      </c>
      <c r="W212" s="446">
        <v>5</v>
      </c>
      <c r="X212" s="446">
        <v>5</v>
      </c>
      <c r="Y212" s="446">
        <v>7</v>
      </c>
      <c r="Z212" s="446">
        <v>8</v>
      </c>
      <c r="AA212" s="448">
        <v>8</v>
      </c>
      <c r="AB212" s="445">
        <v>8</v>
      </c>
      <c r="AC212" s="1225">
        <v>9</v>
      </c>
      <c r="AD212" s="445">
        <v>9</v>
      </c>
      <c r="AE212" s="447">
        <v>9</v>
      </c>
      <c r="AF212" s="1237"/>
      <c r="AG212" s="1195"/>
      <c r="AH212" s="789"/>
      <c r="AI212" s="789"/>
      <c r="AJ212" s="793"/>
      <c r="AK212" s="789"/>
      <c r="AL212" s="789"/>
      <c r="AM212" s="789"/>
      <c r="AN212" s="791"/>
      <c r="AO212" s="805"/>
      <c r="AP212" s="805"/>
      <c r="AQ212" s="786"/>
      <c r="AR212" s="786"/>
      <c r="AS212" s="786"/>
      <c r="AT212" s="786"/>
      <c r="AU212" s="787"/>
      <c r="AV212" s="787"/>
      <c r="AW212" s="787"/>
      <c r="AX212" s="784"/>
      <c r="AY212" s="1214"/>
    </row>
    <row r="213" spans="1:51" ht="27.75" customHeight="1" thickBot="1" x14ac:dyDescent="0.3">
      <c r="A213" s="1195"/>
      <c r="B213" s="833"/>
      <c r="C213" s="809"/>
      <c r="D213" s="140" t="s">
        <v>45</v>
      </c>
      <c r="E213" s="142"/>
      <c r="F213" s="143"/>
      <c r="G213" s="445"/>
      <c r="H213" s="445">
        <v>7719350.6493506497</v>
      </c>
      <c r="I213" s="445">
        <v>10292467.532467533</v>
      </c>
      <c r="J213" s="445">
        <v>11228571.428571429</v>
      </c>
      <c r="K213" s="445">
        <f>+K212*$K$155/$K$154</f>
        <v>10947857.142857144</v>
      </c>
      <c r="L213" s="445">
        <f>+L212*$L$155/$L$154</f>
        <v>15327000</v>
      </c>
      <c r="M213" s="445">
        <f>+M212*$M$155/$M$154</f>
        <v>17516571.428571429</v>
      </c>
      <c r="N213" s="445">
        <f>+N212*$N$155/$N$154</f>
        <v>17965714.285714287</v>
      </c>
      <c r="O213" s="445">
        <f>+O212*$O$155/$O$154</f>
        <v>17965714.285714287</v>
      </c>
      <c r="P213" s="445">
        <f>+P212*$P$155/$P$154</f>
        <v>20211428.571428571</v>
      </c>
      <c r="Q213" s="445">
        <f>+Q212*$Q$155/$Q$154</f>
        <v>20211428.571428571</v>
      </c>
      <c r="R213" s="445">
        <f>+R212*$R$155/$R$154</f>
        <v>19952307.692307692</v>
      </c>
      <c r="S213" s="1237"/>
      <c r="T213" s="446"/>
      <c r="U213" s="445">
        <v>35370000</v>
      </c>
      <c r="V213" s="445">
        <v>37466000</v>
      </c>
      <c r="W213" s="445">
        <v>33719400</v>
      </c>
      <c r="X213" s="445">
        <f>+X212*$X$155/$X$154</f>
        <v>26343281.25</v>
      </c>
      <c r="Y213" s="445">
        <f>+Y212*$Y$155/$Y$154</f>
        <v>30261000</v>
      </c>
      <c r="Z213" s="445">
        <f>+Z212*$Z$155/$Z$154</f>
        <v>29321217.391304348</v>
      </c>
      <c r="AA213" s="445">
        <f>+AA212*$N$155/$N$154</f>
        <v>17965714.285714287</v>
      </c>
      <c r="AB213" s="445">
        <f>+AB212*$AB$155/$AB$154</f>
        <v>22479600</v>
      </c>
      <c r="AC213" s="445">
        <f>+AC212*$AC$155/$AC$154</f>
        <v>22647358.208955225</v>
      </c>
      <c r="AD213" s="445">
        <f>+AD212*$AD$155/$AD$154</f>
        <v>21074625</v>
      </c>
      <c r="AE213" s="445">
        <f>+AE212*$AE$155/$AE$154</f>
        <v>19952307.692307692</v>
      </c>
      <c r="AF213" s="1241"/>
      <c r="AG213" s="1196"/>
      <c r="AH213" s="790"/>
      <c r="AI213" s="790"/>
      <c r="AJ213" s="794"/>
      <c r="AK213" s="790"/>
      <c r="AL213" s="790"/>
      <c r="AM213" s="790"/>
      <c r="AN213" s="791"/>
      <c r="AO213" s="805"/>
      <c r="AP213" s="805"/>
      <c r="AQ213" s="786"/>
      <c r="AR213" s="786"/>
      <c r="AS213" s="786"/>
      <c r="AT213" s="786"/>
      <c r="AU213" s="787"/>
      <c r="AV213" s="787"/>
      <c r="AW213" s="787"/>
      <c r="AX213" s="785"/>
      <c r="AY213" s="1214"/>
    </row>
    <row r="214" spans="1:51" ht="18" customHeight="1" x14ac:dyDescent="0.25">
      <c r="A214" s="1195"/>
      <c r="B214" s="833"/>
      <c r="C214" s="809" t="s">
        <v>437</v>
      </c>
      <c r="D214" s="141" t="s">
        <v>41</v>
      </c>
      <c r="E214" s="142"/>
      <c r="F214" s="143"/>
      <c r="G214" s="445">
        <v>1</v>
      </c>
      <c r="H214" s="445">
        <v>1</v>
      </c>
      <c r="I214" s="445">
        <v>1</v>
      </c>
      <c r="J214" s="445">
        <v>1</v>
      </c>
      <c r="K214" s="445">
        <v>1</v>
      </c>
      <c r="L214" s="445">
        <v>1</v>
      </c>
      <c r="M214" s="445">
        <v>1</v>
      </c>
      <c r="N214" s="448">
        <v>1</v>
      </c>
      <c r="O214" s="445">
        <v>3</v>
      </c>
      <c r="P214" s="445">
        <v>3</v>
      </c>
      <c r="Q214" s="445">
        <v>5</v>
      </c>
      <c r="R214" s="447">
        <v>5</v>
      </c>
      <c r="S214" s="1237"/>
      <c r="T214" s="446">
        <v>1</v>
      </c>
      <c r="U214" s="446">
        <v>1</v>
      </c>
      <c r="V214" s="446">
        <v>1</v>
      </c>
      <c r="W214" s="446">
        <v>1</v>
      </c>
      <c r="X214" s="446">
        <v>1</v>
      </c>
      <c r="Y214" s="446">
        <v>1</v>
      </c>
      <c r="Z214" s="446">
        <v>1</v>
      </c>
      <c r="AA214" s="448">
        <v>1</v>
      </c>
      <c r="AB214" s="445">
        <v>3</v>
      </c>
      <c r="AC214" s="1225">
        <v>3</v>
      </c>
      <c r="AD214" s="445">
        <v>5</v>
      </c>
      <c r="AE214" s="447">
        <v>5</v>
      </c>
      <c r="AF214" s="1233" t="s">
        <v>1275</v>
      </c>
      <c r="AG214" s="1194" t="s">
        <v>437</v>
      </c>
      <c r="AH214" s="788" t="s">
        <v>1009</v>
      </c>
      <c r="AI214" s="788" t="s">
        <v>1008</v>
      </c>
      <c r="AJ214" s="792" t="s">
        <v>913</v>
      </c>
      <c r="AK214" s="788" t="s">
        <v>315</v>
      </c>
      <c r="AL214" s="788" t="s">
        <v>70</v>
      </c>
      <c r="AM214" s="788" t="s">
        <v>316</v>
      </c>
      <c r="AN214" s="791">
        <v>840955</v>
      </c>
      <c r="AO214" s="805">
        <v>396682</v>
      </c>
      <c r="AP214" s="805">
        <v>444273</v>
      </c>
      <c r="AQ214" s="786" t="s">
        <v>317</v>
      </c>
      <c r="AR214" s="786" t="s">
        <v>317</v>
      </c>
      <c r="AS214" s="786" t="s">
        <v>317</v>
      </c>
      <c r="AT214" s="786" t="s">
        <v>317</v>
      </c>
      <c r="AU214" s="787" t="s">
        <v>317</v>
      </c>
      <c r="AV214" s="787" t="s">
        <v>317</v>
      </c>
      <c r="AW214" s="787" t="s">
        <v>317</v>
      </c>
      <c r="AX214" s="783">
        <v>840955</v>
      </c>
      <c r="AY214" s="1214"/>
    </row>
    <row r="215" spans="1:51" ht="18.75" customHeight="1" x14ac:dyDescent="0.25">
      <c r="A215" s="1195"/>
      <c r="B215" s="833"/>
      <c r="C215" s="809"/>
      <c r="D215" s="132" t="s">
        <v>3</v>
      </c>
      <c r="E215" s="142"/>
      <c r="F215" s="143"/>
      <c r="G215" s="445">
        <v>2573116.8831168832</v>
      </c>
      <c r="H215" s="445">
        <v>2573116.8831168832</v>
      </c>
      <c r="I215" s="445">
        <v>2573116.8831168832</v>
      </c>
      <c r="J215" s="445">
        <v>2245714.2857142859</v>
      </c>
      <c r="K215" s="445">
        <f>+K214*$K$155/$K$154</f>
        <v>2189571.4285714286</v>
      </c>
      <c r="L215" s="445">
        <f>+L214*$L$155/$L$154</f>
        <v>2189571.4285714286</v>
      </c>
      <c r="M215" s="445">
        <f>+M214*$M$155/$M$154</f>
        <v>2189571.4285714286</v>
      </c>
      <c r="N215" s="445">
        <f>+N214*$N$155/$N$154</f>
        <v>2245714.2857142859</v>
      </c>
      <c r="O215" s="445">
        <f>+O214*$O$155/$O$154</f>
        <v>6737142.8571428573</v>
      </c>
      <c r="P215" s="445">
        <f>+P214*$P$155/$P$154</f>
        <v>6737142.8571428573</v>
      </c>
      <c r="Q215" s="445">
        <f>+Q214*$Q$155/$Q$154</f>
        <v>11228571.428571429</v>
      </c>
      <c r="R215" s="445">
        <f>+R214*$R$155/$R$154</f>
        <v>11084615.384615384</v>
      </c>
      <c r="S215" s="1237"/>
      <c r="T215" s="445">
        <v>0</v>
      </c>
      <c r="U215" s="445">
        <v>11790000</v>
      </c>
      <c r="V215" s="445">
        <v>9366500</v>
      </c>
      <c r="W215" s="445">
        <v>6743880</v>
      </c>
      <c r="X215" s="445">
        <f>+X214*$X$155/$X$154</f>
        <v>5268656.25</v>
      </c>
      <c r="Y215" s="445">
        <f>+Y214*$Y$155/$Y$154</f>
        <v>4323000</v>
      </c>
      <c r="Z215" s="445">
        <f>+Z214*$Z$155/$Z$154</f>
        <v>3665152.1739130435</v>
      </c>
      <c r="AA215" s="445">
        <f>+AA214*$N$155/$N$154</f>
        <v>2245714.2857142859</v>
      </c>
      <c r="AB215" s="445">
        <f>+AB214*$AB$155/$AB$154</f>
        <v>8429850</v>
      </c>
      <c r="AC215" s="445">
        <f>+AC214*$AC$155/$AC$154</f>
        <v>7549119.4029850746</v>
      </c>
      <c r="AD215" s="445">
        <f>+AD214*$AD$155/$AD$154</f>
        <v>11708125</v>
      </c>
      <c r="AE215" s="445">
        <f>+AE214*$AE$155/$AE$154</f>
        <v>11084615.384615384</v>
      </c>
      <c r="AF215" s="1237"/>
      <c r="AG215" s="1195"/>
      <c r="AH215" s="789"/>
      <c r="AI215" s="789"/>
      <c r="AJ215" s="793"/>
      <c r="AK215" s="789"/>
      <c r="AL215" s="789"/>
      <c r="AM215" s="789"/>
      <c r="AN215" s="791"/>
      <c r="AO215" s="805"/>
      <c r="AP215" s="805"/>
      <c r="AQ215" s="786"/>
      <c r="AR215" s="786"/>
      <c r="AS215" s="786"/>
      <c r="AT215" s="786"/>
      <c r="AU215" s="787"/>
      <c r="AV215" s="787"/>
      <c r="AW215" s="787"/>
      <c r="AX215" s="784"/>
      <c r="AY215" s="1214"/>
    </row>
    <row r="216" spans="1:51" ht="27.75" customHeight="1" x14ac:dyDescent="0.25">
      <c r="A216" s="1195"/>
      <c r="B216" s="833"/>
      <c r="C216" s="809"/>
      <c r="D216" s="136" t="s">
        <v>42</v>
      </c>
      <c r="E216" s="142"/>
      <c r="F216" s="143"/>
      <c r="G216" s="445"/>
      <c r="H216" s="445"/>
      <c r="I216" s="445"/>
      <c r="J216" s="445"/>
      <c r="K216" s="445"/>
      <c r="L216" s="445"/>
      <c r="M216" s="445"/>
      <c r="N216" s="448"/>
      <c r="O216" s="445"/>
      <c r="P216" s="445"/>
      <c r="Q216" s="445"/>
      <c r="R216" s="447"/>
      <c r="S216" s="1237"/>
      <c r="T216" s="446"/>
      <c r="U216" s="446"/>
      <c r="V216" s="446"/>
      <c r="W216" s="446"/>
      <c r="X216" s="446"/>
      <c r="Y216" s="446"/>
      <c r="Z216" s="446"/>
      <c r="AA216" s="448"/>
      <c r="AB216" s="445"/>
      <c r="AC216" s="1225"/>
      <c r="AD216" s="445"/>
      <c r="AE216" s="447"/>
      <c r="AF216" s="1237"/>
      <c r="AG216" s="1195"/>
      <c r="AH216" s="789"/>
      <c r="AI216" s="789"/>
      <c r="AJ216" s="793"/>
      <c r="AK216" s="789"/>
      <c r="AL216" s="789"/>
      <c r="AM216" s="789"/>
      <c r="AN216" s="791"/>
      <c r="AO216" s="805"/>
      <c r="AP216" s="805"/>
      <c r="AQ216" s="786"/>
      <c r="AR216" s="786"/>
      <c r="AS216" s="786"/>
      <c r="AT216" s="786"/>
      <c r="AU216" s="787"/>
      <c r="AV216" s="787"/>
      <c r="AW216" s="787"/>
      <c r="AX216" s="784"/>
      <c r="AY216" s="1214"/>
    </row>
    <row r="217" spans="1:51" ht="27.75" customHeight="1" x14ac:dyDescent="0.25">
      <c r="A217" s="1195"/>
      <c r="B217" s="833"/>
      <c r="C217" s="809"/>
      <c r="D217" s="132" t="s">
        <v>4</v>
      </c>
      <c r="E217" s="142"/>
      <c r="F217" s="143"/>
      <c r="G217" s="445"/>
      <c r="H217" s="445"/>
      <c r="I217" s="445"/>
      <c r="J217" s="445"/>
      <c r="K217" s="445"/>
      <c r="L217" s="445"/>
      <c r="M217" s="445"/>
      <c r="N217" s="448"/>
      <c r="O217" s="445"/>
      <c r="P217" s="445"/>
      <c r="Q217" s="445"/>
      <c r="R217" s="447"/>
      <c r="S217" s="1237"/>
      <c r="T217" s="446"/>
      <c r="U217" s="443">
        <v>2428417.875</v>
      </c>
      <c r="V217" s="446"/>
      <c r="W217" s="446"/>
      <c r="X217" s="446"/>
      <c r="Y217" s="446"/>
      <c r="Z217" s="446"/>
      <c r="AA217" s="448"/>
      <c r="AB217" s="445"/>
      <c r="AC217" s="1225"/>
      <c r="AD217" s="445"/>
      <c r="AE217" s="447"/>
      <c r="AF217" s="1237"/>
      <c r="AG217" s="1195"/>
      <c r="AH217" s="789"/>
      <c r="AI217" s="789"/>
      <c r="AJ217" s="793"/>
      <c r="AK217" s="789"/>
      <c r="AL217" s="789"/>
      <c r="AM217" s="789"/>
      <c r="AN217" s="791"/>
      <c r="AO217" s="805"/>
      <c r="AP217" s="805"/>
      <c r="AQ217" s="786"/>
      <c r="AR217" s="786"/>
      <c r="AS217" s="786"/>
      <c r="AT217" s="786"/>
      <c r="AU217" s="787"/>
      <c r="AV217" s="787"/>
      <c r="AW217" s="787"/>
      <c r="AX217" s="784"/>
      <c r="AY217" s="1214"/>
    </row>
    <row r="218" spans="1:51" ht="27.75" customHeight="1" x14ac:dyDescent="0.25">
      <c r="A218" s="1195"/>
      <c r="B218" s="833"/>
      <c r="C218" s="809"/>
      <c r="D218" s="136" t="s">
        <v>43</v>
      </c>
      <c r="E218" s="142"/>
      <c r="F218" s="143"/>
      <c r="G218" s="445">
        <v>1</v>
      </c>
      <c r="H218" s="445">
        <v>1</v>
      </c>
      <c r="I218" s="445">
        <v>1</v>
      </c>
      <c r="J218" s="445">
        <v>1</v>
      </c>
      <c r="K218" s="445">
        <v>1</v>
      </c>
      <c r="L218" s="445">
        <v>1</v>
      </c>
      <c r="M218" s="445">
        <v>1</v>
      </c>
      <c r="N218" s="448">
        <v>1</v>
      </c>
      <c r="O218" s="445">
        <v>3</v>
      </c>
      <c r="P218" s="445">
        <v>3</v>
      </c>
      <c r="Q218" s="445">
        <v>5</v>
      </c>
      <c r="R218" s="447">
        <v>5</v>
      </c>
      <c r="S218" s="1237"/>
      <c r="T218" s="446">
        <v>1</v>
      </c>
      <c r="U218" s="446">
        <v>1</v>
      </c>
      <c r="V218" s="446">
        <v>1</v>
      </c>
      <c r="W218" s="446">
        <v>1</v>
      </c>
      <c r="X218" s="446">
        <v>1</v>
      </c>
      <c r="Y218" s="446">
        <v>1</v>
      </c>
      <c r="Z218" s="446">
        <v>1</v>
      </c>
      <c r="AA218" s="448">
        <v>1</v>
      </c>
      <c r="AB218" s="445">
        <v>3</v>
      </c>
      <c r="AC218" s="1225">
        <v>3</v>
      </c>
      <c r="AD218" s="445">
        <v>5</v>
      </c>
      <c r="AE218" s="447">
        <v>5</v>
      </c>
      <c r="AF218" s="1237"/>
      <c r="AG218" s="1195"/>
      <c r="AH218" s="789"/>
      <c r="AI218" s="789"/>
      <c r="AJ218" s="793"/>
      <c r="AK218" s="789"/>
      <c r="AL218" s="789"/>
      <c r="AM218" s="789"/>
      <c r="AN218" s="791"/>
      <c r="AO218" s="805"/>
      <c r="AP218" s="805"/>
      <c r="AQ218" s="786"/>
      <c r="AR218" s="786"/>
      <c r="AS218" s="786"/>
      <c r="AT218" s="786"/>
      <c r="AU218" s="787"/>
      <c r="AV218" s="787"/>
      <c r="AW218" s="787"/>
      <c r="AX218" s="784"/>
      <c r="AY218" s="1214"/>
    </row>
    <row r="219" spans="1:51" ht="27.75" customHeight="1" thickBot="1" x14ac:dyDescent="0.3">
      <c r="A219" s="1195"/>
      <c r="B219" s="833"/>
      <c r="C219" s="809"/>
      <c r="D219" s="140" t="s">
        <v>45</v>
      </c>
      <c r="E219" s="142"/>
      <c r="F219" s="143"/>
      <c r="G219" s="445">
        <v>2573116.8831168832</v>
      </c>
      <c r="H219" s="445">
        <v>2573116.8831168832</v>
      </c>
      <c r="I219" s="445">
        <v>2573116.8831168832</v>
      </c>
      <c r="J219" s="445">
        <v>2245714.2857142859</v>
      </c>
      <c r="K219" s="445">
        <f>+K218*$K$155/$K$154</f>
        <v>2189571.4285714286</v>
      </c>
      <c r="L219" s="445">
        <f>+L218*$L$155/$L$154</f>
        <v>2189571.4285714286</v>
      </c>
      <c r="M219" s="445">
        <f>+M218*$M$155/$M$154</f>
        <v>2189571.4285714286</v>
      </c>
      <c r="N219" s="445">
        <f>+N218*$N$155/$N$154</f>
        <v>2245714.2857142859</v>
      </c>
      <c r="O219" s="445">
        <f>+O218*$O$155/$O$154</f>
        <v>6737142.8571428573</v>
      </c>
      <c r="P219" s="445">
        <f>+P218*$P$155/$P$154</f>
        <v>6737142.8571428573</v>
      </c>
      <c r="Q219" s="445">
        <f>+Q218*$Q$155/$Q$154</f>
        <v>11228571.428571429</v>
      </c>
      <c r="R219" s="445">
        <f>+R218*$R$155/$R$154</f>
        <v>11084615.384615384</v>
      </c>
      <c r="S219" s="1237"/>
      <c r="T219" s="445">
        <v>0</v>
      </c>
      <c r="U219" s="445">
        <v>11790000</v>
      </c>
      <c r="V219" s="445">
        <v>9366500</v>
      </c>
      <c r="W219" s="445">
        <v>6743880</v>
      </c>
      <c r="X219" s="445">
        <f>+X218*$X$155/$X$154</f>
        <v>5268656.25</v>
      </c>
      <c r="Y219" s="445">
        <f>+Y218*$Y$155/$Y$154</f>
        <v>4323000</v>
      </c>
      <c r="Z219" s="445">
        <f>+Z218*$Z$155/$Z$154</f>
        <v>3665152.1739130435</v>
      </c>
      <c r="AA219" s="445">
        <f>+AA218*$N$155/$N$154</f>
        <v>2245714.2857142859</v>
      </c>
      <c r="AB219" s="445">
        <f>+AB218*$AB$155/$AB$154</f>
        <v>8429850</v>
      </c>
      <c r="AC219" s="445">
        <f>+AC218*$AC$155/$AC$154</f>
        <v>7549119.4029850746</v>
      </c>
      <c r="AD219" s="445">
        <f>+AD218*$AD$155/$AD$154</f>
        <v>11708125</v>
      </c>
      <c r="AE219" s="445">
        <f>+AE218*$AE$155/$AE$154</f>
        <v>11084615.384615384</v>
      </c>
      <c r="AF219" s="1241"/>
      <c r="AG219" s="1196"/>
      <c r="AH219" s="790"/>
      <c r="AI219" s="790"/>
      <c r="AJ219" s="794"/>
      <c r="AK219" s="790"/>
      <c r="AL219" s="790"/>
      <c r="AM219" s="790"/>
      <c r="AN219" s="791"/>
      <c r="AO219" s="805"/>
      <c r="AP219" s="805"/>
      <c r="AQ219" s="786"/>
      <c r="AR219" s="786"/>
      <c r="AS219" s="786"/>
      <c r="AT219" s="786"/>
      <c r="AU219" s="787"/>
      <c r="AV219" s="787"/>
      <c r="AW219" s="787"/>
      <c r="AX219" s="785"/>
      <c r="AY219" s="1214"/>
    </row>
    <row r="220" spans="1:51" ht="18" customHeight="1" x14ac:dyDescent="0.25">
      <c r="A220" s="1195"/>
      <c r="B220" s="833"/>
      <c r="C220" s="809" t="s">
        <v>1310</v>
      </c>
      <c r="D220" s="141" t="s">
        <v>41</v>
      </c>
      <c r="E220" s="142"/>
      <c r="F220" s="143"/>
      <c r="G220" s="445">
        <v>1</v>
      </c>
      <c r="H220" s="445">
        <v>1</v>
      </c>
      <c r="I220" s="445">
        <v>1</v>
      </c>
      <c r="J220" s="445">
        <v>2</v>
      </c>
      <c r="K220" s="445">
        <v>3</v>
      </c>
      <c r="L220" s="445">
        <v>4</v>
      </c>
      <c r="M220" s="445">
        <v>6</v>
      </c>
      <c r="N220" s="448">
        <v>6</v>
      </c>
      <c r="O220" s="445">
        <v>7</v>
      </c>
      <c r="P220" s="445">
        <v>7</v>
      </c>
      <c r="Q220" s="445">
        <v>8</v>
      </c>
      <c r="R220" s="447">
        <v>9</v>
      </c>
      <c r="S220" s="1237"/>
      <c r="T220" s="446">
        <v>1</v>
      </c>
      <c r="U220" s="446">
        <v>1</v>
      </c>
      <c r="V220" s="446">
        <v>1</v>
      </c>
      <c r="W220" s="446">
        <v>2</v>
      </c>
      <c r="X220" s="446">
        <v>3</v>
      </c>
      <c r="Y220" s="446">
        <v>4</v>
      </c>
      <c r="Z220" s="446">
        <v>6</v>
      </c>
      <c r="AA220" s="448">
        <v>6</v>
      </c>
      <c r="AB220" s="445">
        <v>7</v>
      </c>
      <c r="AC220" s="1225">
        <v>7</v>
      </c>
      <c r="AD220" s="445">
        <v>8</v>
      </c>
      <c r="AE220" s="447">
        <v>9</v>
      </c>
      <c r="AF220" s="1233" t="s">
        <v>1089</v>
      </c>
      <c r="AG220" s="1194" t="s">
        <v>441</v>
      </c>
      <c r="AH220" s="788" t="s">
        <v>1129</v>
      </c>
      <c r="AI220" s="788" t="s">
        <v>1128</v>
      </c>
      <c r="AJ220" s="792" t="s">
        <v>913</v>
      </c>
      <c r="AK220" s="788" t="s">
        <v>315</v>
      </c>
      <c r="AL220" s="788" t="s">
        <v>1132</v>
      </c>
      <c r="AM220" s="788" t="s">
        <v>316</v>
      </c>
      <c r="AN220" s="805">
        <v>1229903</v>
      </c>
      <c r="AO220" s="805">
        <v>579046</v>
      </c>
      <c r="AP220" s="805">
        <v>650857</v>
      </c>
      <c r="AQ220" s="786" t="s">
        <v>317</v>
      </c>
      <c r="AR220" s="786" t="s">
        <v>317</v>
      </c>
      <c r="AS220" s="786" t="s">
        <v>317</v>
      </c>
      <c r="AT220" s="786" t="s">
        <v>317</v>
      </c>
      <c r="AU220" s="787" t="s">
        <v>317</v>
      </c>
      <c r="AV220" s="787" t="s">
        <v>317</v>
      </c>
      <c r="AW220" s="787" t="s">
        <v>317</v>
      </c>
      <c r="AX220" s="783">
        <v>1229903</v>
      </c>
      <c r="AY220" s="1214"/>
    </row>
    <row r="221" spans="1:51" ht="18.75" customHeight="1" x14ac:dyDescent="0.25">
      <c r="A221" s="1195"/>
      <c r="B221" s="833"/>
      <c r="C221" s="809"/>
      <c r="D221" s="132" t="s">
        <v>3</v>
      </c>
      <c r="E221" s="142"/>
      <c r="F221" s="143"/>
      <c r="G221" s="445">
        <v>2573116.8831168832</v>
      </c>
      <c r="H221" s="445">
        <v>2573116.8831168832</v>
      </c>
      <c r="I221" s="445">
        <v>2573116.8831168832</v>
      </c>
      <c r="J221" s="445">
        <v>4491428.5714285718</v>
      </c>
      <c r="K221" s="445">
        <f>+K220*$K$155/$K$154</f>
        <v>6568714.2857142854</v>
      </c>
      <c r="L221" s="445">
        <f>+L220*$L$155/$L$154</f>
        <v>8758285.7142857146</v>
      </c>
      <c r="M221" s="445">
        <f>+M220*$M$155/$M$154</f>
        <v>13137428.571428571</v>
      </c>
      <c r="N221" s="445">
        <f>+N220*$N$155/$N$154</f>
        <v>13474285.714285715</v>
      </c>
      <c r="O221" s="445">
        <f>+O220*$O$155/$O$154</f>
        <v>15720000</v>
      </c>
      <c r="P221" s="445">
        <f>+P220*$P$155/$P$154</f>
        <v>15720000</v>
      </c>
      <c r="Q221" s="445">
        <f>+Q220*$Q$155/$Q$154</f>
        <v>17965714.285714287</v>
      </c>
      <c r="R221" s="445">
        <f>+R220*$R$155/$R$154</f>
        <v>19952307.692307692</v>
      </c>
      <c r="S221" s="1237"/>
      <c r="T221" s="445">
        <v>0</v>
      </c>
      <c r="U221" s="445">
        <v>11790000</v>
      </c>
      <c r="V221" s="445">
        <v>9366500</v>
      </c>
      <c r="W221" s="445">
        <v>13487760</v>
      </c>
      <c r="X221" s="445">
        <f>+X220*$X$155/$X$154</f>
        <v>15805968.75</v>
      </c>
      <c r="Y221" s="445">
        <f>+Y220*$Y$155/$Y$154</f>
        <v>17292000</v>
      </c>
      <c r="Z221" s="445">
        <f>+Z220*$Z$155/$Z$154</f>
        <v>21990913.043478262</v>
      </c>
      <c r="AA221" s="445">
        <f>+AA220*$N$155/$N$154</f>
        <v>13474285.714285715</v>
      </c>
      <c r="AB221" s="445">
        <f>+AB220*$AB$155/$AB$154</f>
        <v>19669650</v>
      </c>
      <c r="AC221" s="445">
        <f>+AC220*$AC$155/$AC$154</f>
        <v>17614611.940298509</v>
      </c>
      <c r="AD221" s="445">
        <f>+AD220*$AD$155/$AD$154</f>
        <v>18733000</v>
      </c>
      <c r="AE221" s="445">
        <f>+AE220*$AE$155/$AE$154</f>
        <v>19952307.692307692</v>
      </c>
      <c r="AF221" s="1237"/>
      <c r="AG221" s="1195"/>
      <c r="AH221" s="789"/>
      <c r="AI221" s="789"/>
      <c r="AJ221" s="793"/>
      <c r="AK221" s="789"/>
      <c r="AL221" s="789"/>
      <c r="AM221" s="789"/>
      <c r="AN221" s="805"/>
      <c r="AO221" s="805"/>
      <c r="AP221" s="805"/>
      <c r="AQ221" s="786"/>
      <c r="AR221" s="786"/>
      <c r="AS221" s="786"/>
      <c r="AT221" s="786"/>
      <c r="AU221" s="787"/>
      <c r="AV221" s="787"/>
      <c r="AW221" s="787"/>
      <c r="AX221" s="784"/>
      <c r="AY221" s="1214"/>
    </row>
    <row r="222" spans="1:51" ht="27.75" customHeight="1" x14ac:dyDescent="0.25">
      <c r="A222" s="1195"/>
      <c r="B222" s="833"/>
      <c r="C222" s="809"/>
      <c r="D222" s="136" t="s">
        <v>42</v>
      </c>
      <c r="E222" s="142"/>
      <c r="F222" s="143"/>
      <c r="G222" s="445"/>
      <c r="H222" s="445"/>
      <c r="I222" s="445"/>
      <c r="J222" s="445"/>
      <c r="K222" s="445"/>
      <c r="L222" s="445"/>
      <c r="M222" s="445"/>
      <c r="N222" s="448"/>
      <c r="O222" s="445"/>
      <c r="P222" s="445"/>
      <c r="Q222" s="445"/>
      <c r="R222" s="447"/>
      <c r="S222" s="1237"/>
      <c r="T222" s="446"/>
      <c r="U222" s="446"/>
      <c r="V222" s="446"/>
      <c r="W222" s="446"/>
      <c r="X222" s="446"/>
      <c r="Y222" s="446"/>
      <c r="Z222" s="446"/>
      <c r="AA222" s="448"/>
      <c r="AB222" s="445"/>
      <c r="AC222" s="1225"/>
      <c r="AD222" s="445"/>
      <c r="AE222" s="447"/>
      <c r="AF222" s="1237"/>
      <c r="AG222" s="1195"/>
      <c r="AH222" s="789"/>
      <c r="AI222" s="789"/>
      <c r="AJ222" s="793"/>
      <c r="AK222" s="789"/>
      <c r="AL222" s="789"/>
      <c r="AM222" s="789"/>
      <c r="AN222" s="805"/>
      <c r="AO222" s="805"/>
      <c r="AP222" s="805"/>
      <c r="AQ222" s="786"/>
      <c r="AR222" s="786"/>
      <c r="AS222" s="786"/>
      <c r="AT222" s="786"/>
      <c r="AU222" s="787"/>
      <c r="AV222" s="787"/>
      <c r="AW222" s="787"/>
      <c r="AX222" s="784"/>
      <c r="AY222" s="1214"/>
    </row>
    <row r="223" spans="1:51" ht="27.75" customHeight="1" x14ac:dyDescent="0.25">
      <c r="A223" s="1195"/>
      <c r="B223" s="833"/>
      <c r="C223" s="809"/>
      <c r="D223" s="132" t="s">
        <v>4</v>
      </c>
      <c r="E223" s="142"/>
      <c r="F223" s="143"/>
      <c r="G223" s="445"/>
      <c r="H223" s="445"/>
      <c r="I223" s="445"/>
      <c r="J223" s="445"/>
      <c r="K223" s="445"/>
      <c r="L223" s="445"/>
      <c r="M223" s="445"/>
      <c r="N223" s="448"/>
      <c r="O223" s="445"/>
      <c r="P223" s="445"/>
      <c r="Q223" s="445"/>
      <c r="R223" s="447"/>
      <c r="S223" s="1237"/>
      <c r="T223" s="446"/>
      <c r="U223" s="443">
        <v>2428417.875</v>
      </c>
      <c r="V223" s="446"/>
      <c r="W223" s="446"/>
      <c r="X223" s="446"/>
      <c r="Y223" s="446"/>
      <c r="Z223" s="446"/>
      <c r="AA223" s="448"/>
      <c r="AB223" s="445"/>
      <c r="AC223" s="1225"/>
      <c r="AD223" s="445"/>
      <c r="AE223" s="447"/>
      <c r="AF223" s="1237"/>
      <c r="AG223" s="1195"/>
      <c r="AH223" s="789"/>
      <c r="AI223" s="789"/>
      <c r="AJ223" s="793"/>
      <c r="AK223" s="789"/>
      <c r="AL223" s="789"/>
      <c r="AM223" s="789"/>
      <c r="AN223" s="805"/>
      <c r="AO223" s="805"/>
      <c r="AP223" s="805"/>
      <c r="AQ223" s="786"/>
      <c r="AR223" s="786"/>
      <c r="AS223" s="786"/>
      <c r="AT223" s="786"/>
      <c r="AU223" s="787"/>
      <c r="AV223" s="787"/>
      <c r="AW223" s="787"/>
      <c r="AX223" s="784"/>
      <c r="AY223" s="1214"/>
    </row>
    <row r="224" spans="1:51" ht="27.75" customHeight="1" x14ac:dyDescent="0.25">
      <c r="A224" s="1195"/>
      <c r="B224" s="833"/>
      <c r="C224" s="809"/>
      <c r="D224" s="136" t="s">
        <v>43</v>
      </c>
      <c r="E224" s="142"/>
      <c r="F224" s="143"/>
      <c r="G224" s="445">
        <v>1</v>
      </c>
      <c r="H224" s="445">
        <v>1</v>
      </c>
      <c r="I224" s="445">
        <v>1</v>
      </c>
      <c r="J224" s="445">
        <v>2</v>
      </c>
      <c r="K224" s="445">
        <v>3</v>
      </c>
      <c r="L224" s="445">
        <v>4</v>
      </c>
      <c r="M224" s="445">
        <v>6</v>
      </c>
      <c r="N224" s="448">
        <v>6</v>
      </c>
      <c r="O224" s="445">
        <v>7</v>
      </c>
      <c r="P224" s="445">
        <v>7</v>
      </c>
      <c r="Q224" s="445">
        <v>8</v>
      </c>
      <c r="R224" s="447">
        <v>9</v>
      </c>
      <c r="S224" s="1237"/>
      <c r="T224" s="446">
        <v>1</v>
      </c>
      <c r="U224" s="446">
        <v>1</v>
      </c>
      <c r="V224" s="446">
        <v>1</v>
      </c>
      <c r="W224" s="446">
        <v>2</v>
      </c>
      <c r="X224" s="446">
        <v>3</v>
      </c>
      <c r="Y224" s="446">
        <v>4</v>
      </c>
      <c r="Z224" s="446">
        <v>6</v>
      </c>
      <c r="AA224" s="448">
        <v>6</v>
      </c>
      <c r="AB224" s="445">
        <v>7</v>
      </c>
      <c r="AC224" s="1225">
        <v>7</v>
      </c>
      <c r="AD224" s="445">
        <v>8</v>
      </c>
      <c r="AE224" s="447">
        <v>9</v>
      </c>
      <c r="AF224" s="1237"/>
      <c r="AG224" s="1195"/>
      <c r="AH224" s="789"/>
      <c r="AI224" s="789"/>
      <c r="AJ224" s="793"/>
      <c r="AK224" s="789"/>
      <c r="AL224" s="789"/>
      <c r="AM224" s="789"/>
      <c r="AN224" s="805"/>
      <c r="AO224" s="805"/>
      <c r="AP224" s="805"/>
      <c r="AQ224" s="786"/>
      <c r="AR224" s="786"/>
      <c r="AS224" s="786"/>
      <c r="AT224" s="786"/>
      <c r="AU224" s="787"/>
      <c r="AV224" s="787"/>
      <c r="AW224" s="787"/>
      <c r="AX224" s="784"/>
      <c r="AY224" s="1214"/>
    </row>
    <row r="225" spans="1:51" ht="27.75" customHeight="1" thickBot="1" x14ac:dyDescent="0.3">
      <c r="A225" s="1195"/>
      <c r="B225" s="833"/>
      <c r="C225" s="809"/>
      <c r="D225" s="140" t="s">
        <v>45</v>
      </c>
      <c r="E225" s="142"/>
      <c r="F225" s="143"/>
      <c r="G225" s="445">
        <v>2573116.8831168832</v>
      </c>
      <c r="H225" s="445">
        <v>2573116.8831168832</v>
      </c>
      <c r="I225" s="445">
        <v>2573116.8831168832</v>
      </c>
      <c r="J225" s="445">
        <v>4491428.5714285718</v>
      </c>
      <c r="K225" s="445">
        <f>+K224*$K$155/$K$154</f>
        <v>6568714.2857142854</v>
      </c>
      <c r="L225" s="445">
        <f>+L224*$L$155/$L$154</f>
        <v>8758285.7142857146</v>
      </c>
      <c r="M225" s="445">
        <f>+M224*$M$155/$M$154</f>
        <v>13137428.571428571</v>
      </c>
      <c r="N225" s="445">
        <f>+N224*$N$155/$N$154</f>
        <v>13474285.714285715</v>
      </c>
      <c r="O225" s="445">
        <f>+O224*$O$155/$O$154</f>
        <v>15720000</v>
      </c>
      <c r="P225" s="445">
        <f>+P224*$P$155/$P$154</f>
        <v>15720000</v>
      </c>
      <c r="Q225" s="445">
        <f>+Q224*$Q$155/$Q$154</f>
        <v>17965714.285714287</v>
      </c>
      <c r="R225" s="445">
        <f>+R224*$R$155/$R$154</f>
        <v>19952307.692307692</v>
      </c>
      <c r="S225" s="1237"/>
      <c r="T225" s="445">
        <v>0</v>
      </c>
      <c r="U225" s="445">
        <v>11790000</v>
      </c>
      <c r="V225" s="445">
        <v>9366500</v>
      </c>
      <c r="W225" s="445">
        <v>13487760</v>
      </c>
      <c r="X225" s="445">
        <f>+X224*$X$155/$X$154</f>
        <v>15805968.75</v>
      </c>
      <c r="Y225" s="445">
        <f>+Y224*$Y$155/$Y$154</f>
        <v>17292000</v>
      </c>
      <c r="Z225" s="445">
        <f>+Z224*$Z$155/$Z$154</f>
        <v>21990913.043478262</v>
      </c>
      <c r="AA225" s="445">
        <f>+AA224*$N$155/$N$154</f>
        <v>13474285.714285715</v>
      </c>
      <c r="AB225" s="445">
        <f>+AB224*$AB$155/$AB$154</f>
        <v>19669650</v>
      </c>
      <c r="AC225" s="445">
        <f>+AC224*$AC$155/$AC$154</f>
        <v>17614611.940298509</v>
      </c>
      <c r="AD225" s="445">
        <f>+AD224*$AD$155/$AD$154</f>
        <v>18733000</v>
      </c>
      <c r="AE225" s="445">
        <f>+AE224*$AE$155/$AE$154</f>
        <v>19952307.692307692</v>
      </c>
      <c r="AF225" s="1241"/>
      <c r="AG225" s="1196"/>
      <c r="AH225" s="790"/>
      <c r="AI225" s="790"/>
      <c r="AJ225" s="794"/>
      <c r="AK225" s="790"/>
      <c r="AL225" s="790"/>
      <c r="AM225" s="790"/>
      <c r="AN225" s="805"/>
      <c r="AO225" s="805"/>
      <c r="AP225" s="805"/>
      <c r="AQ225" s="786"/>
      <c r="AR225" s="786"/>
      <c r="AS225" s="786"/>
      <c r="AT225" s="786"/>
      <c r="AU225" s="787"/>
      <c r="AV225" s="787"/>
      <c r="AW225" s="787"/>
      <c r="AX225" s="785"/>
      <c r="AY225" s="1214"/>
    </row>
    <row r="226" spans="1:51" ht="18" customHeight="1" x14ac:dyDescent="0.25">
      <c r="A226" s="1195"/>
      <c r="B226" s="833"/>
      <c r="C226" s="809" t="s">
        <v>1311</v>
      </c>
      <c r="D226" s="141" t="s">
        <v>41</v>
      </c>
      <c r="E226" s="142"/>
      <c r="F226" s="143"/>
      <c r="G226" s="445">
        <v>1</v>
      </c>
      <c r="H226" s="445">
        <v>1</v>
      </c>
      <c r="I226" s="445">
        <v>1</v>
      </c>
      <c r="J226" s="445">
        <v>2</v>
      </c>
      <c r="K226" s="445">
        <v>2</v>
      </c>
      <c r="L226" s="445">
        <v>4</v>
      </c>
      <c r="M226" s="445">
        <v>4</v>
      </c>
      <c r="N226" s="448">
        <v>7</v>
      </c>
      <c r="O226" s="445">
        <v>10</v>
      </c>
      <c r="P226" s="445">
        <v>11</v>
      </c>
      <c r="Q226" s="445">
        <v>11</v>
      </c>
      <c r="R226" s="447">
        <v>11</v>
      </c>
      <c r="S226" s="1237"/>
      <c r="T226" s="446">
        <v>1</v>
      </c>
      <c r="U226" s="446">
        <v>1</v>
      </c>
      <c r="V226" s="446">
        <v>1</v>
      </c>
      <c r="W226" s="446">
        <v>2</v>
      </c>
      <c r="X226" s="446">
        <v>2</v>
      </c>
      <c r="Y226" s="446">
        <v>4</v>
      </c>
      <c r="Z226" s="446">
        <v>4</v>
      </c>
      <c r="AA226" s="448">
        <v>7</v>
      </c>
      <c r="AB226" s="445">
        <v>10</v>
      </c>
      <c r="AC226" s="1225">
        <v>11</v>
      </c>
      <c r="AD226" s="445">
        <v>11</v>
      </c>
      <c r="AE226" s="447">
        <v>11</v>
      </c>
      <c r="AF226" s="1233" t="s">
        <v>1276</v>
      </c>
      <c r="AG226" s="1194" t="s">
        <v>446</v>
      </c>
      <c r="AH226" s="788" t="s">
        <v>915</v>
      </c>
      <c r="AI226" s="788" t="s">
        <v>1117</v>
      </c>
      <c r="AJ226" s="792" t="s">
        <v>913</v>
      </c>
      <c r="AK226" s="788" t="s">
        <v>315</v>
      </c>
      <c r="AL226" s="788" t="s">
        <v>70</v>
      </c>
      <c r="AM226" s="788" t="s">
        <v>316</v>
      </c>
      <c r="AN226" s="878">
        <v>138605</v>
      </c>
      <c r="AO226" s="805">
        <v>65263</v>
      </c>
      <c r="AP226" s="805">
        <v>73342</v>
      </c>
      <c r="AQ226" s="786" t="s">
        <v>317</v>
      </c>
      <c r="AR226" s="786" t="s">
        <v>317</v>
      </c>
      <c r="AS226" s="786" t="s">
        <v>317</v>
      </c>
      <c r="AT226" s="786" t="s">
        <v>317</v>
      </c>
      <c r="AU226" s="787" t="s">
        <v>317</v>
      </c>
      <c r="AV226" s="787" t="s">
        <v>317</v>
      </c>
      <c r="AW226" s="787" t="s">
        <v>317</v>
      </c>
      <c r="AX226" s="783">
        <v>138605</v>
      </c>
      <c r="AY226" s="1214"/>
    </row>
    <row r="227" spans="1:51" ht="18.75" customHeight="1" x14ac:dyDescent="0.25">
      <c r="A227" s="1195"/>
      <c r="B227" s="833"/>
      <c r="C227" s="809"/>
      <c r="D227" s="132" t="s">
        <v>3</v>
      </c>
      <c r="E227" s="142"/>
      <c r="F227" s="143"/>
      <c r="G227" s="445">
        <v>2573116.8831168832</v>
      </c>
      <c r="H227" s="445">
        <v>2573116.8831168832</v>
      </c>
      <c r="I227" s="445">
        <v>2573116.8831168832</v>
      </c>
      <c r="J227" s="445">
        <v>4491428.5714285718</v>
      </c>
      <c r="K227" s="445">
        <f>+K226*$K$155/$K$154</f>
        <v>4379142.8571428573</v>
      </c>
      <c r="L227" s="445">
        <f>+L226*$L$155/$L$154</f>
        <v>8758285.7142857146</v>
      </c>
      <c r="M227" s="445">
        <f>+M226*$M$155/$M$154</f>
        <v>8758285.7142857146</v>
      </c>
      <c r="N227" s="445">
        <f>+N226*$N$155/$N$154</f>
        <v>15720000</v>
      </c>
      <c r="O227" s="445">
        <f>+O226*$O$155/$O$154</f>
        <v>22457142.857142858</v>
      </c>
      <c r="P227" s="445">
        <f>+P226*$P$155/$P$154</f>
        <v>24702857.142857142</v>
      </c>
      <c r="Q227" s="445">
        <f>+Q226*$Q$155/$Q$154</f>
        <v>24702857.142857142</v>
      </c>
      <c r="R227" s="445">
        <f>+R226*$R$155/$R$154</f>
        <v>24386153.846153848</v>
      </c>
      <c r="S227" s="1237"/>
      <c r="T227" s="445">
        <v>0</v>
      </c>
      <c r="U227" s="445">
        <v>11790000</v>
      </c>
      <c r="V227" s="445">
        <v>9366500</v>
      </c>
      <c r="W227" s="445">
        <v>13487760</v>
      </c>
      <c r="X227" s="445">
        <f>+X226*$X$155/$X$154</f>
        <v>10537312.5</v>
      </c>
      <c r="Y227" s="445">
        <f>+Y226*$Y$155/$Y$154</f>
        <v>17292000</v>
      </c>
      <c r="Z227" s="445">
        <f>+Z226*$Z$155/$Z$154</f>
        <v>14660608.695652174</v>
      </c>
      <c r="AA227" s="445">
        <f>+AA226*$N$155/$N$154</f>
        <v>15720000</v>
      </c>
      <c r="AB227" s="445">
        <f>+AB226*$AB$155/$AB$154</f>
        <v>28099500</v>
      </c>
      <c r="AC227" s="445">
        <f>+AC226*$AC$155/$AC$154</f>
        <v>27680104.47761194</v>
      </c>
      <c r="AD227" s="445">
        <f>+AD226*$AD$155/$AD$154</f>
        <v>25757875</v>
      </c>
      <c r="AE227" s="445">
        <f>+AE226*$AE$155/$AE$154</f>
        <v>24386153.846153848</v>
      </c>
      <c r="AF227" s="1237"/>
      <c r="AG227" s="1195"/>
      <c r="AH227" s="789"/>
      <c r="AI227" s="789"/>
      <c r="AJ227" s="793"/>
      <c r="AK227" s="789"/>
      <c r="AL227" s="789"/>
      <c r="AM227" s="789"/>
      <c r="AN227" s="879"/>
      <c r="AO227" s="805"/>
      <c r="AP227" s="805"/>
      <c r="AQ227" s="786"/>
      <c r="AR227" s="786"/>
      <c r="AS227" s="786"/>
      <c r="AT227" s="786"/>
      <c r="AU227" s="787"/>
      <c r="AV227" s="787"/>
      <c r="AW227" s="787"/>
      <c r="AX227" s="784"/>
      <c r="AY227" s="1214"/>
    </row>
    <row r="228" spans="1:51" ht="27.75" customHeight="1" x14ac:dyDescent="0.25">
      <c r="A228" s="1195"/>
      <c r="B228" s="833"/>
      <c r="C228" s="809"/>
      <c r="D228" s="136" t="s">
        <v>42</v>
      </c>
      <c r="E228" s="142"/>
      <c r="F228" s="143"/>
      <c r="G228" s="445"/>
      <c r="H228" s="445"/>
      <c r="I228" s="445"/>
      <c r="J228" s="445"/>
      <c r="K228" s="445"/>
      <c r="L228" s="445"/>
      <c r="M228" s="445"/>
      <c r="N228" s="448"/>
      <c r="O228" s="445"/>
      <c r="P228" s="445"/>
      <c r="Q228" s="445"/>
      <c r="R228" s="447"/>
      <c r="S228" s="1237"/>
      <c r="T228" s="446"/>
      <c r="U228" s="446"/>
      <c r="V228" s="446"/>
      <c r="W228" s="446"/>
      <c r="X228" s="446"/>
      <c r="Y228" s="446"/>
      <c r="Z228" s="446"/>
      <c r="AA228" s="448"/>
      <c r="AB228" s="445"/>
      <c r="AC228" s="1225"/>
      <c r="AD228" s="445"/>
      <c r="AE228" s="447"/>
      <c r="AF228" s="1237"/>
      <c r="AG228" s="1195"/>
      <c r="AH228" s="789"/>
      <c r="AI228" s="789"/>
      <c r="AJ228" s="793"/>
      <c r="AK228" s="789"/>
      <c r="AL228" s="789"/>
      <c r="AM228" s="789"/>
      <c r="AN228" s="879"/>
      <c r="AO228" s="805"/>
      <c r="AP228" s="805"/>
      <c r="AQ228" s="786"/>
      <c r="AR228" s="786"/>
      <c r="AS228" s="786"/>
      <c r="AT228" s="786"/>
      <c r="AU228" s="787"/>
      <c r="AV228" s="787"/>
      <c r="AW228" s="787"/>
      <c r="AX228" s="784"/>
      <c r="AY228" s="1214"/>
    </row>
    <row r="229" spans="1:51" ht="27.75" customHeight="1" x14ac:dyDescent="0.25">
      <c r="A229" s="1195"/>
      <c r="B229" s="833"/>
      <c r="C229" s="809"/>
      <c r="D229" s="132" t="s">
        <v>4</v>
      </c>
      <c r="E229" s="142"/>
      <c r="F229" s="143"/>
      <c r="G229" s="445"/>
      <c r="H229" s="445"/>
      <c r="I229" s="445"/>
      <c r="J229" s="445"/>
      <c r="K229" s="445"/>
      <c r="L229" s="445"/>
      <c r="M229" s="445"/>
      <c r="N229" s="448"/>
      <c r="O229" s="445"/>
      <c r="P229" s="445"/>
      <c r="Q229" s="445"/>
      <c r="R229" s="447"/>
      <c r="S229" s="1237"/>
      <c r="T229" s="446"/>
      <c r="U229" s="443">
        <v>2428417.875</v>
      </c>
      <c r="V229" s="446"/>
      <c r="W229" s="446"/>
      <c r="X229" s="446"/>
      <c r="Y229" s="446"/>
      <c r="Z229" s="446"/>
      <c r="AA229" s="448"/>
      <c r="AB229" s="445"/>
      <c r="AC229" s="1225"/>
      <c r="AD229" s="445"/>
      <c r="AE229" s="447"/>
      <c r="AF229" s="1237"/>
      <c r="AG229" s="1195"/>
      <c r="AH229" s="789"/>
      <c r="AI229" s="789"/>
      <c r="AJ229" s="793"/>
      <c r="AK229" s="789"/>
      <c r="AL229" s="789"/>
      <c r="AM229" s="789"/>
      <c r="AN229" s="879"/>
      <c r="AO229" s="805"/>
      <c r="AP229" s="805"/>
      <c r="AQ229" s="786"/>
      <c r="AR229" s="786"/>
      <c r="AS229" s="786"/>
      <c r="AT229" s="786"/>
      <c r="AU229" s="787"/>
      <c r="AV229" s="787"/>
      <c r="AW229" s="787"/>
      <c r="AX229" s="784"/>
      <c r="AY229" s="1214"/>
    </row>
    <row r="230" spans="1:51" ht="27.75" customHeight="1" x14ac:dyDescent="0.25">
      <c r="A230" s="1195"/>
      <c r="B230" s="833"/>
      <c r="C230" s="809"/>
      <c r="D230" s="136" t="s">
        <v>43</v>
      </c>
      <c r="E230" s="142"/>
      <c r="F230" s="143"/>
      <c r="G230" s="445">
        <v>1</v>
      </c>
      <c r="H230" s="445">
        <v>1</v>
      </c>
      <c r="I230" s="445">
        <v>1</v>
      </c>
      <c r="J230" s="445">
        <v>2</v>
      </c>
      <c r="K230" s="445">
        <v>2</v>
      </c>
      <c r="L230" s="445">
        <v>4</v>
      </c>
      <c r="M230" s="445">
        <v>4</v>
      </c>
      <c r="N230" s="448">
        <v>7</v>
      </c>
      <c r="O230" s="445">
        <v>10</v>
      </c>
      <c r="P230" s="445">
        <v>11</v>
      </c>
      <c r="Q230" s="445">
        <v>11</v>
      </c>
      <c r="R230" s="447">
        <v>11</v>
      </c>
      <c r="S230" s="1237"/>
      <c r="T230" s="446">
        <v>1</v>
      </c>
      <c r="U230" s="446">
        <v>1</v>
      </c>
      <c r="V230" s="446">
        <v>1</v>
      </c>
      <c r="W230" s="446">
        <v>2</v>
      </c>
      <c r="X230" s="446">
        <v>2</v>
      </c>
      <c r="Y230" s="446">
        <v>4</v>
      </c>
      <c r="Z230" s="446">
        <v>4</v>
      </c>
      <c r="AA230" s="448">
        <v>7</v>
      </c>
      <c r="AB230" s="445">
        <v>10</v>
      </c>
      <c r="AC230" s="1225">
        <v>11</v>
      </c>
      <c r="AD230" s="445">
        <v>11</v>
      </c>
      <c r="AE230" s="447">
        <v>11</v>
      </c>
      <c r="AF230" s="1237"/>
      <c r="AG230" s="1195"/>
      <c r="AH230" s="789"/>
      <c r="AI230" s="789"/>
      <c r="AJ230" s="793"/>
      <c r="AK230" s="789"/>
      <c r="AL230" s="789"/>
      <c r="AM230" s="789"/>
      <c r="AN230" s="879"/>
      <c r="AO230" s="805"/>
      <c r="AP230" s="805"/>
      <c r="AQ230" s="786"/>
      <c r="AR230" s="786"/>
      <c r="AS230" s="786"/>
      <c r="AT230" s="786"/>
      <c r="AU230" s="787"/>
      <c r="AV230" s="787"/>
      <c r="AW230" s="787"/>
      <c r="AX230" s="784"/>
      <c r="AY230" s="1214"/>
    </row>
    <row r="231" spans="1:51" ht="27.75" customHeight="1" thickBot="1" x14ac:dyDescent="0.3">
      <c r="A231" s="1195"/>
      <c r="B231" s="833"/>
      <c r="C231" s="809"/>
      <c r="D231" s="140" t="s">
        <v>45</v>
      </c>
      <c r="E231" s="142"/>
      <c r="F231" s="143"/>
      <c r="G231" s="445">
        <v>2573116.8831168832</v>
      </c>
      <c r="H231" s="445">
        <v>2573116.8831168832</v>
      </c>
      <c r="I231" s="445">
        <v>2573116.8831168832</v>
      </c>
      <c r="J231" s="445">
        <v>4491428.5714285718</v>
      </c>
      <c r="K231" s="445">
        <f>+K230*$K$155/$K$154</f>
        <v>4379142.8571428573</v>
      </c>
      <c r="L231" s="445">
        <f>+L230*$L$155/$L$154</f>
        <v>8758285.7142857146</v>
      </c>
      <c r="M231" s="445">
        <f>+M230*$M$155/$M$154</f>
        <v>8758285.7142857146</v>
      </c>
      <c r="N231" s="445">
        <f>+N230*$N$155/$N$154</f>
        <v>15720000</v>
      </c>
      <c r="O231" s="445">
        <f>+O230*$O$155/$O$154</f>
        <v>22457142.857142858</v>
      </c>
      <c r="P231" s="445">
        <f>+P230*$P$155/$P$154</f>
        <v>24702857.142857142</v>
      </c>
      <c r="Q231" s="445">
        <f>+Q230*$Q$155/$Q$154</f>
        <v>24702857.142857142</v>
      </c>
      <c r="R231" s="445">
        <f>+R230*$R$155/$R$154</f>
        <v>24386153.846153848</v>
      </c>
      <c r="S231" s="1237"/>
      <c r="T231" s="445">
        <v>0</v>
      </c>
      <c r="U231" s="445">
        <v>11790000</v>
      </c>
      <c r="V231" s="445">
        <v>9366500</v>
      </c>
      <c r="W231" s="445">
        <v>13487760</v>
      </c>
      <c r="X231" s="445">
        <f>+X230*$X$155/$X$154</f>
        <v>10537312.5</v>
      </c>
      <c r="Y231" s="445">
        <f>+Y230*$Y$155/$Y$154</f>
        <v>17292000</v>
      </c>
      <c r="Z231" s="445">
        <f>+Z230*$Z$155/$Z$154</f>
        <v>14660608.695652174</v>
      </c>
      <c r="AA231" s="445">
        <f>+AA230*$N$155/$N$154</f>
        <v>15720000</v>
      </c>
      <c r="AB231" s="445">
        <f>+AB230*$AB$155/$AB$154</f>
        <v>28099500</v>
      </c>
      <c r="AC231" s="445">
        <f>+AC230*$AC$155/$AC$154</f>
        <v>27680104.47761194</v>
      </c>
      <c r="AD231" s="445">
        <f>+AD230*$AD$155/$AD$154</f>
        <v>25757875</v>
      </c>
      <c r="AE231" s="445">
        <f>+AE230*$AE$155/$AE$154</f>
        <v>24386153.846153848</v>
      </c>
      <c r="AF231" s="1241"/>
      <c r="AG231" s="1196"/>
      <c r="AH231" s="790"/>
      <c r="AI231" s="790"/>
      <c r="AJ231" s="794"/>
      <c r="AK231" s="790"/>
      <c r="AL231" s="790"/>
      <c r="AM231" s="790"/>
      <c r="AN231" s="880"/>
      <c r="AO231" s="805"/>
      <c r="AP231" s="805"/>
      <c r="AQ231" s="786"/>
      <c r="AR231" s="786"/>
      <c r="AS231" s="786"/>
      <c r="AT231" s="786"/>
      <c r="AU231" s="787"/>
      <c r="AV231" s="787"/>
      <c r="AW231" s="787"/>
      <c r="AX231" s="785"/>
      <c r="AY231" s="1214"/>
    </row>
    <row r="232" spans="1:51" ht="18" customHeight="1" x14ac:dyDescent="0.25">
      <c r="A232" s="1195"/>
      <c r="B232" s="833"/>
      <c r="C232" s="809" t="s">
        <v>1312</v>
      </c>
      <c r="D232" s="141" t="s">
        <v>41</v>
      </c>
      <c r="E232" s="142"/>
      <c r="F232" s="143"/>
      <c r="G232" s="445"/>
      <c r="H232" s="445">
        <v>2</v>
      </c>
      <c r="I232" s="445">
        <v>2</v>
      </c>
      <c r="J232" s="445">
        <v>2</v>
      </c>
      <c r="K232" s="445">
        <v>4</v>
      </c>
      <c r="L232" s="445">
        <v>5</v>
      </c>
      <c r="M232" s="445">
        <v>6</v>
      </c>
      <c r="N232" s="448">
        <v>6</v>
      </c>
      <c r="O232" s="445">
        <v>6</v>
      </c>
      <c r="P232" s="445">
        <v>6</v>
      </c>
      <c r="Q232" s="445">
        <v>6</v>
      </c>
      <c r="R232" s="447">
        <v>6</v>
      </c>
      <c r="S232" s="1237"/>
      <c r="T232" s="446"/>
      <c r="U232" s="446">
        <v>2</v>
      </c>
      <c r="V232" s="446">
        <v>2</v>
      </c>
      <c r="W232" s="446">
        <v>2</v>
      </c>
      <c r="X232" s="446">
        <v>4</v>
      </c>
      <c r="Y232" s="446">
        <v>5</v>
      </c>
      <c r="Z232" s="446">
        <v>6</v>
      </c>
      <c r="AA232" s="448">
        <v>6</v>
      </c>
      <c r="AB232" s="445">
        <v>6</v>
      </c>
      <c r="AC232" s="1225">
        <v>6</v>
      </c>
      <c r="AD232" s="445">
        <v>6</v>
      </c>
      <c r="AE232" s="447">
        <v>6</v>
      </c>
      <c r="AF232" s="1233" t="s">
        <v>967</v>
      </c>
      <c r="AG232" s="1194" t="s">
        <v>386</v>
      </c>
      <c r="AH232" s="788" t="s">
        <v>1131</v>
      </c>
      <c r="AI232" s="788" t="s">
        <v>1130</v>
      </c>
      <c r="AJ232" s="792" t="s">
        <v>913</v>
      </c>
      <c r="AK232" s="788" t="s">
        <v>315</v>
      </c>
      <c r="AL232" s="788" t="s">
        <v>70</v>
      </c>
      <c r="AM232" s="788" t="s">
        <v>316</v>
      </c>
      <c r="AN232" s="791">
        <v>153162</v>
      </c>
      <c r="AO232" s="805">
        <v>71661</v>
      </c>
      <c r="AP232" s="805">
        <v>81501</v>
      </c>
      <c r="AQ232" s="786" t="s">
        <v>317</v>
      </c>
      <c r="AR232" s="786" t="s">
        <v>317</v>
      </c>
      <c r="AS232" s="786" t="s">
        <v>317</v>
      </c>
      <c r="AT232" s="786" t="s">
        <v>317</v>
      </c>
      <c r="AU232" s="787" t="s">
        <v>317</v>
      </c>
      <c r="AV232" s="787" t="s">
        <v>317</v>
      </c>
      <c r="AW232" s="787" t="s">
        <v>317</v>
      </c>
      <c r="AX232" s="783">
        <v>153162</v>
      </c>
      <c r="AY232" s="1214"/>
    </row>
    <row r="233" spans="1:51" ht="18.75" customHeight="1" x14ac:dyDescent="0.25">
      <c r="A233" s="1195"/>
      <c r="B233" s="833"/>
      <c r="C233" s="809"/>
      <c r="D233" s="132" t="s">
        <v>3</v>
      </c>
      <c r="E233" s="142"/>
      <c r="F233" s="143"/>
      <c r="G233" s="445"/>
      <c r="H233" s="445">
        <v>5146233.7662337665</v>
      </c>
      <c r="I233" s="445">
        <v>5146233.7662337665</v>
      </c>
      <c r="J233" s="445">
        <v>4491428.5714285718</v>
      </c>
      <c r="K233" s="445">
        <f>+K232*$K$155/$K$154</f>
        <v>8758285.7142857146</v>
      </c>
      <c r="L233" s="445">
        <f>+L232*$L$155/$L$154</f>
        <v>10947857.142857144</v>
      </c>
      <c r="M233" s="445">
        <f>+M232*$M$155/$M$154</f>
        <v>13137428.571428571</v>
      </c>
      <c r="N233" s="445">
        <f>+N232*$N$155/$N$154</f>
        <v>13474285.714285715</v>
      </c>
      <c r="O233" s="445">
        <f>+O232*$O$155/$O$154</f>
        <v>13474285.714285715</v>
      </c>
      <c r="P233" s="445">
        <f>+P232*$P$155/$P$154</f>
        <v>13474285.714285715</v>
      </c>
      <c r="Q233" s="445">
        <f>+Q232*$Q$155/$Q$154</f>
        <v>13474285.714285715</v>
      </c>
      <c r="R233" s="445">
        <f>+R232*$R$155/$R$154</f>
        <v>13301538.461538462</v>
      </c>
      <c r="S233" s="1237"/>
      <c r="T233" s="446"/>
      <c r="U233" s="445">
        <v>23580000</v>
      </c>
      <c r="V233" s="445">
        <v>18733000</v>
      </c>
      <c r="W233" s="445">
        <v>13487760</v>
      </c>
      <c r="X233" s="445">
        <f>+X232*$X$155/$X$154</f>
        <v>21074625</v>
      </c>
      <c r="Y233" s="445">
        <f>+Y232*$Y$155/$Y$154</f>
        <v>21615000</v>
      </c>
      <c r="Z233" s="445">
        <f>+Z232*$Z$155/$Z$154</f>
        <v>21990913.043478262</v>
      </c>
      <c r="AA233" s="445">
        <f>+AA232*$N$155/$N$154</f>
        <v>13474285.714285715</v>
      </c>
      <c r="AB233" s="445">
        <f>+AB232*$AB$155/$AB$154</f>
        <v>16859700</v>
      </c>
      <c r="AC233" s="445">
        <f>+AC232*$AC$155/$AC$154</f>
        <v>15098238.805970149</v>
      </c>
      <c r="AD233" s="445">
        <f>+AD232*$AD$155/$AD$154</f>
        <v>14049750</v>
      </c>
      <c r="AE233" s="445">
        <f>+AE232*$AE$155/$AE$154</f>
        <v>13301538.461538462</v>
      </c>
      <c r="AF233" s="1237"/>
      <c r="AG233" s="1195"/>
      <c r="AH233" s="789"/>
      <c r="AI233" s="789"/>
      <c r="AJ233" s="793"/>
      <c r="AK233" s="789"/>
      <c r="AL233" s="789"/>
      <c r="AM233" s="789"/>
      <c r="AN233" s="791"/>
      <c r="AO233" s="805"/>
      <c r="AP233" s="805"/>
      <c r="AQ233" s="786"/>
      <c r="AR233" s="786"/>
      <c r="AS233" s="786"/>
      <c r="AT233" s="786"/>
      <c r="AU233" s="787"/>
      <c r="AV233" s="787"/>
      <c r="AW233" s="787"/>
      <c r="AX233" s="784"/>
      <c r="AY233" s="1214"/>
    </row>
    <row r="234" spans="1:51" ht="27.75" customHeight="1" x14ac:dyDescent="0.25">
      <c r="A234" s="1195"/>
      <c r="B234" s="833"/>
      <c r="C234" s="809"/>
      <c r="D234" s="136" t="s">
        <v>42</v>
      </c>
      <c r="E234" s="142"/>
      <c r="F234" s="143"/>
      <c r="G234" s="445"/>
      <c r="H234" s="445"/>
      <c r="I234" s="445"/>
      <c r="J234" s="445"/>
      <c r="K234" s="445"/>
      <c r="L234" s="445"/>
      <c r="M234" s="445"/>
      <c r="N234" s="448"/>
      <c r="O234" s="445"/>
      <c r="P234" s="445"/>
      <c r="Q234" s="445"/>
      <c r="R234" s="447"/>
      <c r="S234" s="1237"/>
      <c r="T234" s="446"/>
      <c r="U234" s="446"/>
      <c r="V234" s="446"/>
      <c r="W234" s="446"/>
      <c r="X234" s="446"/>
      <c r="Y234" s="446"/>
      <c r="Z234" s="446"/>
      <c r="AA234" s="448"/>
      <c r="AB234" s="445"/>
      <c r="AC234" s="1225"/>
      <c r="AD234" s="445"/>
      <c r="AE234" s="447"/>
      <c r="AF234" s="1237"/>
      <c r="AG234" s="1195"/>
      <c r="AH234" s="789"/>
      <c r="AI234" s="789"/>
      <c r="AJ234" s="793"/>
      <c r="AK234" s="789"/>
      <c r="AL234" s="789"/>
      <c r="AM234" s="789"/>
      <c r="AN234" s="791"/>
      <c r="AO234" s="805"/>
      <c r="AP234" s="805"/>
      <c r="AQ234" s="786"/>
      <c r="AR234" s="786"/>
      <c r="AS234" s="786"/>
      <c r="AT234" s="786"/>
      <c r="AU234" s="787"/>
      <c r="AV234" s="787"/>
      <c r="AW234" s="787"/>
      <c r="AX234" s="784"/>
      <c r="AY234" s="1214"/>
    </row>
    <row r="235" spans="1:51" ht="27.75" customHeight="1" x14ac:dyDescent="0.25">
      <c r="A235" s="1195"/>
      <c r="B235" s="833"/>
      <c r="C235" s="809"/>
      <c r="D235" s="132" t="s">
        <v>4</v>
      </c>
      <c r="E235" s="142"/>
      <c r="F235" s="143"/>
      <c r="G235" s="445"/>
      <c r="H235" s="445"/>
      <c r="I235" s="445"/>
      <c r="J235" s="445"/>
      <c r="K235" s="445"/>
      <c r="L235" s="445"/>
      <c r="M235" s="445"/>
      <c r="N235" s="448"/>
      <c r="O235" s="445"/>
      <c r="P235" s="445"/>
      <c r="Q235" s="445"/>
      <c r="R235" s="447"/>
      <c r="S235" s="1237"/>
      <c r="T235" s="446"/>
      <c r="U235" s="443">
        <v>2428417.875</v>
      </c>
      <c r="V235" s="446"/>
      <c r="W235" s="446"/>
      <c r="X235" s="446"/>
      <c r="Y235" s="446"/>
      <c r="Z235" s="446"/>
      <c r="AA235" s="448"/>
      <c r="AB235" s="445"/>
      <c r="AC235" s="1225"/>
      <c r="AD235" s="445"/>
      <c r="AE235" s="447"/>
      <c r="AF235" s="1237"/>
      <c r="AG235" s="1195"/>
      <c r="AH235" s="789"/>
      <c r="AI235" s="789"/>
      <c r="AJ235" s="793"/>
      <c r="AK235" s="789"/>
      <c r="AL235" s="789"/>
      <c r="AM235" s="789"/>
      <c r="AN235" s="791"/>
      <c r="AO235" s="805"/>
      <c r="AP235" s="805"/>
      <c r="AQ235" s="786"/>
      <c r="AR235" s="786"/>
      <c r="AS235" s="786"/>
      <c r="AT235" s="786"/>
      <c r="AU235" s="787"/>
      <c r="AV235" s="787"/>
      <c r="AW235" s="787"/>
      <c r="AX235" s="784"/>
      <c r="AY235" s="1214"/>
    </row>
    <row r="236" spans="1:51" ht="27.75" customHeight="1" x14ac:dyDescent="0.25">
      <c r="A236" s="1195"/>
      <c r="B236" s="833"/>
      <c r="C236" s="809"/>
      <c r="D236" s="136" t="s">
        <v>43</v>
      </c>
      <c r="E236" s="142"/>
      <c r="F236" s="143"/>
      <c r="G236" s="445"/>
      <c r="H236" s="445">
        <v>2</v>
      </c>
      <c r="I236" s="445">
        <v>2</v>
      </c>
      <c r="J236" s="445">
        <v>2</v>
      </c>
      <c r="K236" s="445">
        <v>4</v>
      </c>
      <c r="L236" s="445">
        <v>5</v>
      </c>
      <c r="M236" s="445">
        <v>6</v>
      </c>
      <c r="N236" s="448">
        <v>6</v>
      </c>
      <c r="O236" s="445">
        <v>6</v>
      </c>
      <c r="P236" s="445">
        <v>6</v>
      </c>
      <c r="Q236" s="445">
        <v>6</v>
      </c>
      <c r="R236" s="447">
        <v>6</v>
      </c>
      <c r="S236" s="1237"/>
      <c r="T236" s="446"/>
      <c r="U236" s="446">
        <v>2</v>
      </c>
      <c r="V236" s="446">
        <v>2</v>
      </c>
      <c r="W236" s="446">
        <v>2</v>
      </c>
      <c r="X236" s="446">
        <v>4</v>
      </c>
      <c r="Y236" s="446">
        <v>5</v>
      </c>
      <c r="Z236" s="446">
        <v>6</v>
      </c>
      <c r="AA236" s="448">
        <v>6</v>
      </c>
      <c r="AB236" s="445">
        <v>6</v>
      </c>
      <c r="AC236" s="1225">
        <v>6</v>
      </c>
      <c r="AD236" s="445">
        <v>6</v>
      </c>
      <c r="AE236" s="447">
        <v>6</v>
      </c>
      <c r="AF236" s="1237"/>
      <c r="AG236" s="1195"/>
      <c r="AH236" s="789"/>
      <c r="AI236" s="789"/>
      <c r="AJ236" s="793"/>
      <c r="AK236" s="789"/>
      <c r="AL236" s="789"/>
      <c r="AM236" s="789"/>
      <c r="AN236" s="791"/>
      <c r="AO236" s="805"/>
      <c r="AP236" s="805"/>
      <c r="AQ236" s="786"/>
      <c r="AR236" s="786"/>
      <c r="AS236" s="786"/>
      <c r="AT236" s="786"/>
      <c r="AU236" s="787"/>
      <c r="AV236" s="787"/>
      <c r="AW236" s="787"/>
      <c r="AX236" s="784"/>
      <c r="AY236" s="1214"/>
    </row>
    <row r="237" spans="1:51" ht="27.75" customHeight="1" thickBot="1" x14ac:dyDescent="0.3">
      <c r="A237" s="1195"/>
      <c r="B237" s="833"/>
      <c r="C237" s="809"/>
      <c r="D237" s="140" t="s">
        <v>45</v>
      </c>
      <c r="E237" s="142"/>
      <c r="F237" s="143"/>
      <c r="G237" s="445"/>
      <c r="H237" s="445">
        <v>5146233.7662337665</v>
      </c>
      <c r="I237" s="445">
        <v>5146233.7662337665</v>
      </c>
      <c r="J237" s="445">
        <v>4491428.5714285718</v>
      </c>
      <c r="K237" s="445">
        <f>+K236*$K$155/$K$154</f>
        <v>8758285.7142857146</v>
      </c>
      <c r="L237" s="445">
        <f>+L236*$L$155/$L$154</f>
        <v>10947857.142857144</v>
      </c>
      <c r="M237" s="445">
        <f>+M236*$M$155/$M$154</f>
        <v>13137428.571428571</v>
      </c>
      <c r="N237" s="445">
        <f>+N236*$N$155/$N$154</f>
        <v>13474285.714285715</v>
      </c>
      <c r="O237" s="445">
        <f>+O236*$O$155/$O$154</f>
        <v>13474285.714285715</v>
      </c>
      <c r="P237" s="445">
        <f>+P236*$P$155/$P$154</f>
        <v>13474285.714285715</v>
      </c>
      <c r="Q237" s="445">
        <f>+Q236*$Q$155/$Q$154</f>
        <v>13474285.714285715</v>
      </c>
      <c r="R237" s="445">
        <f>+R236*$R$155/$R$154</f>
        <v>13301538.461538462</v>
      </c>
      <c r="S237" s="1237"/>
      <c r="T237" s="446"/>
      <c r="U237" s="445">
        <v>23580000</v>
      </c>
      <c r="V237" s="445">
        <v>18733000</v>
      </c>
      <c r="W237" s="445">
        <v>13487760</v>
      </c>
      <c r="X237" s="445">
        <f>+X236*$X$155/$X$154</f>
        <v>21074625</v>
      </c>
      <c r="Y237" s="445">
        <f>+Y236*$Y$155/$Y$154</f>
        <v>21615000</v>
      </c>
      <c r="Z237" s="445">
        <f>+Z236*$Z$155/$Z$154</f>
        <v>21990913.043478262</v>
      </c>
      <c r="AA237" s="445">
        <f>+AA236*$N$155/$N$154</f>
        <v>13474285.714285715</v>
      </c>
      <c r="AB237" s="445">
        <f>+AB236*$AB$155/$AB$154</f>
        <v>16859700</v>
      </c>
      <c r="AC237" s="445">
        <f>+AC236*$AC$155/$AC$154</f>
        <v>15098238.805970149</v>
      </c>
      <c r="AD237" s="445">
        <f>+AD236*$AD$155/$AD$154</f>
        <v>14049750</v>
      </c>
      <c r="AE237" s="445">
        <f>+AE236*$AE$155/$AE$154</f>
        <v>13301538.461538462</v>
      </c>
      <c r="AF237" s="1241"/>
      <c r="AG237" s="1196"/>
      <c r="AH237" s="790"/>
      <c r="AI237" s="790"/>
      <c r="AJ237" s="794"/>
      <c r="AK237" s="790"/>
      <c r="AL237" s="790"/>
      <c r="AM237" s="790"/>
      <c r="AN237" s="791"/>
      <c r="AO237" s="805"/>
      <c r="AP237" s="805"/>
      <c r="AQ237" s="786"/>
      <c r="AR237" s="786"/>
      <c r="AS237" s="786"/>
      <c r="AT237" s="786"/>
      <c r="AU237" s="787"/>
      <c r="AV237" s="787"/>
      <c r="AW237" s="787"/>
      <c r="AX237" s="785"/>
      <c r="AY237" s="1214"/>
    </row>
    <row r="238" spans="1:51" ht="18" hidden="1" customHeight="1" x14ac:dyDescent="0.25">
      <c r="A238" s="1195"/>
      <c r="B238" s="833"/>
      <c r="C238" s="809" t="s">
        <v>389</v>
      </c>
      <c r="D238" s="141" t="s">
        <v>41</v>
      </c>
      <c r="E238" s="142"/>
      <c r="F238" s="143"/>
      <c r="G238" s="445"/>
      <c r="H238" s="445"/>
      <c r="I238" s="445"/>
      <c r="J238" s="445"/>
      <c r="K238" s="445"/>
      <c r="L238" s="445"/>
      <c r="M238" s="445"/>
      <c r="N238" s="448"/>
      <c r="O238" s="445"/>
      <c r="P238" s="445"/>
      <c r="Q238" s="445"/>
      <c r="R238" s="447"/>
      <c r="S238" s="1237"/>
      <c r="T238" s="446"/>
      <c r="U238" s="446"/>
      <c r="V238" s="446"/>
      <c r="W238" s="446"/>
      <c r="X238" s="446"/>
      <c r="Y238" s="446"/>
      <c r="Z238" s="446"/>
      <c r="AA238" s="448"/>
      <c r="AB238" s="445"/>
      <c r="AC238" s="1225"/>
      <c r="AD238" s="445"/>
      <c r="AE238" s="447"/>
      <c r="AF238" s="1242"/>
      <c r="AG238" s="1194" t="s">
        <v>389</v>
      </c>
      <c r="AH238" s="788" t="s">
        <v>350</v>
      </c>
      <c r="AI238" s="788" t="s">
        <v>350</v>
      </c>
      <c r="AJ238" s="792" t="s">
        <v>913</v>
      </c>
      <c r="AK238" s="788" t="s">
        <v>315</v>
      </c>
      <c r="AL238" s="788" t="s">
        <v>70</v>
      </c>
      <c r="AM238" s="788" t="s">
        <v>316</v>
      </c>
      <c r="AN238" s="791">
        <v>93248</v>
      </c>
      <c r="AO238" s="805">
        <v>37102</v>
      </c>
      <c r="AP238" s="805">
        <v>38674</v>
      </c>
      <c r="AQ238" s="786" t="s">
        <v>317</v>
      </c>
      <c r="AR238" s="786" t="s">
        <v>317</v>
      </c>
      <c r="AS238" s="786" t="s">
        <v>317</v>
      </c>
      <c r="AT238" s="786" t="s">
        <v>317</v>
      </c>
      <c r="AU238" s="787" t="s">
        <v>317</v>
      </c>
      <c r="AV238" s="787" t="s">
        <v>317</v>
      </c>
      <c r="AW238" s="787" t="s">
        <v>317</v>
      </c>
      <c r="AX238" s="783">
        <v>93248</v>
      </c>
      <c r="AY238" s="1214"/>
    </row>
    <row r="239" spans="1:51" ht="18.75" hidden="1" customHeight="1" x14ac:dyDescent="0.25">
      <c r="A239" s="1195"/>
      <c r="B239" s="833"/>
      <c r="C239" s="809"/>
      <c r="D239" s="132" t="s">
        <v>3</v>
      </c>
      <c r="E239" s="142"/>
      <c r="F239" s="143"/>
      <c r="G239" s="445"/>
      <c r="H239" s="445"/>
      <c r="I239" s="445"/>
      <c r="J239" s="445"/>
      <c r="K239" s="445"/>
      <c r="L239" s="445"/>
      <c r="M239" s="445"/>
      <c r="N239" s="448"/>
      <c r="O239" s="445"/>
      <c r="P239" s="445"/>
      <c r="Q239" s="445"/>
      <c r="R239" s="447"/>
      <c r="S239" s="1237"/>
      <c r="T239" s="446"/>
      <c r="U239" s="446"/>
      <c r="V239" s="446"/>
      <c r="W239" s="446"/>
      <c r="X239" s="446"/>
      <c r="Y239" s="446"/>
      <c r="Z239" s="446"/>
      <c r="AA239" s="448"/>
      <c r="AB239" s="445"/>
      <c r="AC239" s="1225"/>
      <c r="AD239" s="445"/>
      <c r="AE239" s="447"/>
      <c r="AF239" s="1242"/>
      <c r="AG239" s="1195"/>
      <c r="AH239" s="789"/>
      <c r="AI239" s="789"/>
      <c r="AJ239" s="793"/>
      <c r="AK239" s="789"/>
      <c r="AL239" s="789"/>
      <c r="AM239" s="789"/>
      <c r="AN239" s="791"/>
      <c r="AO239" s="805"/>
      <c r="AP239" s="805"/>
      <c r="AQ239" s="786"/>
      <c r="AR239" s="786"/>
      <c r="AS239" s="786"/>
      <c r="AT239" s="786"/>
      <c r="AU239" s="787"/>
      <c r="AV239" s="787"/>
      <c r="AW239" s="787"/>
      <c r="AX239" s="784"/>
      <c r="AY239" s="1214"/>
    </row>
    <row r="240" spans="1:51" ht="27.75" hidden="1" customHeight="1" x14ac:dyDescent="0.25">
      <c r="A240" s="1195"/>
      <c r="B240" s="833"/>
      <c r="C240" s="809"/>
      <c r="D240" s="136" t="s">
        <v>42</v>
      </c>
      <c r="E240" s="142"/>
      <c r="F240" s="143"/>
      <c r="G240" s="445"/>
      <c r="H240" s="445"/>
      <c r="I240" s="445"/>
      <c r="J240" s="445"/>
      <c r="K240" s="445"/>
      <c r="L240" s="445"/>
      <c r="M240" s="445"/>
      <c r="N240" s="448"/>
      <c r="O240" s="445"/>
      <c r="P240" s="445"/>
      <c r="Q240" s="445"/>
      <c r="R240" s="447"/>
      <c r="S240" s="1237"/>
      <c r="T240" s="446"/>
      <c r="U240" s="446"/>
      <c r="V240" s="446"/>
      <c r="W240" s="446"/>
      <c r="X240" s="446"/>
      <c r="Y240" s="446"/>
      <c r="Z240" s="446"/>
      <c r="AA240" s="448"/>
      <c r="AB240" s="445"/>
      <c r="AC240" s="1225"/>
      <c r="AD240" s="445"/>
      <c r="AE240" s="447"/>
      <c r="AF240" s="1242"/>
      <c r="AG240" s="1195"/>
      <c r="AH240" s="789"/>
      <c r="AI240" s="789"/>
      <c r="AJ240" s="793"/>
      <c r="AK240" s="789"/>
      <c r="AL240" s="789"/>
      <c r="AM240" s="789"/>
      <c r="AN240" s="791"/>
      <c r="AO240" s="805"/>
      <c r="AP240" s="805"/>
      <c r="AQ240" s="786"/>
      <c r="AR240" s="786"/>
      <c r="AS240" s="786"/>
      <c r="AT240" s="786"/>
      <c r="AU240" s="787"/>
      <c r="AV240" s="787"/>
      <c r="AW240" s="787"/>
      <c r="AX240" s="784"/>
      <c r="AY240" s="1214"/>
    </row>
    <row r="241" spans="1:51" ht="27.75" hidden="1" customHeight="1" x14ac:dyDescent="0.25">
      <c r="A241" s="1195"/>
      <c r="B241" s="833"/>
      <c r="C241" s="809"/>
      <c r="D241" s="132" t="s">
        <v>4</v>
      </c>
      <c r="E241" s="142"/>
      <c r="F241" s="143"/>
      <c r="G241" s="445"/>
      <c r="H241" s="445"/>
      <c r="I241" s="445"/>
      <c r="J241" s="445"/>
      <c r="K241" s="445"/>
      <c r="L241" s="445"/>
      <c r="M241" s="445"/>
      <c r="N241" s="448"/>
      <c r="O241" s="445"/>
      <c r="P241" s="445"/>
      <c r="Q241" s="445"/>
      <c r="R241" s="447"/>
      <c r="S241" s="1237"/>
      <c r="T241" s="446"/>
      <c r="U241" s="446"/>
      <c r="V241" s="446"/>
      <c r="W241" s="446"/>
      <c r="X241" s="446"/>
      <c r="Y241" s="446"/>
      <c r="Z241" s="446"/>
      <c r="AA241" s="448"/>
      <c r="AB241" s="445"/>
      <c r="AC241" s="1225"/>
      <c r="AD241" s="445"/>
      <c r="AE241" s="447"/>
      <c r="AF241" s="1242"/>
      <c r="AG241" s="1195"/>
      <c r="AH241" s="789"/>
      <c r="AI241" s="789"/>
      <c r="AJ241" s="793"/>
      <c r="AK241" s="789"/>
      <c r="AL241" s="789"/>
      <c r="AM241" s="789"/>
      <c r="AN241" s="791"/>
      <c r="AO241" s="805"/>
      <c r="AP241" s="805"/>
      <c r="AQ241" s="786"/>
      <c r="AR241" s="786"/>
      <c r="AS241" s="786"/>
      <c r="AT241" s="786"/>
      <c r="AU241" s="787"/>
      <c r="AV241" s="787"/>
      <c r="AW241" s="787"/>
      <c r="AX241" s="784"/>
      <c r="AY241" s="1214"/>
    </row>
    <row r="242" spans="1:51" ht="27.75" hidden="1" customHeight="1" x14ac:dyDescent="0.25">
      <c r="A242" s="1195"/>
      <c r="B242" s="833"/>
      <c r="C242" s="809"/>
      <c r="D242" s="136" t="s">
        <v>43</v>
      </c>
      <c r="E242" s="142"/>
      <c r="F242" s="143"/>
      <c r="G242" s="445"/>
      <c r="H242" s="445"/>
      <c r="I242" s="445"/>
      <c r="J242" s="445"/>
      <c r="K242" s="445"/>
      <c r="L242" s="445"/>
      <c r="M242" s="445"/>
      <c r="N242" s="448"/>
      <c r="O242" s="445"/>
      <c r="P242" s="445"/>
      <c r="Q242" s="445"/>
      <c r="R242" s="447"/>
      <c r="S242" s="1237"/>
      <c r="T242" s="446"/>
      <c r="U242" s="446"/>
      <c r="V242" s="446"/>
      <c r="W242" s="446"/>
      <c r="X242" s="446"/>
      <c r="Y242" s="446"/>
      <c r="Z242" s="446"/>
      <c r="AA242" s="448"/>
      <c r="AB242" s="445"/>
      <c r="AC242" s="1225"/>
      <c r="AD242" s="445"/>
      <c r="AE242" s="447"/>
      <c r="AF242" s="1242"/>
      <c r="AG242" s="1195"/>
      <c r="AH242" s="789"/>
      <c r="AI242" s="789"/>
      <c r="AJ242" s="793"/>
      <c r="AK242" s="789"/>
      <c r="AL242" s="789"/>
      <c r="AM242" s="789"/>
      <c r="AN242" s="791"/>
      <c r="AO242" s="805"/>
      <c r="AP242" s="805"/>
      <c r="AQ242" s="786"/>
      <c r="AR242" s="786"/>
      <c r="AS242" s="786"/>
      <c r="AT242" s="786"/>
      <c r="AU242" s="787"/>
      <c r="AV242" s="787"/>
      <c r="AW242" s="787"/>
      <c r="AX242" s="784"/>
      <c r="AY242" s="1214"/>
    </row>
    <row r="243" spans="1:51" ht="27.75" hidden="1" customHeight="1" thickBot="1" x14ac:dyDescent="0.3">
      <c r="A243" s="1195"/>
      <c r="B243" s="833"/>
      <c r="C243" s="809"/>
      <c r="D243" s="140" t="s">
        <v>45</v>
      </c>
      <c r="E243" s="142"/>
      <c r="F243" s="143"/>
      <c r="G243" s="445"/>
      <c r="H243" s="445"/>
      <c r="I243" s="445"/>
      <c r="J243" s="445"/>
      <c r="K243" s="445"/>
      <c r="L243" s="445"/>
      <c r="M243" s="445"/>
      <c r="N243" s="448"/>
      <c r="O243" s="445"/>
      <c r="P243" s="445"/>
      <c r="Q243" s="445"/>
      <c r="R243" s="447"/>
      <c r="S243" s="1237"/>
      <c r="T243" s="446"/>
      <c r="U243" s="446"/>
      <c r="V243" s="446"/>
      <c r="W243" s="446"/>
      <c r="X243" s="446"/>
      <c r="Y243" s="446"/>
      <c r="Z243" s="446"/>
      <c r="AA243" s="448"/>
      <c r="AB243" s="445"/>
      <c r="AC243" s="1225"/>
      <c r="AD243" s="445"/>
      <c r="AE243" s="447"/>
      <c r="AF243" s="1242"/>
      <c r="AG243" s="1196"/>
      <c r="AH243" s="790"/>
      <c r="AI243" s="790"/>
      <c r="AJ243" s="794"/>
      <c r="AK243" s="790"/>
      <c r="AL243" s="790"/>
      <c r="AM243" s="790"/>
      <c r="AN243" s="791"/>
      <c r="AO243" s="805"/>
      <c r="AP243" s="805"/>
      <c r="AQ243" s="786"/>
      <c r="AR243" s="786"/>
      <c r="AS243" s="786"/>
      <c r="AT243" s="786"/>
      <c r="AU243" s="787"/>
      <c r="AV243" s="787"/>
      <c r="AW243" s="787"/>
      <c r="AX243" s="785"/>
      <c r="AY243" s="1214"/>
    </row>
    <row r="244" spans="1:51" ht="18" customHeight="1" x14ac:dyDescent="0.25">
      <c r="A244" s="1195"/>
      <c r="B244" s="833"/>
      <c r="C244" s="809" t="s">
        <v>1313</v>
      </c>
      <c r="D244" s="141" t="s">
        <v>41</v>
      </c>
      <c r="E244" s="142"/>
      <c r="F244" s="143"/>
      <c r="G244" s="445"/>
      <c r="H244" s="445"/>
      <c r="I244" s="445"/>
      <c r="J244" s="445"/>
      <c r="K244" s="445"/>
      <c r="L244" s="445"/>
      <c r="M244" s="445"/>
      <c r="N244" s="445">
        <v>1</v>
      </c>
      <c r="O244" s="445">
        <v>1</v>
      </c>
      <c r="P244" s="445">
        <v>1</v>
      </c>
      <c r="Q244" s="445">
        <v>1</v>
      </c>
      <c r="R244" s="447">
        <v>1</v>
      </c>
      <c r="S244" s="1237"/>
      <c r="T244" s="446"/>
      <c r="U244" s="446"/>
      <c r="V244" s="446"/>
      <c r="W244" s="446"/>
      <c r="X244" s="446"/>
      <c r="Y244" s="446"/>
      <c r="Z244" s="446"/>
      <c r="AA244" s="445">
        <v>1</v>
      </c>
      <c r="AB244" s="445">
        <v>1</v>
      </c>
      <c r="AC244" s="1225">
        <v>1</v>
      </c>
      <c r="AD244" s="445">
        <v>1</v>
      </c>
      <c r="AE244" s="447">
        <v>1</v>
      </c>
      <c r="AF244" s="1239" t="s">
        <v>968</v>
      </c>
      <c r="AG244" s="1194" t="s">
        <v>390</v>
      </c>
      <c r="AH244" s="788" t="s">
        <v>877</v>
      </c>
      <c r="AI244" s="788" t="s">
        <v>878</v>
      </c>
      <c r="AJ244" s="792" t="s">
        <v>913</v>
      </c>
      <c r="AK244" s="788" t="s">
        <v>315</v>
      </c>
      <c r="AL244" s="788" t="s">
        <v>70</v>
      </c>
      <c r="AM244" s="788" t="s">
        <v>316</v>
      </c>
      <c r="AN244" s="791">
        <v>109254</v>
      </c>
      <c r="AO244" s="805">
        <v>39611</v>
      </c>
      <c r="AP244" s="805">
        <v>43209</v>
      </c>
      <c r="AQ244" s="786" t="s">
        <v>317</v>
      </c>
      <c r="AR244" s="786" t="s">
        <v>317</v>
      </c>
      <c r="AS244" s="786" t="s">
        <v>317</v>
      </c>
      <c r="AT244" s="786" t="s">
        <v>317</v>
      </c>
      <c r="AU244" s="787" t="s">
        <v>317</v>
      </c>
      <c r="AV244" s="787" t="s">
        <v>317</v>
      </c>
      <c r="AW244" s="787" t="s">
        <v>317</v>
      </c>
      <c r="AX244" s="783">
        <v>109254</v>
      </c>
      <c r="AY244" s="1214"/>
    </row>
    <row r="245" spans="1:51" ht="18.75" customHeight="1" x14ac:dyDescent="0.25">
      <c r="A245" s="1195"/>
      <c r="B245" s="833"/>
      <c r="C245" s="809"/>
      <c r="D245" s="132" t="s">
        <v>3</v>
      </c>
      <c r="E245" s="142"/>
      <c r="F245" s="143"/>
      <c r="G245" s="445"/>
      <c r="H245" s="445"/>
      <c r="I245" s="445"/>
      <c r="J245" s="445"/>
      <c r="K245" s="445"/>
      <c r="L245" s="445"/>
      <c r="M245" s="445"/>
      <c r="N245" s="445">
        <f>+N244*$N$155/$N$154</f>
        <v>2245714.2857142859</v>
      </c>
      <c r="O245" s="445">
        <f>+O244*$O$155/$O$154</f>
        <v>2245714.2857142859</v>
      </c>
      <c r="P245" s="445">
        <f>+P244*$P$155/$P$154</f>
        <v>2245714.2857142859</v>
      </c>
      <c r="Q245" s="445">
        <f>+Q244*$Q$155/$Q$154</f>
        <v>2245714.2857142859</v>
      </c>
      <c r="R245" s="445">
        <f>+R244*$R$155/$R$154</f>
        <v>2216923.076923077</v>
      </c>
      <c r="S245" s="1237"/>
      <c r="T245" s="446"/>
      <c r="U245" s="446"/>
      <c r="V245" s="446"/>
      <c r="W245" s="446"/>
      <c r="X245" s="446"/>
      <c r="Y245" s="446"/>
      <c r="Z245" s="446"/>
      <c r="AA245" s="445">
        <f>+AA244*$N$155/$N$154</f>
        <v>2245714.2857142859</v>
      </c>
      <c r="AB245" s="445">
        <f>+AB244*$AB$155/$AB$154</f>
        <v>2809950</v>
      </c>
      <c r="AC245" s="445">
        <f>+AC244*$AC$155/$AC$154</f>
        <v>2516373.1343283583</v>
      </c>
      <c r="AD245" s="445">
        <f>+AD244*$AD$155/$AD$154</f>
        <v>2341625</v>
      </c>
      <c r="AE245" s="445">
        <f>+AE244*$AE$155/$AE$154</f>
        <v>2216923.076923077</v>
      </c>
      <c r="AF245" s="1239"/>
      <c r="AG245" s="1195"/>
      <c r="AH245" s="789"/>
      <c r="AI245" s="789"/>
      <c r="AJ245" s="793"/>
      <c r="AK245" s="789"/>
      <c r="AL245" s="789"/>
      <c r="AM245" s="789"/>
      <c r="AN245" s="791"/>
      <c r="AO245" s="805"/>
      <c r="AP245" s="805"/>
      <c r="AQ245" s="786"/>
      <c r="AR245" s="786"/>
      <c r="AS245" s="786"/>
      <c r="AT245" s="786"/>
      <c r="AU245" s="787"/>
      <c r="AV245" s="787"/>
      <c r="AW245" s="787"/>
      <c r="AX245" s="784"/>
      <c r="AY245" s="1214"/>
    </row>
    <row r="246" spans="1:51" ht="27.75" customHeight="1" x14ac:dyDescent="0.25">
      <c r="A246" s="1195"/>
      <c r="B246" s="833"/>
      <c r="C246" s="809"/>
      <c r="D246" s="136" t="s">
        <v>42</v>
      </c>
      <c r="E246" s="142"/>
      <c r="F246" s="143"/>
      <c r="G246" s="445"/>
      <c r="H246" s="445"/>
      <c r="I246" s="445"/>
      <c r="J246" s="445"/>
      <c r="K246" s="445"/>
      <c r="L246" s="445"/>
      <c r="M246" s="445"/>
      <c r="N246" s="445"/>
      <c r="O246" s="445"/>
      <c r="P246" s="445"/>
      <c r="Q246" s="445"/>
      <c r="R246" s="447"/>
      <c r="S246" s="1237"/>
      <c r="T246" s="446"/>
      <c r="U246" s="446"/>
      <c r="V246" s="446"/>
      <c r="W246" s="446"/>
      <c r="X246" s="446"/>
      <c r="Y246" s="446"/>
      <c r="Z246" s="446"/>
      <c r="AA246" s="445"/>
      <c r="AB246" s="445"/>
      <c r="AC246" s="1225"/>
      <c r="AD246" s="445"/>
      <c r="AE246" s="447"/>
      <c r="AF246" s="1239"/>
      <c r="AG246" s="1195"/>
      <c r="AH246" s="789"/>
      <c r="AI246" s="789"/>
      <c r="AJ246" s="793"/>
      <c r="AK246" s="789"/>
      <c r="AL246" s="789"/>
      <c r="AM246" s="789"/>
      <c r="AN246" s="791"/>
      <c r="AO246" s="805"/>
      <c r="AP246" s="805"/>
      <c r="AQ246" s="786"/>
      <c r="AR246" s="786"/>
      <c r="AS246" s="786"/>
      <c r="AT246" s="786"/>
      <c r="AU246" s="787"/>
      <c r="AV246" s="787"/>
      <c r="AW246" s="787"/>
      <c r="AX246" s="784"/>
      <c r="AY246" s="1214"/>
    </row>
    <row r="247" spans="1:51" ht="27.75" customHeight="1" x14ac:dyDescent="0.25">
      <c r="A247" s="1195"/>
      <c r="B247" s="833"/>
      <c r="C247" s="809"/>
      <c r="D247" s="132" t="s">
        <v>4</v>
      </c>
      <c r="E247" s="142"/>
      <c r="F247" s="143"/>
      <c r="G247" s="445"/>
      <c r="H247" s="445"/>
      <c r="I247" s="445"/>
      <c r="J247" s="445"/>
      <c r="K247" s="445"/>
      <c r="L247" s="445"/>
      <c r="M247" s="445"/>
      <c r="N247" s="445"/>
      <c r="O247" s="445"/>
      <c r="P247" s="445"/>
      <c r="Q247" s="445"/>
      <c r="R247" s="447"/>
      <c r="S247" s="1237"/>
      <c r="T247" s="446"/>
      <c r="U247" s="446"/>
      <c r="V247" s="446"/>
      <c r="W247" s="446"/>
      <c r="X247" s="446"/>
      <c r="Y247" s="446"/>
      <c r="Z247" s="446"/>
      <c r="AA247" s="445"/>
      <c r="AB247" s="445"/>
      <c r="AC247" s="1225"/>
      <c r="AD247" s="445"/>
      <c r="AE247" s="447"/>
      <c r="AF247" s="1239"/>
      <c r="AG247" s="1195"/>
      <c r="AH247" s="789"/>
      <c r="AI247" s="789"/>
      <c r="AJ247" s="793"/>
      <c r="AK247" s="789"/>
      <c r="AL247" s="789"/>
      <c r="AM247" s="789"/>
      <c r="AN247" s="791"/>
      <c r="AO247" s="805"/>
      <c r="AP247" s="805"/>
      <c r="AQ247" s="786"/>
      <c r="AR247" s="786"/>
      <c r="AS247" s="786"/>
      <c r="AT247" s="786"/>
      <c r="AU247" s="787"/>
      <c r="AV247" s="787"/>
      <c r="AW247" s="787"/>
      <c r="AX247" s="784"/>
      <c r="AY247" s="1214"/>
    </row>
    <row r="248" spans="1:51" ht="27.75" customHeight="1" x14ac:dyDescent="0.25">
      <c r="A248" s="1195"/>
      <c r="B248" s="833"/>
      <c r="C248" s="809"/>
      <c r="D248" s="136" t="s">
        <v>43</v>
      </c>
      <c r="E248" s="142"/>
      <c r="F248" s="143"/>
      <c r="G248" s="445"/>
      <c r="H248" s="445"/>
      <c r="I248" s="445"/>
      <c r="J248" s="445"/>
      <c r="K248" s="445"/>
      <c r="L248" s="445"/>
      <c r="M248" s="445"/>
      <c r="N248" s="445">
        <v>1</v>
      </c>
      <c r="O248" s="445">
        <v>1</v>
      </c>
      <c r="P248" s="445">
        <v>1</v>
      </c>
      <c r="Q248" s="445">
        <v>1</v>
      </c>
      <c r="R248" s="447">
        <v>1</v>
      </c>
      <c r="S248" s="1237"/>
      <c r="T248" s="446"/>
      <c r="U248" s="446"/>
      <c r="V248" s="446"/>
      <c r="W248" s="446"/>
      <c r="X248" s="446"/>
      <c r="Y248" s="446"/>
      <c r="Z248" s="446"/>
      <c r="AA248" s="445">
        <v>1</v>
      </c>
      <c r="AB248" s="445">
        <v>1</v>
      </c>
      <c r="AC248" s="1225">
        <v>1</v>
      </c>
      <c r="AD248" s="445">
        <v>1</v>
      </c>
      <c r="AE248" s="447">
        <v>1</v>
      </c>
      <c r="AF248" s="1239"/>
      <c r="AG248" s="1195"/>
      <c r="AH248" s="789"/>
      <c r="AI248" s="789"/>
      <c r="AJ248" s="793"/>
      <c r="AK248" s="789"/>
      <c r="AL248" s="789"/>
      <c r="AM248" s="789"/>
      <c r="AN248" s="791"/>
      <c r="AO248" s="805"/>
      <c r="AP248" s="805"/>
      <c r="AQ248" s="786"/>
      <c r="AR248" s="786"/>
      <c r="AS248" s="786"/>
      <c r="AT248" s="786"/>
      <c r="AU248" s="787"/>
      <c r="AV248" s="787"/>
      <c r="AW248" s="787"/>
      <c r="AX248" s="784"/>
      <c r="AY248" s="1214"/>
    </row>
    <row r="249" spans="1:51" ht="27.75" customHeight="1" thickBot="1" x14ac:dyDescent="0.3">
      <c r="A249" s="1195"/>
      <c r="B249" s="833"/>
      <c r="C249" s="809"/>
      <c r="D249" s="140" t="s">
        <v>45</v>
      </c>
      <c r="E249" s="142"/>
      <c r="F249" s="143"/>
      <c r="G249" s="445"/>
      <c r="H249" s="445"/>
      <c r="I249" s="445"/>
      <c r="J249" s="445"/>
      <c r="K249" s="445"/>
      <c r="L249" s="445"/>
      <c r="M249" s="445"/>
      <c r="N249" s="445">
        <f>+N248*$N$155/$N$154</f>
        <v>2245714.2857142859</v>
      </c>
      <c r="O249" s="445">
        <f>+O248*$O$155/$O$154</f>
        <v>2245714.2857142859</v>
      </c>
      <c r="P249" s="445">
        <f>+P248*$P$155/$P$154</f>
        <v>2245714.2857142859</v>
      </c>
      <c r="Q249" s="445">
        <f>+Q248*$Q$155/$Q$154</f>
        <v>2245714.2857142859</v>
      </c>
      <c r="R249" s="445">
        <f>+R248*$R$155/$R$154</f>
        <v>2216923.076923077</v>
      </c>
      <c r="S249" s="1237"/>
      <c r="T249" s="446"/>
      <c r="U249" s="446"/>
      <c r="V249" s="446"/>
      <c r="W249" s="446"/>
      <c r="X249" s="446"/>
      <c r="Y249" s="446"/>
      <c r="Z249" s="446"/>
      <c r="AA249" s="445">
        <f>+AA248*$N$155/$N$154</f>
        <v>2245714.2857142859</v>
      </c>
      <c r="AB249" s="445">
        <f>+AB248*$AB$155/$AB$154</f>
        <v>2809950</v>
      </c>
      <c r="AC249" s="445">
        <f>+AC248*$AC$155/$AC$154</f>
        <v>2516373.1343283583</v>
      </c>
      <c r="AD249" s="445">
        <f>+AD248*$AD$155/$AD$154</f>
        <v>2341625</v>
      </c>
      <c r="AE249" s="445">
        <f>+AE248*$AE$155/$AE$154</f>
        <v>2216923.076923077</v>
      </c>
      <c r="AF249" s="1240"/>
      <c r="AG249" s="1196"/>
      <c r="AH249" s="790"/>
      <c r="AI249" s="790"/>
      <c r="AJ249" s="794"/>
      <c r="AK249" s="790"/>
      <c r="AL249" s="790"/>
      <c r="AM249" s="790"/>
      <c r="AN249" s="791"/>
      <c r="AO249" s="805"/>
      <c r="AP249" s="805"/>
      <c r="AQ249" s="786"/>
      <c r="AR249" s="786"/>
      <c r="AS249" s="786"/>
      <c r="AT249" s="786"/>
      <c r="AU249" s="787"/>
      <c r="AV249" s="787"/>
      <c r="AW249" s="787"/>
      <c r="AX249" s="785"/>
      <c r="AY249" s="1214"/>
    </row>
    <row r="250" spans="1:51" ht="18" customHeight="1" x14ac:dyDescent="0.25">
      <c r="A250" s="1195"/>
      <c r="B250" s="833"/>
      <c r="C250" s="809" t="s">
        <v>1314</v>
      </c>
      <c r="D250" s="141" t="s">
        <v>41</v>
      </c>
      <c r="E250" s="142"/>
      <c r="F250" s="143"/>
      <c r="G250" s="445"/>
      <c r="H250" s="445"/>
      <c r="I250" s="445"/>
      <c r="J250" s="445">
        <v>1</v>
      </c>
      <c r="K250" s="445">
        <v>1</v>
      </c>
      <c r="L250" s="445">
        <v>1</v>
      </c>
      <c r="M250" s="445">
        <v>2</v>
      </c>
      <c r="N250" s="448">
        <v>3</v>
      </c>
      <c r="O250" s="445">
        <v>3</v>
      </c>
      <c r="P250" s="445">
        <v>3</v>
      </c>
      <c r="Q250" s="445">
        <v>3</v>
      </c>
      <c r="R250" s="447">
        <v>4</v>
      </c>
      <c r="S250" s="1237"/>
      <c r="T250" s="446"/>
      <c r="U250" s="446"/>
      <c r="V250" s="446"/>
      <c r="W250" s="446">
        <v>1</v>
      </c>
      <c r="X250" s="446">
        <v>1</v>
      </c>
      <c r="Y250" s="446">
        <v>1</v>
      </c>
      <c r="Z250" s="446">
        <v>2</v>
      </c>
      <c r="AA250" s="448">
        <v>3</v>
      </c>
      <c r="AB250" s="445">
        <v>3</v>
      </c>
      <c r="AC250" s="1225">
        <v>3</v>
      </c>
      <c r="AD250" s="445">
        <v>3</v>
      </c>
      <c r="AE250" s="447">
        <v>4</v>
      </c>
      <c r="AF250" s="1233" t="s">
        <v>1277</v>
      </c>
      <c r="AG250" s="1194" t="s">
        <v>454</v>
      </c>
      <c r="AH250" s="788" t="s">
        <v>1125</v>
      </c>
      <c r="AI250" s="788" t="s">
        <v>1124</v>
      </c>
      <c r="AJ250" s="792" t="s">
        <v>913</v>
      </c>
      <c r="AK250" s="788" t="s">
        <v>315</v>
      </c>
      <c r="AL250" s="788" t="s">
        <v>70</v>
      </c>
      <c r="AM250" s="788" t="s">
        <v>316</v>
      </c>
      <c r="AN250" s="791">
        <v>22438</v>
      </c>
      <c r="AO250" s="805">
        <v>118748</v>
      </c>
      <c r="AP250" s="805">
        <v>132822</v>
      </c>
      <c r="AQ250" s="786" t="s">
        <v>317</v>
      </c>
      <c r="AR250" s="786" t="s">
        <v>317</v>
      </c>
      <c r="AS250" s="786" t="s">
        <v>317</v>
      </c>
      <c r="AT250" s="786" t="s">
        <v>317</v>
      </c>
      <c r="AU250" s="787" t="s">
        <v>317</v>
      </c>
      <c r="AV250" s="787" t="s">
        <v>317</v>
      </c>
      <c r="AW250" s="787" t="s">
        <v>317</v>
      </c>
      <c r="AX250" s="783">
        <v>22438</v>
      </c>
      <c r="AY250" s="1214"/>
    </row>
    <row r="251" spans="1:51" ht="18.75" customHeight="1" x14ac:dyDescent="0.25">
      <c r="A251" s="1195"/>
      <c r="B251" s="833"/>
      <c r="C251" s="809"/>
      <c r="D251" s="132" t="s">
        <v>3</v>
      </c>
      <c r="E251" s="142"/>
      <c r="F251" s="143"/>
      <c r="G251" s="445"/>
      <c r="H251" s="445"/>
      <c r="I251" s="445"/>
      <c r="J251" s="445">
        <v>2245714.2857142859</v>
      </c>
      <c r="K251" s="445">
        <f>+K250*$K$155/$K$154</f>
        <v>2189571.4285714286</v>
      </c>
      <c r="L251" s="445">
        <f>+L250*$L$155/$L$154</f>
        <v>2189571.4285714286</v>
      </c>
      <c r="M251" s="445">
        <f>+M250*$M$155/$M$154</f>
        <v>4379142.8571428573</v>
      </c>
      <c r="N251" s="445">
        <f>+N250*$N$155/$N$154</f>
        <v>6737142.8571428573</v>
      </c>
      <c r="O251" s="445">
        <f>+O250*$O$155/$O$154</f>
        <v>6737142.8571428573</v>
      </c>
      <c r="P251" s="445">
        <f>+P250*$P$155/$P$154</f>
        <v>6737142.8571428573</v>
      </c>
      <c r="Q251" s="445">
        <f>+Q250*$Q$155/$Q$154</f>
        <v>6737142.8571428573</v>
      </c>
      <c r="R251" s="445">
        <f>+R250*$R$155/$R$154</f>
        <v>8867692.307692308</v>
      </c>
      <c r="S251" s="1237"/>
      <c r="T251" s="446"/>
      <c r="U251" s="446"/>
      <c r="V251" s="446"/>
      <c r="W251" s="445">
        <v>6743880</v>
      </c>
      <c r="X251" s="445">
        <f>+X250*$X$155/$X$154</f>
        <v>5268656.25</v>
      </c>
      <c r="Y251" s="445">
        <f>+Y250*$Y$155/$Y$154</f>
        <v>4323000</v>
      </c>
      <c r="Z251" s="445">
        <f>+Z250*$Z$155/$Z$154</f>
        <v>7330304.3478260869</v>
      </c>
      <c r="AA251" s="445">
        <f>+AA250*$N$155/$N$154</f>
        <v>6737142.8571428573</v>
      </c>
      <c r="AB251" s="445">
        <f>+AB250*$AB$155/$AB$154</f>
        <v>8429850</v>
      </c>
      <c r="AC251" s="445">
        <f>+AC250*$AC$155/$AC$154</f>
        <v>7549119.4029850746</v>
      </c>
      <c r="AD251" s="445">
        <f>+AD250*$AD$155/$AD$154</f>
        <v>7024875</v>
      </c>
      <c r="AE251" s="445">
        <f>+AE250*$AE$155/$AE$154</f>
        <v>8867692.307692308</v>
      </c>
      <c r="AF251" s="1237"/>
      <c r="AG251" s="1195"/>
      <c r="AH251" s="789"/>
      <c r="AI251" s="789"/>
      <c r="AJ251" s="793"/>
      <c r="AK251" s="789"/>
      <c r="AL251" s="789"/>
      <c r="AM251" s="789"/>
      <c r="AN251" s="791"/>
      <c r="AO251" s="805"/>
      <c r="AP251" s="805"/>
      <c r="AQ251" s="786"/>
      <c r="AR251" s="786"/>
      <c r="AS251" s="786"/>
      <c r="AT251" s="786"/>
      <c r="AU251" s="787"/>
      <c r="AV251" s="787"/>
      <c r="AW251" s="787"/>
      <c r="AX251" s="784"/>
      <c r="AY251" s="1214"/>
    </row>
    <row r="252" spans="1:51" ht="27.75" customHeight="1" x14ac:dyDescent="0.25">
      <c r="A252" s="1195"/>
      <c r="B252" s="833"/>
      <c r="C252" s="809"/>
      <c r="D252" s="136" t="s">
        <v>42</v>
      </c>
      <c r="E252" s="142"/>
      <c r="F252" s="143"/>
      <c r="G252" s="445"/>
      <c r="H252" s="445"/>
      <c r="I252" s="445"/>
      <c r="J252" s="445"/>
      <c r="K252" s="445"/>
      <c r="L252" s="445"/>
      <c r="M252" s="445"/>
      <c r="N252" s="448"/>
      <c r="O252" s="445"/>
      <c r="P252" s="445"/>
      <c r="Q252" s="445"/>
      <c r="R252" s="447"/>
      <c r="S252" s="1237"/>
      <c r="T252" s="446"/>
      <c r="U252" s="446"/>
      <c r="V252" s="446"/>
      <c r="W252" s="446"/>
      <c r="X252" s="446"/>
      <c r="Y252" s="446"/>
      <c r="Z252" s="446"/>
      <c r="AA252" s="448"/>
      <c r="AB252" s="445"/>
      <c r="AC252" s="1225"/>
      <c r="AD252" s="445"/>
      <c r="AE252" s="447"/>
      <c r="AF252" s="1237"/>
      <c r="AG252" s="1195"/>
      <c r="AH252" s="789"/>
      <c r="AI252" s="789"/>
      <c r="AJ252" s="793"/>
      <c r="AK252" s="789"/>
      <c r="AL252" s="789"/>
      <c r="AM252" s="789"/>
      <c r="AN252" s="791"/>
      <c r="AO252" s="805"/>
      <c r="AP252" s="805"/>
      <c r="AQ252" s="786"/>
      <c r="AR252" s="786"/>
      <c r="AS252" s="786"/>
      <c r="AT252" s="786"/>
      <c r="AU252" s="787"/>
      <c r="AV252" s="787"/>
      <c r="AW252" s="787"/>
      <c r="AX252" s="784"/>
      <c r="AY252" s="1214"/>
    </row>
    <row r="253" spans="1:51" ht="27.75" customHeight="1" x14ac:dyDescent="0.25">
      <c r="A253" s="1195"/>
      <c r="B253" s="833"/>
      <c r="C253" s="809"/>
      <c r="D253" s="132" t="s">
        <v>4</v>
      </c>
      <c r="E253" s="142"/>
      <c r="F253" s="143"/>
      <c r="G253" s="445"/>
      <c r="H253" s="445"/>
      <c r="I253" s="445"/>
      <c r="J253" s="445"/>
      <c r="K253" s="445"/>
      <c r="L253" s="445"/>
      <c r="M253" s="445"/>
      <c r="N253" s="448"/>
      <c r="O253" s="445"/>
      <c r="P253" s="445"/>
      <c r="Q253" s="445"/>
      <c r="R253" s="447"/>
      <c r="S253" s="1237"/>
      <c r="T253" s="446"/>
      <c r="U253" s="446"/>
      <c r="V253" s="446"/>
      <c r="W253" s="446"/>
      <c r="X253" s="446"/>
      <c r="Y253" s="446"/>
      <c r="Z253" s="446"/>
      <c r="AA253" s="448"/>
      <c r="AB253" s="445"/>
      <c r="AC253" s="1225"/>
      <c r="AD253" s="445"/>
      <c r="AE253" s="447"/>
      <c r="AF253" s="1237"/>
      <c r="AG253" s="1195"/>
      <c r="AH253" s="789"/>
      <c r="AI253" s="789"/>
      <c r="AJ253" s="793"/>
      <c r="AK253" s="789"/>
      <c r="AL253" s="789"/>
      <c r="AM253" s="789"/>
      <c r="AN253" s="791"/>
      <c r="AO253" s="805"/>
      <c r="AP253" s="805"/>
      <c r="AQ253" s="786"/>
      <c r="AR253" s="786"/>
      <c r="AS253" s="786"/>
      <c r="AT253" s="786"/>
      <c r="AU253" s="787"/>
      <c r="AV253" s="787"/>
      <c r="AW253" s="787"/>
      <c r="AX253" s="784"/>
      <c r="AY253" s="1214"/>
    </row>
    <row r="254" spans="1:51" ht="27.75" customHeight="1" x14ac:dyDescent="0.25">
      <c r="A254" s="1195"/>
      <c r="B254" s="833"/>
      <c r="C254" s="809"/>
      <c r="D254" s="136" t="s">
        <v>43</v>
      </c>
      <c r="E254" s="142"/>
      <c r="F254" s="143"/>
      <c r="G254" s="445"/>
      <c r="H254" s="445"/>
      <c r="I254" s="445"/>
      <c r="J254" s="445">
        <v>1</v>
      </c>
      <c r="K254" s="445">
        <v>1</v>
      </c>
      <c r="L254" s="445">
        <v>1</v>
      </c>
      <c r="M254" s="445">
        <v>2</v>
      </c>
      <c r="N254" s="448">
        <v>3</v>
      </c>
      <c r="O254" s="445">
        <v>3</v>
      </c>
      <c r="P254" s="445">
        <v>3</v>
      </c>
      <c r="Q254" s="445">
        <v>3</v>
      </c>
      <c r="R254" s="447">
        <v>4</v>
      </c>
      <c r="S254" s="1237"/>
      <c r="T254" s="446"/>
      <c r="U254" s="446"/>
      <c r="V254" s="446"/>
      <c r="W254" s="446">
        <v>1</v>
      </c>
      <c r="X254" s="446">
        <v>1</v>
      </c>
      <c r="Y254" s="446">
        <v>1</v>
      </c>
      <c r="Z254" s="446">
        <v>2</v>
      </c>
      <c r="AA254" s="448">
        <v>3</v>
      </c>
      <c r="AB254" s="445">
        <v>3</v>
      </c>
      <c r="AC254" s="1225">
        <v>3</v>
      </c>
      <c r="AD254" s="445">
        <v>3</v>
      </c>
      <c r="AE254" s="447">
        <v>4</v>
      </c>
      <c r="AF254" s="1237"/>
      <c r="AG254" s="1195"/>
      <c r="AH254" s="789"/>
      <c r="AI254" s="789"/>
      <c r="AJ254" s="793"/>
      <c r="AK254" s="789"/>
      <c r="AL254" s="789"/>
      <c r="AM254" s="789"/>
      <c r="AN254" s="791"/>
      <c r="AO254" s="805"/>
      <c r="AP254" s="805"/>
      <c r="AQ254" s="786"/>
      <c r="AR254" s="786"/>
      <c r="AS254" s="786"/>
      <c r="AT254" s="786"/>
      <c r="AU254" s="787"/>
      <c r="AV254" s="787"/>
      <c r="AW254" s="787"/>
      <c r="AX254" s="784"/>
      <c r="AY254" s="1214"/>
    </row>
    <row r="255" spans="1:51" ht="27.6" customHeight="1" thickBot="1" x14ac:dyDescent="0.3">
      <c r="A255" s="1195"/>
      <c r="B255" s="833"/>
      <c r="C255" s="809"/>
      <c r="D255" s="140" t="s">
        <v>45</v>
      </c>
      <c r="E255" s="142"/>
      <c r="F255" s="143"/>
      <c r="G255" s="445"/>
      <c r="H255" s="445"/>
      <c r="I255" s="445"/>
      <c r="J255" s="445">
        <v>2245714.2857142859</v>
      </c>
      <c r="K255" s="445">
        <f>+K254*$K$155/$K$154</f>
        <v>2189571.4285714286</v>
      </c>
      <c r="L255" s="445">
        <f>+L254*$L$155/$L$154</f>
        <v>2189571.4285714286</v>
      </c>
      <c r="M255" s="445">
        <f>+M254*$M$155/$M$154</f>
        <v>4379142.8571428573</v>
      </c>
      <c r="N255" s="445">
        <f>+N254*$N$155/$N$154</f>
        <v>6737142.8571428573</v>
      </c>
      <c r="O255" s="445">
        <f>+O254*$O$155/$O$154</f>
        <v>6737142.8571428573</v>
      </c>
      <c r="P255" s="445">
        <f>+P254*$P$155/$P$154</f>
        <v>6737142.8571428573</v>
      </c>
      <c r="Q255" s="445">
        <f>+Q254*$Q$155/$Q$154</f>
        <v>6737142.8571428573</v>
      </c>
      <c r="R255" s="445">
        <f>+R254*$R$155/$R$154</f>
        <v>8867692.307692308</v>
      </c>
      <c r="S255" s="1237"/>
      <c r="T255" s="446"/>
      <c r="U255" s="446"/>
      <c r="V255" s="446"/>
      <c r="W255" s="445">
        <v>6743880</v>
      </c>
      <c r="X255" s="445">
        <f>+X254*$X$155/$X$154</f>
        <v>5268656.25</v>
      </c>
      <c r="Y255" s="445">
        <f>+Y254*$Y$155/$Y$154</f>
        <v>4323000</v>
      </c>
      <c r="Z255" s="445">
        <f>+Z254*$Z$155/$Z$154</f>
        <v>7330304.3478260869</v>
      </c>
      <c r="AA255" s="445">
        <f>+AA254*$N$155/$N$154</f>
        <v>6737142.8571428573</v>
      </c>
      <c r="AB255" s="445">
        <f>+AB254*$AB$155/$AB$154</f>
        <v>8429850</v>
      </c>
      <c r="AC255" s="445">
        <f>+AC254*$AC$155/$AC$154</f>
        <v>7549119.4029850746</v>
      </c>
      <c r="AD255" s="445">
        <f>+AD254*$AD$155/$AD$154</f>
        <v>7024875</v>
      </c>
      <c r="AE255" s="445">
        <f>+AE254*$AE$155/$AE$154</f>
        <v>8867692.307692308</v>
      </c>
      <c r="AF255" s="1241"/>
      <c r="AG255" s="1196"/>
      <c r="AH255" s="790"/>
      <c r="AI255" s="790"/>
      <c r="AJ255" s="794"/>
      <c r="AK255" s="790"/>
      <c r="AL255" s="790"/>
      <c r="AM255" s="790"/>
      <c r="AN255" s="791"/>
      <c r="AO255" s="805"/>
      <c r="AP255" s="805"/>
      <c r="AQ255" s="786"/>
      <c r="AR255" s="786"/>
      <c r="AS255" s="786"/>
      <c r="AT255" s="786"/>
      <c r="AU255" s="787"/>
      <c r="AV255" s="787"/>
      <c r="AW255" s="787"/>
      <c r="AX255" s="785"/>
      <c r="AY255" s="1214"/>
    </row>
    <row r="256" spans="1:51" ht="18" hidden="1" customHeight="1" x14ac:dyDescent="0.25">
      <c r="A256" s="1195"/>
      <c r="B256" s="833"/>
      <c r="C256" s="809" t="s">
        <v>330</v>
      </c>
      <c r="D256" s="141" t="s">
        <v>41</v>
      </c>
      <c r="E256" s="142"/>
      <c r="F256" s="143"/>
      <c r="G256" s="445"/>
      <c r="H256" s="445"/>
      <c r="I256" s="445"/>
      <c r="J256" s="445"/>
      <c r="K256" s="445"/>
      <c r="L256" s="445"/>
      <c r="M256" s="445"/>
      <c r="N256" s="448"/>
      <c r="O256" s="445"/>
      <c r="P256" s="445"/>
      <c r="Q256" s="445"/>
      <c r="R256" s="447"/>
      <c r="S256" s="1237"/>
      <c r="T256" s="446"/>
      <c r="U256" s="446"/>
      <c r="V256" s="446"/>
      <c r="W256" s="446"/>
      <c r="X256" s="446"/>
      <c r="Y256" s="446"/>
      <c r="Z256" s="446"/>
      <c r="AA256" s="448"/>
      <c r="AB256" s="445"/>
      <c r="AC256" s="1225"/>
      <c r="AD256" s="445"/>
      <c r="AE256" s="447"/>
      <c r="AF256" s="1242"/>
      <c r="AG256" s="1194" t="s">
        <v>330</v>
      </c>
      <c r="AH256" s="788" t="s">
        <v>350</v>
      </c>
      <c r="AI256" s="788" t="s">
        <v>350</v>
      </c>
      <c r="AJ256" s="792" t="s">
        <v>913</v>
      </c>
      <c r="AK256" s="788" t="s">
        <v>315</v>
      </c>
      <c r="AL256" s="788" t="s">
        <v>70</v>
      </c>
      <c r="AM256" s="788" t="s">
        <v>316</v>
      </c>
      <c r="AN256" s="791">
        <v>22438</v>
      </c>
      <c r="AO256" s="805">
        <v>9562</v>
      </c>
      <c r="AP256" s="805">
        <v>9141</v>
      </c>
      <c r="AQ256" s="786" t="s">
        <v>317</v>
      </c>
      <c r="AR256" s="786" t="s">
        <v>317</v>
      </c>
      <c r="AS256" s="786" t="s">
        <v>317</v>
      </c>
      <c r="AT256" s="786" t="s">
        <v>317</v>
      </c>
      <c r="AU256" s="787" t="s">
        <v>317</v>
      </c>
      <c r="AV256" s="787" t="s">
        <v>317</v>
      </c>
      <c r="AW256" s="787" t="s">
        <v>317</v>
      </c>
      <c r="AX256" s="783">
        <v>22438</v>
      </c>
      <c r="AY256" s="1214"/>
    </row>
    <row r="257" spans="1:51" ht="18.75" hidden="1" customHeight="1" x14ac:dyDescent="0.25">
      <c r="A257" s="1195"/>
      <c r="B257" s="833"/>
      <c r="C257" s="809"/>
      <c r="D257" s="132" t="s">
        <v>3</v>
      </c>
      <c r="E257" s="142"/>
      <c r="F257" s="143"/>
      <c r="G257" s="445"/>
      <c r="H257" s="445"/>
      <c r="I257" s="445"/>
      <c r="J257" s="445"/>
      <c r="K257" s="445"/>
      <c r="L257" s="445"/>
      <c r="M257" s="445"/>
      <c r="N257" s="448"/>
      <c r="O257" s="445"/>
      <c r="P257" s="445"/>
      <c r="Q257" s="445"/>
      <c r="R257" s="447"/>
      <c r="S257" s="1237"/>
      <c r="T257" s="446"/>
      <c r="U257" s="446"/>
      <c r="V257" s="446"/>
      <c r="W257" s="446"/>
      <c r="X257" s="446"/>
      <c r="Y257" s="446"/>
      <c r="Z257" s="446"/>
      <c r="AA257" s="448"/>
      <c r="AB257" s="445"/>
      <c r="AC257" s="1225"/>
      <c r="AD257" s="445"/>
      <c r="AE257" s="447"/>
      <c r="AF257" s="1242"/>
      <c r="AG257" s="1195"/>
      <c r="AH257" s="789"/>
      <c r="AI257" s="789"/>
      <c r="AJ257" s="793"/>
      <c r="AK257" s="789"/>
      <c r="AL257" s="789"/>
      <c r="AM257" s="789"/>
      <c r="AN257" s="791"/>
      <c r="AO257" s="805"/>
      <c r="AP257" s="805"/>
      <c r="AQ257" s="786"/>
      <c r="AR257" s="786"/>
      <c r="AS257" s="786"/>
      <c r="AT257" s="786"/>
      <c r="AU257" s="787"/>
      <c r="AV257" s="787"/>
      <c r="AW257" s="787"/>
      <c r="AX257" s="784"/>
      <c r="AY257" s="1214"/>
    </row>
    <row r="258" spans="1:51" ht="27.75" hidden="1" customHeight="1" x14ac:dyDescent="0.25">
      <c r="A258" s="1195"/>
      <c r="B258" s="833"/>
      <c r="C258" s="809"/>
      <c r="D258" s="136" t="s">
        <v>42</v>
      </c>
      <c r="E258" s="142"/>
      <c r="F258" s="143"/>
      <c r="G258" s="445"/>
      <c r="H258" s="445"/>
      <c r="I258" s="445"/>
      <c r="J258" s="445"/>
      <c r="K258" s="445"/>
      <c r="L258" s="445"/>
      <c r="M258" s="445"/>
      <c r="N258" s="448"/>
      <c r="O258" s="445"/>
      <c r="P258" s="445"/>
      <c r="Q258" s="445"/>
      <c r="R258" s="447"/>
      <c r="S258" s="1237"/>
      <c r="T258" s="446"/>
      <c r="U258" s="446"/>
      <c r="V258" s="446"/>
      <c r="W258" s="446"/>
      <c r="X258" s="446"/>
      <c r="Y258" s="446"/>
      <c r="Z258" s="446"/>
      <c r="AA258" s="448"/>
      <c r="AB258" s="445"/>
      <c r="AC258" s="1225"/>
      <c r="AD258" s="445"/>
      <c r="AE258" s="447"/>
      <c r="AF258" s="1242"/>
      <c r="AG258" s="1195"/>
      <c r="AH258" s="789"/>
      <c r="AI258" s="789"/>
      <c r="AJ258" s="793"/>
      <c r="AK258" s="789"/>
      <c r="AL258" s="789"/>
      <c r="AM258" s="789"/>
      <c r="AN258" s="791"/>
      <c r="AO258" s="805"/>
      <c r="AP258" s="805"/>
      <c r="AQ258" s="786"/>
      <c r="AR258" s="786"/>
      <c r="AS258" s="786"/>
      <c r="AT258" s="786"/>
      <c r="AU258" s="787"/>
      <c r="AV258" s="787"/>
      <c r="AW258" s="787"/>
      <c r="AX258" s="784"/>
      <c r="AY258" s="1214"/>
    </row>
    <row r="259" spans="1:51" ht="27.75" hidden="1" customHeight="1" x14ac:dyDescent="0.25">
      <c r="A259" s="1195"/>
      <c r="B259" s="833"/>
      <c r="C259" s="809"/>
      <c r="D259" s="132" t="s">
        <v>4</v>
      </c>
      <c r="E259" s="142"/>
      <c r="F259" s="143"/>
      <c r="G259" s="445"/>
      <c r="H259" s="445"/>
      <c r="I259" s="445"/>
      <c r="J259" s="445"/>
      <c r="K259" s="445"/>
      <c r="L259" s="445"/>
      <c r="M259" s="445"/>
      <c r="N259" s="448"/>
      <c r="O259" s="445"/>
      <c r="P259" s="445"/>
      <c r="Q259" s="445"/>
      <c r="R259" s="447"/>
      <c r="S259" s="1237"/>
      <c r="T259" s="446"/>
      <c r="U259" s="446"/>
      <c r="V259" s="446"/>
      <c r="W259" s="446"/>
      <c r="X259" s="446"/>
      <c r="Y259" s="446"/>
      <c r="Z259" s="446"/>
      <c r="AA259" s="448"/>
      <c r="AB259" s="445"/>
      <c r="AC259" s="1225"/>
      <c r="AD259" s="445"/>
      <c r="AE259" s="447"/>
      <c r="AF259" s="1242"/>
      <c r="AG259" s="1195"/>
      <c r="AH259" s="789"/>
      <c r="AI259" s="789"/>
      <c r="AJ259" s="793"/>
      <c r="AK259" s="789"/>
      <c r="AL259" s="789"/>
      <c r="AM259" s="789"/>
      <c r="AN259" s="791"/>
      <c r="AO259" s="805"/>
      <c r="AP259" s="805"/>
      <c r="AQ259" s="786"/>
      <c r="AR259" s="786"/>
      <c r="AS259" s="786"/>
      <c r="AT259" s="786"/>
      <c r="AU259" s="787"/>
      <c r="AV259" s="787"/>
      <c r="AW259" s="787"/>
      <c r="AX259" s="784"/>
      <c r="AY259" s="1214"/>
    </row>
    <row r="260" spans="1:51" ht="27.75" hidden="1" customHeight="1" x14ac:dyDescent="0.25">
      <c r="A260" s="1195"/>
      <c r="B260" s="833"/>
      <c r="C260" s="809"/>
      <c r="D260" s="136" t="s">
        <v>43</v>
      </c>
      <c r="E260" s="142"/>
      <c r="F260" s="143"/>
      <c r="G260" s="445"/>
      <c r="H260" s="445"/>
      <c r="I260" s="445"/>
      <c r="J260" s="445"/>
      <c r="K260" s="445"/>
      <c r="L260" s="445"/>
      <c r="M260" s="445"/>
      <c r="N260" s="448"/>
      <c r="O260" s="445"/>
      <c r="P260" s="445"/>
      <c r="Q260" s="445"/>
      <c r="R260" s="447"/>
      <c r="S260" s="1237"/>
      <c r="T260" s="446"/>
      <c r="U260" s="446"/>
      <c r="V260" s="446"/>
      <c r="W260" s="446"/>
      <c r="X260" s="446"/>
      <c r="Y260" s="446"/>
      <c r="Z260" s="446"/>
      <c r="AA260" s="448"/>
      <c r="AB260" s="445"/>
      <c r="AC260" s="1225"/>
      <c r="AD260" s="445"/>
      <c r="AE260" s="447"/>
      <c r="AF260" s="1242"/>
      <c r="AG260" s="1195"/>
      <c r="AH260" s="789"/>
      <c r="AI260" s="789"/>
      <c r="AJ260" s="793"/>
      <c r="AK260" s="789"/>
      <c r="AL260" s="789"/>
      <c r="AM260" s="789"/>
      <c r="AN260" s="791"/>
      <c r="AO260" s="805"/>
      <c r="AP260" s="805"/>
      <c r="AQ260" s="786"/>
      <c r="AR260" s="786"/>
      <c r="AS260" s="786"/>
      <c r="AT260" s="786"/>
      <c r="AU260" s="787"/>
      <c r="AV260" s="787"/>
      <c r="AW260" s="787"/>
      <c r="AX260" s="784"/>
      <c r="AY260" s="1214"/>
    </row>
    <row r="261" spans="1:51" ht="27.75" hidden="1" customHeight="1" thickBot="1" x14ac:dyDescent="0.3">
      <c r="A261" s="1195"/>
      <c r="B261" s="833"/>
      <c r="C261" s="809"/>
      <c r="D261" s="140" t="s">
        <v>45</v>
      </c>
      <c r="E261" s="142"/>
      <c r="F261" s="143"/>
      <c r="G261" s="445"/>
      <c r="H261" s="445"/>
      <c r="I261" s="445"/>
      <c r="J261" s="445"/>
      <c r="K261" s="445"/>
      <c r="L261" s="445"/>
      <c r="M261" s="445"/>
      <c r="N261" s="448"/>
      <c r="O261" s="445"/>
      <c r="P261" s="445"/>
      <c r="Q261" s="445"/>
      <c r="R261" s="447"/>
      <c r="S261" s="1237"/>
      <c r="T261" s="446"/>
      <c r="U261" s="446"/>
      <c r="V261" s="446"/>
      <c r="W261" s="446"/>
      <c r="X261" s="446"/>
      <c r="Y261" s="446"/>
      <c r="Z261" s="446"/>
      <c r="AA261" s="448"/>
      <c r="AB261" s="445"/>
      <c r="AC261" s="1225"/>
      <c r="AD261" s="445"/>
      <c r="AE261" s="447"/>
      <c r="AF261" s="1242"/>
      <c r="AG261" s="1196"/>
      <c r="AH261" s="790"/>
      <c r="AI261" s="790"/>
      <c r="AJ261" s="794"/>
      <c r="AK261" s="790"/>
      <c r="AL261" s="790"/>
      <c r="AM261" s="790"/>
      <c r="AN261" s="791"/>
      <c r="AO261" s="805"/>
      <c r="AP261" s="805"/>
      <c r="AQ261" s="786"/>
      <c r="AR261" s="786"/>
      <c r="AS261" s="786"/>
      <c r="AT261" s="786"/>
      <c r="AU261" s="787"/>
      <c r="AV261" s="787"/>
      <c r="AW261" s="787"/>
      <c r="AX261" s="785"/>
      <c r="AY261" s="1214"/>
    </row>
    <row r="262" spans="1:51" ht="18" customHeight="1" x14ac:dyDescent="0.25">
      <c r="A262" s="1195"/>
      <c r="B262" s="833"/>
      <c r="C262" s="809" t="s">
        <v>1315</v>
      </c>
      <c r="D262" s="141" t="s">
        <v>41</v>
      </c>
      <c r="E262" s="142"/>
      <c r="F262" s="143"/>
      <c r="G262" s="445"/>
      <c r="H262" s="445"/>
      <c r="I262" s="445"/>
      <c r="J262" s="445">
        <v>1</v>
      </c>
      <c r="K262" s="445">
        <v>1</v>
      </c>
      <c r="L262" s="445">
        <v>1</v>
      </c>
      <c r="M262" s="445">
        <v>1</v>
      </c>
      <c r="N262" s="448">
        <v>1</v>
      </c>
      <c r="O262" s="445">
        <v>1</v>
      </c>
      <c r="P262" s="445">
        <v>1</v>
      </c>
      <c r="Q262" s="445">
        <v>1</v>
      </c>
      <c r="R262" s="447">
        <v>1</v>
      </c>
      <c r="S262" s="1237"/>
      <c r="T262" s="446"/>
      <c r="U262" s="446"/>
      <c r="V262" s="446"/>
      <c r="W262" s="446">
        <v>1</v>
      </c>
      <c r="X262" s="446">
        <v>1</v>
      </c>
      <c r="Y262" s="446">
        <v>1</v>
      </c>
      <c r="Z262" s="446">
        <v>1</v>
      </c>
      <c r="AA262" s="448">
        <v>1</v>
      </c>
      <c r="AB262" s="445">
        <v>1</v>
      </c>
      <c r="AC262" s="1225">
        <v>1</v>
      </c>
      <c r="AD262" s="445">
        <v>1</v>
      </c>
      <c r="AE262" s="447">
        <v>1</v>
      </c>
      <c r="AF262" s="1239" t="s">
        <v>969</v>
      </c>
      <c r="AG262" s="1194" t="s">
        <v>398</v>
      </c>
      <c r="AH262" s="788" t="s">
        <v>458</v>
      </c>
      <c r="AI262" s="788" t="s">
        <v>459</v>
      </c>
      <c r="AJ262" s="792" t="s">
        <v>913</v>
      </c>
      <c r="AK262" s="788" t="s">
        <v>315</v>
      </c>
      <c r="AL262" s="788" t="s">
        <v>460</v>
      </c>
      <c r="AM262" s="788" t="s">
        <v>316</v>
      </c>
      <c r="AN262" s="791">
        <v>348023</v>
      </c>
      <c r="AO262" s="805">
        <v>179866</v>
      </c>
      <c r="AP262" s="805">
        <v>192751</v>
      </c>
      <c r="AQ262" s="786" t="s">
        <v>317</v>
      </c>
      <c r="AR262" s="786" t="s">
        <v>317</v>
      </c>
      <c r="AS262" s="786" t="s">
        <v>317</v>
      </c>
      <c r="AT262" s="786" t="s">
        <v>317</v>
      </c>
      <c r="AU262" s="787" t="s">
        <v>317</v>
      </c>
      <c r="AV262" s="787" t="s">
        <v>317</v>
      </c>
      <c r="AW262" s="787" t="s">
        <v>317</v>
      </c>
      <c r="AX262" s="783">
        <v>348023</v>
      </c>
      <c r="AY262" s="1214"/>
    </row>
    <row r="263" spans="1:51" ht="18.75" customHeight="1" x14ac:dyDescent="0.25">
      <c r="A263" s="1195"/>
      <c r="B263" s="833"/>
      <c r="C263" s="809"/>
      <c r="D263" s="132" t="s">
        <v>3</v>
      </c>
      <c r="E263" s="142"/>
      <c r="F263" s="143"/>
      <c r="G263" s="445"/>
      <c r="H263" s="445"/>
      <c r="I263" s="445"/>
      <c r="J263" s="445">
        <v>2245714.2857142859</v>
      </c>
      <c r="K263" s="445">
        <f>+K262*$K$155/$K$154</f>
        <v>2189571.4285714286</v>
      </c>
      <c r="L263" s="445">
        <f>+L262*$L$155/$L$154</f>
        <v>2189571.4285714286</v>
      </c>
      <c r="M263" s="445">
        <f>+M262*$M$155/$M$154</f>
        <v>2189571.4285714286</v>
      </c>
      <c r="N263" s="445">
        <f>+N262*$N$155/$N$154</f>
        <v>2245714.2857142859</v>
      </c>
      <c r="O263" s="445">
        <f>+O262*$O$155/$O$154</f>
        <v>2245714.2857142859</v>
      </c>
      <c r="P263" s="445">
        <f>+P262*$P$155/$P$154</f>
        <v>2245714.2857142859</v>
      </c>
      <c r="Q263" s="445">
        <f>+Q262*$Q$155/$Q$154</f>
        <v>2245714.2857142859</v>
      </c>
      <c r="R263" s="445">
        <f>+R262*$R$155/$R$154</f>
        <v>2216923.076923077</v>
      </c>
      <c r="S263" s="1237"/>
      <c r="T263" s="446"/>
      <c r="U263" s="446"/>
      <c r="V263" s="446"/>
      <c r="W263" s="445">
        <v>6743880</v>
      </c>
      <c r="X263" s="445">
        <f>+X262*$X$155/$X$154</f>
        <v>5268656.25</v>
      </c>
      <c r="Y263" s="445">
        <f>+Y262*$Y$155/$Y$154</f>
        <v>4323000</v>
      </c>
      <c r="Z263" s="445">
        <f>+Z262*$Z$155/$Z$154</f>
        <v>3665152.1739130435</v>
      </c>
      <c r="AA263" s="445">
        <f>+AA262*$N$155/$N$154</f>
        <v>2245714.2857142859</v>
      </c>
      <c r="AB263" s="445">
        <f>+AB262*$AB$155/$AB$154</f>
        <v>2809950</v>
      </c>
      <c r="AC263" s="445">
        <f>+AC262*$AC$155/$AC$154</f>
        <v>2516373.1343283583</v>
      </c>
      <c r="AD263" s="445">
        <f>+AD262*$AD$155/$AD$154</f>
        <v>2341625</v>
      </c>
      <c r="AE263" s="445">
        <f>+AE262*$AE$155/$AE$154</f>
        <v>2216923.076923077</v>
      </c>
      <c r="AF263" s="1239"/>
      <c r="AG263" s="1195"/>
      <c r="AH263" s="789"/>
      <c r="AI263" s="789"/>
      <c r="AJ263" s="793"/>
      <c r="AK263" s="789"/>
      <c r="AL263" s="789"/>
      <c r="AM263" s="789"/>
      <c r="AN263" s="791"/>
      <c r="AO263" s="805"/>
      <c r="AP263" s="805"/>
      <c r="AQ263" s="786"/>
      <c r="AR263" s="786"/>
      <c r="AS263" s="786"/>
      <c r="AT263" s="786"/>
      <c r="AU263" s="787"/>
      <c r="AV263" s="787"/>
      <c r="AW263" s="787"/>
      <c r="AX263" s="784"/>
      <c r="AY263" s="1214"/>
    </row>
    <row r="264" spans="1:51" ht="27.75" customHeight="1" x14ac:dyDescent="0.25">
      <c r="A264" s="1195"/>
      <c r="B264" s="833"/>
      <c r="C264" s="809"/>
      <c r="D264" s="136" t="s">
        <v>42</v>
      </c>
      <c r="E264" s="142"/>
      <c r="F264" s="143"/>
      <c r="G264" s="445"/>
      <c r="H264" s="445"/>
      <c r="I264" s="445"/>
      <c r="J264" s="445"/>
      <c r="K264" s="445"/>
      <c r="L264" s="445"/>
      <c r="M264" s="445"/>
      <c r="N264" s="448"/>
      <c r="O264" s="445"/>
      <c r="P264" s="445"/>
      <c r="Q264" s="445"/>
      <c r="R264" s="447"/>
      <c r="S264" s="1237"/>
      <c r="T264" s="446"/>
      <c r="U264" s="446"/>
      <c r="V264" s="446"/>
      <c r="W264" s="446"/>
      <c r="X264" s="446"/>
      <c r="Y264" s="446"/>
      <c r="Z264" s="446"/>
      <c r="AA264" s="448"/>
      <c r="AB264" s="445"/>
      <c r="AC264" s="1225"/>
      <c r="AD264" s="445"/>
      <c r="AE264" s="447"/>
      <c r="AF264" s="1239"/>
      <c r="AG264" s="1195"/>
      <c r="AH264" s="789"/>
      <c r="AI264" s="789"/>
      <c r="AJ264" s="793"/>
      <c r="AK264" s="789"/>
      <c r="AL264" s="789"/>
      <c r="AM264" s="789"/>
      <c r="AN264" s="791"/>
      <c r="AO264" s="805"/>
      <c r="AP264" s="805"/>
      <c r="AQ264" s="786"/>
      <c r="AR264" s="786"/>
      <c r="AS264" s="786"/>
      <c r="AT264" s="786"/>
      <c r="AU264" s="787"/>
      <c r="AV264" s="787"/>
      <c r="AW264" s="787"/>
      <c r="AX264" s="784"/>
      <c r="AY264" s="1214"/>
    </row>
    <row r="265" spans="1:51" ht="27.75" customHeight="1" x14ac:dyDescent="0.25">
      <c r="A265" s="1195"/>
      <c r="B265" s="833"/>
      <c r="C265" s="809"/>
      <c r="D265" s="132" t="s">
        <v>4</v>
      </c>
      <c r="E265" s="142"/>
      <c r="F265" s="143"/>
      <c r="G265" s="445"/>
      <c r="H265" s="445"/>
      <c r="I265" s="445"/>
      <c r="J265" s="445"/>
      <c r="K265" s="445"/>
      <c r="L265" s="445"/>
      <c r="M265" s="445"/>
      <c r="N265" s="448"/>
      <c r="O265" s="445"/>
      <c r="P265" s="445"/>
      <c r="Q265" s="445"/>
      <c r="R265" s="447"/>
      <c r="S265" s="1237"/>
      <c r="T265" s="446"/>
      <c r="U265" s="446"/>
      <c r="V265" s="446"/>
      <c r="W265" s="446"/>
      <c r="X265" s="446"/>
      <c r="Y265" s="446"/>
      <c r="Z265" s="446"/>
      <c r="AA265" s="448"/>
      <c r="AB265" s="445"/>
      <c r="AC265" s="1225"/>
      <c r="AD265" s="445"/>
      <c r="AE265" s="447"/>
      <c r="AF265" s="1239"/>
      <c r="AG265" s="1195"/>
      <c r="AH265" s="789"/>
      <c r="AI265" s="789"/>
      <c r="AJ265" s="793"/>
      <c r="AK265" s="789"/>
      <c r="AL265" s="789"/>
      <c r="AM265" s="789"/>
      <c r="AN265" s="791"/>
      <c r="AO265" s="805"/>
      <c r="AP265" s="805"/>
      <c r="AQ265" s="786"/>
      <c r="AR265" s="786"/>
      <c r="AS265" s="786"/>
      <c r="AT265" s="786"/>
      <c r="AU265" s="787"/>
      <c r="AV265" s="787"/>
      <c r="AW265" s="787"/>
      <c r="AX265" s="784"/>
      <c r="AY265" s="1214"/>
    </row>
    <row r="266" spans="1:51" ht="27.75" customHeight="1" x14ac:dyDescent="0.25">
      <c r="A266" s="1195"/>
      <c r="B266" s="833"/>
      <c r="C266" s="809"/>
      <c r="D266" s="136" t="s">
        <v>43</v>
      </c>
      <c r="E266" s="142"/>
      <c r="F266" s="143"/>
      <c r="G266" s="445"/>
      <c r="H266" s="445"/>
      <c r="I266" s="445"/>
      <c r="J266" s="445">
        <v>1</v>
      </c>
      <c r="K266" s="445">
        <v>1</v>
      </c>
      <c r="L266" s="445">
        <v>1</v>
      </c>
      <c r="M266" s="445">
        <v>1</v>
      </c>
      <c r="N266" s="448">
        <v>1</v>
      </c>
      <c r="O266" s="445">
        <v>1</v>
      </c>
      <c r="P266" s="445">
        <v>1</v>
      </c>
      <c r="Q266" s="445">
        <v>1</v>
      </c>
      <c r="R266" s="447">
        <v>1</v>
      </c>
      <c r="S266" s="1237"/>
      <c r="T266" s="446"/>
      <c r="U266" s="446"/>
      <c r="V266" s="446"/>
      <c r="W266" s="446">
        <v>1</v>
      </c>
      <c r="X266" s="446">
        <v>1</v>
      </c>
      <c r="Y266" s="446">
        <v>1</v>
      </c>
      <c r="Z266" s="446">
        <v>1</v>
      </c>
      <c r="AA266" s="448">
        <v>1</v>
      </c>
      <c r="AB266" s="445">
        <v>1</v>
      </c>
      <c r="AC266" s="1225">
        <v>1</v>
      </c>
      <c r="AD266" s="445">
        <v>1</v>
      </c>
      <c r="AE266" s="447">
        <v>1</v>
      </c>
      <c r="AF266" s="1239"/>
      <c r="AG266" s="1195"/>
      <c r="AH266" s="789"/>
      <c r="AI266" s="789"/>
      <c r="AJ266" s="793"/>
      <c r="AK266" s="789"/>
      <c r="AL266" s="789"/>
      <c r="AM266" s="789"/>
      <c r="AN266" s="791"/>
      <c r="AO266" s="805"/>
      <c r="AP266" s="805"/>
      <c r="AQ266" s="786"/>
      <c r="AR266" s="786"/>
      <c r="AS266" s="786"/>
      <c r="AT266" s="786"/>
      <c r="AU266" s="787"/>
      <c r="AV266" s="787"/>
      <c r="AW266" s="787"/>
      <c r="AX266" s="784"/>
      <c r="AY266" s="1214"/>
    </row>
    <row r="267" spans="1:51" ht="27.75" customHeight="1" thickBot="1" x14ac:dyDescent="0.3">
      <c r="A267" s="1195"/>
      <c r="B267" s="833"/>
      <c r="C267" s="809"/>
      <c r="D267" s="140" t="s">
        <v>45</v>
      </c>
      <c r="E267" s="142"/>
      <c r="F267" s="143"/>
      <c r="G267" s="445"/>
      <c r="H267" s="445"/>
      <c r="I267" s="445"/>
      <c r="J267" s="445">
        <v>2245714.2857142859</v>
      </c>
      <c r="K267" s="445">
        <f>+K266*$K$155/$K$154</f>
        <v>2189571.4285714286</v>
      </c>
      <c r="L267" s="445">
        <f>+L266*$L$155/$L$154</f>
        <v>2189571.4285714286</v>
      </c>
      <c r="M267" s="445">
        <f>+M266*$M$155/$M$154</f>
        <v>2189571.4285714286</v>
      </c>
      <c r="N267" s="445">
        <f>+N266*$N$155/$N$154</f>
        <v>2245714.2857142859</v>
      </c>
      <c r="O267" s="445">
        <f>+O266*$O$155/$O$154</f>
        <v>2245714.2857142859</v>
      </c>
      <c r="P267" s="445">
        <f>+P266*$P$155/$P$154</f>
        <v>2245714.2857142859</v>
      </c>
      <c r="Q267" s="445">
        <f>+Q266*$Q$155/$Q$154</f>
        <v>2245714.2857142859</v>
      </c>
      <c r="R267" s="445">
        <f>+R266*$R$155/$R$154</f>
        <v>2216923.076923077</v>
      </c>
      <c r="S267" s="1237"/>
      <c r="T267" s="446"/>
      <c r="U267" s="446"/>
      <c r="V267" s="446"/>
      <c r="W267" s="445">
        <v>6743880</v>
      </c>
      <c r="X267" s="445">
        <f>+X266*$X$155/$X$154</f>
        <v>5268656.25</v>
      </c>
      <c r="Y267" s="445">
        <f>+Y266*$Y$155/$Y$154</f>
        <v>4323000</v>
      </c>
      <c r="Z267" s="445">
        <f>+Z266*$Z$155/$Z$154</f>
        <v>3665152.1739130435</v>
      </c>
      <c r="AA267" s="445">
        <f>+AA266*$N$155/$N$154</f>
        <v>2245714.2857142859</v>
      </c>
      <c r="AB267" s="445">
        <f>+AB266*$AB$155/$AB$154</f>
        <v>2809950</v>
      </c>
      <c r="AC267" s="445">
        <f>+AC266*$AC$155/$AC$154</f>
        <v>2516373.1343283583</v>
      </c>
      <c r="AD267" s="445">
        <f>+AD266*$AD$155/$AD$154</f>
        <v>2341625</v>
      </c>
      <c r="AE267" s="445">
        <f>+AE266*$AE$155/$AE$154</f>
        <v>2216923.076923077</v>
      </c>
      <c r="AF267" s="1240"/>
      <c r="AG267" s="1196"/>
      <c r="AH267" s="790"/>
      <c r="AI267" s="790"/>
      <c r="AJ267" s="794"/>
      <c r="AK267" s="790"/>
      <c r="AL267" s="790"/>
      <c r="AM267" s="790"/>
      <c r="AN267" s="791"/>
      <c r="AO267" s="805"/>
      <c r="AP267" s="805"/>
      <c r="AQ267" s="786"/>
      <c r="AR267" s="786"/>
      <c r="AS267" s="786"/>
      <c r="AT267" s="786"/>
      <c r="AU267" s="787"/>
      <c r="AV267" s="787"/>
      <c r="AW267" s="787"/>
      <c r="AX267" s="785"/>
      <c r="AY267" s="1214"/>
    </row>
    <row r="268" spans="1:51" ht="18" customHeight="1" x14ac:dyDescent="0.25">
      <c r="A268" s="1195"/>
      <c r="B268" s="833"/>
      <c r="C268" s="809" t="s">
        <v>1316</v>
      </c>
      <c r="D268" s="141" t="s">
        <v>41</v>
      </c>
      <c r="E268" s="142"/>
      <c r="F268" s="143"/>
      <c r="G268" s="445">
        <v>1</v>
      </c>
      <c r="H268" s="445">
        <v>1</v>
      </c>
      <c r="I268" s="445">
        <v>1</v>
      </c>
      <c r="J268" s="445">
        <v>2</v>
      </c>
      <c r="K268" s="445">
        <v>2</v>
      </c>
      <c r="L268" s="445">
        <v>2</v>
      </c>
      <c r="M268" s="445">
        <v>2</v>
      </c>
      <c r="N268" s="448">
        <v>2</v>
      </c>
      <c r="O268" s="445">
        <v>2</v>
      </c>
      <c r="P268" s="445">
        <v>3</v>
      </c>
      <c r="Q268" s="445">
        <v>3</v>
      </c>
      <c r="R268" s="447">
        <v>3</v>
      </c>
      <c r="S268" s="1237"/>
      <c r="T268" s="446">
        <v>1</v>
      </c>
      <c r="U268" s="446">
        <v>1</v>
      </c>
      <c r="V268" s="446">
        <v>1</v>
      </c>
      <c r="W268" s="446">
        <v>2</v>
      </c>
      <c r="X268" s="446">
        <v>2</v>
      </c>
      <c r="Y268" s="446">
        <v>2</v>
      </c>
      <c r="Z268" s="446">
        <v>2</v>
      </c>
      <c r="AA268" s="448">
        <v>2</v>
      </c>
      <c r="AB268" s="445">
        <v>2</v>
      </c>
      <c r="AC268" s="1225">
        <v>3</v>
      </c>
      <c r="AD268" s="445">
        <v>3</v>
      </c>
      <c r="AE268" s="447">
        <v>3</v>
      </c>
      <c r="AF268" s="1233" t="s">
        <v>970</v>
      </c>
      <c r="AG268" s="1194" t="s">
        <v>462</v>
      </c>
      <c r="AH268" s="788" t="s">
        <v>947</v>
      </c>
      <c r="AI268" s="788" t="s">
        <v>946</v>
      </c>
      <c r="AJ268" s="792" t="s">
        <v>913</v>
      </c>
      <c r="AK268" s="788" t="s">
        <v>315</v>
      </c>
      <c r="AL268" s="788" t="s">
        <v>1004</v>
      </c>
      <c r="AM268" s="788" t="s">
        <v>316</v>
      </c>
      <c r="AN268" s="791">
        <v>628526</v>
      </c>
      <c r="AO268" s="805">
        <v>306776</v>
      </c>
      <c r="AP268" s="805">
        <v>321750</v>
      </c>
      <c r="AQ268" s="786" t="s">
        <v>317</v>
      </c>
      <c r="AR268" s="786" t="s">
        <v>317</v>
      </c>
      <c r="AS268" s="786" t="s">
        <v>317</v>
      </c>
      <c r="AT268" s="786" t="s">
        <v>317</v>
      </c>
      <c r="AU268" s="787" t="s">
        <v>317</v>
      </c>
      <c r="AV268" s="787" t="s">
        <v>317</v>
      </c>
      <c r="AW268" s="787" t="s">
        <v>317</v>
      </c>
      <c r="AX268" s="783">
        <v>628526</v>
      </c>
      <c r="AY268" s="1214"/>
    </row>
    <row r="269" spans="1:51" ht="18.75" customHeight="1" x14ac:dyDescent="0.25">
      <c r="A269" s="1195"/>
      <c r="B269" s="833"/>
      <c r="C269" s="809"/>
      <c r="D269" s="132" t="s">
        <v>3</v>
      </c>
      <c r="E269" s="142"/>
      <c r="F269" s="143"/>
      <c r="G269" s="445">
        <v>2573116.8831168832</v>
      </c>
      <c r="H269" s="445">
        <v>2573116.8831168832</v>
      </c>
      <c r="I269" s="445">
        <v>2573116.8831168832</v>
      </c>
      <c r="J269" s="445">
        <v>4491428.5714285718</v>
      </c>
      <c r="K269" s="445">
        <f>+K268*$K$155/$K$154</f>
        <v>4379142.8571428573</v>
      </c>
      <c r="L269" s="445">
        <f>+L268*$L$155/$L$154</f>
        <v>4379142.8571428573</v>
      </c>
      <c r="M269" s="445">
        <f>+M268*$M$155/$M$154</f>
        <v>4379142.8571428573</v>
      </c>
      <c r="N269" s="445">
        <f>+N268*$N$155/$N$154</f>
        <v>4491428.5714285718</v>
      </c>
      <c r="O269" s="445">
        <f>+O268*$O$155/$O$154</f>
        <v>4491428.5714285718</v>
      </c>
      <c r="P269" s="445">
        <f>+P268*$P$155/$P$154</f>
        <v>6737142.8571428573</v>
      </c>
      <c r="Q269" s="445">
        <f>+Q268*$Q$155/$Q$154</f>
        <v>6737142.8571428573</v>
      </c>
      <c r="R269" s="445">
        <f>+R268*$R$155/$R$154</f>
        <v>6650769.230769231</v>
      </c>
      <c r="S269" s="1237"/>
      <c r="T269" s="445">
        <v>0</v>
      </c>
      <c r="U269" s="445">
        <v>11790000</v>
      </c>
      <c r="V269" s="445">
        <v>9366500</v>
      </c>
      <c r="W269" s="445">
        <v>13487760</v>
      </c>
      <c r="X269" s="445">
        <f>+X268*$X$155/$X$154</f>
        <v>10537312.5</v>
      </c>
      <c r="Y269" s="445">
        <f>+Y268*$Y$155/$Y$154</f>
        <v>8646000</v>
      </c>
      <c r="Z269" s="445">
        <f>+Z268*$Z$155/$Z$154</f>
        <v>7330304.3478260869</v>
      </c>
      <c r="AA269" s="445">
        <f>+AA268*$N$155/$N$154</f>
        <v>4491428.5714285718</v>
      </c>
      <c r="AB269" s="445">
        <f>+AB268*$AB$155/$AB$154</f>
        <v>5619900</v>
      </c>
      <c r="AC269" s="445">
        <f>+AC268*$AC$155/$AC$154</f>
        <v>7549119.4029850746</v>
      </c>
      <c r="AD269" s="445">
        <f>+AD268*$AD$155/$AD$154</f>
        <v>7024875</v>
      </c>
      <c r="AE269" s="445">
        <f>+AE268*$AE$155/$AE$154</f>
        <v>6650769.230769231</v>
      </c>
      <c r="AF269" s="1237"/>
      <c r="AG269" s="1195"/>
      <c r="AH269" s="789"/>
      <c r="AI269" s="789"/>
      <c r="AJ269" s="793"/>
      <c r="AK269" s="789"/>
      <c r="AL269" s="789"/>
      <c r="AM269" s="789"/>
      <c r="AN269" s="791"/>
      <c r="AO269" s="805"/>
      <c r="AP269" s="805"/>
      <c r="AQ269" s="786"/>
      <c r="AR269" s="786"/>
      <c r="AS269" s="786"/>
      <c r="AT269" s="786"/>
      <c r="AU269" s="787"/>
      <c r="AV269" s="787"/>
      <c r="AW269" s="787"/>
      <c r="AX269" s="784"/>
      <c r="AY269" s="1214"/>
    </row>
    <row r="270" spans="1:51" ht="27.75" customHeight="1" x14ac:dyDescent="0.25">
      <c r="A270" s="1195"/>
      <c r="B270" s="833"/>
      <c r="C270" s="809"/>
      <c r="D270" s="136" t="s">
        <v>42</v>
      </c>
      <c r="E270" s="142"/>
      <c r="F270" s="143"/>
      <c r="G270" s="445"/>
      <c r="H270" s="445"/>
      <c r="I270" s="445"/>
      <c r="J270" s="445"/>
      <c r="K270" s="445"/>
      <c r="L270" s="445"/>
      <c r="M270" s="445"/>
      <c r="N270" s="448"/>
      <c r="O270" s="445"/>
      <c r="P270" s="445"/>
      <c r="Q270" s="445"/>
      <c r="R270" s="447"/>
      <c r="S270" s="1237"/>
      <c r="T270" s="446"/>
      <c r="U270" s="446"/>
      <c r="V270" s="446"/>
      <c r="W270" s="446"/>
      <c r="X270" s="446"/>
      <c r="Y270" s="446"/>
      <c r="Z270" s="446"/>
      <c r="AA270" s="448"/>
      <c r="AB270" s="445"/>
      <c r="AC270" s="1225"/>
      <c r="AD270" s="445"/>
      <c r="AE270" s="447"/>
      <c r="AF270" s="1237"/>
      <c r="AG270" s="1195"/>
      <c r="AH270" s="789"/>
      <c r="AI270" s="789"/>
      <c r="AJ270" s="793"/>
      <c r="AK270" s="789"/>
      <c r="AL270" s="789"/>
      <c r="AM270" s="789"/>
      <c r="AN270" s="791"/>
      <c r="AO270" s="805"/>
      <c r="AP270" s="805"/>
      <c r="AQ270" s="786"/>
      <c r="AR270" s="786"/>
      <c r="AS270" s="786"/>
      <c r="AT270" s="786"/>
      <c r="AU270" s="787"/>
      <c r="AV270" s="787"/>
      <c r="AW270" s="787"/>
      <c r="AX270" s="784"/>
      <c r="AY270" s="1214"/>
    </row>
    <row r="271" spans="1:51" ht="27.75" customHeight="1" x14ac:dyDescent="0.25">
      <c r="A271" s="1195"/>
      <c r="B271" s="833"/>
      <c r="C271" s="809"/>
      <c r="D271" s="132" t="s">
        <v>4</v>
      </c>
      <c r="E271" s="142"/>
      <c r="F271" s="143"/>
      <c r="G271" s="445"/>
      <c r="H271" s="445"/>
      <c r="I271" s="445"/>
      <c r="J271" s="445"/>
      <c r="K271" s="445"/>
      <c r="L271" s="445"/>
      <c r="M271" s="445"/>
      <c r="N271" s="448"/>
      <c r="O271" s="445"/>
      <c r="P271" s="445"/>
      <c r="Q271" s="445"/>
      <c r="R271" s="447"/>
      <c r="S271" s="1237"/>
      <c r="T271" s="446"/>
      <c r="U271" s="443">
        <v>2428417.875</v>
      </c>
      <c r="V271" s="446"/>
      <c r="W271" s="446"/>
      <c r="X271" s="446"/>
      <c r="Y271" s="446"/>
      <c r="Z271" s="446"/>
      <c r="AA271" s="448"/>
      <c r="AB271" s="445"/>
      <c r="AC271" s="1225"/>
      <c r="AD271" s="445"/>
      <c r="AE271" s="447"/>
      <c r="AF271" s="1237"/>
      <c r="AG271" s="1195"/>
      <c r="AH271" s="789"/>
      <c r="AI271" s="789"/>
      <c r="AJ271" s="793"/>
      <c r="AK271" s="789"/>
      <c r="AL271" s="789"/>
      <c r="AM271" s="789"/>
      <c r="AN271" s="791"/>
      <c r="AO271" s="805"/>
      <c r="AP271" s="805"/>
      <c r="AQ271" s="786"/>
      <c r="AR271" s="786"/>
      <c r="AS271" s="786"/>
      <c r="AT271" s="786"/>
      <c r="AU271" s="787"/>
      <c r="AV271" s="787"/>
      <c r="AW271" s="787"/>
      <c r="AX271" s="784"/>
      <c r="AY271" s="1214"/>
    </row>
    <row r="272" spans="1:51" ht="27.75" customHeight="1" x14ac:dyDescent="0.25">
      <c r="A272" s="1195"/>
      <c r="B272" s="833"/>
      <c r="C272" s="809"/>
      <c r="D272" s="136" t="s">
        <v>43</v>
      </c>
      <c r="E272" s="142"/>
      <c r="F272" s="143"/>
      <c r="G272" s="445">
        <v>1</v>
      </c>
      <c r="H272" s="445">
        <v>1</v>
      </c>
      <c r="I272" s="445">
        <v>1</v>
      </c>
      <c r="J272" s="445">
        <v>2</v>
      </c>
      <c r="K272" s="445">
        <v>2</v>
      </c>
      <c r="L272" s="445">
        <v>2</v>
      </c>
      <c r="M272" s="445">
        <v>2</v>
      </c>
      <c r="N272" s="448">
        <v>2</v>
      </c>
      <c r="O272" s="445">
        <v>2</v>
      </c>
      <c r="P272" s="445">
        <v>3</v>
      </c>
      <c r="Q272" s="445">
        <v>3</v>
      </c>
      <c r="R272" s="447">
        <v>3</v>
      </c>
      <c r="S272" s="1237"/>
      <c r="T272" s="446">
        <v>1</v>
      </c>
      <c r="U272" s="446">
        <v>1</v>
      </c>
      <c r="V272" s="446">
        <v>1</v>
      </c>
      <c r="W272" s="446">
        <v>2</v>
      </c>
      <c r="X272" s="446">
        <v>2</v>
      </c>
      <c r="Y272" s="446">
        <v>2</v>
      </c>
      <c r="Z272" s="446">
        <v>2</v>
      </c>
      <c r="AA272" s="448">
        <v>2</v>
      </c>
      <c r="AB272" s="445">
        <v>2</v>
      </c>
      <c r="AC272" s="1225">
        <v>3</v>
      </c>
      <c r="AD272" s="445">
        <v>3</v>
      </c>
      <c r="AE272" s="447">
        <v>3</v>
      </c>
      <c r="AF272" s="1237"/>
      <c r="AG272" s="1195"/>
      <c r="AH272" s="789"/>
      <c r="AI272" s="789"/>
      <c r="AJ272" s="793"/>
      <c r="AK272" s="789"/>
      <c r="AL272" s="789"/>
      <c r="AM272" s="789"/>
      <c r="AN272" s="791"/>
      <c r="AO272" s="805"/>
      <c r="AP272" s="805"/>
      <c r="AQ272" s="786"/>
      <c r="AR272" s="786"/>
      <c r="AS272" s="786"/>
      <c r="AT272" s="786"/>
      <c r="AU272" s="787"/>
      <c r="AV272" s="787"/>
      <c r="AW272" s="787"/>
      <c r="AX272" s="784"/>
      <c r="AY272" s="1214"/>
    </row>
    <row r="273" spans="1:51" ht="27.75" customHeight="1" thickBot="1" x14ac:dyDescent="0.3">
      <c r="A273" s="1195"/>
      <c r="B273" s="833"/>
      <c r="C273" s="809"/>
      <c r="D273" s="140" t="s">
        <v>45</v>
      </c>
      <c r="E273" s="142"/>
      <c r="F273" s="143"/>
      <c r="G273" s="445">
        <v>2573116.8831168832</v>
      </c>
      <c r="H273" s="445">
        <v>2573116.8831168832</v>
      </c>
      <c r="I273" s="445">
        <v>2573116.8831168832</v>
      </c>
      <c r="J273" s="445">
        <v>4491428.5714285718</v>
      </c>
      <c r="K273" s="445">
        <f>+K272*$K$155/$K$154</f>
        <v>4379142.8571428573</v>
      </c>
      <c r="L273" s="445">
        <f>+L272*$L$155/$L$154</f>
        <v>4379142.8571428573</v>
      </c>
      <c r="M273" s="445">
        <f>+M272*$M$155/$M$154</f>
        <v>4379142.8571428573</v>
      </c>
      <c r="N273" s="445">
        <f>+N272*$N$155/$N$154</f>
        <v>4491428.5714285718</v>
      </c>
      <c r="O273" s="445">
        <f>+O272*$O$155/$O$154</f>
        <v>4491428.5714285718</v>
      </c>
      <c r="P273" s="445">
        <f>+P272*$P$155/$P$154</f>
        <v>6737142.8571428573</v>
      </c>
      <c r="Q273" s="445">
        <f>+Q272*$Q$155/$Q$154</f>
        <v>6737142.8571428573</v>
      </c>
      <c r="R273" s="445">
        <f>+R272*$R$155/$R$154</f>
        <v>6650769.230769231</v>
      </c>
      <c r="S273" s="1237"/>
      <c r="T273" s="445">
        <v>0</v>
      </c>
      <c r="U273" s="445">
        <v>11790000</v>
      </c>
      <c r="V273" s="445">
        <v>9366500</v>
      </c>
      <c r="W273" s="445">
        <v>13487760</v>
      </c>
      <c r="X273" s="445">
        <f>+X272*$X$155/$X$154</f>
        <v>10537312.5</v>
      </c>
      <c r="Y273" s="445">
        <f>+Y272*$Y$155/$Y$154</f>
        <v>8646000</v>
      </c>
      <c r="Z273" s="445">
        <f>+Z272*$Z$155/$Z$154</f>
        <v>7330304.3478260869</v>
      </c>
      <c r="AA273" s="445">
        <f>+AA272*$N$155/$N$154</f>
        <v>4491428.5714285718</v>
      </c>
      <c r="AB273" s="445">
        <f>+AB272*$AB$155/$AB$154</f>
        <v>5619900</v>
      </c>
      <c r="AC273" s="445">
        <f>+AC272*$AC$155/$AC$154</f>
        <v>7549119.4029850746</v>
      </c>
      <c r="AD273" s="445">
        <f>+AD272*$AD$155/$AD$154</f>
        <v>7024875</v>
      </c>
      <c r="AE273" s="445">
        <f>+AE272*$AE$155/$AE$154</f>
        <v>6650769.230769231</v>
      </c>
      <c r="AF273" s="1241"/>
      <c r="AG273" s="1196"/>
      <c r="AH273" s="790"/>
      <c r="AI273" s="790"/>
      <c r="AJ273" s="794"/>
      <c r="AK273" s="790"/>
      <c r="AL273" s="790"/>
      <c r="AM273" s="790"/>
      <c r="AN273" s="791"/>
      <c r="AO273" s="805"/>
      <c r="AP273" s="805"/>
      <c r="AQ273" s="786"/>
      <c r="AR273" s="786"/>
      <c r="AS273" s="786"/>
      <c r="AT273" s="786"/>
      <c r="AU273" s="787"/>
      <c r="AV273" s="787"/>
      <c r="AW273" s="787"/>
      <c r="AX273" s="785"/>
      <c r="AY273" s="1214"/>
    </row>
    <row r="274" spans="1:51" ht="18" customHeight="1" x14ac:dyDescent="0.25">
      <c r="A274" s="1195"/>
      <c r="B274" s="833"/>
      <c r="C274" s="809" t="s">
        <v>1305</v>
      </c>
      <c r="D274" s="141" t="s">
        <v>41</v>
      </c>
      <c r="E274" s="142"/>
      <c r="F274" s="143"/>
      <c r="G274" s="445"/>
      <c r="H274" s="445"/>
      <c r="I274" s="445"/>
      <c r="J274" s="445"/>
      <c r="K274" s="445">
        <v>1</v>
      </c>
      <c r="L274" s="445">
        <v>1</v>
      </c>
      <c r="M274" s="445">
        <v>1</v>
      </c>
      <c r="N274" s="448">
        <v>1</v>
      </c>
      <c r="O274" s="445">
        <v>1</v>
      </c>
      <c r="P274" s="445">
        <v>1</v>
      </c>
      <c r="Q274" s="445">
        <v>1</v>
      </c>
      <c r="R274" s="447">
        <v>1</v>
      </c>
      <c r="S274" s="1237"/>
      <c r="T274" s="446"/>
      <c r="U274" s="446"/>
      <c r="V274" s="446"/>
      <c r="W274" s="446"/>
      <c r="X274" s="446">
        <v>1</v>
      </c>
      <c r="Y274" s="446">
        <v>1</v>
      </c>
      <c r="Z274" s="446">
        <v>1</v>
      </c>
      <c r="AA274" s="448">
        <v>1</v>
      </c>
      <c r="AB274" s="445">
        <v>1</v>
      </c>
      <c r="AC274" s="445">
        <v>1</v>
      </c>
      <c r="AD274" s="445">
        <v>1</v>
      </c>
      <c r="AE274" s="447">
        <v>1</v>
      </c>
      <c r="AF274" s="1236" t="s">
        <v>971</v>
      </c>
      <c r="AG274" s="1194" t="s">
        <v>345</v>
      </c>
      <c r="AH274" s="788" t="s">
        <v>467</v>
      </c>
      <c r="AI274" s="788" t="s">
        <v>468</v>
      </c>
      <c r="AJ274" s="792" t="s">
        <v>913</v>
      </c>
      <c r="AK274" s="788" t="s">
        <v>315</v>
      </c>
      <c r="AL274" s="788" t="s">
        <v>1005</v>
      </c>
      <c r="AM274" s="788" t="s">
        <v>316</v>
      </c>
      <c r="AN274" s="791">
        <v>406574</v>
      </c>
      <c r="AO274" s="805">
        <v>196557</v>
      </c>
      <c r="AP274" s="805">
        <v>210017</v>
      </c>
      <c r="AQ274" s="786" t="s">
        <v>317</v>
      </c>
      <c r="AR274" s="786" t="s">
        <v>317</v>
      </c>
      <c r="AS274" s="786" t="s">
        <v>317</v>
      </c>
      <c r="AT274" s="786" t="s">
        <v>317</v>
      </c>
      <c r="AU274" s="787" t="s">
        <v>317</v>
      </c>
      <c r="AV274" s="787" t="s">
        <v>317</v>
      </c>
      <c r="AW274" s="787" t="s">
        <v>317</v>
      </c>
      <c r="AX274" s="783">
        <v>406574</v>
      </c>
      <c r="AY274" s="1214"/>
    </row>
    <row r="275" spans="1:51" ht="18" customHeight="1" x14ac:dyDescent="0.25">
      <c r="A275" s="1195"/>
      <c r="B275" s="833"/>
      <c r="C275" s="809"/>
      <c r="D275" s="132" t="s">
        <v>3</v>
      </c>
      <c r="E275" s="142"/>
      <c r="F275" s="143"/>
      <c r="G275" s="445"/>
      <c r="H275" s="445"/>
      <c r="I275" s="445"/>
      <c r="J275" s="445"/>
      <c r="K275" s="445">
        <f>+K274*$K$155/$K$154</f>
        <v>2189571.4285714286</v>
      </c>
      <c r="L275" s="445">
        <f>+L274*$L$155/$L$154</f>
        <v>2189571.4285714286</v>
      </c>
      <c r="M275" s="445">
        <f>+M274*$M$155/$M$154</f>
        <v>2189571.4285714286</v>
      </c>
      <c r="N275" s="445">
        <f>+N274*$N$155/$N$154</f>
        <v>2245714.2857142859</v>
      </c>
      <c r="O275" s="445">
        <f>+O274*$O$155/$O$154</f>
        <v>2245714.2857142859</v>
      </c>
      <c r="P275" s="445">
        <f>+P274*$P$155/$P$154</f>
        <v>2245714.2857142859</v>
      </c>
      <c r="Q275" s="445">
        <f>+Q274*$Q$155/$Q$154</f>
        <v>2245714.2857142859</v>
      </c>
      <c r="R275" s="445">
        <f>+R274*$R$155/$R$154</f>
        <v>2216923.076923077</v>
      </c>
      <c r="S275" s="1237"/>
      <c r="T275" s="446"/>
      <c r="U275" s="446"/>
      <c r="V275" s="446"/>
      <c r="W275" s="446"/>
      <c r="X275" s="445">
        <f>+X274*$X$155/$X$154</f>
        <v>5268656.25</v>
      </c>
      <c r="Y275" s="445">
        <f>+Y274*$Y$155/$Y$154</f>
        <v>4323000</v>
      </c>
      <c r="Z275" s="445">
        <f>+Z274*$Z$155/$Z$154</f>
        <v>3665152.1739130435</v>
      </c>
      <c r="AA275" s="445">
        <f>+AA274*$N$155/$N$154</f>
        <v>2245714.2857142859</v>
      </c>
      <c r="AB275" s="445">
        <f>+AB274*$AB$155/$AB$154</f>
        <v>2809950</v>
      </c>
      <c r="AC275" s="445">
        <f>+AC274*$AC$155/$AC$154</f>
        <v>2516373.1343283583</v>
      </c>
      <c r="AD275" s="445">
        <f>+AD274*$AD$155/$AD$154</f>
        <v>2341625</v>
      </c>
      <c r="AE275" s="445">
        <f>+AE274*$AE$155/$AE$154</f>
        <v>2216923.076923077</v>
      </c>
      <c r="AF275" s="1239"/>
      <c r="AG275" s="1195"/>
      <c r="AH275" s="789"/>
      <c r="AI275" s="789"/>
      <c r="AJ275" s="793"/>
      <c r="AK275" s="789"/>
      <c r="AL275" s="789"/>
      <c r="AM275" s="789"/>
      <c r="AN275" s="791"/>
      <c r="AO275" s="805"/>
      <c r="AP275" s="805"/>
      <c r="AQ275" s="786"/>
      <c r="AR275" s="786"/>
      <c r="AS275" s="786"/>
      <c r="AT275" s="786"/>
      <c r="AU275" s="787"/>
      <c r="AV275" s="787"/>
      <c r="AW275" s="787"/>
      <c r="AX275" s="784"/>
      <c r="AY275" s="1214"/>
    </row>
    <row r="276" spans="1:51" ht="27" customHeight="1" x14ac:dyDescent="0.25">
      <c r="A276" s="1195"/>
      <c r="B276" s="833"/>
      <c r="C276" s="809"/>
      <c r="D276" s="136" t="s">
        <v>42</v>
      </c>
      <c r="E276" s="142"/>
      <c r="F276" s="143"/>
      <c r="G276" s="445"/>
      <c r="H276" s="445"/>
      <c r="I276" s="445"/>
      <c r="J276" s="445"/>
      <c r="K276" s="445"/>
      <c r="L276" s="445"/>
      <c r="M276" s="445"/>
      <c r="N276" s="448"/>
      <c r="O276" s="445"/>
      <c r="P276" s="445"/>
      <c r="Q276" s="445"/>
      <c r="R276" s="447"/>
      <c r="S276" s="1237"/>
      <c r="T276" s="446"/>
      <c r="U276" s="446"/>
      <c r="V276" s="446"/>
      <c r="W276" s="446"/>
      <c r="X276" s="446"/>
      <c r="Y276" s="446"/>
      <c r="Z276" s="446"/>
      <c r="AA276" s="448"/>
      <c r="AB276" s="1224"/>
      <c r="AC276" s="445"/>
      <c r="AD276" s="445"/>
      <c r="AE276" s="447"/>
      <c r="AF276" s="1239"/>
      <c r="AG276" s="1195"/>
      <c r="AH276" s="789"/>
      <c r="AI276" s="789"/>
      <c r="AJ276" s="793"/>
      <c r="AK276" s="789"/>
      <c r="AL276" s="789"/>
      <c r="AM276" s="789"/>
      <c r="AN276" s="791"/>
      <c r="AO276" s="805"/>
      <c r="AP276" s="805"/>
      <c r="AQ276" s="786"/>
      <c r="AR276" s="786"/>
      <c r="AS276" s="786"/>
      <c r="AT276" s="786"/>
      <c r="AU276" s="787"/>
      <c r="AV276" s="787"/>
      <c r="AW276" s="787"/>
      <c r="AX276" s="784"/>
      <c r="AY276" s="1214"/>
    </row>
    <row r="277" spans="1:51" ht="27" customHeight="1" x14ac:dyDescent="0.25">
      <c r="A277" s="1195"/>
      <c r="B277" s="833"/>
      <c r="C277" s="809"/>
      <c r="D277" s="132" t="s">
        <v>4</v>
      </c>
      <c r="E277" s="142"/>
      <c r="F277" s="143"/>
      <c r="G277" s="445"/>
      <c r="H277" s="445"/>
      <c r="I277" s="445"/>
      <c r="J277" s="445"/>
      <c r="K277" s="445"/>
      <c r="L277" s="445"/>
      <c r="M277" s="445"/>
      <c r="N277" s="448"/>
      <c r="O277" s="445"/>
      <c r="P277" s="445"/>
      <c r="Q277" s="445"/>
      <c r="R277" s="447"/>
      <c r="S277" s="1237"/>
      <c r="T277" s="446"/>
      <c r="U277" s="446"/>
      <c r="V277" s="446"/>
      <c r="W277" s="446"/>
      <c r="X277" s="446"/>
      <c r="Y277" s="446"/>
      <c r="Z277" s="446"/>
      <c r="AA277" s="448"/>
      <c r="AB277" s="1224"/>
      <c r="AC277" s="445"/>
      <c r="AD277" s="445"/>
      <c r="AE277" s="447"/>
      <c r="AF277" s="1239"/>
      <c r="AG277" s="1195"/>
      <c r="AH277" s="789"/>
      <c r="AI277" s="789"/>
      <c r="AJ277" s="793"/>
      <c r="AK277" s="789"/>
      <c r="AL277" s="789"/>
      <c r="AM277" s="789"/>
      <c r="AN277" s="791"/>
      <c r="AO277" s="805"/>
      <c r="AP277" s="805"/>
      <c r="AQ277" s="786"/>
      <c r="AR277" s="786"/>
      <c r="AS277" s="786"/>
      <c r="AT277" s="786"/>
      <c r="AU277" s="787"/>
      <c r="AV277" s="787"/>
      <c r="AW277" s="787"/>
      <c r="AX277" s="784"/>
      <c r="AY277" s="1214"/>
    </row>
    <row r="278" spans="1:51" ht="27" customHeight="1" x14ac:dyDescent="0.25">
      <c r="A278" s="1195"/>
      <c r="B278" s="833"/>
      <c r="C278" s="809"/>
      <c r="D278" s="136" t="s">
        <v>43</v>
      </c>
      <c r="E278" s="142"/>
      <c r="F278" s="143"/>
      <c r="G278" s="445"/>
      <c r="H278" s="445"/>
      <c r="I278" s="445"/>
      <c r="J278" s="445"/>
      <c r="K278" s="445">
        <v>1</v>
      </c>
      <c r="L278" s="445">
        <v>1</v>
      </c>
      <c r="M278" s="445">
        <v>1</v>
      </c>
      <c r="N278" s="448">
        <v>1</v>
      </c>
      <c r="O278" s="445">
        <v>1</v>
      </c>
      <c r="P278" s="445">
        <v>1</v>
      </c>
      <c r="Q278" s="445">
        <v>1</v>
      </c>
      <c r="R278" s="447">
        <v>1</v>
      </c>
      <c r="S278" s="1237"/>
      <c r="T278" s="446"/>
      <c r="U278" s="446"/>
      <c r="V278" s="446"/>
      <c r="W278" s="446"/>
      <c r="X278" s="446">
        <v>1</v>
      </c>
      <c r="Y278" s="446">
        <v>1</v>
      </c>
      <c r="Z278" s="446">
        <v>1</v>
      </c>
      <c r="AA278" s="448">
        <v>1</v>
      </c>
      <c r="AB278" s="445">
        <v>1</v>
      </c>
      <c r="AC278" s="445">
        <v>1</v>
      </c>
      <c r="AD278" s="445">
        <v>1</v>
      </c>
      <c r="AE278" s="447">
        <v>1</v>
      </c>
      <c r="AF278" s="1239"/>
      <c r="AG278" s="1195"/>
      <c r="AH278" s="789"/>
      <c r="AI278" s="789"/>
      <c r="AJ278" s="793"/>
      <c r="AK278" s="789"/>
      <c r="AL278" s="789"/>
      <c r="AM278" s="789"/>
      <c r="AN278" s="791"/>
      <c r="AO278" s="805"/>
      <c r="AP278" s="805"/>
      <c r="AQ278" s="786"/>
      <c r="AR278" s="786"/>
      <c r="AS278" s="786"/>
      <c r="AT278" s="786"/>
      <c r="AU278" s="787"/>
      <c r="AV278" s="787"/>
      <c r="AW278" s="787"/>
      <c r="AX278" s="784"/>
      <c r="AY278" s="1214"/>
    </row>
    <row r="279" spans="1:51" ht="27.75" customHeight="1" thickBot="1" x14ac:dyDescent="0.3">
      <c r="A279" s="1195"/>
      <c r="B279" s="833"/>
      <c r="C279" s="809"/>
      <c r="D279" s="140" t="s">
        <v>45</v>
      </c>
      <c r="E279" s="142"/>
      <c r="F279" s="143"/>
      <c r="G279" s="445"/>
      <c r="H279" s="445"/>
      <c r="I279" s="445"/>
      <c r="J279" s="445"/>
      <c r="K279" s="445">
        <f>+K278*$K$155/$K$154</f>
        <v>2189571.4285714286</v>
      </c>
      <c r="L279" s="445">
        <f>+L278*$L$155/$L$154</f>
        <v>2189571.4285714286</v>
      </c>
      <c r="M279" s="445">
        <f>+M278*$M$155/$M$154</f>
        <v>2189571.4285714286</v>
      </c>
      <c r="N279" s="445">
        <f>+N278*$N$155/$N$154</f>
        <v>2245714.2857142859</v>
      </c>
      <c r="O279" s="445">
        <f>+O278*$O$155/$O$154</f>
        <v>2245714.2857142859</v>
      </c>
      <c r="P279" s="445">
        <f>+P278*$P$155/$P$154</f>
        <v>2245714.2857142859</v>
      </c>
      <c r="Q279" s="445">
        <f>+Q278*$Q$155/$Q$154</f>
        <v>2245714.2857142859</v>
      </c>
      <c r="R279" s="445">
        <f>+R278*$R$155/$R$154</f>
        <v>2216923.076923077</v>
      </c>
      <c r="S279" s="1237"/>
      <c r="T279" s="446"/>
      <c r="U279" s="446"/>
      <c r="V279" s="446"/>
      <c r="W279" s="446"/>
      <c r="X279" s="445">
        <f>+X278*$X$155/$X$154</f>
        <v>5268656.25</v>
      </c>
      <c r="Y279" s="445">
        <f>+Y278*$Y$155/$Y$154</f>
        <v>4323000</v>
      </c>
      <c r="Z279" s="445">
        <f>+Z278*$Z$155/$Z$154</f>
        <v>3665152.1739130435</v>
      </c>
      <c r="AA279" s="445">
        <f>+AA278*$N$155/$N$154</f>
        <v>2245714.2857142859</v>
      </c>
      <c r="AB279" s="445">
        <f>+AB278*$AB$155/$AB$154</f>
        <v>2809950</v>
      </c>
      <c r="AC279" s="445">
        <f>+AC278*$AC$155/$AC$154</f>
        <v>2516373.1343283583</v>
      </c>
      <c r="AD279" s="445">
        <f>+AD278*$AD$155/$AD$154</f>
        <v>2341625</v>
      </c>
      <c r="AE279" s="445">
        <f>+AE278*$AE$155/$AE$154</f>
        <v>2216923.076923077</v>
      </c>
      <c r="AF279" s="1239"/>
      <c r="AG279" s="1196"/>
      <c r="AH279" s="790"/>
      <c r="AI279" s="790"/>
      <c r="AJ279" s="794"/>
      <c r="AK279" s="790"/>
      <c r="AL279" s="790"/>
      <c r="AM279" s="790"/>
      <c r="AN279" s="791"/>
      <c r="AO279" s="805"/>
      <c r="AP279" s="805"/>
      <c r="AQ279" s="786"/>
      <c r="AR279" s="786"/>
      <c r="AS279" s="786"/>
      <c r="AT279" s="786"/>
      <c r="AU279" s="787"/>
      <c r="AV279" s="787"/>
      <c r="AW279" s="787"/>
      <c r="AX279" s="785"/>
      <c r="AY279" s="1214"/>
    </row>
    <row r="280" spans="1:51" ht="18" hidden="1" customHeight="1" x14ac:dyDescent="0.25">
      <c r="A280" s="1195"/>
      <c r="B280" s="833"/>
      <c r="C280" s="809" t="s">
        <v>319</v>
      </c>
      <c r="D280" s="141" t="s">
        <v>41</v>
      </c>
      <c r="E280" s="142"/>
      <c r="F280" s="143"/>
      <c r="G280" s="445"/>
      <c r="H280" s="445"/>
      <c r="I280" s="445"/>
      <c r="J280" s="445"/>
      <c r="K280" s="445"/>
      <c r="L280" s="445"/>
      <c r="M280" s="445"/>
      <c r="N280" s="448"/>
      <c r="O280" s="445"/>
      <c r="P280" s="445"/>
      <c r="Q280" s="445"/>
      <c r="R280" s="447"/>
      <c r="S280" s="1237"/>
      <c r="T280" s="446"/>
      <c r="U280" s="446"/>
      <c r="V280" s="446"/>
      <c r="W280" s="446"/>
      <c r="X280" s="446"/>
      <c r="Y280" s="446"/>
      <c r="Z280" s="446"/>
      <c r="AA280" s="448"/>
      <c r="AB280" s="1243"/>
      <c r="AC280" s="445"/>
      <c r="AD280" s="445"/>
      <c r="AE280" s="447"/>
      <c r="AF280" s="1242"/>
      <c r="AG280" s="872" t="s">
        <v>319</v>
      </c>
      <c r="AH280" s="788" t="s">
        <v>471</v>
      </c>
      <c r="AI280" s="788" t="s">
        <v>472</v>
      </c>
      <c r="AJ280" s="792" t="s">
        <v>473</v>
      </c>
      <c r="AK280" s="788" t="s">
        <v>315</v>
      </c>
      <c r="AL280" s="788" t="s">
        <v>70</v>
      </c>
      <c r="AM280" s="788" t="s">
        <v>316</v>
      </c>
      <c r="AN280" s="791">
        <v>556759</v>
      </c>
      <c r="AO280" s="805">
        <v>255912</v>
      </c>
      <c r="AP280" s="805">
        <v>300846</v>
      </c>
      <c r="AQ280" s="786" t="s">
        <v>317</v>
      </c>
      <c r="AR280" s="786" t="s">
        <v>317</v>
      </c>
      <c r="AS280" s="786" t="s">
        <v>317</v>
      </c>
      <c r="AT280" s="786" t="s">
        <v>317</v>
      </c>
      <c r="AU280" s="787" t="s">
        <v>317</v>
      </c>
      <c r="AV280" s="787" t="s">
        <v>317</v>
      </c>
      <c r="AW280" s="787" t="s">
        <v>317</v>
      </c>
      <c r="AX280" s="783">
        <v>556759</v>
      </c>
      <c r="AY280" s="1214"/>
    </row>
    <row r="281" spans="1:51" ht="18" hidden="1" customHeight="1" x14ac:dyDescent="0.25">
      <c r="A281" s="1195"/>
      <c r="B281" s="833"/>
      <c r="C281" s="809"/>
      <c r="D281" s="132" t="s">
        <v>3</v>
      </c>
      <c r="E281" s="142"/>
      <c r="F281" s="143"/>
      <c r="G281" s="445"/>
      <c r="H281" s="445"/>
      <c r="I281" s="445"/>
      <c r="J281" s="445"/>
      <c r="K281" s="445"/>
      <c r="L281" s="445"/>
      <c r="M281" s="445"/>
      <c r="N281" s="448"/>
      <c r="O281" s="445"/>
      <c r="P281" s="445"/>
      <c r="Q281" s="445"/>
      <c r="R281" s="445"/>
      <c r="S281" s="1237"/>
      <c r="T281" s="446"/>
      <c r="U281" s="446"/>
      <c r="V281" s="446"/>
      <c r="W281" s="446"/>
      <c r="X281" s="446"/>
      <c r="Y281" s="446"/>
      <c r="Z281" s="446"/>
      <c r="AA281" s="448"/>
      <c r="AB281" s="445"/>
      <c r="AC281" s="445"/>
      <c r="AD281" s="445"/>
      <c r="AE281" s="445"/>
      <c r="AF281" s="1242"/>
      <c r="AG281" s="873"/>
      <c r="AH281" s="789"/>
      <c r="AI281" s="789"/>
      <c r="AJ281" s="793"/>
      <c r="AK281" s="789"/>
      <c r="AL281" s="789"/>
      <c r="AM281" s="789"/>
      <c r="AN281" s="791"/>
      <c r="AO281" s="805"/>
      <c r="AP281" s="805"/>
      <c r="AQ281" s="786"/>
      <c r="AR281" s="786"/>
      <c r="AS281" s="786"/>
      <c r="AT281" s="786"/>
      <c r="AU281" s="787"/>
      <c r="AV281" s="787"/>
      <c r="AW281" s="787"/>
      <c r="AX281" s="784"/>
      <c r="AY281" s="1214"/>
    </row>
    <row r="282" spans="1:51" ht="27" hidden="1" customHeight="1" x14ac:dyDescent="0.25">
      <c r="A282" s="1195"/>
      <c r="B282" s="833"/>
      <c r="C282" s="809"/>
      <c r="D282" s="136" t="s">
        <v>42</v>
      </c>
      <c r="E282" s="142"/>
      <c r="F282" s="143"/>
      <c r="G282" s="445"/>
      <c r="H282" s="445"/>
      <c r="I282" s="445"/>
      <c r="J282" s="445"/>
      <c r="K282" s="445"/>
      <c r="L282" s="445"/>
      <c r="M282" s="445"/>
      <c r="N282" s="448"/>
      <c r="O282" s="445"/>
      <c r="P282" s="445"/>
      <c r="Q282" s="445"/>
      <c r="R282" s="447"/>
      <c r="S282" s="1237"/>
      <c r="T282" s="446"/>
      <c r="U282" s="446"/>
      <c r="V282" s="446"/>
      <c r="W282" s="446"/>
      <c r="X282" s="446"/>
      <c r="Y282" s="446"/>
      <c r="Z282" s="446"/>
      <c r="AA282" s="448"/>
      <c r="AB282" s="1224"/>
      <c r="AC282" s="445"/>
      <c r="AD282" s="445"/>
      <c r="AE282" s="447"/>
      <c r="AF282" s="1242"/>
      <c r="AG282" s="873"/>
      <c r="AH282" s="789"/>
      <c r="AI282" s="789"/>
      <c r="AJ282" s="793"/>
      <c r="AK282" s="789"/>
      <c r="AL282" s="789"/>
      <c r="AM282" s="789"/>
      <c r="AN282" s="791"/>
      <c r="AO282" s="805"/>
      <c r="AP282" s="805"/>
      <c r="AQ282" s="786"/>
      <c r="AR282" s="786"/>
      <c r="AS282" s="786"/>
      <c r="AT282" s="786"/>
      <c r="AU282" s="787"/>
      <c r="AV282" s="787"/>
      <c r="AW282" s="787"/>
      <c r="AX282" s="784"/>
      <c r="AY282" s="1214"/>
    </row>
    <row r="283" spans="1:51" ht="27" hidden="1" customHeight="1" x14ac:dyDescent="0.25">
      <c r="A283" s="1195"/>
      <c r="B283" s="833"/>
      <c r="C283" s="809"/>
      <c r="D283" s="132" t="s">
        <v>4</v>
      </c>
      <c r="E283" s="142"/>
      <c r="F283" s="143"/>
      <c r="G283" s="445"/>
      <c r="H283" s="445"/>
      <c r="I283" s="445"/>
      <c r="J283" s="445"/>
      <c r="K283" s="445"/>
      <c r="L283" s="445"/>
      <c r="M283" s="445"/>
      <c r="N283" s="448"/>
      <c r="O283" s="445"/>
      <c r="P283" s="445"/>
      <c r="Q283" s="445"/>
      <c r="R283" s="447"/>
      <c r="S283" s="1237"/>
      <c r="T283" s="446"/>
      <c r="U283" s="446"/>
      <c r="V283" s="446"/>
      <c r="W283" s="446"/>
      <c r="X283" s="446"/>
      <c r="Y283" s="446"/>
      <c r="Z283" s="446"/>
      <c r="AA283" s="448"/>
      <c r="AB283" s="1224"/>
      <c r="AC283" s="445"/>
      <c r="AD283" s="445"/>
      <c r="AE283" s="447"/>
      <c r="AF283" s="1242"/>
      <c r="AG283" s="873"/>
      <c r="AH283" s="789"/>
      <c r="AI283" s="789"/>
      <c r="AJ283" s="793"/>
      <c r="AK283" s="789"/>
      <c r="AL283" s="789"/>
      <c r="AM283" s="789"/>
      <c r="AN283" s="791"/>
      <c r="AO283" s="805"/>
      <c r="AP283" s="805"/>
      <c r="AQ283" s="786"/>
      <c r="AR283" s="786"/>
      <c r="AS283" s="786"/>
      <c r="AT283" s="786"/>
      <c r="AU283" s="787"/>
      <c r="AV283" s="787"/>
      <c r="AW283" s="787"/>
      <c r="AX283" s="784"/>
      <c r="AY283" s="1214"/>
    </row>
    <row r="284" spans="1:51" ht="27" hidden="1" customHeight="1" x14ac:dyDescent="0.25">
      <c r="A284" s="1195"/>
      <c r="B284" s="833"/>
      <c r="C284" s="809"/>
      <c r="D284" s="136" t="s">
        <v>43</v>
      </c>
      <c r="E284" s="142"/>
      <c r="F284" s="143"/>
      <c r="G284" s="445"/>
      <c r="H284" s="445"/>
      <c r="I284" s="445"/>
      <c r="J284" s="445"/>
      <c r="K284" s="445"/>
      <c r="L284" s="445"/>
      <c r="M284" s="445"/>
      <c r="N284" s="448"/>
      <c r="O284" s="445"/>
      <c r="P284" s="445"/>
      <c r="Q284" s="445"/>
      <c r="R284" s="447"/>
      <c r="S284" s="1237"/>
      <c r="T284" s="446"/>
      <c r="U284" s="446"/>
      <c r="V284" s="446"/>
      <c r="W284" s="446"/>
      <c r="X284" s="446"/>
      <c r="Y284" s="446"/>
      <c r="Z284" s="446"/>
      <c r="AA284" s="448"/>
      <c r="AB284" s="445"/>
      <c r="AC284" s="445"/>
      <c r="AD284" s="445"/>
      <c r="AE284" s="447"/>
      <c r="AF284" s="1242"/>
      <c r="AG284" s="873"/>
      <c r="AH284" s="789"/>
      <c r="AI284" s="789"/>
      <c r="AJ284" s="793"/>
      <c r="AK284" s="789"/>
      <c r="AL284" s="789"/>
      <c r="AM284" s="789"/>
      <c r="AN284" s="791"/>
      <c r="AO284" s="805"/>
      <c r="AP284" s="805"/>
      <c r="AQ284" s="786"/>
      <c r="AR284" s="786"/>
      <c r="AS284" s="786"/>
      <c r="AT284" s="786"/>
      <c r="AU284" s="787"/>
      <c r="AV284" s="787"/>
      <c r="AW284" s="787"/>
      <c r="AX284" s="784"/>
      <c r="AY284" s="1214"/>
    </row>
    <row r="285" spans="1:51" ht="27.75" hidden="1" customHeight="1" thickBot="1" x14ac:dyDescent="0.3">
      <c r="A285" s="1195"/>
      <c r="B285" s="833"/>
      <c r="C285" s="809"/>
      <c r="D285" s="140" t="s">
        <v>45</v>
      </c>
      <c r="E285" s="142"/>
      <c r="F285" s="143"/>
      <c r="G285" s="445"/>
      <c r="H285" s="445"/>
      <c r="I285" s="445"/>
      <c r="J285" s="445"/>
      <c r="K285" s="445"/>
      <c r="L285" s="445"/>
      <c r="M285" s="445"/>
      <c r="N285" s="448"/>
      <c r="O285" s="445"/>
      <c r="P285" s="445"/>
      <c r="Q285" s="445"/>
      <c r="R285" s="445"/>
      <c r="S285" s="1237"/>
      <c r="T285" s="446"/>
      <c r="U285" s="446"/>
      <c r="V285" s="446"/>
      <c r="W285" s="446"/>
      <c r="X285" s="446"/>
      <c r="Y285" s="446"/>
      <c r="Z285" s="446"/>
      <c r="AA285" s="448"/>
      <c r="AB285" s="445"/>
      <c r="AC285" s="445"/>
      <c r="AD285" s="445"/>
      <c r="AE285" s="445"/>
      <c r="AF285" s="1242"/>
      <c r="AG285" s="874"/>
      <c r="AH285" s="790"/>
      <c r="AI285" s="790"/>
      <c r="AJ285" s="794"/>
      <c r="AK285" s="790"/>
      <c r="AL285" s="790"/>
      <c r="AM285" s="790"/>
      <c r="AN285" s="791"/>
      <c r="AO285" s="805"/>
      <c r="AP285" s="805"/>
      <c r="AQ285" s="786"/>
      <c r="AR285" s="786"/>
      <c r="AS285" s="786"/>
      <c r="AT285" s="786"/>
      <c r="AU285" s="787"/>
      <c r="AV285" s="787"/>
      <c r="AW285" s="787"/>
      <c r="AX285" s="785"/>
      <c r="AY285" s="1214"/>
    </row>
    <row r="286" spans="1:51" ht="18" customHeight="1" x14ac:dyDescent="0.25">
      <c r="A286" s="1195"/>
      <c r="B286" s="833"/>
      <c r="C286" s="809" t="s">
        <v>409</v>
      </c>
      <c r="D286" s="141" t="s">
        <v>41</v>
      </c>
      <c r="E286" s="142"/>
      <c r="F286" s="143"/>
      <c r="G286" s="445">
        <v>72</v>
      </c>
      <c r="H286" s="445">
        <v>66</v>
      </c>
      <c r="I286" s="445">
        <v>59</v>
      </c>
      <c r="J286" s="445">
        <v>52</v>
      </c>
      <c r="K286" s="445">
        <v>45</v>
      </c>
      <c r="L286" s="445">
        <v>38</v>
      </c>
      <c r="M286" s="445">
        <v>31</v>
      </c>
      <c r="N286" s="448">
        <v>24</v>
      </c>
      <c r="O286" s="445">
        <v>17</v>
      </c>
      <c r="P286" s="445">
        <v>10</v>
      </c>
      <c r="Q286" s="445">
        <v>5</v>
      </c>
      <c r="R286" s="447">
        <v>0</v>
      </c>
      <c r="S286" s="1237"/>
      <c r="T286" s="446"/>
      <c r="U286" s="446"/>
      <c r="V286" s="446"/>
      <c r="W286" s="446"/>
      <c r="X286" s="446"/>
      <c r="Y286" s="446"/>
      <c r="Z286" s="446"/>
      <c r="AA286" s="448"/>
      <c r="AB286" s="1243"/>
      <c r="AC286" s="1225"/>
      <c r="AD286" s="1226"/>
      <c r="AE286" s="447"/>
      <c r="AF286" s="1242"/>
      <c r="AG286" s="872"/>
      <c r="AH286" s="788"/>
      <c r="AI286" s="788"/>
      <c r="AJ286" s="792"/>
      <c r="AK286" s="872"/>
      <c r="AL286" s="788" t="s">
        <v>70</v>
      </c>
      <c r="AM286" s="788" t="s">
        <v>316</v>
      </c>
      <c r="AN286" s="805">
        <v>7804660</v>
      </c>
      <c r="AO286" s="783">
        <v>3721767</v>
      </c>
      <c r="AP286" s="783">
        <v>4082893</v>
      </c>
      <c r="AQ286" s="786" t="s">
        <v>317</v>
      </c>
      <c r="AR286" s="786" t="s">
        <v>317</v>
      </c>
      <c r="AS286" s="786" t="s">
        <v>317</v>
      </c>
      <c r="AT286" s="786" t="s">
        <v>317</v>
      </c>
      <c r="AU286" s="787" t="s">
        <v>317</v>
      </c>
      <c r="AV286" s="787" t="s">
        <v>317</v>
      </c>
      <c r="AW286" s="787" t="s">
        <v>317</v>
      </c>
      <c r="AX286" s="783">
        <v>7804660</v>
      </c>
      <c r="AY286" s="1214"/>
    </row>
    <row r="287" spans="1:51" ht="18" x14ac:dyDescent="0.25">
      <c r="A287" s="1195"/>
      <c r="B287" s="833"/>
      <c r="C287" s="809"/>
      <c r="D287" s="132" t="s">
        <v>3</v>
      </c>
      <c r="E287" s="142"/>
      <c r="F287" s="143"/>
      <c r="G287" s="445">
        <v>185264415.58441558</v>
      </c>
      <c r="H287" s="445">
        <v>169825714.2857143</v>
      </c>
      <c r="I287" s="445">
        <v>151813896.10389611</v>
      </c>
      <c r="J287" s="445">
        <v>116777142.85714285</v>
      </c>
      <c r="K287" s="445">
        <f>+K286*$K$155/$K$154</f>
        <v>98530714.285714284</v>
      </c>
      <c r="L287" s="445">
        <f>+L286*$L$155/$L$154</f>
        <v>83203714.285714284</v>
      </c>
      <c r="M287" s="445">
        <f>+M286*$M$155/$M$154</f>
        <v>67876714.285714284</v>
      </c>
      <c r="N287" s="445">
        <f>+N286*$N$155/$N$154</f>
        <v>53897142.857142858</v>
      </c>
      <c r="O287" s="445">
        <f>+O286*$O$155/$O$154</f>
        <v>38177142.857142858</v>
      </c>
      <c r="P287" s="445">
        <f>+P286*$P$155/$P$154</f>
        <v>22457142.857142858</v>
      </c>
      <c r="Q287" s="445">
        <f>+Q286*$Q$155/$Q$154</f>
        <v>11228571.428571429</v>
      </c>
      <c r="R287" s="445">
        <f>+R286*$R$155/$R$154</f>
        <v>0</v>
      </c>
      <c r="S287" s="1237"/>
      <c r="T287" s="446"/>
      <c r="U287" s="446"/>
      <c r="V287" s="446"/>
      <c r="W287" s="446"/>
      <c r="X287" s="446"/>
      <c r="Y287" s="446"/>
      <c r="Z287" s="446"/>
      <c r="AA287" s="448"/>
      <c r="AB287" s="1224"/>
      <c r="AC287" s="1225"/>
      <c r="AD287" s="1226"/>
      <c r="AE287" s="447"/>
      <c r="AF287" s="1242"/>
      <c r="AG287" s="873"/>
      <c r="AH287" s="789"/>
      <c r="AI287" s="789"/>
      <c r="AJ287" s="793"/>
      <c r="AK287" s="873"/>
      <c r="AL287" s="789"/>
      <c r="AM287" s="789"/>
      <c r="AN287" s="805"/>
      <c r="AO287" s="784"/>
      <c r="AP287" s="784"/>
      <c r="AQ287" s="786"/>
      <c r="AR287" s="786"/>
      <c r="AS287" s="786"/>
      <c r="AT287" s="786"/>
      <c r="AU287" s="787"/>
      <c r="AV287" s="787"/>
      <c r="AW287" s="787"/>
      <c r="AX287" s="784"/>
      <c r="AY287" s="1214"/>
    </row>
    <row r="288" spans="1:51" ht="27" x14ac:dyDescent="0.25">
      <c r="A288" s="1195"/>
      <c r="B288" s="833"/>
      <c r="C288" s="809"/>
      <c r="D288" s="136" t="s">
        <v>42</v>
      </c>
      <c r="E288" s="142"/>
      <c r="F288" s="143"/>
      <c r="G288" s="445"/>
      <c r="H288" s="445"/>
      <c r="I288" s="445"/>
      <c r="J288" s="445"/>
      <c r="K288" s="445"/>
      <c r="L288" s="445"/>
      <c r="M288" s="445"/>
      <c r="N288" s="448"/>
      <c r="O288" s="445"/>
      <c r="P288" s="445"/>
      <c r="Q288" s="445"/>
      <c r="R288" s="447"/>
      <c r="S288" s="1237"/>
      <c r="T288" s="446"/>
      <c r="U288" s="446"/>
      <c r="V288" s="446"/>
      <c r="W288" s="446"/>
      <c r="X288" s="446"/>
      <c r="Y288" s="446"/>
      <c r="Z288" s="446"/>
      <c r="AA288" s="448"/>
      <c r="AB288" s="1224"/>
      <c r="AC288" s="1225"/>
      <c r="AD288" s="1226"/>
      <c r="AE288" s="447"/>
      <c r="AF288" s="1242"/>
      <c r="AG288" s="873"/>
      <c r="AH288" s="789"/>
      <c r="AI288" s="789"/>
      <c r="AJ288" s="793"/>
      <c r="AK288" s="873"/>
      <c r="AL288" s="789"/>
      <c r="AM288" s="789"/>
      <c r="AN288" s="805"/>
      <c r="AO288" s="784"/>
      <c r="AP288" s="784"/>
      <c r="AQ288" s="786"/>
      <c r="AR288" s="786"/>
      <c r="AS288" s="786"/>
      <c r="AT288" s="786"/>
      <c r="AU288" s="787"/>
      <c r="AV288" s="787"/>
      <c r="AW288" s="787"/>
      <c r="AX288" s="784"/>
      <c r="AY288" s="1214"/>
    </row>
    <row r="289" spans="1:51" ht="27" x14ac:dyDescent="0.25">
      <c r="A289" s="1195"/>
      <c r="B289" s="833"/>
      <c r="C289" s="809"/>
      <c r="D289" s="132" t="s">
        <v>4</v>
      </c>
      <c r="E289" s="142"/>
      <c r="F289" s="143"/>
      <c r="G289" s="445"/>
      <c r="H289" s="445"/>
      <c r="I289" s="445"/>
      <c r="J289" s="445"/>
      <c r="K289" s="445"/>
      <c r="L289" s="445"/>
      <c r="M289" s="445"/>
      <c r="N289" s="448"/>
      <c r="O289" s="445"/>
      <c r="P289" s="445"/>
      <c r="Q289" s="445"/>
      <c r="R289" s="447" t="s">
        <v>1319</v>
      </c>
      <c r="S289" s="1237"/>
      <c r="T289" s="446"/>
      <c r="U289" s="446"/>
      <c r="V289" s="446"/>
      <c r="W289" s="446"/>
      <c r="X289" s="446"/>
      <c r="Y289" s="446"/>
      <c r="Z289" s="446"/>
      <c r="AA289" s="448"/>
      <c r="AB289" s="1224"/>
      <c r="AC289" s="1225"/>
      <c r="AD289" s="1226"/>
      <c r="AE289" s="447" t="s">
        <v>1319</v>
      </c>
      <c r="AF289" s="1242"/>
      <c r="AG289" s="873"/>
      <c r="AH289" s="789"/>
      <c r="AI289" s="789"/>
      <c r="AJ289" s="793"/>
      <c r="AK289" s="873"/>
      <c r="AL289" s="789"/>
      <c r="AM289" s="789"/>
      <c r="AN289" s="805"/>
      <c r="AO289" s="784"/>
      <c r="AP289" s="784"/>
      <c r="AQ289" s="786"/>
      <c r="AR289" s="786"/>
      <c r="AS289" s="786"/>
      <c r="AT289" s="786"/>
      <c r="AU289" s="787"/>
      <c r="AV289" s="787"/>
      <c r="AW289" s="787"/>
      <c r="AX289" s="784"/>
      <c r="AY289" s="1214"/>
    </row>
    <row r="290" spans="1:51" ht="27" x14ac:dyDescent="0.25">
      <c r="A290" s="1195"/>
      <c r="B290" s="833"/>
      <c r="C290" s="809"/>
      <c r="D290" s="136" t="s">
        <v>43</v>
      </c>
      <c r="E290" s="142"/>
      <c r="F290" s="143"/>
      <c r="G290" s="445">
        <v>72</v>
      </c>
      <c r="H290" s="445">
        <v>66</v>
      </c>
      <c r="I290" s="445">
        <v>59</v>
      </c>
      <c r="J290" s="445">
        <v>52</v>
      </c>
      <c r="K290" s="445">
        <v>45</v>
      </c>
      <c r="L290" s="445">
        <v>38</v>
      </c>
      <c r="M290" s="445">
        <v>31</v>
      </c>
      <c r="N290" s="448">
        <v>24</v>
      </c>
      <c r="O290" s="445">
        <v>17</v>
      </c>
      <c r="P290" s="445">
        <v>10</v>
      </c>
      <c r="Q290" s="445">
        <v>5</v>
      </c>
      <c r="R290" s="447">
        <v>0</v>
      </c>
      <c r="S290" s="1237"/>
      <c r="T290" s="446"/>
      <c r="U290" s="446"/>
      <c r="V290" s="446"/>
      <c r="W290" s="446"/>
      <c r="X290" s="446"/>
      <c r="Y290" s="446"/>
      <c r="Z290" s="450"/>
      <c r="AA290" s="448"/>
      <c r="AB290" s="1224"/>
      <c r="AC290" s="1225"/>
      <c r="AD290" s="1226"/>
      <c r="AE290" s="447"/>
      <c r="AF290" s="1242"/>
      <c r="AG290" s="873"/>
      <c r="AH290" s="789"/>
      <c r="AI290" s="789"/>
      <c r="AJ290" s="793"/>
      <c r="AK290" s="873"/>
      <c r="AL290" s="789"/>
      <c r="AM290" s="789"/>
      <c r="AN290" s="805"/>
      <c r="AO290" s="784"/>
      <c r="AP290" s="784"/>
      <c r="AQ290" s="786"/>
      <c r="AR290" s="786"/>
      <c r="AS290" s="786"/>
      <c r="AT290" s="786"/>
      <c r="AU290" s="787"/>
      <c r="AV290" s="787"/>
      <c r="AW290" s="787"/>
      <c r="AX290" s="784"/>
      <c r="AY290" s="1214"/>
    </row>
    <row r="291" spans="1:51" ht="27.75" thickBot="1" x14ac:dyDescent="0.3">
      <c r="A291" s="1195"/>
      <c r="B291" s="833"/>
      <c r="C291" s="809"/>
      <c r="D291" s="140" t="s">
        <v>45</v>
      </c>
      <c r="E291" s="142"/>
      <c r="F291" s="143"/>
      <c r="G291" s="445">
        <v>185264415.58441558</v>
      </c>
      <c r="H291" s="445">
        <v>169825714.2857143</v>
      </c>
      <c r="I291" s="445">
        <v>151813896.10389611</v>
      </c>
      <c r="J291" s="445">
        <v>116777142.85714285</v>
      </c>
      <c r="K291" s="445">
        <f>+K290*$K$155/$K$154</f>
        <v>98530714.285714284</v>
      </c>
      <c r="L291" s="445">
        <f>+L290*$L$155/$L$154</f>
        <v>83203714.285714284</v>
      </c>
      <c r="M291" s="445">
        <f>+M290*$M$155/$M$154</f>
        <v>67876714.285714284</v>
      </c>
      <c r="N291" s="445">
        <f>+N290*$N$155/$N$154</f>
        <v>53897142.857142858</v>
      </c>
      <c r="O291" s="445">
        <f>+O290*$O$155/$O$154</f>
        <v>38177142.857142858</v>
      </c>
      <c r="P291" s="445">
        <f>+P290*$P$155/$P$154</f>
        <v>22457142.857142858</v>
      </c>
      <c r="Q291" s="445">
        <f>+Q290*$Q$155/$Q$154</f>
        <v>11228571.428571429</v>
      </c>
      <c r="R291" s="445">
        <f>+R290*$R$155/$R$154</f>
        <v>0</v>
      </c>
      <c r="S291" s="1237"/>
      <c r="T291" s="446"/>
      <c r="U291" s="446"/>
      <c r="V291" s="446"/>
      <c r="W291" s="446"/>
      <c r="X291" s="446"/>
      <c r="Y291" s="446"/>
      <c r="Z291" s="446"/>
      <c r="AA291" s="448"/>
      <c r="AB291" s="1224"/>
      <c r="AC291" s="1225"/>
      <c r="AD291" s="1226"/>
      <c r="AE291" s="447"/>
      <c r="AF291" s="1242"/>
      <c r="AG291" s="874"/>
      <c r="AH291" s="790"/>
      <c r="AI291" s="790"/>
      <c r="AJ291" s="794"/>
      <c r="AK291" s="874"/>
      <c r="AL291" s="790"/>
      <c r="AM291" s="790"/>
      <c r="AN291" s="805"/>
      <c r="AO291" s="785"/>
      <c r="AP291" s="785"/>
      <c r="AQ291" s="786"/>
      <c r="AR291" s="786"/>
      <c r="AS291" s="786"/>
      <c r="AT291" s="786"/>
      <c r="AU291" s="787"/>
      <c r="AV291" s="787"/>
      <c r="AW291" s="787"/>
      <c r="AX291" s="785"/>
      <c r="AY291" s="1214"/>
    </row>
    <row r="292" spans="1:51" ht="18" customHeight="1" x14ac:dyDescent="0.25">
      <c r="A292" s="1195"/>
      <c r="B292" s="833"/>
      <c r="C292" s="809" t="s">
        <v>410</v>
      </c>
      <c r="D292" s="141" t="s">
        <v>41</v>
      </c>
      <c r="E292" s="142"/>
      <c r="F292" s="143"/>
      <c r="G292" s="445">
        <v>77</v>
      </c>
      <c r="H292" s="445">
        <v>77</v>
      </c>
      <c r="I292" s="445">
        <v>77</v>
      </c>
      <c r="J292" s="445">
        <v>77</v>
      </c>
      <c r="K292" s="445">
        <f>+K286+K274+K268+K262+K250+K232+K226+K220+K214+K208+K202+K196+K172+K166+K160</f>
        <v>77</v>
      </c>
      <c r="L292" s="445">
        <f>+L286+L274+L268+L262+L250+L232+L226+L220+L214+L208+L202+L196+L172+L166+L160</f>
        <v>77</v>
      </c>
      <c r="M292" s="445">
        <f>+M286+M274+M268+M262+M250+M232+M226+M220+M214+M208+M202+M196+M172+M166+M160</f>
        <v>77</v>
      </c>
      <c r="N292" s="445">
        <f>+N286+N274+N268+N262+N250+N244+N232+N226+N220+N214+N208+N202+N196+N172+N166+N160</f>
        <v>77</v>
      </c>
      <c r="O292" s="445">
        <f>+O286+O274+O268+O262+O250+O244+O232+O226+O220+O214+O208+O202+O196+O172+O166+O160</f>
        <v>77</v>
      </c>
      <c r="P292" s="445">
        <v>77</v>
      </c>
      <c r="Q292" s="445">
        <v>77</v>
      </c>
      <c r="R292" s="445">
        <v>78</v>
      </c>
      <c r="S292" s="1237"/>
      <c r="T292" s="445">
        <v>5</v>
      </c>
      <c r="U292" s="445">
        <v>11</v>
      </c>
      <c r="V292" s="445">
        <v>18</v>
      </c>
      <c r="W292" s="445">
        <v>25</v>
      </c>
      <c r="X292" s="445">
        <f>+X286+X274+X268+X262+X250+X232+X226+X220+X214+X208+X202+X196+X172+X166+X160</f>
        <v>32</v>
      </c>
      <c r="Y292" s="445">
        <f>+Y286+Y274+Y268+Y262+Y250+Y232+Y226+Y220+Y214+Y208+Y202+Y196+Y172+Y166+Y160</f>
        <v>39</v>
      </c>
      <c r="Z292" s="445">
        <f>+Z286+Z274+Z268+Z262+Z250+Z232+Z226+Z220+Z214+Z208+Z202+Z196+Z172+Z166+Z160</f>
        <v>46</v>
      </c>
      <c r="AA292" s="445">
        <f>+AA286+AA274+AA268+AA262+AA250+AA244+AA232+AA226+AA220+AA214+AA208+AA202+AA196+AA172+AA166+AA160</f>
        <v>53</v>
      </c>
      <c r="AB292" s="445">
        <f>+AB286+AB274+AB268+AB262+AB250+AB244+AB232+AB226+AB220+AB214+AB208+AB202+AB196+AB172+AB166+AB160</f>
        <v>60</v>
      </c>
      <c r="AC292" s="445">
        <f>+AC286+AC274+AC268+AC262+AC250+AC244+AC232+AC226+AC220+AC214+AC208+AC202+AC196+AC172+AC166+AC160</f>
        <v>67</v>
      </c>
      <c r="AD292" s="445">
        <f>+AD286+AD274+AD268+AD262+AD250+AD244+AD232+AD226+AD220+AD214+AD208+AD202+AD196+AD172+AD166+AD160</f>
        <v>72</v>
      </c>
      <c r="AE292" s="445">
        <f>+AE286+AE274+AE268+AE262+AE250+AE244+AE232+AE226+AE220+AE214+AE208+AE202+AE196+AE172+AE184+AE166+AE160</f>
        <v>78</v>
      </c>
      <c r="AF292" s="1242"/>
      <c r="AG292" s="872"/>
      <c r="AH292" s="792"/>
      <c r="AI292" s="792"/>
      <c r="AJ292" s="792"/>
      <c r="AK292" s="872"/>
      <c r="AL292" s="788" t="s">
        <v>70</v>
      </c>
      <c r="AM292" s="788" t="s">
        <v>316</v>
      </c>
      <c r="AN292" s="805">
        <v>7804660</v>
      </c>
      <c r="AO292" s="783">
        <v>3721767</v>
      </c>
      <c r="AP292" s="783">
        <v>4082893</v>
      </c>
      <c r="AQ292" s="787" t="s">
        <v>317</v>
      </c>
      <c r="AR292" s="787" t="s">
        <v>317</v>
      </c>
      <c r="AS292" s="787" t="s">
        <v>317</v>
      </c>
      <c r="AT292" s="787" t="s">
        <v>317</v>
      </c>
      <c r="AU292" s="787" t="s">
        <v>317</v>
      </c>
      <c r="AV292" s="787" t="s">
        <v>317</v>
      </c>
      <c r="AW292" s="787" t="s">
        <v>317</v>
      </c>
      <c r="AX292" s="783">
        <v>7804660</v>
      </c>
      <c r="AY292" s="1214"/>
    </row>
    <row r="293" spans="1:51" ht="24" customHeight="1" x14ac:dyDescent="0.25">
      <c r="A293" s="1195"/>
      <c r="B293" s="833"/>
      <c r="C293" s="809"/>
      <c r="D293" s="132" t="s">
        <v>3</v>
      </c>
      <c r="E293" s="142"/>
      <c r="F293" s="143"/>
      <c r="G293" s="445">
        <v>198130000</v>
      </c>
      <c r="H293" s="445">
        <v>198130000</v>
      </c>
      <c r="I293" s="445">
        <v>198130000</v>
      </c>
      <c r="J293" s="445">
        <v>172920000</v>
      </c>
      <c r="K293" s="445">
        <f t="shared" ref="K293:M297" si="10">+K287+K275+K269+K263+K251+K233+K227+K221+K215+K209+K203+K197+K173+K167+K161</f>
        <v>168597000.00000003</v>
      </c>
      <c r="L293" s="445">
        <f>+L287+L275+L269+L263+L251+L233+L227+L221+L215+L209+L203+L197+L173+L167+L161</f>
        <v>168597000.00000006</v>
      </c>
      <c r="M293" s="445">
        <f>+M287+M275+M269+M263+M251+M233+M227+M221+M215+M209+M203+M197+M173+M167+M161</f>
        <v>168597000.00000003</v>
      </c>
      <c r="N293" s="445">
        <f t="shared" ref="N293:O297" si="11">+N287+N275+N269+N263+N251+N245+N233+N227+N221+N215+N209+N203+N197+N173+N167+N161</f>
        <v>172920000</v>
      </c>
      <c r="O293" s="445">
        <f t="shared" si="11"/>
        <v>172920000</v>
      </c>
      <c r="P293" s="445">
        <f>+P292*$P$155/$P$154</f>
        <v>172920000</v>
      </c>
      <c r="Q293" s="445">
        <f>+Q292*$Q$155/$Q$154</f>
        <v>172920000</v>
      </c>
      <c r="R293" s="445">
        <f>+R292*$R$155/$R$154</f>
        <v>172920000</v>
      </c>
      <c r="S293" s="1237"/>
      <c r="T293" s="445">
        <v>0</v>
      </c>
      <c r="U293" s="445">
        <v>129690000</v>
      </c>
      <c r="V293" s="445">
        <v>168597000</v>
      </c>
      <c r="W293" s="445">
        <v>168597000</v>
      </c>
      <c r="X293" s="445">
        <f t="shared" ref="X293:Z297" si="12">+X287+X275+X269+X263+X251+X233+X227+X221+X215+X209+X203+X197+X173+X167+X161</f>
        <v>168597000</v>
      </c>
      <c r="Y293" s="445">
        <f t="shared" si="12"/>
        <v>168597000</v>
      </c>
      <c r="Z293" s="445">
        <f t="shared" si="12"/>
        <v>168597000</v>
      </c>
      <c r="AA293" s="445">
        <f t="shared" ref="AA293:AD297" si="13">+AA287+AA275+AA269+AA263+AA251+AA245+AA233+AA227+AA221+AA215+AA209+AA203+AA197+AA173+AA167+AA161</f>
        <v>119022857.14285712</v>
      </c>
      <c r="AB293" s="445">
        <f t="shared" si="13"/>
        <v>168597000</v>
      </c>
      <c r="AC293" s="445">
        <f t="shared" si="13"/>
        <v>168597000.00000006</v>
      </c>
      <c r="AD293" s="445">
        <f t="shared" si="13"/>
        <v>168597000</v>
      </c>
      <c r="AE293" s="445">
        <f t="shared" ref="AE293:AE296" si="14">+AE287+AE275+AE269+AE263+AE251+AE245+AE233+AE227+AE221+AE215+AE209+AE203+AE197+AE173+AE185+AE167+AE161</f>
        <v>172919999.99999997</v>
      </c>
      <c r="AF293" s="1242"/>
      <c r="AG293" s="873"/>
      <c r="AH293" s="793"/>
      <c r="AI293" s="793"/>
      <c r="AJ293" s="793"/>
      <c r="AK293" s="873"/>
      <c r="AL293" s="789"/>
      <c r="AM293" s="789"/>
      <c r="AN293" s="805"/>
      <c r="AO293" s="784"/>
      <c r="AP293" s="784"/>
      <c r="AQ293" s="787"/>
      <c r="AR293" s="787"/>
      <c r="AS293" s="787"/>
      <c r="AT293" s="787"/>
      <c r="AU293" s="787"/>
      <c r="AV293" s="787"/>
      <c r="AW293" s="787"/>
      <c r="AX293" s="784"/>
      <c r="AY293" s="1214"/>
    </row>
    <row r="294" spans="1:51" ht="27" x14ac:dyDescent="0.25">
      <c r="A294" s="1195"/>
      <c r="B294" s="833"/>
      <c r="C294" s="809"/>
      <c r="D294" s="136" t="s">
        <v>42</v>
      </c>
      <c r="E294" s="142"/>
      <c r="F294" s="143"/>
      <c r="G294" s="445">
        <v>0</v>
      </c>
      <c r="H294" s="445">
        <v>0</v>
      </c>
      <c r="I294" s="445">
        <v>0</v>
      </c>
      <c r="J294" s="445">
        <v>0</v>
      </c>
      <c r="K294" s="445">
        <f t="shared" si="10"/>
        <v>0</v>
      </c>
      <c r="L294" s="445">
        <f t="shared" si="10"/>
        <v>0</v>
      </c>
      <c r="M294" s="445">
        <f t="shared" si="10"/>
        <v>0</v>
      </c>
      <c r="N294" s="445">
        <f t="shared" si="11"/>
        <v>0</v>
      </c>
      <c r="O294" s="445">
        <f t="shared" si="11"/>
        <v>0</v>
      </c>
      <c r="P294" s="445"/>
      <c r="Q294" s="445"/>
      <c r="R294" s="445"/>
      <c r="S294" s="1237"/>
      <c r="T294" s="445">
        <v>0</v>
      </c>
      <c r="U294" s="445">
        <v>0</v>
      </c>
      <c r="V294" s="445">
        <v>0</v>
      </c>
      <c r="W294" s="445">
        <v>0</v>
      </c>
      <c r="X294" s="445">
        <f t="shared" si="12"/>
        <v>0</v>
      </c>
      <c r="Y294" s="445">
        <f t="shared" si="12"/>
        <v>0</v>
      </c>
      <c r="Z294" s="445">
        <f t="shared" si="12"/>
        <v>0</v>
      </c>
      <c r="AA294" s="445">
        <f t="shared" si="13"/>
        <v>0</v>
      </c>
      <c r="AB294" s="445">
        <f t="shared" si="13"/>
        <v>0</v>
      </c>
      <c r="AC294" s="445">
        <f t="shared" si="13"/>
        <v>0</v>
      </c>
      <c r="AD294" s="445">
        <f t="shared" si="13"/>
        <v>0</v>
      </c>
      <c r="AE294" s="445">
        <f t="shared" si="14"/>
        <v>0</v>
      </c>
      <c r="AF294" s="1242"/>
      <c r="AG294" s="873"/>
      <c r="AH294" s="793"/>
      <c r="AI294" s="793"/>
      <c r="AJ294" s="793"/>
      <c r="AK294" s="873"/>
      <c r="AL294" s="789"/>
      <c r="AM294" s="789"/>
      <c r="AN294" s="805"/>
      <c r="AO294" s="784"/>
      <c r="AP294" s="784"/>
      <c r="AQ294" s="787"/>
      <c r="AR294" s="787"/>
      <c r="AS294" s="787"/>
      <c r="AT294" s="787"/>
      <c r="AU294" s="787"/>
      <c r="AV294" s="787"/>
      <c r="AW294" s="787"/>
      <c r="AX294" s="784"/>
      <c r="AY294" s="1214"/>
    </row>
    <row r="295" spans="1:51" ht="27" x14ac:dyDescent="0.25">
      <c r="A295" s="1195"/>
      <c r="B295" s="833"/>
      <c r="C295" s="809"/>
      <c r="D295" s="132" t="s">
        <v>4</v>
      </c>
      <c r="E295" s="142"/>
      <c r="F295" s="143"/>
      <c r="G295" s="445">
        <v>0</v>
      </c>
      <c r="H295" s="445">
        <v>0</v>
      </c>
      <c r="I295" s="445">
        <v>0</v>
      </c>
      <c r="J295" s="445">
        <v>0</v>
      </c>
      <c r="K295" s="445">
        <f t="shared" si="10"/>
        <v>0</v>
      </c>
      <c r="L295" s="445">
        <f t="shared" si="10"/>
        <v>0</v>
      </c>
      <c r="M295" s="445">
        <f t="shared" si="10"/>
        <v>0</v>
      </c>
      <c r="N295" s="445">
        <f t="shared" si="11"/>
        <v>0</v>
      </c>
      <c r="O295" s="445">
        <f t="shared" si="11"/>
        <v>0</v>
      </c>
      <c r="P295" s="445"/>
      <c r="Q295" s="445"/>
      <c r="R295" s="445"/>
      <c r="S295" s="1237"/>
      <c r="T295" s="445">
        <v>0</v>
      </c>
      <c r="U295" s="445">
        <v>19427343</v>
      </c>
      <c r="V295" s="445">
        <v>0</v>
      </c>
      <c r="W295" s="445">
        <v>0</v>
      </c>
      <c r="X295" s="445">
        <f t="shared" si="12"/>
        <v>0</v>
      </c>
      <c r="Y295" s="445">
        <f t="shared" si="12"/>
        <v>0</v>
      </c>
      <c r="Z295" s="445">
        <f t="shared" si="12"/>
        <v>0</v>
      </c>
      <c r="AA295" s="445">
        <f t="shared" si="13"/>
        <v>0</v>
      </c>
      <c r="AB295" s="445">
        <f t="shared" si="13"/>
        <v>0</v>
      </c>
      <c r="AC295" s="445">
        <f t="shared" si="13"/>
        <v>0</v>
      </c>
      <c r="AD295" s="445">
        <f t="shared" si="13"/>
        <v>0</v>
      </c>
      <c r="AE295" s="445" t="e">
        <f t="shared" si="14"/>
        <v>#VALUE!</v>
      </c>
      <c r="AF295" s="1242"/>
      <c r="AG295" s="873"/>
      <c r="AH295" s="793"/>
      <c r="AI295" s="793"/>
      <c r="AJ295" s="793"/>
      <c r="AK295" s="873"/>
      <c r="AL295" s="789"/>
      <c r="AM295" s="789"/>
      <c r="AN295" s="805"/>
      <c r="AO295" s="784"/>
      <c r="AP295" s="784"/>
      <c r="AQ295" s="787"/>
      <c r="AR295" s="787"/>
      <c r="AS295" s="787"/>
      <c r="AT295" s="787"/>
      <c r="AU295" s="787"/>
      <c r="AV295" s="787"/>
      <c r="AW295" s="787"/>
      <c r="AX295" s="784"/>
      <c r="AY295" s="1214"/>
    </row>
    <row r="296" spans="1:51" ht="27" x14ac:dyDescent="0.25">
      <c r="A296" s="1195"/>
      <c r="B296" s="833"/>
      <c r="C296" s="809"/>
      <c r="D296" s="136" t="s">
        <v>43</v>
      </c>
      <c r="E296" s="142"/>
      <c r="F296" s="143"/>
      <c r="G296" s="445">
        <v>77</v>
      </c>
      <c r="H296" s="445">
        <v>77</v>
      </c>
      <c r="I296" s="445">
        <v>77</v>
      </c>
      <c r="J296" s="445">
        <v>77</v>
      </c>
      <c r="K296" s="445">
        <f t="shared" si="10"/>
        <v>77</v>
      </c>
      <c r="L296" s="445">
        <f t="shared" si="10"/>
        <v>77</v>
      </c>
      <c r="M296" s="445">
        <f t="shared" si="10"/>
        <v>77</v>
      </c>
      <c r="N296" s="445">
        <f t="shared" si="11"/>
        <v>77</v>
      </c>
      <c r="O296" s="445">
        <f t="shared" si="11"/>
        <v>77</v>
      </c>
      <c r="P296" s="445"/>
      <c r="Q296" s="445">
        <v>77</v>
      </c>
      <c r="R296" s="445">
        <v>78</v>
      </c>
      <c r="S296" s="1237"/>
      <c r="T296" s="445">
        <v>5</v>
      </c>
      <c r="U296" s="445">
        <v>11</v>
      </c>
      <c r="V296" s="445">
        <v>18</v>
      </c>
      <c r="W296" s="445">
        <v>25</v>
      </c>
      <c r="X296" s="445">
        <f t="shared" si="12"/>
        <v>32</v>
      </c>
      <c r="Y296" s="445">
        <f t="shared" si="12"/>
        <v>39</v>
      </c>
      <c r="Z296" s="445">
        <f t="shared" si="12"/>
        <v>46</v>
      </c>
      <c r="AA296" s="445">
        <f t="shared" si="13"/>
        <v>53</v>
      </c>
      <c r="AB296" s="445">
        <f t="shared" si="13"/>
        <v>60</v>
      </c>
      <c r="AC296" s="445">
        <f t="shared" si="13"/>
        <v>67</v>
      </c>
      <c r="AD296" s="445">
        <f t="shared" si="13"/>
        <v>62</v>
      </c>
      <c r="AE296" s="445">
        <f t="shared" si="14"/>
        <v>78</v>
      </c>
      <c r="AF296" s="1242"/>
      <c r="AG296" s="873"/>
      <c r="AH296" s="793"/>
      <c r="AI296" s="793"/>
      <c r="AJ296" s="793"/>
      <c r="AK296" s="873"/>
      <c r="AL296" s="789"/>
      <c r="AM296" s="789"/>
      <c r="AN296" s="805"/>
      <c r="AO296" s="784"/>
      <c r="AP296" s="784"/>
      <c r="AQ296" s="787"/>
      <c r="AR296" s="787"/>
      <c r="AS296" s="787"/>
      <c r="AT296" s="787"/>
      <c r="AU296" s="787"/>
      <c r="AV296" s="787"/>
      <c r="AW296" s="787"/>
      <c r="AX296" s="784"/>
      <c r="AY296" s="1214"/>
    </row>
    <row r="297" spans="1:51" ht="27.75" thickBot="1" x14ac:dyDescent="0.3">
      <c r="A297" s="1196"/>
      <c r="B297" s="1193"/>
      <c r="C297" s="809"/>
      <c r="D297" s="140" t="s">
        <v>45</v>
      </c>
      <c r="E297" s="142"/>
      <c r="F297" s="143"/>
      <c r="G297" s="445">
        <v>195556883.11688313</v>
      </c>
      <c r="H297" s="445">
        <v>198130000</v>
      </c>
      <c r="I297" s="445">
        <v>198130000</v>
      </c>
      <c r="J297" s="445">
        <v>172920000</v>
      </c>
      <c r="K297" s="445">
        <f t="shared" si="10"/>
        <v>168597000.00000003</v>
      </c>
      <c r="L297" s="445">
        <f t="shared" si="10"/>
        <v>168597000.00000006</v>
      </c>
      <c r="M297" s="445">
        <f t="shared" si="10"/>
        <v>168597000.00000003</v>
      </c>
      <c r="N297" s="445">
        <f t="shared" si="11"/>
        <v>172920000</v>
      </c>
      <c r="O297" s="445">
        <f t="shared" si="11"/>
        <v>172920000</v>
      </c>
      <c r="P297" s="445"/>
      <c r="Q297" s="445">
        <f>+Q296*$Q$155/$Q$154</f>
        <v>172920000</v>
      </c>
      <c r="R297" s="445">
        <f>+R293</f>
        <v>172920000</v>
      </c>
      <c r="S297" s="1241"/>
      <c r="T297" s="445">
        <v>0</v>
      </c>
      <c r="U297" s="445">
        <v>129690000</v>
      </c>
      <c r="V297" s="445">
        <v>159230500</v>
      </c>
      <c r="W297" s="445">
        <v>168597000</v>
      </c>
      <c r="X297" s="445">
        <f t="shared" si="12"/>
        <v>168597000</v>
      </c>
      <c r="Y297" s="445">
        <f t="shared" si="12"/>
        <v>168597000</v>
      </c>
      <c r="Z297" s="445">
        <f t="shared" si="12"/>
        <v>168597000</v>
      </c>
      <c r="AA297" s="445">
        <f t="shared" si="13"/>
        <v>119022857.14285712</v>
      </c>
      <c r="AB297" s="445">
        <f t="shared" si="13"/>
        <v>168597000</v>
      </c>
      <c r="AC297" s="445">
        <f t="shared" si="13"/>
        <v>168597000.00000006</v>
      </c>
      <c r="AD297" s="445">
        <f t="shared" si="13"/>
        <v>145180750</v>
      </c>
      <c r="AE297" s="445">
        <f>+AE291+AE279+AE273+AE267+AE255+AE249+AE237+AE231+AE225+AE219+AE213+AE207+AE201+AE177+AE189+AE171+AE165</f>
        <v>172919999.99999997</v>
      </c>
      <c r="AF297" s="1244"/>
      <c r="AG297" s="874"/>
      <c r="AH297" s="794"/>
      <c r="AI297" s="794"/>
      <c r="AJ297" s="794"/>
      <c r="AK297" s="874"/>
      <c r="AL297" s="790"/>
      <c r="AM297" s="790"/>
      <c r="AN297" s="805"/>
      <c r="AO297" s="785"/>
      <c r="AP297" s="785"/>
      <c r="AQ297" s="787"/>
      <c r="AR297" s="787"/>
      <c r="AS297" s="787"/>
      <c r="AT297" s="787"/>
      <c r="AU297" s="787"/>
      <c r="AV297" s="787"/>
      <c r="AW297" s="787"/>
      <c r="AX297" s="785"/>
      <c r="AY297" s="1214"/>
    </row>
    <row r="298" spans="1:51" ht="18" customHeight="1" x14ac:dyDescent="0.25">
      <c r="A298" s="1194">
        <v>3</v>
      </c>
      <c r="B298" s="1190" t="s">
        <v>289</v>
      </c>
      <c r="C298" s="809" t="s">
        <v>474</v>
      </c>
      <c r="D298" s="141" t="s">
        <v>41</v>
      </c>
      <c r="E298" s="192" t="e">
        <v>#REF!</v>
      </c>
      <c r="F298" s="193" t="e">
        <v>#REF!</v>
      </c>
      <c r="G298" s="440">
        <v>3500</v>
      </c>
      <c r="H298" s="440">
        <v>3500</v>
      </c>
      <c r="I298" s="440">
        <v>3500</v>
      </c>
      <c r="J298" s="439">
        <v>3500</v>
      </c>
      <c r="K298" s="439">
        <v>3500</v>
      </c>
      <c r="L298" s="440">
        <f>+INVERSIÓN!BA24</f>
        <v>3500</v>
      </c>
      <c r="M298" s="440">
        <v>3500</v>
      </c>
      <c r="N298" s="441">
        <v>3500</v>
      </c>
      <c r="O298" s="440">
        <v>3500</v>
      </c>
      <c r="P298" s="439">
        <v>3500</v>
      </c>
      <c r="Q298" s="439">
        <v>3500</v>
      </c>
      <c r="R298" s="1245">
        <v>3540</v>
      </c>
      <c r="S298" s="1246" t="s">
        <v>309</v>
      </c>
      <c r="T298" s="441">
        <v>246</v>
      </c>
      <c r="U298" s="441">
        <v>547</v>
      </c>
      <c r="V298" s="441">
        <v>843</v>
      </c>
      <c r="W298" s="441">
        <v>1143</v>
      </c>
      <c r="X298" s="441">
        <v>1463</v>
      </c>
      <c r="Y298" s="441">
        <v>1760</v>
      </c>
      <c r="Z298" s="441">
        <v>2053</v>
      </c>
      <c r="AA298" s="441">
        <v>2364</v>
      </c>
      <c r="AB298" s="1247">
        <v>2659</v>
      </c>
      <c r="AC298" s="1225">
        <v>2951</v>
      </c>
      <c r="AD298" s="454">
        <v>3242</v>
      </c>
      <c r="AE298" s="1245">
        <v>3540</v>
      </c>
      <c r="AF298" s="1213" t="s">
        <v>1080</v>
      </c>
      <c r="AG298" s="872" t="s">
        <v>936</v>
      </c>
      <c r="AH298" s="792" t="s">
        <v>1139</v>
      </c>
      <c r="AI298" s="788" t="s">
        <v>1140</v>
      </c>
      <c r="AJ298" s="792" t="s">
        <v>839</v>
      </c>
      <c r="AK298" s="788" t="s">
        <v>315</v>
      </c>
      <c r="AL298" s="788" t="s">
        <v>70</v>
      </c>
      <c r="AM298" s="788" t="s">
        <v>480</v>
      </c>
      <c r="AN298" s="805">
        <v>7804660</v>
      </c>
      <c r="AO298" s="783">
        <v>3721767</v>
      </c>
      <c r="AP298" s="783">
        <v>4082893</v>
      </c>
      <c r="AQ298" s="787" t="s">
        <v>317</v>
      </c>
      <c r="AR298" s="787" t="s">
        <v>317</v>
      </c>
      <c r="AS298" s="787" t="s">
        <v>317</v>
      </c>
      <c r="AT298" s="787" t="s">
        <v>317</v>
      </c>
      <c r="AU298" s="787" t="s">
        <v>317</v>
      </c>
      <c r="AV298" s="787" t="s">
        <v>317</v>
      </c>
      <c r="AW298" s="787" t="s">
        <v>317</v>
      </c>
      <c r="AX298" s="783">
        <v>7804660</v>
      </c>
      <c r="AY298" s="1248" t="s">
        <v>481</v>
      </c>
    </row>
    <row r="299" spans="1:51" ht="18" x14ac:dyDescent="0.25">
      <c r="A299" s="1195"/>
      <c r="B299" s="833"/>
      <c r="C299" s="809"/>
      <c r="D299" s="132" t="s">
        <v>3</v>
      </c>
      <c r="E299" s="192" t="e">
        <v>#REF!</v>
      </c>
      <c r="F299" s="193" t="e">
        <v>#REF!</v>
      </c>
      <c r="G299" s="440">
        <v>34285000</v>
      </c>
      <c r="H299" s="440">
        <v>34285000</v>
      </c>
      <c r="I299" s="440">
        <v>34285000</v>
      </c>
      <c r="J299" s="439">
        <v>27200000</v>
      </c>
      <c r="K299" s="442">
        <v>27200000</v>
      </c>
      <c r="L299" s="440">
        <f>+INVERSIÓN!BA25</f>
        <v>29920000</v>
      </c>
      <c r="M299" s="440">
        <v>27200000</v>
      </c>
      <c r="N299" s="441">
        <v>29920000</v>
      </c>
      <c r="O299" s="440">
        <v>29920000</v>
      </c>
      <c r="P299" s="440">
        <v>29920000</v>
      </c>
      <c r="Q299" s="440">
        <v>29920000</v>
      </c>
      <c r="R299" s="1245">
        <v>29920000</v>
      </c>
      <c r="S299" s="1203"/>
      <c r="T299" s="441">
        <v>0</v>
      </c>
      <c r="U299" s="441">
        <v>27200000</v>
      </c>
      <c r="V299" s="441">
        <v>27200000</v>
      </c>
      <c r="W299" s="441">
        <v>27200000</v>
      </c>
      <c r="X299" s="444">
        <v>27200000</v>
      </c>
      <c r="Y299" s="441">
        <v>27200000</v>
      </c>
      <c r="Z299" s="441">
        <v>27200000</v>
      </c>
      <c r="AA299" s="441">
        <v>27200000</v>
      </c>
      <c r="AB299" s="1247">
        <v>27200000</v>
      </c>
      <c r="AC299" s="440">
        <v>27200000</v>
      </c>
      <c r="AD299" s="454">
        <v>27200000</v>
      </c>
      <c r="AE299" s="1245">
        <v>29920000</v>
      </c>
      <c r="AF299" s="1217"/>
      <c r="AG299" s="873"/>
      <c r="AH299" s="793"/>
      <c r="AI299" s="789"/>
      <c r="AJ299" s="793"/>
      <c r="AK299" s="789"/>
      <c r="AL299" s="789"/>
      <c r="AM299" s="789"/>
      <c r="AN299" s="805"/>
      <c r="AO299" s="784"/>
      <c r="AP299" s="784"/>
      <c r="AQ299" s="787"/>
      <c r="AR299" s="787"/>
      <c r="AS299" s="787"/>
      <c r="AT299" s="787"/>
      <c r="AU299" s="787"/>
      <c r="AV299" s="787"/>
      <c r="AW299" s="787"/>
      <c r="AX299" s="784"/>
      <c r="AY299" s="1249"/>
    </row>
    <row r="300" spans="1:51" ht="27" x14ac:dyDescent="0.25">
      <c r="A300" s="1195"/>
      <c r="B300" s="833"/>
      <c r="C300" s="809"/>
      <c r="D300" s="136" t="s">
        <v>42</v>
      </c>
      <c r="E300" s="192" t="e">
        <v>#REF!</v>
      </c>
      <c r="F300" s="193" t="e">
        <v>#REF!</v>
      </c>
      <c r="G300" s="440">
        <v>0</v>
      </c>
      <c r="H300" s="440">
        <v>0</v>
      </c>
      <c r="I300" s="440">
        <v>0</v>
      </c>
      <c r="J300" s="439">
        <v>0</v>
      </c>
      <c r="K300" s="445">
        <v>0</v>
      </c>
      <c r="L300" s="445"/>
      <c r="M300" s="440"/>
      <c r="N300" s="441">
        <v>0</v>
      </c>
      <c r="O300" s="440">
        <v>0</v>
      </c>
      <c r="P300" s="440">
        <v>0</v>
      </c>
      <c r="Q300" s="440">
        <v>0</v>
      </c>
      <c r="R300" s="440">
        <v>0</v>
      </c>
      <c r="S300" s="1203"/>
      <c r="T300" s="441">
        <v>0</v>
      </c>
      <c r="U300" s="441">
        <v>0</v>
      </c>
      <c r="V300" s="441">
        <v>0</v>
      </c>
      <c r="W300" s="441">
        <v>0</v>
      </c>
      <c r="X300" s="446">
        <v>0</v>
      </c>
      <c r="Y300" s="446"/>
      <c r="Z300" s="441">
        <v>0</v>
      </c>
      <c r="AA300" s="441">
        <v>0</v>
      </c>
      <c r="AB300" s="1247">
        <v>0</v>
      </c>
      <c r="AC300" s="440">
        <v>0</v>
      </c>
      <c r="AD300" s="454">
        <v>0</v>
      </c>
      <c r="AE300" s="1245">
        <v>0</v>
      </c>
      <c r="AF300" s="1217"/>
      <c r="AG300" s="873"/>
      <c r="AH300" s="793"/>
      <c r="AI300" s="789"/>
      <c r="AJ300" s="793"/>
      <c r="AK300" s="789"/>
      <c r="AL300" s="789"/>
      <c r="AM300" s="789"/>
      <c r="AN300" s="805"/>
      <c r="AO300" s="784"/>
      <c r="AP300" s="784"/>
      <c r="AQ300" s="787"/>
      <c r="AR300" s="787"/>
      <c r="AS300" s="787"/>
      <c r="AT300" s="787"/>
      <c r="AU300" s="787"/>
      <c r="AV300" s="787"/>
      <c r="AW300" s="787"/>
      <c r="AX300" s="784"/>
      <c r="AY300" s="1249"/>
    </row>
    <row r="301" spans="1:51" ht="19.149999999999999" customHeight="1" x14ac:dyDescent="0.25">
      <c r="A301" s="1195"/>
      <c r="B301" s="833"/>
      <c r="C301" s="809"/>
      <c r="D301" s="132" t="s">
        <v>4</v>
      </c>
      <c r="E301" s="192" t="e">
        <v>#REF!</v>
      </c>
      <c r="F301" s="193" t="e">
        <v>#REF!</v>
      </c>
      <c r="G301" s="440">
        <v>3718400</v>
      </c>
      <c r="H301" s="440">
        <v>3718400</v>
      </c>
      <c r="I301" s="440">
        <v>3718400</v>
      </c>
      <c r="J301" s="439">
        <v>3718400</v>
      </c>
      <c r="K301" s="445">
        <v>3718400</v>
      </c>
      <c r="L301" s="445">
        <f>+INVERSIÓN!BA28</f>
        <v>3718400</v>
      </c>
      <c r="M301" s="440">
        <v>3718400</v>
      </c>
      <c r="N301" s="441">
        <v>3718400</v>
      </c>
      <c r="O301" s="440">
        <v>3718400</v>
      </c>
      <c r="P301" s="440">
        <v>3718400</v>
      </c>
      <c r="Q301" s="440">
        <v>3718400</v>
      </c>
      <c r="R301" s="440">
        <v>3718400</v>
      </c>
      <c r="S301" s="1203"/>
      <c r="T301" s="441">
        <v>3718400</v>
      </c>
      <c r="U301" s="441">
        <v>3718400</v>
      </c>
      <c r="V301" s="441">
        <v>3718400</v>
      </c>
      <c r="W301" s="441">
        <v>3718400</v>
      </c>
      <c r="X301" s="446">
        <v>3718400</v>
      </c>
      <c r="Y301" s="446">
        <v>3718400</v>
      </c>
      <c r="Z301" s="441">
        <v>3718400</v>
      </c>
      <c r="AA301" s="441">
        <v>3718400</v>
      </c>
      <c r="AB301" s="1247">
        <v>3718400</v>
      </c>
      <c r="AC301" s="440">
        <v>3718400</v>
      </c>
      <c r="AD301" s="454">
        <v>3718400</v>
      </c>
      <c r="AE301" s="1245">
        <v>3718400</v>
      </c>
      <c r="AF301" s="1217"/>
      <c r="AG301" s="873"/>
      <c r="AH301" s="793"/>
      <c r="AI301" s="789"/>
      <c r="AJ301" s="793"/>
      <c r="AK301" s="789"/>
      <c r="AL301" s="789"/>
      <c r="AM301" s="789"/>
      <c r="AN301" s="805"/>
      <c r="AO301" s="784"/>
      <c r="AP301" s="784"/>
      <c r="AQ301" s="787"/>
      <c r="AR301" s="787"/>
      <c r="AS301" s="787"/>
      <c r="AT301" s="787"/>
      <c r="AU301" s="787"/>
      <c r="AV301" s="787"/>
      <c r="AW301" s="787"/>
      <c r="AX301" s="784"/>
      <c r="AY301" s="1249"/>
    </row>
    <row r="302" spans="1:51" ht="27" x14ac:dyDescent="0.25">
      <c r="A302" s="1195"/>
      <c r="B302" s="833"/>
      <c r="C302" s="809"/>
      <c r="D302" s="136" t="s">
        <v>43</v>
      </c>
      <c r="E302" s="192" t="e">
        <v>#REF!</v>
      </c>
      <c r="F302" s="193" t="e">
        <v>#REF!</v>
      </c>
      <c r="G302" s="440">
        <v>3500</v>
      </c>
      <c r="H302" s="440">
        <v>3500</v>
      </c>
      <c r="I302" s="440">
        <v>3500</v>
      </c>
      <c r="J302" s="439">
        <v>3500</v>
      </c>
      <c r="K302" s="445">
        <v>3500</v>
      </c>
      <c r="L302" s="445">
        <f>+INVERSIÓN!BA29</f>
        <v>3500</v>
      </c>
      <c r="M302" s="440">
        <v>3500</v>
      </c>
      <c r="N302" s="441">
        <v>3500</v>
      </c>
      <c r="O302" s="440">
        <v>3500</v>
      </c>
      <c r="P302" s="440">
        <v>3500</v>
      </c>
      <c r="Q302" s="440">
        <v>3500</v>
      </c>
      <c r="R302" s="440">
        <v>3540</v>
      </c>
      <c r="S302" s="1203"/>
      <c r="T302" s="441">
        <v>246</v>
      </c>
      <c r="U302" s="441">
        <v>547</v>
      </c>
      <c r="V302" s="441">
        <v>843</v>
      </c>
      <c r="W302" s="441">
        <v>0</v>
      </c>
      <c r="X302" s="446">
        <v>0</v>
      </c>
      <c r="Y302" s="446">
        <v>1760</v>
      </c>
      <c r="Z302" s="441">
        <v>2053</v>
      </c>
      <c r="AA302" s="441">
        <f>+AA298</f>
        <v>2364</v>
      </c>
      <c r="AB302" s="1247">
        <v>2659</v>
      </c>
      <c r="AC302" s="440">
        <v>2951</v>
      </c>
      <c r="AD302" s="454">
        <v>2951</v>
      </c>
      <c r="AE302" s="1245">
        <v>3540</v>
      </c>
      <c r="AF302" s="1217"/>
      <c r="AG302" s="873"/>
      <c r="AH302" s="793"/>
      <c r="AI302" s="789"/>
      <c r="AJ302" s="793"/>
      <c r="AK302" s="789"/>
      <c r="AL302" s="789"/>
      <c r="AM302" s="789"/>
      <c r="AN302" s="805"/>
      <c r="AO302" s="784"/>
      <c r="AP302" s="784"/>
      <c r="AQ302" s="787"/>
      <c r="AR302" s="787"/>
      <c r="AS302" s="787"/>
      <c r="AT302" s="787"/>
      <c r="AU302" s="787"/>
      <c r="AV302" s="787"/>
      <c r="AW302" s="787"/>
      <c r="AX302" s="784"/>
      <c r="AY302" s="1249"/>
    </row>
    <row r="303" spans="1:51" ht="27.75" thickBot="1" x14ac:dyDescent="0.3">
      <c r="A303" s="1195"/>
      <c r="B303" s="833"/>
      <c r="C303" s="809"/>
      <c r="D303" s="140" t="s">
        <v>45</v>
      </c>
      <c r="E303" s="192" t="e">
        <v>#REF!</v>
      </c>
      <c r="F303" s="193" t="e">
        <v>#REF!</v>
      </c>
      <c r="G303" s="440">
        <v>38003400</v>
      </c>
      <c r="H303" s="440">
        <v>38003400</v>
      </c>
      <c r="I303" s="440">
        <v>38003400</v>
      </c>
      <c r="J303" s="439">
        <v>30918400</v>
      </c>
      <c r="K303" s="445">
        <v>30918400</v>
      </c>
      <c r="L303" s="445">
        <f>+INVERSIÓN!BA30</f>
        <v>33638400</v>
      </c>
      <c r="M303" s="440">
        <v>30918400</v>
      </c>
      <c r="N303" s="441">
        <f>+N299+N301</f>
        <v>33638400</v>
      </c>
      <c r="O303" s="440">
        <v>33638400</v>
      </c>
      <c r="P303" s="440">
        <v>33638400</v>
      </c>
      <c r="Q303" s="440">
        <v>33638400</v>
      </c>
      <c r="R303" s="440">
        <v>33638400</v>
      </c>
      <c r="S303" s="1211"/>
      <c r="T303" s="441">
        <v>3718400</v>
      </c>
      <c r="U303" s="441">
        <v>30918400</v>
      </c>
      <c r="V303" s="441">
        <v>30918400</v>
      </c>
      <c r="W303" s="441">
        <v>30918400</v>
      </c>
      <c r="X303" s="446">
        <v>30918400</v>
      </c>
      <c r="Y303" s="446">
        <v>30918400</v>
      </c>
      <c r="Z303" s="441">
        <v>30918400</v>
      </c>
      <c r="AA303" s="441">
        <f>+AA299+AA301</f>
        <v>30918400</v>
      </c>
      <c r="AB303" s="1247">
        <f>+AB299+AB301</f>
        <v>30918400</v>
      </c>
      <c r="AC303" s="440">
        <v>30918400</v>
      </c>
      <c r="AD303" s="454">
        <v>30918400</v>
      </c>
      <c r="AE303" s="1245">
        <v>33638400</v>
      </c>
      <c r="AF303" s="1217"/>
      <c r="AG303" s="874"/>
      <c r="AH303" s="794"/>
      <c r="AI303" s="790"/>
      <c r="AJ303" s="794"/>
      <c r="AK303" s="790"/>
      <c r="AL303" s="790"/>
      <c r="AM303" s="790"/>
      <c r="AN303" s="805"/>
      <c r="AO303" s="785"/>
      <c r="AP303" s="785"/>
      <c r="AQ303" s="787"/>
      <c r="AR303" s="787"/>
      <c r="AS303" s="787"/>
      <c r="AT303" s="787"/>
      <c r="AU303" s="787"/>
      <c r="AV303" s="787"/>
      <c r="AW303" s="787"/>
      <c r="AX303" s="785"/>
      <c r="AY303" s="1249"/>
    </row>
    <row r="304" spans="1:51" ht="19.350000000000001" hidden="1" customHeight="1" x14ac:dyDescent="0.25">
      <c r="A304" s="1195"/>
      <c r="B304" s="833"/>
      <c r="C304" s="809" t="s">
        <v>319</v>
      </c>
      <c r="D304" s="141" t="s">
        <v>41</v>
      </c>
      <c r="E304" s="142"/>
      <c r="F304" s="143"/>
      <c r="G304" s="445"/>
      <c r="H304" s="445"/>
      <c r="I304" s="445"/>
      <c r="J304" s="445"/>
      <c r="K304" s="445"/>
      <c r="L304" s="445"/>
      <c r="M304" s="445"/>
      <c r="N304" s="448"/>
      <c r="O304" s="445"/>
      <c r="P304" s="445"/>
      <c r="Q304" s="445"/>
      <c r="R304" s="447"/>
      <c r="S304" s="446"/>
      <c r="T304" s="446"/>
      <c r="U304" s="446"/>
      <c r="V304" s="446"/>
      <c r="W304" s="446"/>
      <c r="X304" s="446"/>
      <c r="Y304" s="446"/>
      <c r="Z304" s="446"/>
      <c r="AA304" s="448"/>
      <c r="AB304" s="1224"/>
      <c r="AC304" s="445"/>
      <c r="AD304" s="454"/>
      <c r="AE304" s="447"/>
      <c r="AF304" s="1223"/>
      <c r="AG304" s="1194" t="s">
        <v>319</v>
      </c>
      <c r="AH304" s="788" t="s">
        <v>350</v>
      </c>
      <c r="AI304" s="788" t="s">
        <v>350</v>
      </c>
      <c r="AJ304" s="792" t="s">
        <v>839</v>
      </c>
      <c r="AK304" s="788" t="s">
        <v>315</v>
      </c>
      <c r="AL304" s="788" t="s">
        <v>70</v>
      </c>
      <c r="AM304" s="788" t="s">
        <v>480</v>
      </c>
      <c r="AN304" s="791">
        <v>475275</v>
      </c>
      <c r="AO304" s="805">
        <v>255912</v>
      </c>
      <c r="AP304" s="805">
        <v>300846</v>
      </c>
      <c r="AQ304" s="786" t="s">
        <v>317</v>
      </c>
      <c r="AR304" s="786" t="s">
        <v>317</v>
      </c>
      <c r="AS304" s="786" t="s">
        <v>317</v>
      </c>
      <c r="AT304" s="786" t="s">
        <v>317</v>
      </c>
      <c r="AU304" s="787" t="s">
        <v>317</v>
      </c>
      <c r="AV304" s="787" t="s">
        <v>317</v>
      </c>
      <c r="AW304" s="787" t="s">
        <v>317</v>
      </c>
      <c r="AX304" s="783">
        <v>475275</v>
      </c>
      <c r="AY304" s="1249"/>
    </row>
    <row r="305" spans="1:51" ht="18.75" hidden="1" customHeight="1" x14ac:dyDescent="0.25">
      <c r="A305" s="1195"/>
      <c r="B305" s="833"/>
      <c r="C305" s="809"/>
      <c r="D305" s="132" t="s">
        <v>3</v>
      </c>
      <c r="E305" s="142"/>
      <c r="F305" s="143"/>
      <c r="G305" s="445"/>
      <c r="H305" s="445"/>
      <c r="I305" s="445"/>
      <c r="J305" s="445"/>
      <c r="K305" s="445"/>
      <c r="L305" s="445"/>
      <c r="M305" s="445"/>
      <c r="N305" s="448"/>
      <c r="O305" s="445"/>
      <c r="P305" s="445"/>
      <c r="Q305" s="445"/>
      <c r="R305" s="447"/>
      <c r="S305" s="446"/>
      <c r="T305" s="446"/>
      <c r="U305" s="446"/>
      <c r="V305" s="446"/>
      <c r="W305" s="446"/>
      <c r="X305" s="446"/>
      <c r="Y305" s="446"/>
      <c r="Z305" s="446"/>
      <c r="AA305" s="448"/>
      <c r="AB305" s="1224"/>
      <c r="AC305" s="445"/>
      <c r="AD305" s="454"/>
      <c r="AE305" s="447"/>
      <c r="AF305" s="1223"/>
      <c r="AG305" s="1195"/>
      <c r="AH305" s="789"/>
      <c r="AI305" s="789"/>
      <c r="AJ305" s="793"/>
      <c r="AK305" s="789"/>
      <c r="AL305" s="789"/>
      <c r="AM305" s="789"/>
      <c r="AN305" s="791"/>
      <c r="AO305" s="805"/>
      <c r="AP305" s="805"/>
      <c r="AQ305" s="786"/>
      <c r="AR305" s="786"/>
      <c r="AS305" s="786"/>
      <c r="AT305" s="786"/>
      <c r="AU305" s="787"/>
      <c r="AV305" s="787"/>
      <c r="AW305" s="787"/>
      <c r="AX305" s="784"/>
      <c r="AY305" s="1249"/>
    </row>
    <row r="306" spans="1:51" ht="27.75" hidden="1" customHeight="1" x14ac:dyDescent="0.25">
      <c r="A306" s="1195"/>
      <c r="B306" s="833"/>
      <c r="C306" s="809"/>
      <c r="D306" s="136" t="s">
        <v>42</v>
      </c>
      <c r="E306" s="142"/>
      <c r="F306" s="143"/>
      <c r="G306" s="445"/>
      <c r="H306" s="445"/>
      <c r="I306" s="445"/>
      <c r="J306" s="445"/>
      <c r="K306" s="445"/>
      <c r="L306" s="445"/>
      <c r="M306" s="445"/>
      <c r="N306" s="448"/>
      <c r="O306" s="445"/>
      <c r="P306" s="445"/>
      <c r="Q306" s="445"/>
      <c r="R306" s="447"/>
      <c r="S306" s="446"/>
      <c r="T306" s="446"/>
      <c r="U306" s="446"/>
      <c r="V306" s="446"/>
      <c r="W306" s="446"/>
      <c r="X306" s="446"/>
      <c r="Y306" s="446"/>
      <c r="Z306" s="446"/>
      <c r="AA306" s="448"/>
      <c r="AB306" s="1224"/>
      <c r="AC306" s="445"/>
      <c r="AD306" s="454"/>
      <c r="AE306" s="447"/>
      <c r="AF306" s="1223"/>
      <c r="AG306" s="1195"/>
      <c r="AH306" s="789"/>
      <c r="AI306" s="789"/>
      <c r="AJ306" s="793"/>
      <c r="AK306" s="789"/>
      <c r="AL306" s="789"/>
      <c r="AM306" s="789"/>
      <c r="AN306" s="791"/>
      <c r="AO306" s="805"/>
      <c r="AP306" s="805"/>
      <c r="AQ306" s="786"/>
      <c r="AR306" s="786"/>
      <c r="AS306" s="786"/>
      <c r="AT306" s="786"/>
      <c r="AU306" s="787"/>
      <c r="AV306" s="787"/>
      <c r="AW306" s="787"/>
      <c r="AX306" s="784"/>
      <c r="AY306" s="1249"/>
    </row>
    <row r="307" spans="1:51" ht="27.75" hidden="1" customHeight="1" x14ac:dyDescent="0.25">
      <c r="A307" s="1195"/>
      <c r="B307" s="833"/>
      <c r="C307" s="809"/>
      <c r="D307" s="132" t="s">
        <v>4</v>
      </c>
      <c r="E307" s="142"/>
      <c r="F307" s="143"/>
      <c r="G307" s="445"/>
      <c r="H307" s="445"/>
      <c r="I307" s="445"/>
      <c r="J307" s="445"/>
      <c r="K307" s="445"/>
      <c r="L307" s="445"/>
      <c r="M307" s="445"/>
      <c r="N307" s="448"/>
      <c r="O307" s="445"/>
      <c r="P307" s="445"/>
      <c r="Q307" s="445"/>
      <c r="R307" s="447"/>
      <c r="S307" s="446"/>
      <c r="T307" s="446"/>
      <c r="U307" s="446"/>
      <c r="V307" s="446"/>
      <c r="W307" s="446"/>
      <c r="X307" s="446"/>
      <c r="Y307" s="446"/>
      <c r="Z307" s="446"/>
      <c r="AA307" s="448"/>
      <c r="AB307" s="1224"/>
      <c r="AC307" s="445"/>
      <c r="AD307" s="454"/>
      <c r="AE307" s="447"/>
      <c r="AF307" s="1223"/>
      <c r="AG307" s="1195"/>
      <c r="AH307" s="789"/>
      <c r="AI307" s="789"/>
      <c r="AJ307" s="793"/>
      <c r="AK307" s="789"/>
      <c r="AL307" s="789"/>
      <c r="AM307" s="789"/>
      <c r="AN307" s="791"/>
      <c r="AO307" s="805"/>
      <c r="AP307" s="805"/>
      <c r="AQ307" s="786"/>
      <c r="AR307" s="786"/>
      <c r="AS307" s="786"/>
      <c r="AT307" s="786"/>
      <c r="AU307" s="787"/>
      <c r="AV307" s="787"/>
      <c r="AW307" s="787"/>
      <c r="AX307" s="784"/>
      <c r="AY307" s="1249"/>
    </row>
    <row r="308" spans="1:51" ht="27.75" hidden="1" customHeight="1" x14ac:dyDescent="0.25">
      <c r="A308" s="1195"/>
      <c r="B308" s="833"/>
      <c r="C308" s="809"/>
      <c r="D308" s="136" t="s">
        <v>43</v>
      </c>
      <c r="E308" s="142"/>
      <c r="F308" s="143"/>
      <c r="G308" s="445"/>
      <c r="H308" s="445"/>
      <c r="I308" s="445"/>
      <c r="J308" s="445"/>
      <c r="K308" s="445"/>
      <c r="L308" s="445"/>
      <c r="M308" s="445"/>
      <c r="N308" s="448"/>
      <c r="O308" s="445"/>
      <c r="P308" s="445"/>
      <c r="Q308" s="445"/>
      <c r="R308" s="447"/>
      <c r="S308" s="446"/>
      <c r="T308" s="446"/>
      <c r="U308" s="446"/>
      <c r="V308" s="446"/>
      <c r="W308" s="446"/>
      <c r="X308" s="446"/>
      <c r="Y308" s="446"/>
      <c r="Z308" s="446"/>
      <c r="AA308" s="448"/>
      <c r="AB308" s="1224"/>
      <c r="AC308" s="445"/>
      <c r="AD308" s="454"/>
      <c r="AE308" s="447"/>
      <c r="AF308" s="1223"/>
      <c r="AG308" s="1195"/>
      <c r="AH308" s="789"/>
      <c r="AI308" s="789"/>
      <c r="AJ308" s="793"/>
      <c r="AK308" s="789"/>
      <c r="AL308" s="789"/>
      <c r="AM308" s="789"/>
      <c r="AN308" s="791"/>
      <c r="AO308" s="805"/>
      <c r="AP308" s="805"/>
      <c r="AQ308" s="786"/>
      <c r="AR308" s="786"/>
      <c r="AS308" s="786"/>
      <c r="AT308" s="786"/>
      <c r="AU308" s="787"/>
      <c r="AV308" s="787"/>
      <c r="AW308" s="787"/>
      <c r="AX308" s="784"/>
      <c r="AY308" s="1249"/>
    </row>
    <row r="309" spans="1:51" ht="27.75" hidden="1" customHeight="1" thickBot="1" x14ac:dyDescent="0.3">
      <c r="A309" s="1195"/>
      <c r="B309" s="833"/>
      <c r="C309" s="809"/>
      <c r="D309" s="140" t="s">
        <v>45</v>
      </c>
      <c r="E309" s="142"/>
      <c r="F309" s="143"/>
      <c r="G309" s="445"/>
      <c r="H309" s="445"/>
      <c r="I309" s="445"/>
      <c r="J309" s="445"/>
      <c r="K309" s="445"/>
      <c r="L309" s="445"/>
      <c r="M309" s="445"/>
      <c r="N309" s="448"/>
      <c r="O309" s="445"/>
      <c r="P309" s="445"/>
      <c r="Q309" s="445"/>
      <c r="R309" s="447"/>
      <c r="S309" s="446"/>
      <c r="T309" s="446"/>
      <c r="U309" s="446"/>
      <c r="V309" s="446"/>
      <c r="W309" s="446"/>
      <c r="X309" s="446"/>
      <c r="Y309" s="446"/>
      <c r="Z309" s="446"/>
      <c r="AA309" s="448"/>
      <c r="AB309" s="1224"/>
      <c r="AC309" s="445"/>
      <c r="AD309" s="454"/>
      <c r="AE309" s="447"/>
      <c r="AF309" s="1223"/>
      <c r="AG309" s="1196"/>
      <c r="AH309" s="790"/>
      <c r="AI309" s="790"/>
      <c r="AJ309" s="794"/>
      <c r="AK309" s="790"/>
      <c r="AL309" s="790"/>
      <c r="AM309" s="790"/>
      <c r="AN309" s="791"/>
      <c r="AO309" s="805"/>
      <c r="AP309" s="805"/>
      <c r="AQ309" s="786"/>
      <c r="AR309" s="786"/>
      <c r="AS309" s="786"/>
      <c r="AT309" s="786"/>
      <c r="AU309" s="787"/>
      <c r="AV309" s="787"/>
      <c r="AW309" s="787"/>
      <c r="AX309" s="785"/>
      <c r="AY309" s="1249"/>
    </row>
    <row r="310" spans="1:51" ht="19.350000000000001" customHeight="1" x14ac:dyDescent="0.25">
      <c r="A310" s="1195"/>
      <c r="B310" s="833"/>
      <c r="C310" s="809" t="s">
        <v>996</v>
      </c>
      <c r="D310" s="141" t="s">
        <v>41</v>
      </c>
      <c r="E310" s="142"/>
      <c r="F310" s="143"/>
      <c r="G310" s="445"/>
      <c r="H310" s="445"/>
      <c r="I310" s="445"/>
      <c r="J310" s="445"/>
      <c r="K310" s="445"/>
      <c r="L310" s="445"/>
      <c r="M310" s="445">
        <v>10</v>
      </c>
      <c r="N310" s="448">
        <v>10</v>
      </c>
      <c r="O310" s="445"/>
      <c r="P310" s="445"/>
      <c r="Q310" s="445">
        <v>22</v>
      </c>
      <c r="R310" s="447">
        <v>22</v>
      </c>
      <c r="S310" s="446"/>
      <c r="T310" s="446"/>
      <c r="U310" s="446"/>
      <c r="V310" s="446"/>
      <c r="W310" s="446"/>
      <c r="X310" s="446"/>
      <c r="Y310" s="446"/>
      <c r="Z310" s="446"/>
      <c r="AA310" s="448"/>
      <c r="AB310" s="445"/>
      <c r="AC310" s="445"/>
      <c r="AD310" s="445">
        <v>22</v>
      </c>
      <c r="AE310" s="447">
        <v>22</v>
      </c>
      <c r="AF310" s="1217" t="s">
        <v>1278</v>
      </c>
      <c r="AG310" s="1194" t="s">
        <v>345</v>
      </c>
      <c r="AH310" s="788" t="s">
        <v>1017</v>
      </c>
      <c r="AI310" s="788" t="s">
        <v>1018</v>
      </c>
      <c r="AJ310" s="792" t="s">
        <v>839</v>
      </c>
      <c r="AK310" s="788" t="s">
        <v>315</v>
      </c>
      <c r="AL310" s="788" t="s">
        <v>1142</v>
      </c>
      <c r="AM310" s="788" t="s">
        <v>480</v>
      </c>
      <c r="AN310" s="791">
        <v>406574</v>
      </c>
      <c r="AO310" s="805">
        <v>196557</v>
      </c>
      <c r="AP310" s="805">
        <v>210017</v>
      </c>
      <c r="AQ310" s="786" t="s">
        <v>317</v>
      </c>
      <c r="AR310" s="786" t="s">
        <v>317</v>
      </c>
      <c r="AS310" s="786" t="s">
        <v>317</v>
      </c>
      <c r="AT310" s="786" t="s">
        <v>317</v>
      </c>
      <c r="AU310" s="787" t="s">
        <v>317</v>
      </c>
      <c r="AV310" s="787" t="s">
        <v>317</v>
      </c>
      <c r="AW310" s="787" t="s">
        <v>317</v>
      </c>
      <c r="AX310" s="783">
        <v>406574</v>
      </c>
      <c r="AY310" s="1249"/>
    </row>
    <row r="311" spans="1:51" ht="18.75" customHeight="1" x14ac:dyDescent="0.25">
      <c r="A311" s="1195"/>
      <c r="B311" s="833"/>
      <c r="C311" s="809"/>
      <c r="D311" s="132" t="s">
        <v>3</v>
      </c>
      <c r="E311" s="142"/>
      <c r="F311" s="143"/>
      <c r="G311" s="445"/>
      <c r="H311" s="445"/>
      <c r="I311" s="445"/>
      <c r="J311" s="445"/>
      <c r="K311" s="445"/>
      <c r="L311" s="445"/>
      <c r="M311" s="445">
        <f>+M310*$M$299/$M$298</f>
        <v>77714.28571428571</v>
      </c>
      <c r="N311" s="445">
        <f>+N310*$N$299/$N$298</f>
        <v>85485.71428571429</v>
      </c>
      <c r="O311" s="445"/>
      <c r="P311" s="445"/>
      <c r="Q311" s="445">
        <f>+Q310*$Q$299/$Q$298</f>
        <v>188068.57142857142</v>
      </c>
      <c r="R311" s="445">
        <f>+R310*$R$299/$R$298</f>
        <v>185943.50282485876</v>
      </c>
      <c r="S311" s="446"/>
      <c r="T311" s="446"/>
      <c r="U311" s="446"/>
      <c r="V311" s="446"/>
      <c r="W311" s="446"/>
      <c r="X311" s="446"/>
      <c r="Y311" s="446"/>
      <c r="Z311" s="445"/>
      <c r="AA311" s="445"/>
      <c r="AB311" s="445"/>
      <c r="AC311" s="445"/>
      <c r="AD311" s="445">
        <f>+AD310*$AD$299/$AD$298</f>
        <v>184577.42134484884</v>
      </c>
      <c r="AE311" s="445">
        <f>+AE310*$AE$299/$AE$298</f>
        <v>185943.50282485876</v>
      </c>
      <c r="AF311" s="1217"/>
      <c r="AG311" s="1195"/>
      <c r="AH311" s="789"/>
      <c r="AI311" s="789"/>
      <c r="AJ311" s="793"/>
      <c r="AK311" s="789"/>
      <c r="AL311" s="789"/>
      <c r="AM311" s="789"/>
      <c r="AN311" s="791"/>
      <c r="AO311" s="805"/>
      <c r="AP311" s="805"/>
      <c r="AQ311" s="786"/>
      <c r="AR311" s="786"/>
      <c r="AS311" s="786"/>
      <c r="AT311" s="786"/>
      <c r="AU311" s="787"/>
      <c r="AV311" s="787"/>
      <c r="AW311" s="787"/>
      <c r="AX311" s="784"/>
      <c r="AY311" s="1249"/>
    </row>
    <row r="312" spans="1:51" ht="27.75" customHeight="1" x14ac:dyDescent="0.25">
      <c r="A312" s="1195"/>
      <c r="B312" s="833"/>
      <c r="C312" s="809"/>
      <c r="D312" s="136" t="s">
        <v>42</v>
      </c>
      <c r="E312" s="142"/>
      <c r="F312" s="143"/>
      <c r="G312" s="445"/>
      <c r="H312" s="445"/>
      <c r="I312" s="445"/>
      <c r="J312" s="445"/>
      <c r="K312" s="445"/>
      <c r="L312" s="445"/>
      <c r="M312" s="445"/>
      <c r="N312" s="448"/>
      <c r="O312" s="445"/>
      <c r="P312" s="445"/>
      <c r="Q312" s="445"/>
      <c r="R312" s="447"/>
      <c r="S312" s="446"/>
      <c r="T312" s="446"/>
      <c r="U312" s="446"/>
      <c r="V312" s="446"/>
      <c r="W312" s="446"/>
      <c r="X312" s="446"/>
      <c r="Y312" s="446"/>
      <c r="Z312" s="446"/>
      <c r="AA312" s="448"/>
      <c r="AB312" s="445"/>
      <c r="AC312" s="445"/>
      <c r="AD312" s="445"/>
      <c r="AE312" s="447"/>
      <c r="AF312" s="1217"/>
      <c r="AG312" s="1195"/>
      <c r="AH312" s="789"/>
      <c r="AI312" s="789"/>
      <c r="AJ312" s="793"/>
      <c r="AK312" s="789"/>
      <c r="AL312" s="789"/>
      <c r="AM312" s="789"/>
      <c r="AN312" s="791"/>
      <c r="AO312" s="805"/>
      <c r="AP312" s="805"/>
      <c r="AQ312" s="786"/>
      <c r="AR312" s="786"/>
      <c r="AS312" s="786"/>
      <c r="AT312" s="786"/>
      <c r="AU312" s="787"/>
      <c r="AV312" s="787"/>
      <c r="AW312" s="787"/>
      <c r="AX312" s="784"/>
      <c r="AY312" s="1249"/>
    </row>
    <row r="313" spans="1:51" ht="27.75" customHeight="1" x14ac:dyDescent="0.25">
      <c r="A313" s="1195"/>
      <c r="B313" s="833"/>
      <c r="C313" s="809"/>
      <c r="D313" s="132" t="s">
        <v>4</v>
      </c>
      <c r="E313" s="142"/>
      <c r="F313" s="143"/>
      <c r="G313" s="445"/>
      <c r="H313" s="445"/>
      <c r="I313" s="445"/>
      <c r="J313" s="445"/>
      <c r="K313" s="445"/>
      <c r="L313" s="445"/>
      <c r="M313" s="445"/>
      <c r="N313" s="448"/>
      <c r="O313" s="445"/>
      <c r="P313" s="445"/>
      <c r="Q313" s="445"/>
      <c r="R313" s="447"/>
      <c r="S313" s="446"/>
      <c r="T313" s="446"/>
      <c r="U313" s="446"/>
      <c r="V313" s="446"/>
      <c r="W313" s="446"/>
      <c r="X313" s="446"/>
      <c r="Y313" s="446"/>
      <c r="Z313" s="446"/>
      <c r="AA313" s="448"/>
      <c r="AB313" s="445"/>
      <c r="AC313" s="445"/>
      <c r="AD313" s="445"/>
      <c r="AE313" s="447"/>
      <c r="AF313" s="1217"/>
      <c r="AG313" s="1195"/>
      <c r="AH313" s="789"/>
      <c r="AI313" s="789"/>
      <c r="AJ313" s="793"/>
      <c r="AK313" s="789"/>
      <c r="AL313" s="789"/>
      <c r="AM313" s="789"/>
      <c r="AN313" s="791"/>
      <c r="AO313" s="805"/>
      <c r="AP313" s="805"/>
      <c r="AQ313" s="786"/>
      <c r="AR313" s="786"/>
      <c r="AS313" s="786"/>
      <c r="AT313" s="786"/>
      <c r="AU313" s="787"/>
      <c r="AV313" s="787"/>
      <c r="AW313" s="787"/>
      <c r="AX313" s="784"/>
      <c r="AY313" s="1249"/>
    </row>
    <row r="314" spans="1:51" ht="27.75" customHeight="1" x14ac:dyDescent="0.25">
      <c r="A314" s="1195"/>
      <c r="B314" s="833"/>
      <c r="C314" s="809"/>
      <c r="D314" s="136" t="s">
        <v>43</v>
      </c>
      <c r="E314" s="142"/>
      <c r="F314" s="143"/>
      <c r="G314" s="445"/>
      <c r="H314" s="445"/>
      <c r="I314" s="445"/>
      <c r="J314" s="445"/>
      <c r="K314" s="445"/>
      <c r="L314" s="445"/>
      <c r="M314" s="445">
        <v>10</v>
      </c>
      <c r="N314" s="448">
        <v>10</v>
      </c>
      <c r="O314" s="445"/>
      <c r="P314" s="445"/>
      <c r="Q314" s="445">
        <v>22</v>
      </c>
      <c r="R314" s="447">
        <v>22</v>
      </c>
      <c r="S314" s="446"/>
      <c r="T314" s="446"/>
      <c r="U314" s="446"/>
      <c r="V314" s="446"/>
      <c r="W314" s="446"/>
      <c r="X314" s="446"/>
      <c r="Y314" s="446"/>
      <c r="Z314" s="446"/>
      <c r="AA314" s="448"/>
      <c r="AB314" s="445"/>
      <c r="AC314" s="445"/>
      <c r="AD314" s="445">
        <v>22</v>
      </c>
      <c r="AE314" s="447">
        <v>22</v>
      </c>
      <c r="AF314" s="1217"/>
      <c r="AG314" s="1195"/>
      <c r="AH314" s="789"/>
      <c r="AI314" s="789"/>
      <c r="AJ314" s="793"/>
      <c r="AK314" s="789"/>
      <c r="AL314" s="789"/>
      <c r="AM314" s="789"/>
      <c r="AN314" s="791"/>
      <c r="AO314" s="805"/>
      <c r="AP314" s="805"/>
      <c r="AQ314" s="786"/>
      <c r="AR314" s="786"/>
      <c r="AS314" s="786"/>
      <c r="AT314" s="786"/>
      <c r="AU314" s="787"/>
      <c r="AV314" s="787"/>
      <c r="AW314" s="787"/>
      <c r="AX314" s="784"/>
      <c r="AY314" s="1249"/>
    </row>
    <row r="315" spans="1:51" ht="27.75" customHeight="1" thickBot="1" x14ac:dyDescent="0.3">
      <c r="A315" s="1195"/>
      <c r="B315" s="833"/>
      <c r="C315" s="809"/>
      <c r="D315" s="140" t="s">
        <v>45</v>
      </c>
      <c r="E315" s="142"/>
      <c r="F315" s="143"/>
      <c r="G315" s="445"/>
      <c r="H315" s="445"/>
      <c r="I315" s="445"/>
      <c r="J315" s="445"/>
      <c r="K315" s="445"/>
      <c r="L315" s="445"/>
      <c r="M315" s="445">
        <f>+M314*$M$299/$M$298</f>
        <v>77714.28571428571</v>
      </c>
      <c r="N315" s="445">
        <f>+N314*$N$299/$N$298</f>
        <v>85485.71428571429</v>
      </c>
      <c r="O315" s="445"/>
      <c r="P315" s="445"/>
      <c r="Q315" s="445">
        <f>+Q314*$Q$299/$Q$298</f>
        <v>188068.57142857142</v>
      </c>
      <c r="R315" s="445">
        <f>+R314*$R$299/$R$298</f>
        <v>185943.50282485876</v>
      </c>
      <c r="S315" s="446"/>
      <c r="T315" s="446"/>
      <c r="U315" s="446"/>
      <c r="V315" s="446"/>
      <c r="W315" s="446"/>
      <c r="X315" s="446"/>
      <c r="Y315" s="446"/>
      <c r="Z315" s="445"/>
      <c r="AA315" s="445"/>
      <c r="AB315" s="445"/>
      <c r="AC315" s="445"/>
      <c r="AD315" s="445">
        <f>+AD314*$AD$299/$AD$298</f>
        <v>184577.42134484884</v>
      </c>
      <c r="AE315" s="445">
        <f>+AE314*$AE$299/$AE$298</f>
        <v>185943.50282485876</v>
      </c>
      <c r="AF315" s="1222"/>
      <c r="AG315" s="1196"/>
      <c r="AH315" s="790"/>
      <c r="AI315" s="790"/>
      <c r="AJ315" s="794"/>
      <c r="AK315" s="790"/>
      <c r="AL315" s="790"/>
      <c r="AM315" s="790"/>
      <c r="AN315" s="791"/>
      <c r="AO315" s="805"/>
      <c r="AP315" s="805"/>
      <c r="AQ315" s="786"/>
      <c r="AR315" s="786"/>
      <c r="AS315" s="786"/>
      <c r="AT315" s="786"/>
      <c r="AU315" s="787"/>
      <c r="AV315" s="787"/>
      <c r="AW315" s="787"/>
      <c r="AX315" s="785"/>
      <c r="AY315" s="1249"/>
    </row>
    <row r="316" spans="1:51" ht="19.350000000000001" customHeight="1" x14ac:dyDescent="0.25">
      <c r="A316" s="1195"/>
      <c r="B316" s="833"/>
      <c r="C316" s="809" t="s">
        <v>1320</v>
      </c>
      <c r="D316" s="141" t="s">
        <v>41</v>
      </c>
      <c r="E316" s="142"/>
      <c r="F316" s="143"/>
      <c r="G316" s="445"/>
      <c r="H316" s="445"/>
      <c r="I316" s="445"/>
      <c r="J316" s="445"/>
      <c r="K316" s="445"/>
      <c r="L316" s="445"/>
      <c r="M316" s="445">
        <v>10</v>
      </c>
      <c r="N316" s="448">
        <v>10</v>
      </c>
      <c r="O316" s="445">
        <v>10</v>
      </c>
      <c r="P316" s="445">
        <v>10</v>
      </c>
      <c r="Q316" s="445">
        <v>10</v>
      </c>
      <c r="R316" s="447">
        <v>10</v>
      </c>
      <c r="S316" s="446"/>
      <c r="T316" s="446"/>
      <c r="U316" s="446"/>
      <c r="V316" s="446"/>
      <c r="W316" s="446"/>
      <c r="X316" s="446"/>
      <c r="Y316" s="446"/>
      <c r="Z316" s="446">
        <v>10</v>
      </c>
      <c r="AA316" s="448">
        <v>10</v>
      </c>
      <c r="AB316" s="445">
        <v>10</v>
      </c>
      <c r="AC316" s="445">
        <v>10</v>
      </c>
      <c r="AD316" s="445">
        <v>10</v>
      </c>
      <c r="AE316" s="447">
        <v>10</v>
      </c>
      <c r="AF316" s="1217" t="s">
        <v>893</v>
      </c>
      <c r="AG316" s="1194" t="s">
        <v>345</v>
      </c>
      <c r="AH316" s="788" t="s">
        <v>837</v>
      </c>
      <c r="AI316" s="788" t="s">
        <v>838</v>
      </c>
      <c r="AJ316" s="792" t="s">
        <v>839</v>
      </c>
      <c r="AK316" s="788" t="s">
        <v>315</v>
      </c>
      <c r="AL316" s="788" t="s">
        <v>1143</v>
      </c>
      <c r="AM316" s="788" t="s">
        <v>480</v>
      </c>
      <c r="AN316" s="791">
        <v>406574</v>
      </c>
      <c r="AO316" s="805">
        <v>196557</v>
      </c>
      <c r="AP316" s="805">
        <v>210017</v>
      </c>
      <c r="AQ316" s="786" t="s">
        <v>317</v>
      </c>
      <c r="AR316" s="786" t="s">
        <v>317</v>
      </c>
      <c r="AS316" s="786" t="s">
        <v>317</v>
      </c>
      <c r="AT316" s="786" t="s">
        <v>317</v>
      </c>
      <c r="AU316" s="787" t="s">
        <v>317</v>
      </c>
      <c r="AV316" s="787" t="s">
        <v>317</v>
      </c>
      <c r="AW316" s="787" t="s">
        <v>317</v>
      </c>
      <c r="AX316" s="783">
        <v>406574</v>
      </c>
      <c r="AY316" s="1249"/>
    </row>
    <row r="317" spans="1:51" ht="18.75" customHeight="1" x14ac:dyDescent="0.25">
      <c r="A317" s="1195"/>
      <c r="B317" s="833"/>
      <c r="C317" s="809"/>
      <c r="D317" s="132" t="s">
        <v>3</v>
      </c>
      <c r="E317" s="142"/>
      <c r="F317" s="143"/>
      <c r="G317" s="445"/>
      <c r="H317" s="445"/>
      <c r="I317" s="445"/>
      <c r="J317" s="445"/>
      <c r="K317" s="445"/>
      <c r="L317" s="445"/>
      <c r="M317" s="445">
        <f>+M316*$M$299/$M$298</f>
        <v>77714.28571428571</v>
      </c>
      <c r="N317" s="445">
        <f>+N316*$N$299/$N$298</f>
        <v>85485.71428571429</v>
      </c>
      <c r="O317" s="445">
        <f>+O316*$O$299/$O$298</f>
        <v>85485.71428571429</v>
      </c>
      <c r="P317" s="445">
        <f>+P316*$P$299/$P$298</f>
        <v>85485.71428571429</v>
      </c>
      <c r="Q317" s="445">
        <f>+Q316*$Q$299/$Q$298</f>
        <v>85485.71428571429</v>
      </c>
      <c r="R317" s="445">
        <f>+R316*$R$299/$R$298</f>
        <v>84519.774011299436</v>
      </c>
      <c r="S317" s="446"/>
      <c r="T317" s="446"/>
      <c r="U317" s="446"/>
      <c r="V317" s="446"/>
      <c r="W317" s="446"/>
      <c r="X317" s="446"/>
      <c r="Y317" s="446"/>
      <c r="Z317" s="445">
        <f>+Z316*$Z$299/$Z$298</f>
        <v>132489.04042864102</v>
      </c>
      <c r="AA317" s="445">
        <f>+AA316*$AA$299/$AA$298</f>
        <v>115059.22165820643</v>
      </c>
      <c r="AB317" s="445">
        <f>+AB316*$AB$299/$AB$298</f>
        <v>102294.09552463332</v>
      </c>
      <c r="AC317" s="445">
        <f>+AC316*$AC$299/$AC$298</f>
        <v>92172.145035581154</v>
      </c>
      <c r="AD317" s="445">
        <f>+AD316*$AD$299/$AD$298</f>
        <v>83898.827884022205</v>
      </c>
      <c r="AE317" s="445">
        <f>+AE316*$AE$299/$AE$298</f>
        <v>84519.774011299436</v>
      </c>
      <c r="AF317" s="1217"/>
      <c r="AG317" s="1195"/>
      <c r="AH317" s="789"/>
      <c r="AI317" s="789"/>
      <c r="AJ317" s="793"/>
      <c r="AK317" s="789"/>
      <c r="AL317" s="789"/>
      <c r="AM317" s="789"/>
      <c r="AN317" s="791"/>
      <c r="AO317" s="805"/>
      <c r="AP317" s="805"/>
      <c r="AQ317" s="786"/>
      <c r="AR317" s="786"/>
      <c r="AS317" s="786"/>
      <c r="AT317" s="786"/>
      <c r="AU317" s="787"/>
      <c r="AV317" s="787"/>
      <c r="AW317" s="787"/>
      <c r="AX317" s="784"/>
      <c r="AY317" s="1249"/>
    </row>
    <row r="318" spans="1:51" ht="27.75" customHeight="1" x14ac:dyDescent="0.25">
      <c r="A318" s="1195"/>
      <c r="B318" s="833"/>
      <c r="C318" s="809"/>
      <c r="D318" s="136" t="s">
        <v>42</v>
      </c>
      <c r="E318" s="142"/>
      <c r="F318" s="143"/>
      <c r="G318" s="445"/>
      <c r="H318" s="445"/>
      <c r="I318" s="445"/>
      <c r="J318" s="445"/>
      <c r="K318" s="445"/>
      <c r="L318" s="445"/>
      <c r="M318" s="445"/>
      <c r="N318" s="448"/>
      <c r="O318" s="445"/>
      <c r="P318" s="445"/>
      <c r="Q318" s="445"/>
      <c r="R318" s="447"/>
      <c r="S318" s="446"/>
      <c r="T318" s="446"/>
      <c r="U318" s="446"/>
      <c r="V318" s="446"/>
      <c r="W318" s="446"/>
      <c r="X318" s="446"/>
      <c r="Y318" s="446"/>
      <c r="Z318" s="446"/>
      <c r="AA318" s="448"/>
      <c r="AB318" s="445"/>
      <c r="AC318" s="445"/>
      <c r="AD318" s="445"/>
      <c r="AE318" s="447"/>
      <c r="AF318" s="1217"/>
      <c r="AG318" s="1195"/>
      <c r="AH318" s="789"/>
      <c r="AI318" s="789"/>
      <c r="AJ318" s="793"/>
      <c r="AK318" s="789"/>
      <c r="AL318" s="789"/>
      <c r="AM318" s="789"/>
      <c r="AN318" s="791"/>
      <c r="AO318" s="805"/>
      <c r="AP318" s="805"/>
      <c r="AQ318" s="786"/>
      <c r="AR318" s="786"/>
      <c r="AS318" s="786"/>
      <c r="AT318" s="786"/>
      <c r="AU318" s="787"/>
      <c r="AV318" s="787"/>
      <c r="AW318" s="787"/>
      <c r="AX318" s="784"/>
      <c r="AY318" s="1249"/>
    </row>
    <row r="319" spans="1:51" ht="27.75" customHeight="1" x14ac:dyDescent="0.25">
      <c r="A319" s="1195"/>
      <c r="B319" s="833"/>
      <c r="C319" s="809"/>
      <c r="D319" s="132" t="s">
        <v>4</v>
      </c>
      <c r="E319" s="142"/>
      <c r="F319" s="143"/>
      <c r="G319" s="445"/>
      <c r="H319" s="445"/>
      <c r="I319" s="445"/>
      <c r="J319" s="445"/>
      <c r="K319" s="445"/>
      <c r="L319" s="445"/>
      <c r="M319" s="445"/>
      <c r="N319" s="448"/>
      <c r="O319" s="445"/>
      <c r="P319" s="445"/>
      <c r="Q319" s="445"/>
      <c r="R319" s="447"/>
      <c r="S319" s="446"/>
      <c r="T319" s="446"/>
      <c r="U319" s="446"/>
      <c r="V319" s="446"/>
      <c r="W319" s="446"/>
      <c r="X319" s="446"/>
      <c r="Y319" s="446"/>
      <c r="Z319" s="446"/>
      <c r="AA319" s="448"/>
      <c r="AB319" s="445"/>
      <c r="AC319" s="445"/>
      <c r="AD319" s="445"/>
      <c r="AE319" s="447"/>
      <c r="AF319" s="1217"/>
      <c r="AG319" s="1195"/>
      <c r="AH319" s="789"/>
      <c r="AI319" s="789"/>
      <c r="AJ319" s="793"/>
      <c r="AK319" s="789"/>
      <c r="AL319" s="789"/>
      <c r="AM319" s="789"/>
      <c r="AN319" s="791"/>
      <c r="AO319" s="805"/>
      <c r="AP319" s="805"/>
      <c r="AQ319" s="786"/>
      <c r="AR319" s="786"/>
      <c r="AS319" s="786"/>
      <c r="AT319" s="786"/>
      <c r="AU319" s="787"/>
      <c r="AV319" s="787"/>
      <c r="AW319" s="787"/>
      <c r="AX319" s="784"/>
      <c r="AY319" s="1249"/>
    </row>
    <row r="320" spans="1:51" ht="27.75" customHeight="1" x14ac:dyDescent="0.25">
      <c r="A320" s="1195"/>
      <c r="B320" s="833"/>
      <c r="C320" s="809"/>
      <c r="D320" s="136" t="s">
        <v>43</v>
      </c>
      <c r="E320" s="142"/>
      <c r="F320" s="143"/>
      <c r="G320" s="445"/>
      <c r="H320" s="445"/>
      <c r="I320" s="445"/>
      <c r="J320" s="445"/>
      <c r="K320" s="445"/>
      <c r="L320" s="445"/>
      <c r="M320" s="445">
        <v>10</v>
      </c>
      <c r="N320" s="448">
        <v>10</v>
      </c>
      <c r="O320" s="445">
        <v>10</v>
      </c>
      <c r="P320" s="445">
        <v>10</v>
      </c>
      <c r="Q320" s="445">
        <v>10</v>
      </c>
      <c r="R320" s="447">
        <v>10</v>
      </c>
      <c r="S320" s="446"/>
      <c r="T320" s="446"/>
      <c r="U320" s="446"/>
      <c r="V320" s="446"/>
      <c r="W320" s="446"/>
      <c r="X320" s="446"/>
      <c r="Y320" s="446"/>
      <c r="Z320" s="446">
        <v>10</v>
      </c>
      <c r="AA320" s="448">
        <v>10</v>
      </c>
      <c r="AB320" s="445">
        <v>10</v>
      </c>
      <c r="AC320" s="445">
        <v>10</v>
      </c>
      <c r="AD320" s="445">
        <v>10</v>
      </c>
      <c r="AE320" s="447">
        <v>10</v>
      </c>
      <c r="AF320" s="1217"/>
      <c r="AG320" s="1195"/>
      <c r="AH320" s="789"/>
      <c r="AI320" s="789"/>
      <c r="AJ320" s="793"/>
      <c r="AK320" s="789"/>
      <c r="AL320" s="789"/>
      <c r="AM320" s="789"/>
      <c r="AN320" s="791"/>
      <c r="AO320" s="805"/>
      <c r="AP320" s="805"/>
      <c r="AQ320" s="786"/>
      <c r="AR320" s="786"/>
      <c r="AS320" s="786"/>
      <c r="AT320" s="786"/>
      <c r="AU320" s="787"/>
      <c r="AV320" s="787"/>
      <c r="AW320" s="787"/>
      <c r="AX320" s="784"/>
      <c r="AY320" s="1249"/>
    </row>
    <row r="321" spans="1:51" ht="27.75" customHeight="1" thickBot="1" x14ac:dyDescent="0.3">
      <c r="A321" s="1195"/>
      <c r="B321" s="833"/>
      <c r="C321" s="809"/>
      <c r="D321" s="140" t="s">
        <v>45</v>
      </c>
      <c r="E321" s="142"/>
      <c r="F321" s="143"/>
      <c r="G321" s="445"/>
      <c r="H321" s="445"/>
      <c r="I321" s="445"/>
      <c r="J321" s="445"/>
      <c r="K321" s="445"/>
      <c r="L321" s="445"/>
      <c r="M321" s="445">
        <f>+M320*$M$299/$M$298</f>
        <v>77714.28571428571</v>
      </c>
      <c r="N321" s="445">
        <f>+N320*$N$299/$N$298</f>
        <v>85485.71428571429</v>
      </c>
      <c r="O321" s="445">
        <f>+O320*$O$299/$O$298</f>
        <v>85485.71428571429</v>
      </c>
      <c r="P321" s="445">
        <f>+P320*$P$299/$P$298</f>
        <v>85485.71428571429</v>
      </c>
      <c r="Q321" s="445">
        <f>+Q320*$Q$299/$Q$298</f>
        <v>85485.71428571429</v>
      </c>
      <c r="R321" s="445">
        <f>+R320*$R$299/$R$298</f>
        <v>84519.774011299436</v>
      </c>
      <c r="S321" s="446"/>
      <c r="T321" s="446"/>
      <c r="U321" s="446"/>
      <c r="V321" s="446"/>
      <c r="W321" s="446"/>
      <c r="X321" s="446"/>
      <c r="Y321" s="446"/>
      <c r="Z321" s="445">
        <f>+Z320*$Z$299/$Z$298</f>
        <v>132489.04042864102</v>
      </c>
      <c r="AA321" s="445">
        <f>+AA320*$AA$299/$AA$298</f>
        <v>115059.22165820643</v>
      </c>
      <c r="AB321" s="445">
        <f>+AB320*$AB$299/$AB$298</f>
        <v>102294.09552463332</v>
      </c>
      <c r="AC321" s="445">
        <f>+AC320*$AC$299/$AC$298</f>
        <v>92172.145035581154</v>
      </c>
      <c r="AD321" s="445">
        <f>+AD320*$AD$299/$AD$298</f>
        <v>83898.827884022205</v>
      </c>
      <c r="AE321" s="445">
        <f>+AE320*$AE$299/$AE$298</f>
        <v>84519.774011299436</v>
      </c>
      <c r="AF321" s="1222"/>
      <c r="AG321" s="1196"/>
      <c r="AH321" s="790"/>
      <c r="AI321" s="790"/>
      <c r="AJ321" s="794"/>
      <c r="AK321" s="790"/>
      <c r="AL321" s="790"/>
      <c r="AM321" s="790"/>
      <c r="AN321" s="791"/>
      <c r="AO321" s="805"/>
      <c r="AP321" s="805"/>
      <c r="AQ321" s="786"/>
      <c r="AR321" s="786"/>
      <c r="AS321" s="786"/>
      <c r="AT321" s="786"/>
      <c r="AU321" s="787"/>
      <c r="AV321" s="787"/>
      <c r="AW321" s="787"/>
      <c r="AX321" s="785"/>
      <c r="AY321" s="1249"/>
    </row>
    <row r="322" spans="1:51" ht="19.350000000000001" customHeight="1" x14ac:dyDescent="0.25">
      <c r="A322" s="1195"/>
      <c r="B322" s="833"/>
      <c r="C322" s="809" t="s">
        <v>840</v>
      </c>
      <c r="D322" s="141" t="s">
        <v>41</v>
      </c>
      <c r="E322" s="142"/>
      <c r="F322" s="143"/>
      <c r="G322" s="445"/>
      <c r="H322" s="445"/>
      <c r="I322" s="445"/>
      <c r="J322" s="445"/>
      <c r="K322" s="445"/>
      <c r="L322" s="445"/>
      <c r="M322" s="445">
        <v>117</v>
      </c>
      <c r="N322" s="448">
        <v>117</v>
      </c>
      <c r="O322" s="445">
        <v>117</v>
      </c>
      <c r="P322" s="445">
        <v>117</v>
      </c>
      <c r="Q322" s="445">
        <v>117</v>
      </c>
      <c r="R322" s="447">
        <v>117</v>
      </c>
      <c r="S322" s="446"/>
      <c r="T322" s="446"/>
      <c r="U322" s="446"/>
      <c r="V322" s="446"/>
      <c r="W322" s="446"/>
      <c r="X322" s="446"/>
      <c r="Y322" s="446"/>
      <c r="Z322" s="446">
        <v>117</v>
      </c>
      <c r="AA322" s="448">
        <v>117</v>
      </c>
      <c r="AB322" s="445">
        <v>117</v>
      </c>
      <c r="AC322" s="445">
        <v>117</v>
      </c>
      <c r="AD322" s="445">
        <v>117</v>
      </c>
      <c r="AE322" s="447">
        <v>117</v>
      </c>
      <c r="AF322" s="1217" t="s">
        <v>894</v>
      </c>
      <c r="AG322" s="1194" t="s">
        <v>345</v>
      </c>
      <c r="AH322" s="788" t="s">
        <v>837</v>
      </c>
      <c r="AI322" s="788" t="s">
        <v>838</v>
      </c>
      <c r="AJ322" s="792" t="s">
        <v>839</v>
      </c>
      <c r="AK322" s="788" t="s">
        <v>315</v>
      </c>
      <c r="AL322" s="788" t="s">
        <v>1144</v>
      </c>
      <c r="AM322" s="788" t="s">
        <v>480</v>
      </c>
      <c r="AN322" s="791">
        <v>406574</v>
      </c>
      <c r="AO322" s="805">
        <v>196557</v>
      </c>
      <c r="AP322" s="805">
        <v>210017</v>
      </c>
      <c r="AQ322" s="786" t="s">
        <v>317</v>
      </c>
      <c r="AR322" s="786" t="s">
        <v>317</v>
      </c>
      <c r="AS322" s="786" t="s">
        <v>317</v>
      </c>
      <c r="AT322" s="786" t="s">
        <v>317</v>
      </c>
      <c r="AU322" s="787" t="s">
        <v>317</v>
      </c>
      <c r="AV322" s="787" t="s">
        <v>317</v>
      </c>
      <c r="AW322" s="787" t="s">
        <v>317</v>
      </c>
      <c r="AX322" s="783">
        <v>406574</v>
      </c>
      <c r="AY322" s="1249"/>
    </row>
    <row r="323" spans="1:51" ht="18.75" customHeight="1" x14ac:dyDescent="0.25">
      <c r="A323" s="1195"/>
      <c r="B323" s="833"/>
      <c r="C323" s="809"/>
      <c r="D323" s="132" t="s">
        <v>3</v>
      </c>
      <c r="E323" s="142"/>
      <c r="F323" s="143"/>
      <c r="G323" s="445"/>
      <c r="H323" s="445"/>
      <c r="I323" s="445"/>
      <c r="J323" s="445"/>
      <c r="K323" s="445"/>
      <c r="L323" s="445"/>
      <c r="M323" s="445">
        <f>+M322*$M$299/$M$298</f>
        <v>909257.14285714284</v>
      </c>
      <c r="N323" s="445">
        <f>+N322*$N$299/$N$298</f>
        <v>1000182.8571428572</v>
      </c>
      <c r="O323" s="445">
        <f>+O322*$O$299/$O$298</f>
        <v>1000182.8571428572</v>
      </c>
      <c r="P323" s="445">
        <f>+P322*$P$299/$P$298</f>
        <v>1000182.8571428572</v>
      </c>
      <c r="Q323" s="445">
        <f>+Q322*$Q$299/$Q$298</f>
        <v>1000182.8571428572</v>
      </c>
      <c r="R323" s="445">
        <f>+R322*$R$299/$R$298</f>
        <v>988881.35593220335</v>
      </c>
      <c r="S323" s="446"/>
      <c r="T323" s="446"/>
      <c r="U323" s="446"/>
      <c r="V323" s="446"/>
      <c r="W323" s="446"/>
      <c r="X323" s="446"/>
      <c r="Y323" s="446"/>
      <c r="Z323" s="445">
        <f>+Z322*$Z$299/$Z$298</f>
        <v>1550121.7730150998</v>
      </c>
      <c r="AA323" s="445">
        <f>+AA322*$AA$299/$AA$298</f>
        <v>1346192.8934010153</v>
      </c>
      <c r="AB323" s="445">
        <f>+AB322*$AB$299/$AB$298</f>
        <v>1196840.9176382099</v>
      </c>
      <c r="AC323" s="445">
        <f>+AC322*$AC$299/$AC$298</f>
        <v>1078414.0969162995</v>
      </c>
      <c r="AD323" s="445">
        <f>+AD322*$AD$299/$AD$298</f>
        <v>981616.28624305979</v>
      </c>
      <c r="AE323" s="445">
        <f>+AE322*$AE$299/$AE$298</f>
        <v>988881.35593220335</v>
      </c>
      <c r="AF323" s="1217"/>
      <c r="AG323" s="1195"/>
      <c r="AH323" s="789"/>
      <c r="AI323" s="789"/>
      <c r="AJ323" s="793"/>
      <c r="AK323" s="789"/>
      <c r="AL323" s="789"/>
      <c r="AM323" s="789"/>
      <c r="AN323" s="791"/>
      <c r="AO323" s="805"/>
      <c r="AP323" s="805"/>
      <c r="AQ323" s="786"/>
      <c r="AR323" s="786"/>
      <c r="AS323" s="786"/>
      <c r="AT323" s="786"/>
      <c r="AU323" s="787"/>
      <c r="AV323" s="787"/>
      <c r="AW323" s="787"/>
      <c r="AX323" s="784"/>
      <c r="AY323" s="1249"/>
    </row>
    <row r="324" spans="1:51" ht="27.75" customHeight="1" x14ac:dyDescent="0.25">
      <c r="A324" s="1195"/>
      <c r="B324" s="833"/>
      <c r="C324" s="809"/>
      <c r="D324" s="136" t="s">
        <v>42</v>
      </c>
      <c r="E324" s="142"/>
      <c r="F324" s="143"/>
      <c r="G324" s="445"/>
      <c r="H324" s="445"/>
      <c r="I324" s="445"/>
      <c r="J324" s="445"/>
      <c r="K324" s="445"/>
      <c r="L324" s="445"/>
      <c r="M324" s="445"/>
      <c r="N324" s="448"/>
      <c r="O324" s="445"/>
      <c r="P324" s="445"/>
      <c r="Q324" s="445"/>
      <c r="R324" s="447"/>
      <c r="S324" s="446"/>
      <c r="T324" s="446"/>
      <c r="U324" s="446"/>
      <c r="V324" s="446"/>
      <c r="W324" s="446"/>
      <c r="X324" s="446"/>
      <c r="Y324" s="446"/>
      <c r="Z324" s="446"/>
      <c r="AA324" s="448"/>
      <c r="AB324" s="445"/>
      <c r="AC324" s="445"/>
      <c r="AD324" s="445"/>
      <c r="AE324" s="447"/>
      <c r="AF324" s="1217"/>
      <c r="AG324" s="1195"/>
      <c r="AH324" s="789"/>
      <c r="AI324" s="789"/>
      <c r="AJ324" s="793"/>
      <c r="AK324" s="789"/>
      <c r="AL324" s="789"/>
      <c r="AM324" s="789"/>
      <c r="AN324" s="791"/>
      <c r="AO324" s="805"/>
      <c r="AP324" s="805"/>
      <c r="AQ324" s="786"/>
      <c r="AR324" s="786"/>
      <c r="AS324" s="786"/>
      <c r="AT324" s="786"/>
      <c r="AU324" s="787"/>
      <c r="AV324" s="787"/>
      <c r="AW324" s="787"/>
      <c r="AX324" s="784"/>
      <c r="AY324" s="1249"/>
    </row>
    <row r="325" spans="1:51" ht="27.75" customHeight="1" x14ac:dyDescent="0.25">
      <c r="A325" s="1195"/>
      <c r="B325" s="833"/>
      <c r="C325" s="809"/>
      <c r="D325" s="132" t="s">
        <v>4</v>
      </c>
      <c r="E325" s="142"/>
      <c r="F325" s="143"/>
      <c r="G325" s="445"/>
      <c r="H325" s="445"/>
      <c r="I325" s="445"/>
      <c r="J325" s="445"/>
      <c r="K325" s="445"/>
      <c r="L325" s="445"/>
      <c r="M325" s="445"/>
      <c r="N325" s="448"/>
      <c r="O325" s="445"/>
      <c r="P325" s="445"/>
      <c r="Q325" s="445"/>
      <c r="R325" s="447"/>
      <c r="S325" s="446"/>
      <c r="T325" s="446"/>
      <c r="U325" s="446"/>
      <c r="V325" s="446"/>
      <c r="W325" s="446"/>
      <c r="X325" s="446"/>
      <c r="Y325" s="446"/>
      <c r="Z325" s="446"/>
      <c r="AA325" s="448"/>
      <c r="AB325" s="445"/>
      <c r="AC325" s="445"/>
      <c r="AD325" s="445"/>
      <c r="AE325" s="447"/>
      <c r="AF325" s="1217"/>
      <c r="AG325" s="1195"/>
      <c r="AH325" s="789"/>
      <c r="AI325" s="789"/>
      <c r="AJ325" s="793"/>
      <c r="AK325" s="789"/>
      <c r="AL325" s="789"/>
      <c r="AM325" s="789"/>
      <c r="AN325" s="791"/>
      <c r="AO325" s="805"/>
      <c r="AP325" s="805"/>
      <c r="AQ325" s="786"/>
      <c r="AR325" s="786"/>
      <c r="AS325" s="786"/>
      <c r="AT325" s="786"/>
      <c r="AU325" s="787"/>
      <c r="AV325" s="787"/>
      <c r="AW325" s="787"/>
      <c r="AX325" s="784"/>
      <c r="AY325" s="1249"/>
    </row>
    <row r="326" spans="1:51" ht="27.75" customHeight="1" x14ac:dyDescent="0.25">
      <c r="A326" s="1195"/>
      <c r="B326" s="833"/>
      <c r="C326" s="809"/>
      <c r="D326" s="136" t="s">
        <v>43</v>
      </c>
      <c r="E326" s="142"/>
      <c r="F326" s="143"/>
      <c r="G326" s="445"/>
      <c r="H326" s="445"/>
      <c r="I326" s="445"/>
      <c r="J326" s="445"/>
      <c r="K326" s="445"/>
      <c r="L326" s="445"/>
      <c r="M326" s="445">
        <v>117</v>
      </c>
      <c r="N326" s="448">
        <v>117</v>
      </c>
      <c r="O326" s="445">
        <v>117</v>
      </c>
      <c r="P326" s="445">
        <v>117</v>
      </c>
      <c r="Q326" s="445">
        <v>117</v>
      </c>
      <c r="R326" s="447">
        <v>117</v>
      </c>
      <c r="S326" s="446"/>
      <c r="T326" s="446"/>
      <c r="U326" s="446"/>
      <c r="V326" s="446"/>
      <c r="W326" s="446"/>
      <c r="X326" s="446"/>
      <c r="Y326" s="446"/>
      <c r="Z326" s="446">
        <v>117</v>
      </c>
      <c r="AA326" s="448">
        <v>117</v>
      </c>
      <c r="AB326" s="445">
        <v>117</v>
      </c>
      <c r="AC326" s="445">
        <v>117</v>
      </c>
      <c r="AD326" s="445">
        <v>117</v>
      </c>
      <c r="AE326" s="447">
        <v>117</v>
      </c>
      <c r="AF326" s="1217"/>
      <c r="AG326" s="1195"/>
      <c r="AH326" s="789"/>
      <c r="AI326" s="789"/>
      <c r="AJ326" s="793"/>
      <c r="AK326" s="789"/>
      <c r="AL326" s="789"/>
      <c r="AM326" s="789"/>
      <c r="AN326" s="791"/>
      <c r="AO326" s="805"/>
      <c r="AP326" s="805"/>
      <c r="AQ326" s="786"/>
      <c r="AR326" s="786"/>
      <c r="AS326" s="786"/>
      <c r="AT326" s="786"/>
      <c r="AU326" s="787"/>
      <c r="AV326" s="787"/>
      <c r="AW326" s="787"/>
      <c r="AX326" s="784"/>
      <c r="AY326" s="1249"/>
    </row>
    <row r="327" spans="1:51" ht="27.6" customHeight="1" thickBot="1" x14ac:dyDescent="0.3">
      <c r="A327" s="1195"/>
      <c r="B327" s="833"/>
      <c r="C327" s="809"/>
      <c r="D327" s="140" t="s">
        <v>45</v>
      </c>
      <c r="E327" s="142"/>
      <c r="F327" s="143"/>
      <c r="G327" s="445"/>
      <c r="H327" s="445"/>
      <c r="I327" s="445"/>
      <c r="J327" s="445"/>
      <c r="K327" s="445"/>
      <c r="L327" s="445"/>
      <c r="M327" s="445">
        <f>+M326*$M$299/$M$298</f>
        <v>909257.14285714284</v>
      </c>
      <c r="N327" s="445">
        <f>+N326*$N$299/$N$298</f>
        <v>1000182.8571428572</v>
      </c>
      <c r="O327" s="445">
        <f>+O326*$O$299/$O$298</f>
        <v>1000182.8571428572</v>
      </c>
      <c r="P327" s="445">
        <f>+P326*$P$299/$P$298</f>
        <v>1000182.8571428572</v>
      </c>
      <c r="Q327" s="445">
        <f>+Q326*$Q$299/$Q$298</f>
        <v>1000182.8571428572</v>
      </c>
      <c r="R327" s="445">
        <f>+R326*$R$299/$R$298</f>
        <v>988881.35593220335</v>
      </c>
      <c r="S327" s="446"/>
      <c r="T327" s="446"/>
      <c r="U327" s="446"/>
      <c r="V327" s="446"/>
      <c r="W327" s="446"/>
      <c r="X327" s="446"/>
      <c r="Y327" s="446"/>
      <c r="Z327" s="445">
        <f>+Z326*$Z$299/$Z$298</f>
        <v>1550121.7730150998</v>
      </c>
      <c r="AA327" s="445">
        <f>+AA326*$AA$299/$AA$298</f>
        <v>1346192.8934010153</v>
      </c>
      <c r="AB327" s="445">
        <f>+AB326*$AB$299/$AB$298</f>
        <v>1196840.9176382099</v>
      </c>
      <c r="AC327" s="445">
        <f>+AC326*$AC$299/$AC$298</f>
        <v>1078414.0969162995</v>
      </c>
      <c r="AD327" s="445">
        <f>+AD326*$AD$299/$AD$298</f>
        <v>981616.28624305979</v>
      </c>
      <c r="AE327" s="445">
        <f>+AE326*$AE$299/$AE$298</f>
        <v>988881.35593220335</v>
      </c>
      <c r="AF327" s="1222"/>
      <c r="AG327" s="1196"/>
      <c r="AH327" s="790"/>
      <c r="AI327" s="790"/>
      <c r="AJ327" s="794"/>
      <c r="AK327" s="790"/>
      <c r="AL327" s="790"/>
      <c r="AM327" s="790"/>
      <c r="AN327" s="791"/>
      <c r="AO327" s="805"/>
      <c r="AP327" s="805"/>
      <c r="AQ327" s="786"/>
      <c r="AR327" s="786"/>
      <c r="AS327" s="786"/>
      <c r="AT327" s="786"/>
      <c r="AU327" s="787"/>
      <c r="AV327" s="787"/>
      <c r="AW327" s="787"/>
      <c r="AX327" s="785"/>
      <c r="AY327" s="1249"/>
    </row>
    <row r="328" spans="1:51" s="505" customFormat="1" ht="19.350000000000001" customHeight="1" x14ac:dyDescent="0.25">
      <c r="A328" s="1195"/>
      <c r="B328" s="833"/>
      <c r="C328" s="809" t="s">
        <v>1085</v>
      </c>
      <c r="D328" s="141" t="s">
        <v>41</v>
      </c>
      <c r="E328" s="142"/>
      <c r="F328" s="143"/>
      <c r="G328" s="445"/>
      <c r="H328" s="445"/>
      <c r="I328" s="445"/>
      <c r="J328" s="445"/>
      <c r="K328" s="445"/>
      <c r="L328" s="445"/>
      <c r="M328" s="445"/>
      <c r="N328" s="448"/>
      <c r="O328" s="449"/>
      <c r="P328" s="445"/>
      <c r="Q328" s="445"/>
      <c r="R328" s="447">
        <v>298</v>
      </c>
      <c r="S328" s="446"/>
      <c r="T328" s="445"/>
      <c r="U328" s="445"/>
      <c r="V328" s="446"/>
      <c r="W328" s="446"/>
      <c r="X328" s="448"/>
      <c r="Y328" s="445"/>
      <c r="Z328" s="446"/>
      <c r="AA328" s="448"/>
      <c r="AB328" s="449"/>
      <c r="AC328" s="445">
        <v>42</v>
      </c>
      <c r="AD328" s="445">
        <v>42</v>
      </c>
      <c r="AE328" s="447">
        <v>298</v>
      </c>
      <c r="AF328" s="1218" t="s">
        <v>1086</v>
      </c>
      <c r="AG328" s="1194" t="s">
        <v>484</v>
      </c>
      <c r="AH328" s="788" t="s">
        <v>1010</v>
      </c>
      <c r="AI328" s="788" t="s">
        <v>1141</v>
      </c>
      <c r="AJ328" s="792" t="s">
        <v>839</v>
      </c>
      <c r="AK328" s="788" t="s">
        <v>315</v>
      </c>
      <c r="AL328" s="788" t="s">
        <v>70</v>
      </c>
      <c r="AM328" s="788" t="s">
        <v>480</v>
      </c>
      <c r="AN328" s="791">
        <v>163231</v>
      </c>
      <c r="AO328" s="805">
        <v>77499</v>
      </c>
      <c r="AP328" s="805">
        <v>85731</v>
      </c>
      <c r="AQ328" s="786" t="s">
        <v>317</v>
      </c>
      <c r="AR328" s="786" t="s">
        <v>317</v>
      </c>
      <c r="AS328" s="786" t="s">
        <v>317</v>
      </c>
      <c r="AT328" s="786" t="s">
        <v>317</v>
      </c>
      <c r="AU328" s="787" t="s">
        <v>317</v>
      </c>
      <c r="AV328" s="787" t="s">
        <v>317</v>
      </c>
      <c r="AW328" s="787" t="s">
        <v>317</v>
      </c>
      <c r="AX328" s="783">
        <v>163231</v>
      </c>
      <c r="AY328" s="1249"/>
    </row>
    <row r="329" spans="1:51" s="505" customFormat="1" ht="18" x14ac:dyDescent="0.25">
      <c r="A329" s="1195"/>
      <c r="B329" s="833"/>
      <c r="C329" s="809"/>
      <c r="D329" s="132" t="s">
        <v>3</v>
      </c>
      <c r="E329" s="142"/>
      <c r="F329" s="143"/>
      <c r="G329" s="445"/>
      <c r="H329" s="445"/>
      <c r="I329" s="445"/>
      <c r="J329" s="445"/>
      <c r="K329" s="445"/>
      <c r="L329" s="445"/>
      <c r="M329" s="445"/>
      <c r="N329" s="445"/>
      <c r="O329" s="445"/>
      <c r="P329" s="445"/>
      <c r="Q329" s="445"/>
      <c r="R329" s="445">
        <f>+R328*$R$299/$R$298</f>
        <v>2518689.2655367232</v>
      </c>
      <c r="S329" s="446"/>
      <c r="T329" s="445"/>
      <c r="U329" s="445"/>
      <c r="V329" s="445"/>
      <c r="W329" s="445"/>
      <c r="X329" s="445"/>
      <c r="Y329" s="445"/>
      <c r="Z329" s="445"/>
      <c r="AA329" s="445"/>
      <c r="AB329" s="445"/>
      <c r="AC329" s="445">
        <f>+AC328*$AC$299/$AC$298</f>
        <v>387123.00914944086</v>
      </c>
      <c r="AD329" s="445">
        <f>+AD328*$AD$299/$AD$298</f>
        <v>352375.07711289328</v>
      </c>
      <c r="AE329" s="445">
        <f>+AE328*$AE$299/$AE$298</f>
        <v>2518689.2655367232</v>
      </c>
      <c r="AF329" s="1218"/>
      <c r="AG329" s="1195"/>
      <c r="AH329" s="789"/>
      <c r="AI329" s="789"/>
      <c r="AJ329" s="793"/>
      <c r="AK329" s="789"/>
      <c r="AL329" s="789"/>
      <c r="AM329" s="789"/>
      <c r="AN329" s="791"/>
      <c r="AO329" s="805"/>
      <c r="AP329" s="805"/>
      <c r="AQ329" s="786"/>
      <c r="AR329" s="786"/>
      <c r="AS329" s="786"/>
      <c r="AT329" s="786"/>
      <c r="AU329" s="787"/>
      <c r="AV329" s="787"/>
      <c r="AW329" s="787"/>
      <c r="AX329" s="784"/>
      <c r="AY329" s="1249"/>
    </row>
    <row r="330" spans="1:51" s="505" customFormat="1" ht="27" x14ac:dyDescent="0.25">
      <c r="A330" s="1195"/>
      <c r="B330" s="833"/>
      <c r="C330" s="809"/>
      <c r="D330" s="136" t="s">
        <v>42</v>
      </c>
      <c r="E330" s="142"/>
      <c r="F330" s="143"/>
      <c r="G330" s="445"/>
      <c r="H330" s="445"/>
      <c r="I330" s="445"/>
      <c r="J330" s="445"/>
      <c r="K330" s="445"/>
      <c r="L330" s="445"/>
      <c r="M330" s="445"/>
      <c r="N330" s="448"/>
      <c r="O330" s="445"/>
      <c r="P330" s="445"/>
      <c r="Q330" s="445"/>
      <c r="R330" s="447"/>
      <c r="S330" s="446"/>
      <c r="T330" s="446"/>
      <c r="U330" s="445"/>
      <c r="V330" s="446"/>
      <c r="W330" s="446"/>
      <c r="X330" s="446"/>
      <c r="Y330" s="446"/>
      <c r="Z330" s="446"/>
      <c r="AA330" s="448"/>
      <c r="AB330" s="445"/>
      <c r="AC330" s="445"/>
      <c r="AD330" s="445"/>
      <c r="AE330" s="447"/>
      <c r="AF330" s="1218"/>
      <c r="AG330" s="1195"/>
      <c r="AH330" s="789"/>
      <c r="AI330" s="789"/>
      <c r="AJ330" s="793"/>
      <c r="AK330" s="789"/>
      <c r="AL330" s="789"/>
      <c r="AM330" s="789"/>
      <c r="AN330" s="791"/>
      <c r="AO330" s="805"/>
      <c r="AP330" s="805"/>
      <c r="AQ330" s="786"/>
      <c r="AR330" s="786"/>
      <c r="AS330" s="786"/>
      <c r="AT330" s="786"/>
      <c r="AU330" s="787"/>
      <c r="AV330" s="787"/>
      <c r="AW330" s="787"/>
      <c r="AX330" s="784"/>
      <c r="AY330" s="1249"/>
    </row>
    <row r="331" spans="1:51" s="505" customFormat="1" ht="19.149999999999999" customHeight="1" x14ac:dyDescent="0.25">
      <c r="A331" s="1195"/>
      <c r="B331" s="833"/>
      <c r="C331" s="809"/>
      <c r="D331" s="132" t="s">
        <v>4</v>
      </c>
      <c r="E331" s="142"/>
      <c r="F331" s="143"/>
      <c r="G331" s="445"/>
      <c r="H331" s="445"/>
      <c r="I331" s="445"/>
      <c r="J331" s="445"/>
      <c r="K331" s="445"/>
      <c r="L331" s="445"/>
      <c r="M331" s="445"/>
      <c r="N331" s="448"/>
      <c r="O331" s="445"/>
      <c r="P331" s="445"/>
      <c r="Q331" s="445"/>
      <c r="R331" s="447"/>
      <c r="S331" s="446"/>
      <c r="T331" s="445"/>
      <c r="U331" s="445"/>
      <c r="V331" s="446"/>
      <c r="W331" s="446"/>
      <c r="X331" s="446"/>
      <c r="Y331" s="446"/>
      <c r="Z331" s="446"/>
      <c r="AA331" s="448"/>
      <c r="AB331" s="445"/>
      <c r="AC331" s="445"/>
      <c r="AD331" s="445"/>
      <c r="AE331" s="447"/>
      <c r="AF331" s="1218"/>
      <c r="AG331" s="1195"/>
      <c r="AH331" s="789"/>
      <c r="AI331" s="789"/>
      <c r="AJ331" s="793"/>
      <c r="AK331" s="789"/>
      <c r="AL331" s="789"/>
      <c r="AM331" s="789"/>
      <c r="AN331" s="791"/>
      <c r="AO331" s="805"/>
      <c r="AP331" s="805"/>
      <c r="AQ331" s="786"/>
      <c r="AR331" s="786"/>
      <c r="AS331" s="786"/>
      <c r="AT331" s="786"/>
      <c r="AU331" s="787"/>
      <c r="AV331" s="787"/>
      <c r="AW331" s="787"/>
      <c r="AX331" s="784"/>
      <c r="AY331" s="1249"/>
    </row>
    <row r="332" spans="1:51" s="505" customFormat="1" ht="27" x14ac:dyDescent="0.25">
      <c r="A332" s="1195"/>
      <c r="B332" s="833"/>
      <c r="C332" s="809"/>
      <c r="D332" s="136" t="s">
        <v>43</v>
      </c>
      <c r="E332" s="142"/>
      <c r="F332" s="143"/>
      <c r="G332" s="445"/>
      <c r="H332" s="445"/>
      <c r="I332" s="445"/>
      <c r="J332" s="445"/>
      <c r="K332" s="445"/>
      <c r="L332" s="445"/>
      <c r="M332" s="445"/>
      <c r="N332" s="448"/>
      <c r="O332" s="445"/>
      <c r="P332" s="445"/>
      <c r="Q332" s="445"/>
      <c r="R332" s="447">
        <v>298</v>
      </c>
      <c r="S332" s="446"/>
      <c r="T332" s="446"/>
      <c r="U332" s="445"/>
      <c r="V332" s="446"/>
      <c r="W332" s="446"/>
      <c r="X332" s="446"/>
      <c r="Y332" s="446"/>
      <c r="Z332" s="446"/>
      <c r="AA332" s="448"/>
      <c r="AB332" s="445"/>
      <c r="AC332" s="445">
        <v>42</v>
      </c>
      <c r="AD332" s="445">
        <v>42</v>
      </c>
      <c r="AE332" s="447">
        <v>298</v>
      </c>
      <c r="AF332" s="1218"/>
      <c r="AG332" s="1195"/>
      <c r="AH332" s="789"/>
      <c r="AI332" s="789"/>
      <c r="AJ332" s="793"/>
      <c r="AK332" s="789"/>
      <c r="AL332" s="789"/>
      <c r="AM332" s="789"/>
      <c r="AN332" s="791"/>
      <c r="AO332" s="805"/>
      <c r="AP332" s="805"/>
      <c r="AQ332" s="786"/>
      <c r="AR332" s="786"/>
      <c r="AS332" s="786"/>
      <c r="AT332" s="786"/>
      <c r="AU332" s="787"/>
      <c r="AV332" s="787"/>
      <c r="AW332" s="787"/>
      <c r="AX332" s="784"/>
      <c r="AY332" s="1249"/>
    </row>
    <row r="333" spans="1:51" s="505" customFormat="1" ht="27.75" thickBot="1" x14ac:dyDescent="0.3">
      <c r="A333" s="1195"/>
      <c r="B333" s="833"/>
      <c r="C333" s="809"/>
      <c r="D333" s="140" t="s">
        <v>45</v>
      </c>
      <c r="E333" s="142"/>
      <c r="F333" s="143"/>
      <c r="G333" s="445"/>
      <c r="H333" s="445"/>
      <c r="I333" s="445"/>
      <c r="J333" s="445"/>
      <c r="K333" s="445"/>
      <c r="L333" s="445"/>
      <c r="M333" s="445"/>
      <c r="N333" s="445"/>
      <c r="O333" s="445"/>
      <c r="P333" s="445"/>
      <c r="Q333" s="445"/>
      <c r="R333" s="445">
        <f>+R332*$R$299/$R$298</f>
        <v>2518689.2655367232</v>
      </c>
      <c r="S333" s="446"/>
      <c r="T333" s="446"/>
      <c r="U333" s="445"/>
      <c r="V333" s="445"/>
      <c r="W333" s="445"/>
      <c r="X333" s="445"/>
      <c r="Y333" s="445"/>
      <c r="Z333" s="445"/>
      <c r="AA333" s="445"/>
      <c r="AB333" s="445"/>
      <c r="AC333" s="445">
        <f>+AC332*$AC$299/$AC$298</f>
        <v>387123.00914944086</v>
      </c>
      <c r="AD333" s="445">
        <f>+AD332*$AD$299/$AD$298</f>
        <v>352375.07711289328</v>
      </c>
      <c r="AE333" s="445">
        <f>+AE332*$AE$299/$AE$298</f>
        <v>2518689.2655367232</v>
      </c>
      <c r="AF333" s="1218"/>
      <c r="AG333" s="1196"/>
      <c r="AH333" s="790"/>
      <c r="AI333" s="790"/>
      <c r="AJ333" s="794"/>
      <c r="AK333" s="790"/>
      <c r="AL333" s="790"/>
      <c r="AM333" s="790"/>
      <c r="AN333" s="791"/>
      <c r="AO333" s="805"/>
      <c r="AP333" s="805"/>
      <c r="AQ333" s="786"/>
      <c r="AR333" s="786"/>
      <c r="AS333" s="786"/>
      <c r="AT333" s="786"/>
      <c r="AU333" s="787"/>
      <c r="AV333" s="787"/>
      <c r="AW333" s="787"/>
      <c r="AX333" s="785"/>
      <c r="AY333" s="1249"/>
    </row>
    <row r="334" spans="1:51" ht="19.350000000000001" customHeight="1" x14ac:dyDescent="0.25">
      <c r="A334" s="1195"/>
      <c r="B334" s="833"/>
      <c r="C334" s="809" t="s">
        <v>933</v>
      </c>
      <c r="D334" s="141" t="s">
        <v>41</v>
      </c>
      <c r="E334" s="142"/>
      <c r="F334" s="143"/>
      <c r="G334" s="445"/>
      <c r="H334" s="445"/>
      <c r="I334" s="445"/>
      <c r="J334" s="445"/>
      <c r="K334" s="445"/>
      <c r="L334" s="445"/>
      <c r="M334" s="445"/>
      <c r="N334" s="448"/>
      <c r="O334" s="449"/>
      <c r="P334" s="445">
        <v>42</v>
      </c>
      <c r="Q334" s="445">
        <v>42</v>
      </c>
      <c r="R334" s="447">
        <v>42</v>
      </c>
      <c r="S334" s="446"/>
      <c r="T334" s="445"/>
      <c r="U334" s="445"/>
      <c r="V334" s="446"/>
      <c r="W334" s="446"/>
      <c r="X334" s="448"/>
      <c r="Y334" s="445"/>
      <c r="Z334" s="446"/>
      <c r="AA334" s="448"/>
      <c r="AB334" s="449"/>
      <c r="AC334" s="445">
        <v>42</v>
      </c>
      <c r="AD334" s="445">
        <v>42</v>
      </c>
      <c r="AE334" s="447">
        <v>42</v>
      </c>
      <c r="AF334" s="1218" t="s">
        <v>1060</v>
      </c>
      <c r="AG334" s="1194" t="s">
        <v>484</v>
      </c>
      <c r="AH334" s="788" t="s">
        <v>485</v>
      </c>
      <c r="AI334" s="788" t="s">
        <v>939</v>
      </c>
      <c r="AJ334" s="792" t="s">
        <v>839</v>
      </c>
      <c r="AK334" s="788" t="s">
        <v>315</v>
      </c>
      <c r="AL334" s="788" t="s">
        <v>70</v>
      </c>
      <c r="AM334" s="788" t="s">
        <v>480</v>
      </c>
      <c r="AN334" s="791">
        <v>163231</v>
      </c>
      <c r="AO334" s="805">
        <v>77499</v>
      </c>
      <c r="AP334" s="805">
        <v>85731</v>
      </c>
      <c r="AQ334" s="786" t="s">
        <v>317</v>
      </c>
      <c r="AR334" s="786" t="s">
        <v>317</v>
      </c>
      <c r="AS334" s="786" t="s">
        <v>317</v>
      </c>
      <c r="AT334" s="786" t="s">
        <v>317</v>
      </c>
      <c r="AU334" s="787" t="s">
        <v>317</v>
      </c>
      <c r="AV334" s="787" t="s">
        <v>317</v>
      </c>
      <c r="AW334" s="787" t="s">
        <v>317</v>
      </c>
      <c r="AX334" s="783">
        <v>163231</v>
      </c>
      <c r="AY334" s="1249"/>
    </row>
    <row r="335" spans="1:51" ht="18" x14ac:dyDescent="0.25">
      <c r="A335" s="1195"/>
      <c r="B335" s="833"/>
      <c r="C335" s="809"/>
      <c r="D335" s="132" t="s">
        <v>3</v>
      </c>
      <c r="E335" s="142"/>
      <c r="F335" s="143"/>
      <c r="G335" s="445"/>
      <c r="H335" s="445"/>
      <c r="I335" s="445"/>
      <c r="J335" s="445"/>
      <c r="K335" s="445"/>
      <c r="L335" s="445"/>
      <c r="M335" s="445"/>
      <c r="N335" s="445"/>
      <c r="O335" s="445"/>
      <c r="P335" s="445">
        <f>+P334*$P$299/$P$298</f>
        <v>359040</v>
      </c>
      <c r="Q335" s="445">
        <f>+Q334*$Q$299/$Q$298</f>
        <v>359040</v>
      </c>
      <c r="R335" s="445">
        <f>+R334*$R$299/$R$298</f>
        <v>354983.05084745761</v>
      </c>
      <c r="S335" s="446"/>
      <c r="T335" s="445"/>
      <c r="U335" s="445"/>
      <c r="V335" s="445"/>
      <c r="W335" s="445"/>
      <c r="X335" s="445"/>
      <c r="Y335" s="445"/>
      <c r="Z335" s="445"/>
      <c r="AA335" s="445"/>
      <c r="AB335" s="445"/>
      <c r="AC335" s="445">
        <f>+AC334*$AC$299/$AC$298</f>
        <v>387123.00914944086</v>
      </c>
      <c r="AD335" s="445">
        <f>+AD334*$AD$299/$AD$298</f>
        <v>352375.07711289328</v>
      </c>
      <c r="AE335" s="445">
        <f>+AE334*$AE$299/$AE$298</f>
        <v>354983.05084745761</v>
      </c>
      <c r="AF335" s="1218"/>
      <c r="AG335" s="1195"/>
      <c r="AH335" s="789"/>
      <c r="AI335" s="789"/>
      <c r="AJ335" s="793"/>
      <c r="AK335" s="789"/>
      <c r="AL335" s="789"/>
      <c r="AM335" s="789"/>
      <c r="AN335" s="791"/>
      <c r="AO335" s="805"/>
      <c r="AP335" s="805"/>
      <c r="AQ335" s="786"/>
      <c r="AR335" s="786"/>
      <c r="AS335" s="786"/>
      <c r="AT335" s="786"/>
      <c r="AU335" s="787"/>
      <c r="AV335" s="787"/>
      <c r="AW335" s="787"/>
      <c r="AX335" s="784"/>
      <c r="AY335" s="1249"/>
    </row>
    <row r="336" spans="1:51" ht="27" x14ac:dyDescent="0.25">
      <c r="A336" s="1195"/>
      <c r="B336" s="833"/>
      <c r="C336" s="809"/>
      <c r="D336" s="136" t="s">
        <v>42</v>
      </c>
      <c r="E336" s="142"/>
      <c r="F336" s="143"/>
      <c r="G336" s="445"/>
      <c r="H336" s="445"/>
      <c r="I336" s="445"/>
      <c r="J336" s="445"/>
      <c r="K336" s="445"/>
      <c r="L336" s="445"/>
      <c r="M336" s="445"/>
      <c r="N336" s="448"/>
      <c r="O336" s="445"/>
      <c r="P336" s="445"/>
      <c r="Q336" s="445"/>
      <c r="R336" s="447"/>
      <c r="S336" s="446"/>
      <c r="T336" s="446"/>
      <c r="U336" s="445"/>
      <c r="V336" s="446"/>
      <c r="W336" s="446"/>
      <c r="X336" s="446"/>
      <c r="Y336" s="446"/>
      <c r="Z336" s="446"/>
      <c r="AA336" s="448"/>
      <c r="AB336" s="445"/>
      <c r="AC336" s="445"/>
      <c r="AD336" s="445"/>
      <c r="AE336" s="447"/>
      <c r="AF336" s="1218"/>
      <c r="AG336" s="1195"/>
      <c r="AH336" s="789"/>
      <c r="AI336" s="789"/>
      <c r="AJ336" s="793"/>
      <c r="AK336" s="789"/>
      <c r="AL336" s="789"/>
      <c r="AM336" s="789"/>
      <c r="AN336" s="791"/>
      <c r="AO336" s="805"/>
      <c r="AP336" s="805"/>
      <c r="AQ336" s="786"/>
      <c r="AR336" s="786"/>
      <c r="AS336" s="786"/>
      <c r="AT336" s="786"/>
      <c r="AU336" s="787"/>
      <c r="AV336" s="787"/>
      <c r="AW336" s="787"/>
      <c r="AX336" s="784"/>
      <c r="AY336" s="1249"/>
    </row>
    <row r="337" spans="1:51" ht="19.149999999999999" customHeight="1" x14ac:dyDescent="0.25">
      <c r="A337" s="1195"/>
      <c r="B337" s="833"/>
      <c r="C337" s="809"/>
      <c r="D337" s="132" t="s">
        <v>4</v>
      </c>
      <c r="E337" s="142"/>
      <c r="F337" s="143"/>
      <c r="G337" s="445"/>
      <c r="H337" s="445"/>
      <c r="I337" s="445"/>
      <c r="J337" s="445"/>
      <c r="K337" s="445"/>
      <c r="L337" s="445"/>
      <c r="M337" s="445"/>
      <c r="N337" s="448"/>
      <c r="O337" s="445"/>
      <c r="P337" s="445"/>
      <c r="Q337" s="445"/>
      <c r="R337" s="447"/>
      <c r="S337" s="446"/>
      <c r="T337" s="445"/>
      <c r="U337" s="445"/>
      <c r="V337" s="446"/>
      <c r="W337" s="446"/>
      <c r="X337" s="446"/>
      <c r="Y337" s="446"/>
      <c r="Z337" s="446"/>
      <c r="AA337" s="448"/>
      <c r="AB337" s="445"/>
      <c r="AC337" s="445"/>
      <c r="AD337" s="445"/>
      <c r="AE337" s="447"/>
      <c r="AF337" s="1218"/>
      <c r="AG337" s="1195"/>
      <c r="AH337" s="789"/>
      <c r="AI337" s="789"/>
      <c r="AJ337" s="793"/>
      <c r="AK337" s="789"/>
      <c r="AL337" s="789"/>
      <c r="AM337" s="789"/>
      <c r="AN337" s="791"/>
      <c r="AO337" s="805"/>
      <c r="AP337" s="805"/>
      <c r="AQ337" s="786"/>
      <c r="AR337" s="786"/>
      <c r="AS337" s="786"/>
      <c r="AT337" s="786"/>
      <c r="AU337" s="787"/>
      <c r="AV337" s="787"/>
      <c r="AW337" s="787"/>
      <c r="AX337" s="784"/>
      <c r="AY337" s="1249"/>
    </row>
    <row r="338" spans="1:51" ht="27" x14ac:dyDescent="0.25">
      <c r="A338" s="1195"/>
      <c r="B338" s="833"/>
      <c r="C338" s="809"/>
      <c r="D338" s="136" t="s">
        <v>43</v>
      </c>
      <c r="E338" s="142"/>
      <c r="F338" s="143"/>
      <c r="G338" s="445"/>
      <c r="H338" s="445"/>
      <c r="I338" s="445"/>
      <c r="J338" s="445"/>
      <c r="K338" s="445"/>
      <c r="L338" s="445"/>
      <c r="M338" s="445"/>
      <c r="N338" s="448"/>
      <c r="O338" s="445"/>
      <c r="P338" s="445">
        <v>42</v>
      </c>
      <c r="Q338" s="445">
        <v>42</v>
      </c>
      <c r="R338" s="447">
        <v>42</v>
      </c>
      <c r="S338" s="446"/>
      <c r="T338" s="446"/>
      <c r="U338" s="445"/>
      <c r="V338" s="446"/>
      <c r="W338" s="446"/>
      <c r="X338" s="446"/>
      <c r="Y338" s="446"/>
      <c r="Z338" s="446"/>
      <c r="AA338" s="448"/>
      <c r="AB338" s="445"/>
      <c r="AC338" s="445">
        <v>42</v>
      </c>
      <c r="AD338" s="445">
        <v>42</v>
      </c>
      <c r="AE338" s="447">
        <v>42</v>
      </c>
      <c r="AF338" s="1218"/>
      <c r="AG338" s="1195"/>
      <c r="AH338" s="789"/>
      <c r="AI338" s="789"/>
      <c r="AJ338" s="793"/>
      <c r="AK338" s="789"/>
      <c r="AL338" s="789"/>
      <c r="AM338" s="789"/>
      <c r="AN338" s="791"/>
      <c r="AO338" s="805"/>
      <c r="AP338" s="805"/>
      <c r="AQ338" s="786"/>
      <c r="AR338" s="786"/>
      <c r="AS338" s="786"/>
      <c r="AT338" s="786"/>
      <c r="AU338" s="787"/>
      <c r="AV338" s="787"/>
      <c r="AW338" s="787"/>
      <c r="AX338" s="784"/>
      <c r="AY338" s="1249"/>
    </row>
    <row r="339" spans="1:51" ht="27.75" thickBot="1" x14ac:dyDescent="0.3">
      <c r="A339" s="1195"/>
      <c r="B339" s="833"/>
      <c r="C339" s="809"/>
      <c r="D339" s="140" t="s">
        <v>45</v>
      </c>
      <c r="E339" s="142"/>
      <c r="F339" s="143"/>
      <c r="G339" s="445"/>
      <c r="H339" s="445"/>
      <c r="I339" s="445"/>
      <c r="J339" s="445"/>
      <c r="K339" s="445"/>
      <c r="L339" s="445"/>
      <c r="M339" s="445"/>
      <c r="N339" s="445"/>
      <c r="O339" s="445"/>
      <c r="P339" s="445">
        <f>+P338*$P$299/$P$298</f>
        <v>359040</v>
      </c>
      <c r="Q339" s="445">
        <f>+Q338*$Q$299/$Q$298</f>
        <v>359040</v>
      </c>
      <c r="R339" s="445">
        <f>+R338*$R$299/$R$298</f>
        <v>354983.05084745761</v>
      </c>
      <c r="S339" s="446"/>
      <c r="T339" s="446"/>
      <c r="U339" s="445"/>
      <c r="V339" s="445"/>
      <c r="W339" s="445"/>
      <c r="X339" s="445"/>
      <c r="Y339" s="445"/>
      <c r="Z339" s="445"/>
      <c r="AA339" s="445"/>
      <c r="AB339" s="445"/>
      <c r="AC339" s="445">
        <f>+AC338*$AC$299/$AC$298</f>
        <v>387123.00914944086</v>
      </c>
      <c r="AD339" s="445">
        <f>+AD338*$AD$299/$AD$298</f>
        <v>352375.07711289328</v>
      </c>
      <c r="AE339" s="445">
        <f>+AE338*$AE$299/$AE$298</f>
        <v>354983.05084745761</v>
      </c>
      <c r="AF339" s="1218"/>
      <c r="AG339" s="1196"/>
      <c r="AH339" s="790"/>
      <c r="AI339" s="790"/>
      <c r="AJ339" s="794"/>
      <c r="AK339" s="790"/>
      <c r="AL339" s="790"/>
      <c r="AM339" s="790"/>
      <c r="AN339" s="791"/>
      <c r="AO339" s="805"/>
      <c r="AP339" s="805"/>
      <c r="AQ339" s="786"/>
      <c r="AR339" s="786"/>
      <c r="AS339" s="786"/>
      <c r="AT339" s="786"/>
      <c r="AU339" s="787"/>
      <c r="AV339" s="787"/>
      <c r="AW339" s="787"/>
      <c r="AX339" s="785"/>
      <c r="AY339" s="1249"/>
    </row>
    <row r="340" spans="1:51" ht="19.350000000000001" customHeight="1" x14ac:dyDescent="0.25">
      <c r="A340" s="1195"/>
      <c r="B340" s="833"/>
      <c r="C340" s="809" t="s">
        <v>482</v>
      </c>
      <c r="D340" s="141" t="s">
        <v>41</v>
      </c>
      <c r="E340" s="142"/>
      <c r="F340" s="143"/>
      <c r="G340" s="445"/>
      <c r="H340" s="445"/>
      <c r="I340" s="445"/>
      <c r="J340" s="445"/>
      <c r="K340" s="445"/>
      <c r="L340" s="445"/>
      <c r="M340" s="445"/>
      <c r="N340" s="448"/>
      <c r="O340" s="449">
        <v>20</v>
      </c>
      <c r="P340" s="445">
        <v>20</v>
      </c>
      <c r="Q340" s="445">
        <v>20</v>
      </c>
      <c r="R340" s="447">
        <v>20</v>
      </c>
      <c r="S340" s="446"/>
      <c r="T340" s="445"/>
      <c r="U340" s="445"/>
      <c r="V340" s="446"/>
      <c r="W340" s="446"/>
      <c r="X340" s="448"/>
      <c r="Y340" s="445"/>
      <c r="Z340" s="446"/>
      <c r="AA340" s="448"/>
      <c r="AB340" s="449">
        <v>20</v>
      </c>
      <c r="AC340" s="445">
        <v>20</v>
      </c>
      <c r="AD340" s="445">
        <v>20</v>
      </c>
      <c r="AE340" s="447">
        <v>20</v>
      </c>
      <c r="AF340" s="1218" t="s">
        <v>972</v>
      </c>
      <c r="AG340" s="1194" t="s">
        <v>484</v>
      </c>
      <c r="AH340" s="788" t="s">
        <v>485</v>
      </c>
      <c r="AI340" s="788" t="s">
        <v>920</v>
      </c>
      <c r="AJ340" s="792" t="s">
        <v>839</v>
      </c>
      <c r="AK340" s="788" t="s">
        <v>315</v>
      </c>
      <c r="AL340" s="788" t="s">
        <v>70</v>
      </c>
      <c r="AM340" s="788" t="s">
        <v>480</v>
      </c>
      <c r="AN340" s="791">
        <v>163231</v>
      </c>
      <c r="AO340" s="805">
        <v>77499</v>
      </c>
      <c r="AP340" s="805">
        <v>85731</v>
      </c>
      <c r="AQ340" s="786" t="s">
        <v>317</v>
      </c>
      <c r="AR340" s="786" t="s">
        <v>317</v>
      </c>
      <c r="AS340" s="786" t="s">
        <v>317</v>
      </c>
      <c r="AT340" s="786" t="s">
        <v>317</v>
      </c>
      <c r="AU340" s="787" t="s">
        <v>317</v>
      </c>
      <c r="AV340" s="787" t="s">
        <v>317</v>
      </c>
      <c r="AW340" s="787" t="s">
        <v>317</v>
      </c>
      <c r="AX340" s="783">
        <v>163231</v>
      </c>
      <c r="AY340" s="1249"/>
    </row>
    <row r="341" spans="1:51" ht="18" x14ac:dyDescent="0.25">
      <c r="A341" s="1195"/>
      <c r="B341" s="833"/>
      <c r="C341" s="809"/>
      <c r="D341" s="132" t="s">
        <v>3</v>
      </c>
      <c r="E341" s="142"/>
      <c r="F341" s="143"/>
      <c r="G341" s="445"/>
      <c r="H341" s="445"/>
      <c r="I341" s="445"/>
      <c r="J341" s="445"/>
      <c r="K341" s="445"/>
      <c r="L341" s="445"/>
      <c r="M341" s="445"/>
      <c r="N341" s="445"/>
      <c r="O341" s="445">
        <f>+O340*$O$299/$O$298</f>
        <v>170971.42857142858</v>
      </c>
      <c r="P341" s="445">
        <f>+P340*$P$299/$P$298</f>
        <v>170971.42857142858</v>
      </c>
      <c r="Q341" s="445">
        <f>+Q340*$Q$299/$Q$298</f>
        <v>170971.42857142858</v>
      </c>
      <c r="R341" s="445">
        <f>+R340*$R$299/$R$298</f>
        <v>169039.54802259887</v>
      </c>
      <c r="S341" s="446"/>
      <c r="T341" s="445"/>
      <c r="U341" s="445"/>
      <c r="V341" s="445"/>
      <c r="W341" s="445"/>
      <c r="X341" s="445"/>
      <c r="Y341" s="445"/>
      <c r="Z341" s="445"/>
      <c r="AA341" s="445"/>
      <c r="AB341" s="445">
        <f>+AB340*$AB$299/$AB$298</f>
        <v>204588.19104926664</v>
      </c>
      <c r="AC341" s="445">
        <f>+AC340*$AC$299/$AC$298</f>
        <v>184344.29007116231</v>
      </c>
      <c r="AD341" s="445">
        <f>+AD340*$AD$299/$AD$298</f>
        <v>167797.65576804441</v>
      </c>
      <c r="AE341" s="445">
        <f>+AE340*$AE$299/$AE$298</f>
        <v>169039.54802259887</v>
      </c>
      <c r="AF341" s="1218"/>
      <c r="AG341" s="1195"/>
      <c r="AH341" s="789"/>
      <c r="AI341" s="789"/>
      <c r="AJ341" s="793"/>
      <c r="AK341" s="789"/>
      <c r="AL341" s="789"/>
      <c r="AM341" s="789"/>
      <c r="AN341" s="791"/>
      <c r="AO341" s="805"/>
      <c r="AP341" s="805"/>
      <c r="AQ341" s="786"/>
      <c r="AR341" s="786"/>
      <c r="AS341" s="786"/>
      <c r="AT341" s="786"/>
      <c r="AU341" s="787"/>
      <c r="AV341" s="787"/>
      <c r="AW341" s="787"/>
      <c r="AX341" s="784"/>
      <c r="AY341" s="1249"/>
    </row>
    <row r="342" spans="1:51" ht="27" x14ac:dyDescent="0.25">
      <c r="A342" s="1195"/>
      <c r="B342" s="833"/>
      <c r="C342" s="809"/>
      <c r="D342" s="136" t="s">
        <v>42</v>
      </c>
      <c r="E342" s="142"/>
      <c r="F342" s="143"/>
      <c r="G342" s="445"/>
      <c r="H342" s="445"/>
      <c r="I342" s="445"/>
      <c r="J342" s="445"/>
      <c r="K342" s="445"/>
      <c r="L342" s="445"/>
      <c r="M342" s="445"/>
      <c r="N342" s="448"/>
      <c r="O342" s="445"/>
      <c r="P342" s="445"/>
      <c r="Q342" s="445"/>
      <c r="R342" s="447"/>
      <c r="S342" s="446"/>
      <c r="T342" s="446"/>
      <c r="U342" s="445"/>
      <c r="V342" s="446"/>
      <c r="W342" s="446"/>
      <c r="X342" s="446"/>
      <c r="Y342" s="446"/>
      <c r="Z342" s="446"/>
      <c r="AA342" s="448"/>
      <c r="AB342" s="445"/>
      <c r="AC342" s="445"/>
      <c r="AD342" s="445"/>
      <c r="AE342" s="447"/>
      <c r="AF342" s="1218"/>
      <c r="AG342" s="1195"/>
      <c r="AH342" s="789"/>
      <c r="AI342" s="789"/>
      <c r="AJ342" s="793"/>
      <c r="AK342" s="789"/>
      <c r="AL342" s="789"/>
      <c r="AM342" s="789"/>
      <c r="AN342" s="791"/>
      <c r="AO342" s="805"/>
      <c r="AP342" s="805"/>
      <c r="AQ342" s="786"/>
      <c r="AR342" s="786"/>
      <c r="AS342" s="786"/>
      <c r="AT342" s="786"/>
      <c r="AU342" s="787"/>
      <c r="AV342" s="787"/>
      <c r="AW342" s="787"/>
      <c r="AX342" s="784"/>
      <c r="AY342" s="1249"/>
    </row>
    <row r="343" spans="1:51" ht="19.149999999999999" customHeight="1" x14ac:dyDescent="0.25">
      <c r="A343" s="1195"/>
      <c r="B343" s="833"/>
      <c r="C343" s="809"/>
      <c r="D343" s="132" t="s">
        <v>4</v>
      </c>
      <c r="E343" s="142"/>
      <c r="F343" s="143"/>
      <c r="G343" s="445"/>
      <c r="H343" s="445"/>
      <c r="I343" s="445"/>
      <c r="J343" s="445"/>
      <c r="K343" s="445"/>
      <c r="L343" s="445"/>
      <c r="M343" s="445"/>
      <c r="N343" s="448"/>
      <c r="O343" s="445"/>
      <c r="P343" s="445"/>
      <c r="Q343" s="445"/>
      <c r="R343" s="447"/>
      <c r="S343" s="446"/>
      <c r="T343" s="445"/>
      <c r="U343" s="445"/>
      <c r="V343" s="446"/>
      <c r="W343" s="446"/>
      <c r="X343" s="446"/>
      <c r="Y343" s="446"/>
      <c r="Z343" s="446"/>
      <c r="AA343" s="448"/>
      <c r="AB343" s="445"/>
      <c r="AC343" s="445"/>
      <c r="AD343" s="445"/>
      <c r="AE343" s="447"/>
      <c r="AF343" s="1218"/>
      <c r="AG343" s="1195"/>
      <c r="AH343" s="789"/>
      <c r="AI343" s="789"/>
      <c r="AJ343" s="793"/>
      <c r="AK343" s="789"/>
      <c r="AL343" s="789"/>
      <c r="AM343" s="789"/>
      <c r="AN343" s="791"/>
      <c r="AO343" s="805"/>
      <c r="AP343" s="805"/>
      <c r="AQ343" s="786"/>
      <c r="AR343" s="786"/>
      <c r="AS343" s="786"/>
      <c r="AT343" s="786"/>
      <c r="AU343" s="787"/>
      <c r="AV343" s="787"/>
      <c r="AW343" s="787"/>
      <c r="AX343" s="784"/>
      <c r="AY343" s="1249"/>
    </row>
    <row r="344" spans="1:51" ht="27" x14ac:dyDescent="0.25">
      <c r="A344" s="1195"/>
      <c r="B344" s="833"/>
      <c r="C344" s="809"/>
      <c r="D344" s="136" t="s">
        <v>43</v>
      </c>
      <c r="E344" s="142"/>
      <c r="F344" s="143"/>
      <c r="G344" s="445"/>
      <c r="H344" s="445"/>
      <c r="I344" s="445"/>
      <c r="J344" s="445"/>
      <c r="K344" s="445"/>
      <c r="L344" s="445"/>
      <c r="M344" s="445"/>
      <c r="N344" s="448"/>
      <c r="O344" s="445">
        <v>20</v>
      </c>
      <c r="P344" s="445">
        <v>20</v>
      </c>
      <c r="Q344" s="445">
        <v>20</v>
      </c>
      <c r="R344" s="447">
        <v>20</v>
      </c>
      <c r="S344" s="446"/>
      <c r="T344" s="446"/>
      <c r="U344" s="445"/>
      <c r="V344" s="446"/>
      <c r="W344" s="446"/>
      <c r="X344" s="446"/>
      <c r="Y344" s="446"/>
      <c r="Z344" s="446"/>
      <c r="AA344" s="448"/>
      <c r="AB344" s="445">
        <v>20</v>
      </c>
      <c r="AC344" s="445">
        <v>20</v>
      </c>
      <c r="AD344" s="445">
        <v>20</v>
      </c>
      <c r="AE344" s="447">
        <v>20</v>
      </c>
      <c r="AF344" s="1218"/>
      <c r="AG344" s="1195"/>
      <c r="AH344" s="789"/>
      <c r="AI344" s="789"/>
      <c r="AJ344" s="793"/>
      <c r="AK344" s="789"/>
      <c r="AL344" s="789"/>
      <c r="AM344" s="789"/>
      <c r="AN344" s="791"/>
      <c r="AO344" s="805"/>
      <c r="AP344" s="805"/>
      <c r="AQ344" s="786"/>
      <c r="AR344" s="786"/>
      <c r="AS344" s="786"/>
      <c r="AT344" s="786"/>
      <c r="AU344" s="787"/>
      <c r="AV344" s="787"/>
      <c r="AW344" s="787"/>
      <c r="AX344" s="784"/>
      <c r="AY344" s="1249"/>
    </row>
    <row r="345" spans="1:51" ht="27.75" thickBot="1" x14ac:dyDescent="0.3">
      <c r="A345" s="1195"/>
      <c r="B345" s="833"/>
      <c r="C345" s="809"/>
      <c r="D345" s="140" t="s">
        <v>45</v>
      </c>
      <c r="E345" s="142"/>
      <c r="F345" s="143"/>
      <c r="G345" s="445"/>
      <c r="H345" s="445"/>
      <c r="I345" s="445"/>
      <c r="J345" s="445"/>
      <c r="K345" s="445"/>
      <c r="L345" s="445"/>
      <c r="M345" s="445"/>
      <c r="N345" s="445"/>
      <c r="O345" s="445">
        <f>+O344*$O$299/$O$298</f>
        <v>170971.42857142858</v>
      </c>
      <c r="P345" s="445">
        <f>+P344*$P$299/$P$298</f>
        <v>170971.42857142858</v>
      </c>
      <c r="Q345" s="445">
        <f>+Q344*$Q$299/$Q$298</f>
        <v>170971.42857142858</v>
      </c>
      <c r="R345" s="445">
        <f>+R344*$R$299/$R$298</f>
        <v>169039.54802259887</v>
      </c>
      <c r="S345" s="446"/>
      <c r="T345" s="446"/>
      <c r="U345" s="445"/>
      <c r="V345" s="445"/>
      <c r="W345" s="445"/>
      <c r="X345" s="445"/>
      <c r="Y345" s="445"/>
      <c r="Z345" s="445"/>
      <c r="AA345" s="445"/>
      <c r="AB345" s="445">
        <f>+AB344*$AB$299/$AB$298</f>
        <v>204588.19104926664</v>
      </c>
      <c r="AC345" s="445">
        <f>+AC344*$AC$299/$AC$298</f>
        <v>184344.29007116231</v>
      </c>
      <c r="AD345" s="445">
        <f>+AD344*$AD$299/$AD$298</f>
        <v>167797.65576804441</v>
      </c>
      <c r="AE345" s="445">
        <f>+AE344*$AE$299/$AE$298</f>
        <v>169039.54802259887</v>
      </c>
      <c r="AF345" s="1218"/>
      <c r="AG345" s="1196"/>
      <c r="AH345" s="790"/>
      <c r="AI345" s="790"/>
      <c r="AJ345" s="794"/>
      <c r="AK345" s="790"/>
      <c r="AL345" s="790"/>
      <c r="AM345" s="790"/>
      <c r="AN345" s="791"/>
      <c r="AO345" s="805"/>
      <c r="AP345" s="805"/>
      <c r="AQ345" s="786"/>
      <c r="AR345" s="786"/>
      <c r="AS345" s="786"/>
      <c r="AT345" s="786"/>
      <c r="AU345" s="787"/>
      <c r="AV345" s="787"/>
      <c r="AW345" s="787"/>
      <c r="AX345" s="785"/>
      <c r="AY345" s="1249"/>
    </row>
    <row r="346" spans="1:51" ht="19.350000000000001" customHeight="1" x14ac:dyDescent="0.25">
      <c r="A346" s="1195"/>
      <c r="B346" s="833"/>
      <c r="C346" s="809" t="s">
        <v>482</v>
      </c>
      <c r="D346" s="141" t="s">
        <v>41</v>
      </c>
      <c r="E346" s="142"/>
      <c r="F346" s="143"/>
      <c r="G346" s="445"/>
      <c r="H346" s="445"/>
      <c r="I346" s="445"/>
      <c r="J346" s="445"/>
      <c r="K346" s="445"/>
      <c r="L346" s="445">
        <v>297</v>
      </c>
      <c r="M346" s="445">
        <v>297</v>
      </c>
      <c r="N346" s="448">
        <v>297</v>
      </c>
      <c r="O346" s="449">
        <v>297</v>
      </c>
      <c r="P346" s="445">
        <v>297</v>
      </c>
      <c r="Q346" s="445">
        <v>297</v>
      </c>
      <c r="R346" s="447">
        <v>297</v>
      </c>
      <c r="S346" s="446"/>
      <c r="T346" s="445"/>
      <c r="U346" s="445"/>
      <c r="V346" s="446"/>
      <c r="W346" s="446"/>
      <c r="X346" s="448"/>
      <c r="Y346" s="445">
        <v>297</v>
      </c>
      <c r="Z346" s="446">
        <v>297</v>
      </c>
      <c r="AA346" s="448">
        <v>297</v>
      </c>
      <c r="AB346" s="449">
        <v>297</v>
      </c>
      <c r="AC346" s="445">
        <v>297</v>
      </c>
      <c r="AD346" s="445">
        <v>297</v>
      </c>
      <c r="AE346" s="447">
        <v>297</v>
      </c>
      <c r="AF346" s="1218" t="s">
        <v>895</v>
      </c>
      <c r="AG346" s="1194" t="s">
        <v>484</v>
      </c>
      <c r="AH346" s="788" t="s">
        <v>821</v>
      </c>
      <c r="AI346" s="788" t="s">
        <v>822</v>
      </c>
      <c r="AJ346" s="792" t="s">
        <v>839</v>
      </c>
      <c r="AK346" s="788" t="s">
        <v>315</v>
      </c>
      <c r="AL346" s="788" t="s">
        <v>70</v>
      </c>
      <c r="AM346" s="788" t="s">
        <v>480</v>
      </c>
      <c r="AN346" s="791">
        <v>163231</v>
      </c>
      <c r="AO346" s="805">
        <v>77499</v>
      </c>
      <c r="AP346" s="805">
        <v>85731</v>
      </c>
      <c r="AQ346" s="786" t="s">
        <v>317</v>
      </c>
      <c r="AR346" s="786" t="s">
        <v>317</v>
      </c>
      <c r="AS346" s="786" t="s">
        <v>317</v>
      </c>
      <c r="AT346" s="786" t="s">
        <v>317</v>
      </c>
      <c r="AU346" s="787" t="s">
        <v>317</v>
      </c>
      <c r="AV346" s="787" t="s">
        <v>317</v>
      </c>
      <c r="AW346" s="787" t="s">
        <v>317</v>
      </c>
      <c r="AX346" s="783">
        <v>163231</v>
      </c>
      <c r="AY346" s="1249"/>
    </row>
    <row r="347" spans="1:51" ht="18" x14ac:dyDescent="0.25">
      <c r="A347" s="1195"/>
      <c r="B347" s="833"/>
      <c r="C347" s="809"/>
      <c r="D347" s="132" t="s">
        <v>3</v>
      </c>
      <c r="E347" s="142"/>
      <c r="F347" s="143"/>
      <c r="G347" s="445"/>
      <c r="H347" s="445"/>
      <c r="I347" s="445"/>
      <c r="J347" s="445"/>
      <c r="K347" s="445"/>
      <c r="L347" s="445">
        <f>+L346*$L$299/$L$298</f>
        <v>2538925.7142857141</v>
      </c>
      <c r="M347" s="445">
        <f>+M346*$M$299/$M$298</f>
        <v>2308114.2857142859</v>
      </c>
      <c r="N347" s="445">
        <f>+N346*$N$299/$N$298</f>
        <v>2538925.7142857141</v>
      </c>
      <c r="O347" s="445">
        <f>+O346*$O$299/$O$298</f>
        <v>2538925.7142857141</v>
      </c>
      <c r="P347" s="445">
        <f>+P346*$P$299/$P$298</f>
        <v>2538925.7142857141</v>
      </c>
      <c r="Q347" s="445">
        <f>+Q346*$Q$299/$Q$298</f>
        <v>2538925.7142857141</v>
      </c>
      <c r="R347" s="445">
        <f>+R346*$R$299/$R$298</f>
        <v>2510237.2881355933</v>
      </c>
      <c r="S347" s="446"/>
      <c r="T347" s="445"/>
      <c r="U347" s="445"/>
      <c r="V347" s="445"/>
      <c r="W347" s="445"/>
      <c r="X347" s="445"/>
      <c r="Y347" s="445">
        <f>+Y346*$Y$299/$Y$298</f>
        <v>4590000</v>
      </c>
      <c r="Z347" s="445">
        <f>+Z346*$Z$299/$Z$298</f>
        <v>3934924.5007306379</v>
      </c>
      <c r="AA347" s="445">
        <f>+AA346*$AA$299/$AA$298</f>
        <v>3417258.883248731</v>
      </c>
      <c r="AB347" s="445">
        <f>+AB346*$AB$299/$AB$298</f>
        <v>3038134.6370816096</v>
      </c>
      <c r="AC347" s="445">
        <f>+AC346*$AC$299/$AC$298</f>
        <v>2737512.7075567604</v>
      </c>
      <c r="AD347" s="445">
        <f>+AD346*$AD$299/$AD$298</f>
        <v>2491795.1881554597</v>
      </c>
      <c r="AE347" s="445">
        <f>+AE346*$AE$299/$AE$298</f>
        <v>2510237.2881355933</v>
      </c>
      <c r="AF347" s="1218"/>
      <c r="AG347" s="1195"/>
      <c r="AH347" s="789"/>
      <c r="AI347" s="789"/>
      <c r="AJ347" s="793"/>
      <c r="AK347" s="789"/>
      <c r="AL347" s="789"/>
      <c r="AM347" s="789"/>
      <c r="AN347" s="791"/>
      <c r="AO347" s="805"/>
      <c r="AP347" s="805"/>
      <c r="AQ347" s="786"/>
      <c r="AR347" s="786"/>
      <c r="AS347" s="786"/>
      <c r="AT347" s="786"/>
      <c r="AU347" s="787"/>
      <c r="AV347" s="787"/>
      <c r="AW347" s="787"/>
      <c r="AX347" s="784"/>
      <c r="AY347" s="1249"/>
    </row>
    <row r="348" spans="1:51" ht="27" x14ac:dyDescent="0.25">
      <c r="A348" s="1195"/>
      <c r="B348" s="833"/>
      <c r="C348" s="809"/>
      <c r="D348" s="136" t="s">
        <v>42</v>
      </c>
      <c r="E348" s="142"/>
      <c r="F348" s="143"/>
      <c r="G348" s="445"/>
      <c r="H348" s="445"/>
      <c r="I348" s="445"/>
      <c r="J348" s="445"/>
      <c r="K348" s="445"/>
      <c r="L348" s="445"/>
      <c r="M348" s="445"/>
      <c r="N348" s="448"/>
      <c r="O348" s="445"/>
      <c r="P348" s="445"/>
      <c r="Q348" s="445"/>
      <c r="R348" s="447"/>
      <c r="S348" s="446"/>
      <c r="T348" s="446"/>
      <c r="U348" s="445"/>
      <c r="V348" s="446"/>
      <c r="W348" s="446"/>
      <c r="X348" s="446"/>
      <c r="Y348" s="446"/>
      <c r="Z348" s="446"/>
      <c r="AA348" s="448"/>
      <c r="AB348" s="445"/>
      <c r="AC348" s="445"/>
      <c r="AD348" s="445"/>
      <c r="AE348" s="447"/>
      <c r="AF348" s="1218"/>
      <c r="AG348" s="1195"/>
      <c r="AH348" s="789"/>
      <c r="AI348" s="789"/>
      <c r="AJ348" s="793"/>
      <c r="AK348" s="789"/>
      <c r="AL348" s="789"/>
      <c r="AM348" s="789"/>
      <c r="AN348" s="791"/>
      <c r="AO348" s="805"/>
      <c r="AP348" s="805"/>
      <c r="AQ348" s="786"/>
      <c r="AR348" s="786"/>
      <c r="AS348" s="786"/>
      <c r="AT348" s="786"/>
      <c r="AU348" s="787"/>
      <c r="AV348" s="787"/>
      <c r="AW348" s="787"/>
      <c r="AX348" s="784"/>
      <c r="AY348" s="1249"/>
    </row>
    <row r="349" spans="1:51" ht="19.149999999999999" customHeight="1" x14ac:dyDescent="0.25">
      <c r="A349" s="1195"/>
      <c r="B349" s="833"/>
      <c r="C349" s="809"/>
      <c r="D349" s="132" t="s">
        <v>4</v>
      </c>
      <c r="E349" s="142"/>
      <c r="F349" s="143"/>
      <c r="G349" s="445"/>
      <c r="H349" s="445"/>
      <c r="I349" s="445"/>
      <c r="J349" s="445"/>
      <c r="K349" s="445"/>
      <c r="L349" s="445"/>
      <c r="M349" s="445"/>
      <c r="N349" s="448"/>
      <c r="O349" s="445"/>
      <c r="P349" s="445"/>
      <c r="Q349" s="445"/>
      <c r="R349" s="447"/>
      <c r="S349" s="446"/>
      <c r="T349" s="445"/>
      <c r="U349" s="445"/>
      <c r="V349" s="446"/>
      <c r="W349" s="446"/>
      <c r="X349" s="446"/>
      <c r="Y349" s="446"/>
      <c r="Z349" s="446"/>
      <c r="AA349" s="448"/>
      <c r="AB349" s="445"/>
      <c r="AC349" s="445"/>
      <c r="AD349" s="445"/>
      <c r="AE349" s="447"/>
      <c r="AF349" s="1218"/>
      <c r="AG349" s="1195"/>
      <c r="AH349" s="789"/>
      <c r="AI349" s="789"/>
      <c r="AJ349" s="793"/>
      <c r="AK349" s="789"/>
      <c r="AL349" s="789"/>
      <c r="AM349" s="789"/>
      <c r="AN349" s="791"/>
      <c r="AO349" s="805"/>
      <c r="AP349" s="805"/>
      <c r="AQ349" s="786"/>
      <c r="AR349" s="786"/>
      <c r="AS349" s="786"/>
      <c r="AT349" s="786"/>
      <c r="AU349" s="787"/>
      <c r="AV349" s="787"/>
      <c r="AW349" s="787"/>
      <c r="AX349" s="784"/>
      <c r="AY349" s="1249"/>
    </row>
    <row r="350" spans="1:51" ht="27" x14ac:dyDescent="0.25">
      <c r="A350" s="1195"/>
      <c r="B350" s="833"/>
      <c r="C350" s="809"/>
      <c r="D350" s="136" t="s">
        <v>43</v>
      </c>
      <c r="E350" s="142"/>
      <c r="F350" s="143"/>
      <c r="G350" s="445"/>
      <c r="H350" s="445"/>
      <c r="I350" s="445"/>
      <c r="J350" s="445"/>
      <c r="K350" s="445"/>
      <c r="L350" s="445">
        <v>297</v>
      </c>
      <c r="M350" s="445">
        <v>297</v>
      </c>
      <c r="N350" s="448">
        <v>297</v>
      </c>
      <c r="O350" s="445">
        <v>297</v>
      </c>
      <c r="P350" s="445">
        <v>297</v>
      </c>
      <c r="Q350" s="445">
        <v>297</v>
      </c>
      <c r="R350" s="447">
        <v>297</v>
      </c>
      <c r="S350" s="446"/>
      <c r="T350" s="446"/>
      <c r="U350" s="445"/>
      <c r="V350" s="446"/>
      <c r="W350" s="446"/>
      <c r="X350" s="446"/>
      <c r="Y350" s="446">
        <v>297</v>
      </c>
      <c r="Z350" s="446">
        <v>297</v>
      </c>
      <c r="AA350" s="448">
        <v>297</v>
      </c>
      <c r="AB350" s="445">
        <v>297</v>
      </c>
      <c r="AC350" s="445">
        <v>297</v>
      </c>
      <c r="AD350" s="445">
        <v>297</v>
      </c>
      <c r="AE350" s="447">
        <v>297</v>
      </c>
      <c r="AF350" s="1218"/>
      <c r="AG350" s="1195"/>
      <c r="AH350" s="789"/>
      <c r="AI350" s="789"/>
      <c r="AJ350" s="793"/>
      <c r="AK350" s="789"/>
      <c r="AL350" s="789"/>
      <c r="AM350" s="789"/>
      <c r="AN350" s="791"/>
      <c r="AO350" s="805"/>
      <c r="AP350" s="805"/>
      <c r="AQ350" s="786"/>
      <c r="AR350" s="786"/>
      <c r="AS350" s="786"/>
      <c r="AT350" s="786"/>
      <c r="AU350" s="787"/>
      <c r="AV350" s="787"/>
      <c r="AW350" s="787"/>
      <c r="AX350" s="784"/>
      <c r="AY350" s="1249"/>
    </row>
    <row r="351" spans="1:51" ht="27.75" thickBot="1" x14ac:dyDescent="0.3">
      <c r="A351" s="1195"/>
      <c r="B351" s="833"/>
      <c r="C351" s="809"/>
      <c r="D351" s="140" t="s">
        <v>45</v>
      </c>
      <c r="E351" s="142"/>
      <c r="F351" s="143"/>
      <c r="G351" s="445"/>
      <c r="H351" s="445"/>
      <c r="I351" s="445"/>
      <c r="J351" s="445"/>
      <c r="K351" s="445"/>
      <c r="L351" s="445">
        <f>+L350*$L$299/$L$298</f>
        <v>2538925.7142857141</v>
      </c>
      <c r="M351" s="445">
        <f>+M350*$M$299/$M$298</f>
        <v>2308114.2857142859</v>
      </c>
      <c r="N351" s="445">
        <f>+N350*$N$299/$N$298</f>
        <v>2538925.7142857141</v>
      </c>
      <c r="O351" s="445">
        <f>+O350*$O$299/$O$298</f>
        <v>2538925.7142857141</v>
      </c>
      <c r="P351" s="445">
        <f>+P350*$P$299/$P$298</f>
        <v>2538925.7142857141</v>
      </c>
      <c r="Q351" s="445">
        <f>+Q350*$Q$299/$Q$298</f>
        <v>2538925.7142857141</v>
      </c>
      <c r="R351" s="445">
        <f>+R350*$R$299/$R$298</f>
        <v>2510237.2881355933</v>
      </c>
      <c r="S351" s="446"/>
      <c r="T351" s="446"/>
      <c r="U351" s="445"/>
      <c r="V351" s="445"/>
      <c r="W351" s="445"/>
      <c r="X351" s="445"/>
      <c r="Y351" s="445">
        <f>+Y350*$Y$299/$Y$298</f>
        <v>4590000</v>
      </c>
      <c r="Z351" s="445">
        <f>+Z350*$Z$299/$Z$298</f>
        <v>3934924.5007306379</v>
      </c>
      <c r="AA351" s="445">
        <f>+AA350*$AA$299/$AA$298</f>
        <v>3417258.883248731</v>
      </c>
      <c r="AB351" s="445">
        <f>+AB350*$AB$299/$AB$298</f>
        <v>3038134.6370816096</v>
      </c>
      <c r="AC351" s="445">
        <f>+AC350*$AC$299/$AC$298</f>
        <v>2737512.7075567604</v>
      </c>
      <c r="AD351" s="445">
        <f>+AD350*$AD$299/$AD$298</f>
        <v>2491795.1881554597</v>
      </c>
      <c r="AE351" s="445">
        <f>+AE350*$AE$299/$AE$298</f>
        <v>2510237.2881355933</v>
      </c>
      <c r="AF351" s="1218"/>
      <c r="AG351" s="1196"/>
      <c r="AH351" s="790"/>
      <c r="AI351" s="790"/>
      <c r="AJ351" s="794"/>
      <c r="AK351" s="790"/>
      <c r="AL351" s="790"/>
      <c r="AM351" s="790"/>
      <c r="AN351" s="791"/>
      <c r="AO351" s="805"/>
      <c r="AP351" s="805"/>
      <c r="AQ351" s="786"/>
      <c r="AR351" s="786"/>
      <c r="AS351" s="786"/>
      <c r="AT351" s="786"/>
      <c r="AU351" s="787"/>
      <c r="AV351" s="787"/>
      <c r="AW351" s="787"/>
      <c r="AX351" s="785"/>
      <c r="AY351" s="1249"/>
    </row>
    <row r="352" spans="1:51" ht="19.350000000000001" customHeight="1" x14ac:dyDescent="0.25">
      <c r="A352" s="1195"/>
      <c r="B352" s="833"/>
      <c r="C352" s="809" t="s">
        <v>482</v>
      </c>
      <c r="D352" s="141" t="s">
        <v>41</v>
      </c>
      <c r="E352" s="142"/>
      <c r="F352" s="143"/>
      <c r="G352" s="445"/>
      <c r="H352" s="445"/>
      <c r="I352" s="445"/>
      <c r="J352" s="445"/>
      <c r="K352" s="445">
        <v>320</v>
      </c>
      <c r="L352" s="445">
        <v>320</v>
      </c>
      <c r="M352" s="445">
        <v>320</v>
      </c>
      <c r="N352" s="448">
        <v>320</v>
      </c>
      <c r="O352" s="449">
        <v>320</v>
      </c>
      <c r="P352" s="445">
        <v>320</v>
      </c>
      <c r="Q352" s="445">
        <v>320</v>
      </c>
      <c r="R352" s="447">
        <v>320</v>
      </c>
      <c r="S352" s="446"/>
      <c r="T352" s="445"/>
      <c r="U352" s="445"/>
      <c r="V352" s="446"/>
      <c r="W352" s="446"/>
      <c r="X352" s="448">
        <v>320</v>
      </c>
      <c r="Y352" s="446">
        <v>320</v>
      </c>
      <c r="Z352" s="446">
        <v>320</v>
      </c>
      <c r="AA352" s="448">
        <v>320</v>
      </c>
      <c r="AB352" s="449">
        <v>320</v>
      </c>
      <c r="AC352" s="445">
        <v>320</v>
      </c>
      <c r="AD352" s="445">
        <v>320</v>
      </c>
      <c r="AE352" s="447">
        <v>320</v>
      </c>
      <c r="AF352" s="1218" t="s">
        <v>896</v>
      </c>
      <c r="AG352" s="1194" t="s">
        <v>484</v>
      </c>
      <c r="AH352" s="788" t="s">
        <v>485</v>
      </c>
      <c r="AI352" s="788" t="s">
        <v>486</v>
      </c>
      <c r="AJ352" s="792" t="s">
        <v>839</v>
      </c>
      <c r="AK352" s="788" t="s">
        <v>315</v>
      </c>
      <c r="AL352" s="788" t="s">
        <v>70</v>
      </c>
      <c r="AM352" s="788" t="s">
        <v>480</v>
      </c>
      <c r="AN352" s="791">
        <v>163231</v>
      </c>
      <c r="AO352" s="805">
        <v>77499</v>
      </c>
      <c r="AP352" s="805">
        <v>85731</v>
      </c>
      <c r="AQ352" s="786" t="s">
        <v>317</v>
      </c>
      <c r="AR352" s="786" t="s">
        <v>317</v>
      </c>
      <c r="AS352" s="786" t="s">
        <v>317</v>
      </c>
      <c r="AT352" s="786" t="s">
        <v>317</v>
      </c>
      <c r="AU352" s="787" t="s">
        <v>317</v>
      </c>
      <c r="AV352" s="787" t="s">
        <v>317</v>
      </c>
      <c r="AW352" s="787" t="s">
        <v>317</v>
      </c>
      <c r="AX352" s="783">
        <v>163231</v>
      </c>
      <c r="AY352" s="1249"/>
    </row>
    <row r="353" spans="1:51" ht="18" x14ac:dyDescent="0.25">
      <c r="A353" s="1195"/>
      <c r="B353" s="833"/>
      <c r="C353" s="809"/>
      <c r="D353" s="132" t="s">
        <v>3</v>
      </c>
      <c r="E353" s="142"/>
      <c r="F353" s="143"/>
      <c r="G353" s="445"/>
      <c r="H353" s="445"/>
      <c r="I353" s="445"/>
      <c r="J353" s="445"/>
      <c r="K353" s="445">
        <f>+K352*$K$299/$K$298</f>
        <v>2486857.1428571427</v>
      </c>
      <c r="L353" s="445">
        <f>+L352*$L$299/$L$298</f>
        <v>2735542.8571428573</v>
      </c>
      <c r="M353" s="445">
        <f>+M352*$M$299/$M$298</f>
        <v>2486857.1428571427</v>
      </c>
      <c r="N353" s="445">
        <f>+N352*$N$299/$N$298</f>
        <v>2735542.8571428573</v>
      </c>
      <c r="O353" s="445">
        <f>+O352*$O$299/$O$298</f>
        <v>2735542.8571428573</v>
      </c>
      <c r="P353" s="445">
        <f>+P352*$P$299/$P$298</f>
        <v>2735542.8571428573</v>
      </c>
      <c r="Q353" s="445">
        <f>+Q352*$Q$299/$Q$298</f>
        <v>2735542.8571428573</v>
      </c>
      <c r="R353" s="445">
        <f>+R352*$R$299/$R$298</f>
        <v>2704632.768361582</v>
      </c>
      <c r="S353" s="446"/>
      <c r="T353" s="445"/>
      <c r="U353" s="445"/>
      <c r="V353" s="445"/>
      <c r="W353" s="445"/>
      <c r="X353" s="445">
        <f>+X352*$X$299/$X$298</f>
        <v>5949419.0020505814</v>
      </c>
      <c r="Y353" s="445">
        <f>+Y352*$Y$299/$Y$298</f>
        <v>4945454.5454545459</v>
      </c>
      <c r="Z353" s="445">
        <f>+Z352*$Z$299/$Z$298</f>
        <v>4239649.2937165126</v>
      </c>
      <c r="AA353" s="445">
        <f>+AA352*$AA$299/$AA$298</f>
        <v>3681895.0930626057</v>
      </c>
      <c r="AB353" s="445">
        <f>+AB352*$AB$299/$AB$298</f>
        <v>3273411.0567882662</v>
      </c>
      <c r="AC353" s="445">
        <f>+AC352*$AC$299/$AC$298</f>
        <v>2949508.6411385969</v>
      </c>
      <c r="AD353" s="445">
        <f>+AD352*$AD$299/$AD$298</f>
        <v>2684762.4922887105</v>
      </c>
      <c r="AE353" s="445">
        <f>+AE352*$AE$299/$AE$298</f>
        <v>2704632.768361582</v>
      </c>
      <c r="AF353" s="1218"/>
      <c r="AG353" s="1195"/>
      <c r="AH353" s="789"/>
      <c r="AI353" s="789"/>
      <c r="AJ353" s="793"/>
      <c r="AK353" s="789"/>
      <c r="AL353" s="789"/>
      <c r="AM353" s="789"/>
      <c r="AN353" s="791"/>
      <c r="AO353" s="805"/>
      <c r="AP353" s="805"/>
      <c r="AQ353" s="786"/>
      <c r="AR353" s="786"/>
      <c r="AS353" s="786"/>
      <c r="AT353" s="786"/>
      <c r="AU353" s="787"/>
      <c r="AV353" s="787"/>
      <c r="AW353" s="787"/>
      <c r="AX353" s="784"/>
      <c r="AY353" s="1249"/>
    </row>
    <row r="354" spans="1:51" ht="27" x14ac:dyDescent="0.25">
      <c r="A354" s="1195"/>
      <c r="B354" s="833"/>
      <c r="C354" s="809"/>
      <c r="D354" s="136" t="s">
        <v>42</v>
      </c>
      <c r="E354" s="142"/>
      <c r="F354" s="143"/>
      <c r="G354" s="445"/>
      <c r="H354" s="445"/>
      <c r="I354" s="445"/>
      <c r="J354" s="445"/>
      <c r="K354" s="445"/>
      <c r="L354" s="445"/>
      <c r="M354" s="445"/>
      <c r="N354" s="448"/>
      <c r="O354" s="445"/>
      <c r="P354" s="445"/>
      <c r="Q354" s="445"/>
      <c r="R354" s="447"/>
      <c r="S354" s="446"/>
      <c r="T354" s="446"/>
      <c r="U354" s="445"/>
      <c r="V354" s="446"/>
      <c r="W354" s="446"/>
      <c r="X354" s="446"/>
      <c r="Y354" s="446"/>
      <c r="Z354" s="446"/>
      <c r="AA354" s="448"/>
      <c r="AB354" s="445"/>
      <c r="AC354" s="445"/>
      <c r="AD354" s="445"/>
      <c r="AE354" s="447"/>
      <c r="AF354" s="1218"/>
      <c r="AG354" s="1195"/>
      <c r="AH354" s="789"/>
      <c r="AI354" s="789"/>
      <c r="AJ354" s="793"/>
      <c r="AK354" s="789"/>
      <c r="AL354" s="789"/>
      <c r="AM354" s="789"/>
      <c r="AN354" s="791"/>
      <c r="AO354" s="805"/>
      <c r="AP354" s="805"/>
      <c r="AQ354" s="786"/>
      <c r="AR354" s="786"/>
      <c r="AS354" s="786"/>
      <c r="AT354" s="786"/>
      <c r="AU354" s="787"/>
      <c r="AV354" s="787"/>
      <c r="AW354" s="787"/>
      <c r="AX354" s="784"/>
      <c r="AY354" s="1249"/>
    </row>
    <row r="355" spans="1:51" ht="27" x14ac:dyDescent="0.25">
      <c r="A355" s="1195"/>
      <c r="B355" s="833"/>
      <c r="C355" s="809"/>
      <c r="D355" s="132" t="s">
        <v>4</v>
      </c>
      <c r="E355" s="142"/>
      <c r="F355" s="143"/>
      <c r="G355" s="445"/>
      <c r="H355" s="445"/>
      <c r="I355" s="445"/>
      <c r="J355" s="445"/>
      <c r="K355" s="445"/>
      <c r="L355" s="445"/>
      <c r="M355" s="445"/>
      <c r="N355" s="448"/>
      <c r="O355" s="445"/>
      <c r="P355" s="445"/>
      <c r="Q355" s="445"/>
      <c r="R355" s="447"/>
      <c r="S355" s="446"/>
      <c r="T355" s="445"/>
      <c r="U355" s="445"/>
      <c r="V355" s="446"/>
      <c r="W355" s="446"/>
      <c r="X355" s="446"/>
      <c r="Y355" s="446"/>
      <c r="Z355" s="446"/>
      <c r="AA355" s="448"/>
      <c r="AB355" s="445"/>
      <c r="AC355" s="445"/>
      <c r="AD355" s="445"/>
      <c r="AE355" s="447"/>
      <c r="AF355" s="1218"/>
      <c r="AG355" s="1195"/>
      <c r="AH355" s="789"/>
      <c r="AI355" s="789"/>
      <c r="AJ355" s="793"/>
      <c r="AK355" s="789"/>
      <c r="AL355" s="789"/>
      <c r="AM355" s="789"/>
      <c r="AN355" s="791"/>
      <c r="AO355" s="805"/>
      <c r="AP355" s="805"/>
      <c r="AQ355" s="786"/>
      <c r="AR355" s="786"/>
      <c r="AS355" s="786"/>
      <c r="AT355" s="786"/>
      <c r="AU355" s="787"/>
      <c r="AV355" s="787"/>
      <c r="AW355" s="787"/>
      <c r="AX355" s="784"/>
      <c r="AY355" s="1249"/>
    </row>
    <row r="356" spans="1:51" ht="27" x14ac:dyDescent="0.25">
      <c r="A356" s="1195"/>
      <c r="B356" s="833"/>
      <c r="C356" s="809"/>
      <c r="D356" s="136" t="s">
        <v>43</v>
      </c>
      <c r="E356" s="142"/>
      <c r="F356" s="143"/>
      <c r="G356" s="445"/>
      <c r="H356" s="445"/>
      <c r="I356" s="445"/>
      <c r="J356" s="445"/>
      <c r="K356" s="445">
        <v>320</v>
      </c>
      <c r="L356" s="445">
        <v>320</v>
      </c>
      <c r="M356" s="445">
        <v>320</v>
      </c>
      <c r="N356" s="448">
        <v>320</v>
      </c>
      <c r="O356" s="445">
        <v>320</v>
      </c>
      <c r="P356" s="445">
        <v>320</v>
      </c>
      <c r="Q356" s="445">
        <v>320</v>
      </c>
      <c r="R356" s="447">
        <v>320</v>
      </c>
      <c r="S356" s="446"/>
      <c r="T356" s="446"/>
      <c r="U356" s="445"/>
      <c r="V356" s="446"/>
      <c r="W356" s="446"/>
      <c r="X356" s="446">
        <v>320</v>
      </c>
      <c r="Y356" s="446">
        <v>320</v>
      </c>
      <c r="Z356" s="446">
        <v>320</v>
      </c>
      <c r="AA356" s="448">
        <v>320</v>
      </c>
      <c r="AB356" s="445">
        <v>320</v>
      </c>
      <c r="AC356" s="445">
        <v>320</v>
      </c>
      <c r="AD356" s="445">
        <v>320</v>
      </c>
      <c r="AE356" s="447">
        <v>320</v>
      </c>
      <c r="AF356" s="1218"/>
      <c r="AG356" s="1195"/>
      <c r="AH356" s="789"/>
      <c r="AI356" s="789"/>
      <c r="AJ356" s="793"/>
      <c r="AK356" s="789"/>
      <c r="AL356" s="789"/>
      <c r="AM356" s="789"/>
      <c r="AN356" s="791"/>
      <c r="AO356" s="805"/>
      <c r="AP356" s="805"/>
      <c r="AQ356" s="786"/>
      <c r="AR356" s="786"/>
      <c r="AS356" s="786"/>
      <c r="AT356" s="786"/>
      <c r="AU356" s="787"/>
      <c r="AV356" s="787"/>
      <c r="AW356" s="787"/>
      <c r="AX356" s="784"/>
      <c r="AY356" s="1249"/>
    </row>
    <row r="357" spans="1:51" ht="27.75" thickBot="1" x14ac:dyDescent="0.3">
      <c r="A357" s="1195"/>
      <c r="B357" s="833"/>
      <c r="C357" s="809"/>
      <c r="D357" s="140" t="s">
        <v>45</v>
      </c>
      <c r="E357" s="142"/>
      <c r="F357" s="143"/>
      <c r="G357" s="445"/>
      <c r="H357" s="445"/>
      <c r="I357" s="445"/>
      <c r="J357" s="445"/>
      <c r="K357" s="445">
        <f>+K356*$K$299/$K$298</f>
        <v>2486857.1428571427</v>
      </c>
      <c r="L357" s="445">
        <f>+L356*$L$299/$L$298</f>
        <v>2735542.8571428573</v>
      </c>
      <c r="M357" s="445">
        <f>+M356*$M$299/$M$298</f>
        <v>2486857.1428571427</v>
      </c>
      <c r="N357" s="445">
        <f>+N356*$N$299/$N$298</f>
        <v>2735542.8571428573</v>
      </c>
      <c r="O357" s="445">
        <f>+O356*$O$299/$O$298</f>
        <v>2735542.8571428573</v>
      </c>
      <c r="P357" s="445">
        <f>+P356*$P$299/$P$298</f>
        <v>2735542.8571428573</v>
      </c>
      <c r="Q357" s="445">
        <f>+Q356*$Q$299/$Q$298</f>
        <v>2735542.8571428573</v>
      </c>
      <c r="R357" s="445">
        <f>+R356*$R$299/$R$298</f>
        <v>2704632.768361582</v>
      </c>
      <c r="S357" s="446"/>
      <c r="T357" s="446"/>
      <c r="U357" s="445"/>
      <c r="V357" s="445"/>
      <c r="W357" s="445"/>
      <c r="X357" s="445">
        <f>+X356*$X$299/$X$298</f>
        <v>5949419.0020505814</v>
      </c>
      <c r="Y357" s="445">
        <f>+Y356*$Y$299/$Y$298</f>
        <v>4945454.5454545459</v>
      </c>
      <c r="Z357" s="445">
        <f>+Z356*$Z$299/$Z$298</f>
        <v>4239649.2937165126</v>
      </c>
      <c r="AA357" s="445">
        <f>+AA356*$AA$299/$AA$298</f>
        <v>3681895.0930626057</v>
      </c>
      <c r="AB357" s="445">
        <f>+AB356*$AB$299/$AB$298</f>
        <v>3273411.0567882662</v>
      </c>
      <c r="AC357" s="445">
        <f>+AC356*$AC$299/$AC$298</f>
        <v>2949508.6411385969</v>
      </c>
      <c r="AD357" s="445">
        <f>+AD356*$AD$299/$AD$298</f>
        <v>2684762.4922887105</v>
      </c>
      <c r="AE357" s="445">
        <f>+AE356*$AE$299/$AE$298</f>
        <v>2704632.768361582</v>
      </c>
      <c r="AF357" s="1218"/>
      <c r="AG357" s="1196"/>
      <c r="AH357" s="790"/>
      <c r="AI357" s="790"/>
      <c r="AJ357" s="794"/>
      <c r="AK357" s="790"/>
      <c r="AL357" s="790"/>
      <c r="AM357" s="790"/>
      <c r="AN357" s="791"/>
      <c r="AO357" s="805"/>
      <c r="AP357" s="805"/>
      <c r="AQ357" s="786"/>
      <c r="AR357" s="786"/>
      <c r="AS357" s="786"/>
      <c r="AT357" s="786"/>
      <c r="AU357" s="787"/>
      <c r="AV357" s="787"/>
      <c r="AW357" s="787"/>
      <c r="AX357" s="785"/>
      <c r="AY357" s="1249"/>
    </row>
    <row r="358" spans="1:51" ht="19.350000000000001" customHeight="1" x14ac:dyDescent="0.25">
      <c r="A358" s="1195"/>
      <c r="B358" s="833"/>
      <c r="C358" s="809" t="s">
        <v>487</v>
      </c>
      <c r="D358" s="141" t="s">
        <v>41</v>
      </c>
      <c r="E358" s="142"/>
      <c r="F358" s="143"/>
      <c r="G358" s="445"/>
      <c r="H358" s="445">
        <v>216</v>
      </c>
      <c r="I358" s="445">
        <v>216</v>
      </c>
      <c r="J358" s="445">
        <v>216</v>
      </c>
      <c r="K358" s="445">
        <v>216</v>
      </c>
      <c r="L358" s="445">
        <v>216</v>
      </c>
      <c r="M358" s="445">
        <v>216</v>
      </c>
      <c r="N358" s="448">
        <v>216</v>
      </c>
      <c r="O358" s="449">
        <v>216</v>
      </c>
      <c r="P358" s="445">
        <v>216</v>
      </c>
      <c r="Q358" s="445">
        <v>216</v>
      </c>
      <c r="R358" s="447">
        <v>216</v>
      </c>
      <c r="S358" s="446"/>
      <c r="T358" s="445"/>
      <c r="U358" s="445">
        <v>216</v>
      </c>
      <c r="V358" s="446">
        <v>216</v>
      </c>
      <c r="W358" s="446">
        <v>216</v>
      </c>
      <c r="X358" s="446">
        <v>216</v>
      </c>
      <c r="Y358" s="446">
        <v>216</v>
      </c>
      <c r="Z358" s="446">
        <v>216</v>
      </c>
      <c r="AA358" s="448">
        <v>216</v>
      </c>
      <c r="AB358" s="449">
        <v>216</v>
      </c>
      <c r="AC358" s="445">
        <v>216</v>
      </c>
      <c r="AD358" s="445">
        <v>216</v>
      </c>
      <c r="AE358" s="447">
        <v>216</v>
      </c>
      <c r="AF358" s="1218" t="s">
        <v>731</v>
      </c>
      <c r="AG358" s="1194" t="s">
        <v>484</v>
      </c>
      <c r="AH358" s="788" t="s">
        <v>489</v>
      </c>
      <c r="AI358" s="788" t="s">
        <v>490</v>
      </c>
      <c r="AJ358" s="792" t="s">
        <v>839</v>
      </c>
      <c r="AK358" s="788" t="s">
        <v>315</v>
      </c>
      <c r="AL358" s="788" t="s">
        <v>70</v>
      </c>
      <c r="AM358" s="788" t="s">
        <v>480</v>
      </c>
      <c r="AN358" s="791">
        <v>163231</v>
      </c>
      <c r="AO358" s="805">
        <v>77499</v>
      </c>
      <c r="AP358" s="805">
        <v>85731</v>
      </c>
      <c r="AQ358" s="786" t="s">
        <v>317</v>
      </c>
      <c r="AR358" s="786" t="s">
        <v>317</v>
      </c>
      <c r="AS358" s="786" t="s">
        <v>317</v>
      </c>
      <c r="AT358" s="786" t="s">
        <v>317</v>
      </c>
      <c r="AU358" s="787" t="s">
        <v>317</v>
      </c>
      <c r="AV358" s="787" t="s">
        <v>317</v>
      </c>
      <c r="AW358" s="787" t="s">
        <v>317</v>
      </c>
      <c r="AX358" s="783">
        <v>163231</v>
      </c>
      <c r="AY358" s="1249"/>
    </row>
    <row r="359" spans="1:51" ht="18" x14ac:dyDescent="0.25">
      <c r="A359" s="1195"/>
      <c r="B359" s="833"/>
      <c r="C359" s="809"/>
      <c r="D359" s="132" t="s">
        <v>3</v>
      </c>
      <c r="E359" s="142"/>
      <c r="F359" s="143"/>
      <c r="G359" s="445"/>
      <c r="H359" s="445">
        <v>2115874.2857142859</v>
      </c>
      <c r="I359" s="445">
        <v>2115874.2857142859</v>
      </c>
      <c r="J359" s="445">
        <v>1678628.5714285714</v>
      </c>
      <c r="K359" s="445">
        <f>+K358*$K$299/$K$298</f>
        <v>1678628.5714285714</v>
      </c>
      <c r="L359" s="445">
        <f>+L358*$L$299/$L$298</f>
        <v>1846491.4285714286</v>
      </c>
      <c r="M359" s="445">
        <f>+M358*$M$299/$M$298</f>
        <v>1678628.5714285714</v>
      </c>
      <c r="N359" s="445">
        <f>+N358*$N$299/$N$298</f>
        <v>1846491.4285714286</v>
      </c>
      <c r="O359" s="445">
        <f>+O358*$O$299/$O$298</f>
        <v>1846491.4285714286</v>
      </c>
      <c r="P359" s="445">
        <f>+P358*$P$299/$P$298</f>
        <v>1846491.4285714286</v>
      </c>
      <c r="Q359" s="445">
        <f>+Q358*$Q$299/$Q$298</f>
        <v>1846491.4285714286</v>
      </c>
      <c r="R359" s="445">
        <f>+R358*$R$299/$R$298</f>
        <v>1825627.1186440678</v>
      </c>
      <c r="S359" s="446"/>
      <c r="T359" s="445"/>
      <c r="U359" s="445">
        <v>10740767.824497258</v>
      </c>
      <c r="V359" s="445">
        <v>6969395.0177935939</v>
      </c>
      <c r="W359" s="445">
        <v>5140157.4803149607</v>
      </c>
      <c r="X359" s="445">
        <f>+X358*$X$299/$X$298</f>
        <v>4015857.826384142</v>
      </c>
      <c r="Y359" s="445">
        <f>+Y358*$Y$299/$Y$298</f>
        <v>3338181.8181818184</v>
      </c>
      <c r="Z359" s="445">
        <f>+Z358*$Z$299/$Z$298</f>
        <v>2861763.273258646</v>
      </c>
      <c r="AA359" s="445">
        <f>+AA358*$AA$299/$AA$298</f>
        <v>2485279.1878172588</v>
      </c>
      <c r="AB359" s="445">
        <f>+AB358*$AB$299/$AB$298</f>
        <v>2209552.4633320798</v>
      </c>
      <c r="AC359" s="445">
        <f>+AC358*$AC$299/$AC$298</f>
        <v>1990918.3327685529</v>
      </c>
      <c r="AD359" s="445">
        <f>+AD358*$AD$299/$AD$298</f>
        <v>1812214.6822948798</v>
      </c>
      <c r="AE359" s="445">
        <f>+AE358*$AE$299/$AE$298</f>
        <v>1825627.1186440678</v>
      </c>
      <c r="AF359" s="1218"/>
      <c r="AG359" s="1195"/>
      <c r="AH359" s="789"/>
      <c r="AI359" s="789"/>
      <c r="AJ359" s="793"/>
      <c r="AK359" s="789"/>
      <c r="AL359" s="789"/>
      <c r="AM359" s="789"/>
      <c r="AN359" s="791"/>
      <c r="AO359" s="805"/>
      <c r="AP359" s="805"/>
      <c r="AQ359" s="786"/>
      <c r="AR359" s="786"/>
      <c r="AS359" s="786"/>
      <c r="AT359" s="786"/>
      <c r="AU359" s="787"/>
      <c r="AV359" s="787"/>
      <c r="AW359" s="787"/>
      <c r="AX359" s="784"/>
      <c r="AY359" s="1249"/>
    </row>
    <row r="360" spans="1:51" ht="27" x14ac:dyDescent="0.25">
      <c r="A360" s="1195"/>
      <c r="B360" s="833"/>
      <c r="C360" s="809"/>
      <c r="D360" s="136" t="s">
        <v>42</v>
      </c>
      <c r="E360" s="142"/>
      <c r="F360" s="143"/>
      <c r="G360" s="445"/>
      <c r="H360" s="445"/>
      <c r="I360" s="445"/>
      <c r="J360" s="445"/>
      <c r="K360" s="445"/>
      <c r="L360" s="445"/>
      <c r="M360" s="445"/>
      <c r="N360" s="448"/>
      <c r="O360" s="445"/>
      <c r="P360" s="445"/>
      <c r="Q360" s="445"/>
      <c r="R360" s="447"/>
      <c r="S360" s="446"/>
      <c r="T360" s="446"/>
      <c r="U360" s="445"/>
      <c r="V360" s="446"/>
      <c r="W360" s="446"/>
      <c r="X360" s="446"/>
      <c r="Y360" s="446"/>
      <c r="Z360" s="446"/>
      <c r="AA360" s="448"/>
      <c r="AB360" s="445"/>
      <c r="AC360" s="445"/>
      <c r="AD360" s="445"/>
      <c r="AE360" s="447"/>
      <c r="AF360" s="1218"/>
      <c r="AG360" s="1195"/>
      <c r="AH360" s="789"/>
      <c r="AI360" s="789"/>
      <c r="AJ360" s="793"/>
      <c r="AK360" s="789"/>
      <c r="AL360" s="789"/>
      <c r="AM360" s="789"/>
      <c r="AN360" s="791"/>
      <c r="AO360" s="805"/>
      <c r="AP360" s="805"/>
      <c r="AQ360" s="786"/>
      <c r="AR360" s="786"/>
      <c r="AS360" s="786"/>
      <c r="AT360" s="786"/>
      <c r="AU360" s="787"/>
      <c r="AV360" s="787"/>
      <c r="AW360" s="787"/>
      <c r="AX360" s="784"/>
      <c r="AY360" s="1249"/>
    </row>
    <row r="361" spans="1:51" ht="27" x14ac:dyDescent="0.25">
      <c r="A361" s="1195"/>
      <c r="B361" s="833"/>
      <c r="C361" s="809"/>
      <c r="D361" s="132" t="s">
        <v>4</v>
      </c>
      <c r="E361" s="142"/>
      <c r="F361" s="143"/>
      <c r="G361" s="445"/>
      <c r="H361" s="445"/>
      <c r="I361" s="445"/>
      <c r="J361" s="445"/>
      <c r="K361" s="445"/>
      <c r="L361" s="445"/>
      <c r="M361" s="445"/>
      <c r="N361" s="448"/>
      <c r="O361" s="445"/>
      <c r="P361" s="445"/>
      <c r="Q361" s="445"/>
      <c r="R361" s="447"/>
      <c r="S361" s="446"/>
      <c r="T361" s="445"/>
      <c r="U361" s="445"/>
      <c r="V361" s="446"/>
      <c r="W361" s="446"/>
      <c r="X361" s="446"/>
      <c r="Y361" s="446"/>
      <c r="Z361" s="446"/>
      <c r="AA361" s="448"/>
      <c r="AB361" s="445"/>
      <c r="AC361" s="445"/>
      <c r="AD361" s="445"/>
      <c r="AE361" s="447"/>
      <c r="AF361" s="1218"/>
      <c r="AG361" s="1195"/>
      <c r="AH361" s="789"/>
      <c r="AI361" s="789"/>
      <c r="AJ361" s="793"/>
      <c r="AK361" s="789"/>
      <c r="AL361" s="789"/>
      <c r="AM361" s="789"/>
      <c r="AN361" s="791"/>
      <c r="AO361" s="805"/>
      <c r="AP361" s="805"/>
      <c r="AQ361" s="786"/>
      <c r="AR361" s="786"/>
      <c r="AS361" s="786"/>
      <c r="AT361" s="786"/>
      <c r="AU361" s="787"/>
      <c r="AV361" s="787"/>
      <c r="AW361" s="787"/>
      <c r="AX361" s="784"/>
      <c r="AY361" s="1249"/>
    </row>
    <row r="362" spans="1:51" ht="27" x14ac:dyDescent="0.25">
      <c r="A362" s="1195"/>
      <c r="B362" s="833"/>
      <c r="C362" s="809"/>
      <c r="D362" s="136" t="s">
        <v>43</v>
      </c>
      <c r="E362" s="142"/>
      <c r="F362" s="143"/>
      <c r="G362" s="445"/>
      <c r="H362" s="445">
        <v>216</v>
      </c>
      <c r="I362" s="445">
        <v>216</v>
      </c>
      <c r="J362" s="445">
        <v>216</v>
      </c>
      <c r="K362" s="445">
        <v>216</v>
      </c>
      <c r="L362" s="445">
        <v>216</v>
      </c>
      <c r="M362" s="445">
        <v>216</v>
      </c>
      <c r="N362" s="448">
        <v>216</v>
      </c>
      <c r="O362" s="445">
        <v>216</v>
      </c>
      <c r="P362" s="445">
        <v>216</v>
      </c>
      <c r="Q362" s="445">
        <v>216</v>
      </c>
      <c r="R362" s="447">
        <v>216</v>
      </c>
      <c r="S362" s="446"/>
      <c r="T362" s="446"/>
      <c r="U362" s="445">
        <v>216</v>
      </c>
      <c r="V362" s="446">
        <v>216</v>
      </c>
      <c r="W362" s="446">
        <v>216</v>
      </c>
      <c r="X362" s="446">
        <v>216</v>
      </c>
      <c r="Y362" s="446">
        <v>216</v>
      </c>
      <c r="Z362" s="446">
        <v>216</v>
      </c>
      <c r="AA362" s="448">
        <v>216</v>
      </c>
      <c r="AB362" s="445">
        <v>216</v>
      </c>
      <c r="AC362" s="445">
        <v>216</v>
      </c>
      <c r="AD362" s="445">
        <v>216</v>
      </c>
      <c r="AE362" s="447">
        <v>216</v>
      </c>
      <c r="AF362" s="1218"/>
      <c r="AG362" s="1195"/>
      <c r="AH362" s="789"/>
      <c r="AI362" s="789"/>
      <c r="AJ362" s="793"/>
      <c r="AK362" s="789"/>
      <c r="AL362" s="789"/>
      <c r="AM362" s="789"/>
      <c r="AN362" s="791"/>
      <c r="AO362" s="805"/>
      <c r="AP362" s="805"/>
      <c r="AQ362" s="786"/>
      <c r="AR362" s="786"/>
      <c r="AS362" s="786"/>
      <c r="AT362" s="786"/>
      <c r="AU362" s="787"/>
      <c r="AV362" s="787"/>
      <c r="AW362" s="787"/>
      <c r="AX362" s="784"/>
      <c r="AY362" s="1249"/>
    </row>
    <row r="363" spans="1:51" ht="27.75" thickBot="1" x14ac:dyDescent="0.3">
      <c r="A363" s="1195"/>
      <c r="B363" s="833"/>
      <c r="C363" s="809"/>
      <c r="D363" s="140" t="s">
        <v>45</v>
      </c>
      <c r="E363" s="142"/>
      <c r="F363" s="143"/>
      <c r="G363" s="445"/>
      <c r="H363" s="445">
        <v>2115874.2857142859</v>
      </c>
      <c r="I363" s="445">
        <v>2115874.2857142859</v>
      </c>
      <c r="J363" s="445">
        <v>1678628.5714285714</v>
      </c>
      <c r="K363" s="445">
        <f>+K362*$K$299/$K$298</f>
        <v>1678628.5714285714</v>
      </c>
      <c r="L363" s="445">
        <f>+L362*$L$299/$L$298</f>
        <v>1846491.4285714286</v>
      </c>
      <c r="M363" s="445">
        <f>+M362*$M$299/$M$298</f>
        <v>1678628.5714285714</v>
      </c>
      <c r="N363" s="445">
        <f>+N362*$N$299/$N$298</f>
        <v>1846491.4285714286</v>
      </c>
      <c r="O363" s="445">
        <f>+O362*$O$299/$O$298</f>
        <v>1846491.4285714286</v>
      </c>
      <c r="P363" s="445">
        <f>+P362*$P$299/$P$298</f>
        <v>1846491.4285714286</v>
      </c>
      <c r="Q363" s="445">
        <f>+Q362*$Q$299/$Q$298</f>
        <v>1846491.4285714286</v>
      </c>
      <c r="R363" s="445">
        <f>+R362*$R$299/$R$298</f>
        <v>1825627.1186440678</v>
      </c>
      <c r="S363" s="446"/>
      <c r="T363" s="446"/>
      <c r="U363" s="445">
        <v>10740767.824497258</v>
      </c>
      <c r="V363" s="445">
        <v>6969395.0177935939</v>
      </c>
      <c r="W363" s="445">
        <v>5140157.4803149607</v>
      </c>
      <c r="X363" s="445">
        <f>+X362*$X$299/$X$298</f>
        <v>4015857.826384142</v>
      </c>
      <c r="Y363" s="445">
        <f>+Y362*$Y$299/$Y$298</f>
        <v>3338181.8181818184</v>
      </c>
      <c r="Z363" s="445">
        <f>+Z362*$Z$299/$Z$298</f>
        <v>2861763.273258646</v>
      </c>
      <c r="AA363" s="445">
        <f>+AA362*$AA$299/$AA$298</f>
        <v>2485279.1878172588</v>
      </c>
      <c r="AB363" s="445">
        <f>+AB362*$AB$299/$AB$298</f>
        <v>2209552.4633320798</v>
      </c>
      <c r="AC363" s="445">
        <f>+AC362*$AC$299/$AC$298</f>
        <v>1990918.3327685529</v>
      </c>
      <c r="AD363" s="445">
        <f>+AD362*$AD$299/$AD$298</f>
        <v>1812214.6822948798</v>
      </c>
      <c r="AE363" s="445">
        <f>+AE362*$AE$299/$AE$298</f>
        <v>1825627.1186440678</v>
      </c>
      <c r="AF363" s="1218"/>
      <c r="AG363" s="1196"/>
      <c r="AH363" s="790"/>
      <c r="AI363" s="790"/>
      <c r="AJ363" s="794"/>
      <c r="AK363" s="790"/>
      <c r="AL363" s="790"/>
      <c r="AM363" s="790"/>
      <c r="AN363" s="791"/>
      <c r="AO363" s="805"/>
      <c r="AP363" s="805"/>
      <c r="AQ363" s="786"/>
      <c r="AR363" s="786"/>
      <c r="AS363" s="786"/>
      <c r="AT363" s="786"/>
      <c r="AU363" s="787"/>
      <c r="AV363" s="787"/>
      <c r="AW363" s="787"/>
      <c r="AX363" s="785"/>
      <c r="AY363" s="1249"/>
    </row>
    <row r="364" spans="1:51" ht="18.75" customHeight="1" x14ac:dyDescent="0.25">
      <c r="A364" s="1195"/>
      <c r="B364" s="833"/>
      <c r="C364" s="809" t="s">
        <v>492</v>
      </c>
      <c r="D364" s="141" t="s">
        <v>41</v>
      </c>
      <c r="E364" s="142"/>
      <c r="F364" s="143"/>
      <c r="G364" s="445">
        <v>96</v>
      </c>
      <c r="H364" s="445">
        <v>96</v>
      </c>
      <c r="I364" s="445">
        <v>96</v>
      </c>
      <c r="J364" s="445">
        <v>96</v>
      </c>
      <c r="K364" s="445">
        <v>96</v>
      </c>
      <c r="L364" s="445">
        <v>96</v>
      </c>
      <c r="M364" s="445">
        <v>96</v>
      </c>
      <c r="N364" s="448">
        <v>96</v>
      </c>
      <c r="O364" s="449">
        <v>96</v>
      </c>
      <c r="P364" s="445">
        <v>96</v>
      </c>
      <c r="Q364" s="445">
        <v>96</v>
      </c>
      <c r="R364" s="447">
        <v>96</v>
      </c>
      <c r="S364" s="446"/>
      <c r="T364" s="445">
        <v>96</v>
      </c>
      <c r="U364" s="446">
        <v>96</v>
      </c>
      <c r="V364" s="446">
        <v>96</v>
      </c>
      <c r="W364" s="446">
        <v>96</v>
      </c>
      <c r="X364" s="446">
        <v>96</v>
      </c>
      <c r="Y364" s="446">
        <v>96</v>
      </c>
      <c r="Z364" s="446">
        <v>96</v>
      </c>
      <c r="AA364" s="448">
        <v>96</v>
      </c>
      <c r="AB364" s="449">
        <v>96</v>
      </c>
      <c r="AC364" s="445">
        <v>96</v>
      </c>
      <c r="AD364" s="445">
        <v>96</v>
      </c>
      <c r="AE364" s="447">
        <v>96</v>
      </c>
      <c r="AF364" s="1218" t="s">
        <v>732</v>
      </c>
      <c r="AG364" s="1194" t="s">
        <v>484</v>
      </c>
      <c r="AH364" s="788" t="s">
        <v>494</v>
      </c>
      <c r="AI364" s="788" t="s">
        <v>495</v>
      </c>
      <c r="AJ364" s="792" t="s">
        <v>839</v>
      </c>
      <c r="AK364" s="788" t="s">
        <v>315</v>
      </c>
      <c r="AL364" s="788" t="s">
        <v>70</v>
      </c>
      <c r="AM364" s="788" t="s">
        <v>480</v>
      </c>
      <c r="AN364" s="791">
        <v>163231</v>
      </c>
      <c r="AO364" s="805">
        <v>77499</v>
      </c>
      <c r="AP364" s="805">
        <v>85731</v>
      </c>
      <c r="AQ364" s="786" t="s">
        <v>317</v>
      </c>
      <c r="AR364" s="786" t="s">
        <v>317</v>
      </c>
      <c r="AS364" s="786" t="s">
        <v>317</v>
      </c>
      <c r="AT364" s="786" t="s">
        <v>317</v>
      </c>
      <c r="AU364" s="787" t="s">
        <v>317</v>
      </c>
      <c r="AV364" s="787" t="s">
        <v>317</v>
      </c>
      <c r="AW364" s="787" t="s">
        <v>317</v>
      </c>
      <c r="AX364" s="783">
        <v>163231</v>
      </c>
      <c r="AY364" s="1249"/>
    </row>
    <row r="365" spans="1:51" ht="18" x14ac:dyDescent="0.25">
      <c r="A365" s="1195"/>
      <c r="B365" s="833"/>
      <c r="C365" s="809"/>
      <c r="D365" s="132" t="s">
        <v>3</v>
      </c>
      <c r="E365" s="142"/>
      <c r="F365" s="143"/>
      <c r="G365" s="445">
        <v>940388.57142857148</v>
      </c>
      <c r="H365" s="445">
        <v>940388.57142857148</v>
      </c>
      <c r="I365" s="445">
        <v>940388.57142857148</v>
      </c>
      <c r="J365" s="445">
        <v>746057.14285714284</v>
      </c>
      <c r="K365" s="445">
        <f>+K364*$K$299/$K$298</f>
        <v>746057.14285714284</v>
      </c>
      <c r="L365" s="445">
        <f>+L364*$L$299/$L$298</f>
        <v>820662.85714285716</v>
      </c>
      <c r="M365" s="445">
        <f>+M364*$M$299/$M$298</f>
        <v>746057.14285714284</v>
      </c>
      <c r="N365" s="445">
        <f>+N364*$N$299/$N$298</f>
        <v>820662.85714285716</v>
      </c>
      <c r="O365" s="445">
        <f>+O364*$O$299/$O$298</f>
        <v>820662.85714285716</v>
      </c>
      <c r="P365" s="445">
        <f>+P364*$P$299/$P$298</f>
        <v>820662.85714285716</v>
      </c>
      <c r="Q365" s="445">
        <f>+Q364*$Q$299/$Q$298</f>
        <v>820662.85714285716</v>
      </c>
      <c r="R365" s="445">
        <f>+R364*$R$299/$R$298</f>
        <v>811389.83050847461</v>
      </c>
      <c r="S365" s="446"/>
      <c r="T365" s="445">
        <v>0</v>
      </c>
      <c r="U365" s="445">
        <v>4773674.5886654481</v>
      </c>
      <c r="V365" s="445">
        <v>3097508.8967971532</v>
      </c>
      <c r="W365" s="445">
        <v>2284514.4356955378</v>
      </c>
      <c r="X365" s="445">
        <f>+X364*$X$299/$X$298</f>
        <v>1784825.7006151744</v>
      </c>
      <c r="Y365" s="445">
        <f>+Y364*$Y$299/$Y$298</f>
        <v>1483636.3636363635</v>
      </c>
      <c r="Z365" s="445">
        <f>+Z364*$Z$299/$Z$298</f>
        <v>1271894.7881149538</v>
      </c>
      <c r="AA365" s="445">
        <f>+AA364*$AA$299/$AA$298</f>
        <v>1104568.5279187816</v>
      </c>
      <c r="AB365" s="445">
        <f>+AB364*$AB$299/$AB$298</f>
        <v>982023.31703647983</v>
      </c>
      <c r="AC365" s="445">
        <f>+AC364*$AC$299/$AC$298</f>
        <v>884852.59234157915</v>
      </c>
      <c r="AD365" s="445">
        <f>+AD364*$AD$299/$AD$298</f>
        <v>805428.74768661323</v>
      </c>
      <c r="AE365" s="445">
        <f>+AE364*$AE$299/$AE$298</f>
        <v>811389.83050847461</v>
      </c>
      <c r="AF365" s="1218"/>
      <c r="AG365" s="1195"/>
      <c r="AH365" s="789"/>
      <c r="AI365" s="789"/>
      <c r="AJ365" s="793"/>
      <c r="AK365" s="789"/>
      <c r="AL365" s="789"/>
      <c r="AM365" s="789"/>
      <c r="AN365" s="791"/>
      <c r="AO365" s="805"/>
      <c r="AP365" s="805"/>
      <c r="AQ365" s="786"/>
      <c r="AR365" s="786"/>
      <c r="AS365" s="786"/>
      <c r="AT365" s="786"/>
      <c r="AU365" s="787"/>
      <c r="AV365" s="787"/>
      <c r="AW365" s="787"/>
      <c r="AX365" s="784"/>
      <c r="AY365" s="1249"/>
    </row>
    <row r="366" spans="1:51" ht="27" x14ac:dyDescent="0.25">
      <c r="A366" s="1195"/>
      <c r="B366" s="833"/>
      <c r="C366" s="809"/>
      <c r="D366" s="136" t="s">
        <v>42</v>
      </c>
      <c r="E366" s="142"/>
      <c r="F366" s="143"/>
      <c r="G366" s="445"/>
      <c r="H366" s="445"/>
      <c r="I366" s="445"/>
      <c r="J366" s="445"/>
      <c r="K366" s="445"/>
      <c r="L366" s="445"/>
      <c r="M366" s="445"/>
      <c r="N366" s="448"/>
      <c r="O366" s="445"/>
      <c r="P366" s="445"/>
      <c r="Q366" s="445"/>
      <c r="R366" s="447"/>
      <c r="S366" s="446"/>
      <c r="T366" s="446"/>
      <c r="U366" s="446"/>
      <c r="V366" s="446"/>
      <c r="W366" s="446"/>
      <c r="X366" s="446"/>
      <c r="Y366" s="446"/>
      <c r="Z366" s="446"/>
      <c r="AA366" s="448"/>
      <c r="AB366" s="445"/>
      <c r="AC366" s="445"/>
      <c r="AD366" s="445"/>
      <c r="AE366" s="447"/>
      <c r="AF366" s="1218"/>
      <c r="AG366" s="1195"/>
      <c r="AH366" s="789"/>
      <c r="AI366" s="789"/>
      <c r="AJ366" s="793"/>
      <c r="AK366" s="789"/>
      <c r="AL366" s="789"/>
      <c r="AM366" s="789"/>
      <c r="AN366" s="791"/>
      <c r="AO366" s="805"/>
      <c r="AP366" s="805"/>
      <c r="AQ366" s="786"/>
      <c r="AR366" s="786"/>
      <c r="AS366" s="786"/>
      <c r="AT366" s="786"/>
      <c r="AU366" s="787"/>
      <c r="AV366" s="787"/>
      <c r="AW366" s="787"/>
      <c r="AX366" s="784"/>
      <c r="AY366" s="1249"/>
    </row>
    <row r="367" spans="1:51" ht="27" x14ac:dyDescent="0.25">
      <c r="A367" s="1195"/>
      <c r="B367" s="833"/>
      <c r="C367" s="809"/>
      <c r="D367" s="132" t="s">
        <v>4</v>
      </c>
      <c r="E367" s="142"/>
      <c r="F367" s="143"/>
      <c r="G367" s="445"/>
      <c r="H367" s="445"/>
      <c r="I367" s="445"/>
      <c r="J367" s="445"/>
      <c r="K367" s="445"/>
      <c r="L367" s="445"/>
      <c r="M367" s="445"/>
      <c r="N367" s="448"/>
      <c r="O367" s="445"/>
      <c r="P367" s="445"/>
      <c r="Q367" s="445"/>
      <c r="R367" s="447"/>
      <c r="S367" s="446"/>
      <c r="T367" s="445">
        <v>1451082.9268292682</v>
      </c>
      <c r="U367" s="445">
        <v>1451082.9268292682</v>
      </c>
      <c r="V367" s="446"/>
      <c r="W367" s="446"/>
      <c r="X367" s="446"/>
      <c r="Y367" s="446"/>
      <c r="Z367" s="446"/>
      <c r="AA367" s="448"/>
      <c r="AB367" s="445"/>
      <c r="AC367" s="445"/>
      <c r="AD367" s="445"/>
      <c r="AE367" s="447"/>
      <c r="AF367" s="1218"/>
      <c r="AG367" s="1195"/>
      <c r="AH367" s="789"/>
      <c r="AI367" s="789"/>
      <c r="AJ367" s="793"/>
      <c r="AK367" s="789"/>
      <c r="AL367" s="789"/>
      <c r="AM367" s="789"/>
      <c r="AN367" s="791"/>
      <c r="AO367" s="805"/>
      <c r="AP367" s="805"/>
      <c r="AQ367" s="786"/>
      <c r="AR367" s="786"/>
      <c r="AS367" s="786"/>
      <c r="AT367" s="786"/>
      <c r="AU367" s="787"/>
      <c r="AV367" s="787"/>
      <c r="AW367" s="787"/>
      <c r="AX367" s="784"/>
      <c r="AY367" s="1249"/>
    </row>
    <row r="368" spans="1:51" ht="27" x14ac:dyDescent="0.25">
      <c r="A368" s="1195"/>
      <c r="B368" s="833"/>
      <c r="C368" s="809"/>
      <c r="D368" s="136" t="s">
        <v>43</v>
      </c>
      <c r="E368" s="142"/>
      <c r="F368" s="143"/>
      <c r="G368" s="445">
        <v>96</v>
      </c>
      <c r="H368" s="445">
        <v>96</v>
      </c>
      <c r="I368" s="445">
        <v>96</v>
      </c>
      <c r="J368" s="445">
        <v>96</v>
      </c>
      <c r="K368" s="445">
        <v>96</v>
      </c>
      <c r="L368" s="445">
        <v>96</v>
      </c>
      <c r="M368" s="445">
        <v>96</v>
      </c>
      <c r="N368" s="448">
        <v>96</v>
      </c>
      <c r="O368" s="445">
        <v>96</v>
      </c>
      <c r="P368" s="445">
        <v>96</v>
      </c>
      <c r="Q368" s="445">
        <v>96</v>
      </c>
      <c r="R368" s="447">
        <v>96</v>
      </c>
      <c r="S368" s="446"/>
      <c r="T368" s="446">
        <v>96</v>
      </c>
      <c r="U368" s="446">
        <v>96</v>
      </c>
      <c r="V368" s="445">
        <v>96</v>
      </c>
      <c r="W368" s="445">
        <v>96</v>
      </c>
      <c r="X368" s="446">
        <v>96</v>
      </c>
      <c r="Y368" s="446">
        <v>96</v>
      </c>
      <c r="Z368" s="446">
        <v>96</v>
      </c>
      <c r="AA368" s="448">
        <v>96</v>
      </c>
      <c r="AB368" s="445">
        <v>96</v>
      </c>
      <c r="AC368" s="445">
        <v>96</v>
      </c>
      <c r="AD368" s="445">
        <v>96</v>
      </c>
      <c r="AE368" s="447">
        <v>96</v>
      </c>
      <c r="AF368" s="1218"/>
      <c r="AG368" s="1195"/>
      <c r="AH368" s="789"/>
      <c r="AI368" s="789"/>
      <c r="AJ368" s="793"/>
      <c r="AK368" s="789"/>
      <c r="AL368" s="789"/>
      <c r="AM368" s="789"/>
      <c r="AN368" s="791"/>
      <c r="AO368" s="805"/>
      <c r="AP368" s="805"/>
      <c r="AQ368" s="786"/>
      <c r="AR368" s="786"/>
      <c r="AS368" s="786"/>
      <c r="AT368" s="786"/>
      <c r="AU368" s="787"/>
      <c r="AV368" s="787"/>
      <c r="AW368" s="787"/>
      <c r="AX368" s="784"/>
      <c r="AY368" s="1249"/>
    </row>
    <row r="369" spans="1:51" ht="27.75" thickBot="1" x14ac:dyDescent="0.3">
      <c r="A369" s="1195"/>
      <c r="B369" s="833"/>
      <c r="C369" s="809"/>
      <c r="D369" s="140" t="s">
        <v>45</v>
      </c>
      <c r="E369" s="142"/>
      <c r="F369" s="143"/>
      <c r="G369" s="445">
        <v>940388.57142857148</v>
      </c>
      <c r="H369" s="445">
        <v>940388.57142857148</v>
      </c>
      <c r="I369" s="445">
        <v>940388.57142857148</v>
      </c>
      <c r="J369" s="445">
        <v>746057.14285714284</v>
      </c>
      <c r="K369" s="445">
        <f>+K368*$K$299/$K$298</f>
        <v>746057.14285714284</v>
      </c>
      <c r="L369" s="445">
        <f>+L368*$L$299/$L$298</f>
        <v>820662.85714285716</v>
      </c>
      <c r="M369" s="445">
        <f>+M368*$M$299/$M$298</f>
        <v>746057.14285714284</v>
      </c>
      <c r="N369" s="445">
        <f>+N368*$N$299/$N$298</f>
        <v>820662.85714285716</v>
      </c>
      <c r="O369" s="445">
        <f>+O368*$O$299/$O$298</f>
        <v>820662.85714285716</v>
      </c>
      <c r="P369" s="445">
        <f>+P368*$P$299/$P$298</f>
        <v>820662.85714285716</v>
      </c>
      <c r="Q369" s="445">
        <f>+Q368*$Q$299/$Q$298</f>
        <v>820662.85714285716</v>
      </c>
      <c r="R369" s="445">
        <f>+R368*$R$299/$R$298</f>
        <v>811389.83050847461</v>
      </c>
      <c r="S369" s="446"/>
      <c r="T369" s="446"/>
      <c r="U369" s="445">
        <v>4773674.5886654481</v>
      </c>
      <c r="V369" s="445">
        <v>3097508.8967971532</v>
      </c>
      <c r="W369" s="445">
        <v>2284514.4356955378</v>
      </c>
      <c r="X369" s="445">
        <f>+X368*$X$299/$X$298</f>
        <v>1784825.7006151744</v>
      </c>
      <c r="Y369" s="445">
        <f>+Y368*$Y$299/$Y$298</f>
        <v>1483636.3636363635</v>
      </c>
      <c r="Z369" s="445">
        <f>+Z368*$Z$299/$Z$298</f>
        <v>1271894.7881149538</v>
      </c>
      <c r="AA369" s="445">
        <f>+AA368*$AA$299/$AA$298</f>
        <v>1104568.5279187816</v>
      </c>
      <c r="AB369" s="445">
        <f>+AB368*$AB$299/$AB$298</f>
        <v>982023.31703647983</v>
      </c>
      <c r="AC369" s="445">
        <f>+AC368*$AC$299/$AC$298</f>
        <v>884852.59234157915</v>
      </c>
      <c r="AD369" s="445">
        <f>+AD368*$AD$299/$AD$298</f>
        <v>805428.74768661323</v>
      </c>
      <c r="AE369" s="445">
        <f>+AE368*$AE$299/$AE$298</f>
        <v>811389.83050847461</v>
      </c>
      <c r="AF369" s="1218"/>
      <c r="AG369" s="1196"/>
      <c r="AH369" s="790"/>
      <c r="AI369" s="790"/>
      <c r="AJ369" s="794"/>
      <c r="AK369" s="790"/>
      <c r="AL369" s="790"/>
      <c r="AM369" s="790"/>
      <c r="AN369" s="791"/>
      <c r="AO369" s="805"/>
      <c r="AP369" s="805"/>
      <c r="AQ369" s="786"/>
      <c r="AR369" s="786"/>
      <c r="AS369" s="786"/>
      <c r="AT369" s="786"/>
      <c r="AU369" s="787"/>
      <c r="AV369" s="787"/>
      <c r="AW369" s="787"/>
      <c r="AX369" s="785"/>
      <c r="AY369" s="1249"/>
    </row>
    <row r="370" spans="1:51" ht="19.350000000000001" customHeight="1" x14ac:dyDescent="0.25">
      <c r="A370" s="1195"/>
      <c r="B370" s="833"/>
      <c r="C370" s="809" t="s">
        <v>496</v>
      </c>
      <c r="D370" s="141" t="s">
        <v>41</v>
      </c>
      <c r="E370" s="142"/>
      <c r="F370" s="143"/>
      <c r="G370" s="445">
        <v>80</v>
      </c>
      <c r="H370" s="445">
        <v>80</v>
      </c>
      <c r="I370" s="445">
        <v>80</v>
      </c>
      <c r="J370" s="445">
        <v>80</v>
      </c>
      <c r="K370" s="445">
        <v>80</v>
      </c>
      <c r="L370" s="445">
        <v>80</v>
      </c>
      <c r="M370" s="445">
        <v>80</v>
      </c>
      <c r="N370" s="448">
        <v>80</v>
      </c>
      <c r="O370" s="449">
        <v>80</v>
      </c>
      <c r="P370" s="445">
        <v>80</v>
      </c>
      <c r="Q370" s="445">
        <v>80</v>
      </c>
      <c r="R370" s="447">
        <v>80</v>
      </c>
      <c r="S370" s="446"/>
      <c r="T370" s="445">
        <v>80</v>
      </c>
      <c r="U370" s="446">
        <v>80</v>
      </c>
      <c r="V370" s="446">
        <v>80</v>
      </c>
      <c r="W370" s="446">
        <v>80</v>
      </c>
      <c r="X370" s="446">
        <v>80</v>
      </c>
      <c r="Y370" s="446">
        <v>80</v>
      </c>
      <c r="Z370" s="446">
        <v>80</v>
      </c>
      <c r="AA370" s="448">
        <v>80</v>
      </c>
      <c r="AB370" s="449">
        <v>80</v>
      </c>
      <c r="AC370" s="445">
        <v>80</v>
      </c>
      <c r="AD370" s="445">
        <v>80</v>
      </c>
      <c r="AE370" s="447">
        <v>80</v>
      </c>
      <c r="AF370" s="1218" t="s">
        <v>733</v>
      </c>
      <c r="AG370" s="1194" t="s">
        <v>484</v>
      </c>
      <c r="AH370" s="788" t="s">
        <v>498</v>
      </c>
      <c r="AI370" s="788" t="s">
        <v>499</v>
      </c>
      <c r="AJ370" s="792" t="s">
        <v>839</v>
      </c>
      <c r="AK370" s="788" t="s">
        <v>315</v>
      </c>
      <c r="AL370" s="788" t="s">
        <v>70</v>
      </c>
      <c r="AM370" s="788" t="s">
        <v>480</v>
      </c>
      <c r="AN370" s="791">
        <v>163231</v>
      </c>
      <c r="AO370" s="805">
        <v>77499</v>
      </c>
      <c r="AP370" s="805">
        <v>85731</v>
      </c>
      <c r="AQ370" s="786" t="s">
        <v>317</v>
      </c>
      <c r="AR370" s="786" t="s">
        <v>317</v>
      </c>
      <c r="AS370" s="786" t="s">
        <v>317</v>
      </c>
      <c r="AT370" s="786" t="s">
        <v>317</v>
      </c>
      <c r="AU370" s="787" t="s">
        <v>317</v>
      </c>
      <c r="AV370" s="787" t="s">
        <v>317</v>
      </c>
      <c r="AW370" s="787" t="s">
        <v>317</v>
      </c>
      <c r="AX370" s="783">
        <v>163231</v>
      </c>
      <c r="AY370" s="1249"/>
    </row>
    <row r="371" spans="1:51" ht="18" x14ac:dyDescent="0.25">
      <c r="A371" s="1195"/>
      <c r="B371" s="833"/>
      <c r="C371" s="809"/>
      <c r="D371" s="132" t="s">
        <v>3</v>
      </c>
      <c r="E371" s="142"/>
      <c r="F371" s="143"/>
      <c r="G371" s="445">
        <v>783657.14285714284</v>
      </c>
      <c r="H371" s="445">
        <v>783657.14285714284</v>
      </c>
      <c r="I371" s="445">
        <v>783657.14285714284</v>
      </c>
      <c r="J371" s="445">
        <v>621714.28571428568</v>
      </c>
      <c r="K371" s="445">
        <f>+K370*$K$299/$K$298</f>
        <v>621714.28571428568</v>
      </c>
      <c r="L371" s="445">
        <f>+L370*$L$299/$L$298</f>
        <v>683885.71428571432</v>
      </c>
      <c r="M371" s="445">
        <f>+M370*$M$299/$M$298</f>
        <v>621714.28571428568</v>
      </c>
      <c r="N371" s="445">
        <f>+N370*$N$299/$N$298</f>
        <v>683885.71428571432</v>
      </c>
      <c r="O371" s="445">
        <f>+O370*$O$299/$O$298</f>
        <v>683885.71428571432</v>
      </c>
      <c r="P371" s="445">
        <f>+P370*$P$299/$P$298</f>
        <v>683885.71428571432</v>
      </c>
      <c r="Q371" s="445">
        <f>+Q370*$Q$299/$Q$298</f>
        <v>683885.71428571432</v>
      </c>
      <c r="R371" s="445">
        <f>+R370*$R$299/$R$298</f>
        <v>676158.19209039549</v>
      </c>
      <c r="S371" s="446"/>
      <c r="T371" s="446"/>
      <c r="U371" s="445">
        <v>3978062.1572212065</v>
      </c>
      <c r="V371" s="445">
        <v>2581257.4139976273</v>
      </c>
      <c r="W371" s="445">
        <v>1903762.0297462817</v>
      </c>
      <c r="X371" s="445">
        <f>+X370*$X$299/$X$298</f>
        <v>1487354.7505126453</v>
      </c>
      <c r="Y371" s="445">
        <f>+Y370*$Y$299/$Y$298</f>
        <v>1236363.6363636365</v>
      </c>
      <c r="Z371" s="445">
        <f>+Z370*$Z$299/$Z$298</f>
        <v>1059912.3234291282</v>
      </c>
      <c r="AA371" s="445">
        <f>+AA370*$AA$299/$AA$298</f>
        <v>920473.77326565143</v>
      </c>
      <c r="AB371" s="445">
        <f>+AB370*$AB$299/$AB$298</f>
        <v>818352.76419706654</v>
      </c>
      <c r="AC371" s="445">
        <f>+AC370*$AC$299/$AC$298</f>
        <v>737377.16028464923</v>
      </c>
      <c r="AD371" s="445">
        <f>+AD370*$AD$299/$AD$298</f>
        <v>671190.62307217764</v>
      </c>
      <c r="AE371" s="445">
        <f>+AE370*$AE$299/$AE$298</f>
        <v>676158.19209039549</v>
      </c>
      <c r="AF371" s="1218"/>
      <c r="AG371" s="1195"/>
      <c r="AH371" s="789"/>
      <c r="AI371" s="789"/>
      <c r="AJ371" s="793"/>
      <c r="AK371" s="789"/>
      <c r="AL371" s="789"/>
      <c r="AM371" s="789"/>
      <c r="AN371" s="791"/>
      <c r="AO371" s="805"/>
      <c r="AP371" s="805"/>
      <c r="AQ371" s="786"/>
      <c r="AR371" s="786"/>
      <c r="AS371" s="786"/>
      <c r="AT371" s="786"/>
      <c r="AU371" s="787"/>
      <c r="AV371" s="787"/>
      <c r="AW371" s="787"/>
      <c r="AX371" s="784"/>
      <c r="AY371" s="1249"/>
    </row>
    <row r="372" spans="1:51" ht="27" x14ac:dyDescent="0.25">
      <c r="A372" s="1195"/>
      <c r="B372" s="833"/>
      <c r="C372" s="809"/>
      <c r="D372" s="136" t="s">
        <v>42</v>
      </c>
      <c r="E372" s="142"/>
      <c r="F372" s="143"/>
      <c r="G372" s="445"/>
      <c r="H372" s="445"/>
      <c r="I372" s="445"/>
      <c r="J372" s="445"/>
      <c r="K372" s="445"/>
      <c r="L372" s="445"/>
      <c r="M372" s="445"/>
      <c r="N372" s="448"/>
      <c r="O372" s="445"/>
      <c r="P372" s="445"/>
      <c r="Q372" s="445"/>
      <c r="R372" s="447"/>
      <c r="S372" s="446"/>
      <c r="T372" s="446"/>
      <c r="U372" s="446"/>
      <c r="V372" s="446"/>
      <c r="W372" s="446"/>
      <c r="X372" s="446"/>
      <c r="Y372" s="446"/>
      <c r="Z372" s="446"/>
      <c r="AA372" s="448"/>
      <c r="AB372" s="445"/>
      <c r="AC372" s="445"/>
      <c r="AD372" s="445"/>
      <c r="AE372" s="447"/>
      <c r="AF372" s="1218"/>
      <c r="AG372" s="1195"/>
      <c r="AH372" s="789"/>
      <c r="AI372" s="789"/>
      <c r="AJ372" s="793"/>
      <c r="AK372" s="789"/>
      <c r="AL372" s="789"/>
      <c r="AM372" s="789"/>
      <c r="AN372" s="791"/>
      <c r="AO372" s="805"/>
      <c r="AP372" s="805"/>
      <c r="AQ372" s="786"/>
      <c r="AR372" s="786"/>
      <c r="AS372" s="786"/>
      <c r="AT372" s="786"/>
      <c r="AU372" s="787"/>
      <c r="AV372" s="787"/>
      <c r="AW372" s="787"/>
      <c r="AX372" s="784"/>
      <c r="AY372" s="1249"/>
    </row>
    <row r="373" spans="1:51" ht="27" x14ac:dyDescent="0.25">
      <c r="A373" s="1195"/>
      <c r="B373" s="833"/>
      <c r="C373" s="809"/>
      <c r="D373" s="132" t="s">
        <v>4</v>
      </c>
      <c r="E373" s="142"/>
      <c r="F373" s="143"/>
      <c r="G373" s="445"/>
      <c r="H373" s="445"/>
      <c r="I373" s="445"/>
      <c r="J373" s="445"/>
      <c r="K373" s="445"/>
      <c r="L373" s="445"/>
      <c r="M373" s="445"/>
      <c r="N373" s="448"/>
      <c r="O373" s="445"/>
      <c r="P373" s="445"/>
      <c r="Q373" s="445"/>
      <c r="R373" s="447"/>
      <c r="S373" s="446"/>
      <c r="T373" s="445">
        <v>1209235.7723577237</v>
      </c>
      <c r="U373" s="445">
        <v>1209235.7723577237</v>
      </c>
      <c r="V373" s="446"/>
      <c r="W373" s="446"/>
      <c r="X373" s="446"/>
      <c r="Y373" s="446"/>
      <c r="Z373" s="446"/>
      <c r="AA373" s="448"/>
      <c r="AB373" s="445"/>
      <c r="AC373" s="445"/>
      <c r="AD373" s="445"/>
      <c r="AE373" s="447"/>
      <c r="AF373" s="1218"/>
      <c r="AG373" s="1195"/>
      <c r="AH373" s="789"/>
      <c r="AI373" s="789"/>
      <c r="AJ373" s="793"/>
      <c r="AK373" s="789"/>
      <c r="AL373" s="789"/>
      <c r="AM373" s="789"/>
      <c r="AN373" s="791"/>
      <c r="AO373" s="805"/>
      <c r="AP373" s="805"/>
      <c r="AQ373" s="786"/>
      <c r="AR373" s="786"/>
      <c r="AS373" s="786"/>
      <c r="AT373" s="786"/>
      <c r="AU373" s="787"/>
      <c r="AV373" s="787"/>
      <c r="AW373" s="787"/>
      <c r="AX373" s="784"/>
      <c r="AY373" s="1249"/>
    </row>
    <row r="374" spans="1:51" ht="27" x14ac:dyDescent="0.25">
      <c r="A374" s="1195"/>
      <c r="B374" s="833"/>
      <c r="C374" s="809"/>
      <c r="D374" s="136" t="s">
        <v>43</v>
      </c>
      <c r="E374" s="142"/>
      <c r="F374" s="143"/>
      <c r="G374" s="445">
        <v>80</v>
      </c>
      <c r="H374" s="445">
        <v>80</v>
      </c>
      <c r="I374" s="445">
        <v>80</v>
      </c>
      <c r="J374" s="445">
        <v>80</v>
      </c>
      <c r="K374" s="445">
        <v>80</v>
      </c>
      <c r="L374" s="445">
        <v>80</v>
      </c>
      <c r="M374" s="445">
        <v>80</v>
      </c>
      <c r="N374" s="448">
        <v>80</v>
      </c>
      <c r="O374" s="445">
        <v>80</v>
      </c>
      <c r="P374" s="445">
        <v>80</v>
      </c>
      <c r="Q374" s="445">
        <v>80</v>
      </c>
      <c r="R374" s="447">
        <v>80</v>
      </c>
      <c r="S374" s="446"/>
      <c r="T374" s="446">
        <v>80</v>
      </c>
      <c r="U374" s="446">
        <v>80</v>
      </c>
      <c r="V374" s="445">
        <v>80</v>
      </c>
      <c r="W374" s="445">
        <v>80</v>
      </c>
      <c r="X374" s="446">
        <v>80</v>
      </c>
      <c r="Y374" s="446">
        <v>80</v>
      </c>
      <c r="Z374" s="446">
        <v>80</v>
      </c>
      <c r="AA374" s="448">
        <v>80</v>
      </c>
      <c r="AB374" s="445">
        <v>80</v>
      </c>
      <c r="AC374" s="445">
        <v>80</v>
      </c>
      <c r="AD374" s="445">
        <v>80</v>
      </c>
      <c r="AE374" s="447">
        <v>80</v>
      </c>
      <c r="AF374" s="1218"/>
      <c r="AG374" s="1195"/>
      <c r="AH374" s="789"/>
      <c r="AI374" s="789"/>
      <c r="AJ374" s="793"/>
      <c r="AK374" s="789"/>
      <c r="AL374" s="789"/>
      <c r="AM374" s="789"/>
      <c r="AN374" s="791"/>
      <c r="AO374" s="805"/>
      <c r="AP374" s="805"/>
      <c r="AQ374" s="786"/>
      <c r="AR374" s="786"/>
      <c r="AS374" s="786"/>
      <c r="AT374" s="786"/>
      <c r="AU374" s="787"/>
      <c r="AV374" s="787"/>
      <c r="AW374" s="787"/>
      <c r="AX374" s="784"/>
      <c r="AY374" s="1249"/>
    </row>
    <row r="375" spans="1:51" ht="27.75" thickBot="1" x14ac:dyDescent="0.3">
      <c r="A375" s="1195"/>
      <c r="B375" s="833"/>
      <c r="C375" s="809"/>
      <c r="D375" s="140" t="s">
        <v>45</v>
      </c>
      <c r="E375" s="142"/>
      <c r="F375" s="143"/>
      <c r="G375" s="445">
        <v>783657.14285714284</v>
      </c>
      <c r="H375" s="445">
        <v>783657.14285714284</v>
      </c>
      <c r="I375" s="445">
        <v>783657.14285714284</v>
      </c>
      <c r="J375" s="445">
        <v>621714.28571428568</v>
      </c>
      <c r="K375" s="445">
        <f>+K374*$K$299/$K$298</f>
        <v>621714.28571428568</v>
      </c>
      <c r="L375" s="445">
        <f>+L374*$L$299/$L$298</f>
        <v>683885.71428571432</v>
      </c>
      <c r="M375" s="445">
        <f>+M374*$M$299/$M$298</f>
        <v>621714.28571428568</v>
      </c>
      <c r="N375" s="445">
        <f>+N374*$N$299/$N$298</f>
        <v>683885.71428571432</v>
      </c>
      <c r="O375" s="445">
        <f>+O374*$O$299/$O$298</f>
        <v>683885.71428571432</v>
      </c>
      <c r="P375" s="445">
        <f>+P374*$P$299/$P$298</f>
        <v>683885.71428571432</v>
      </c>
      <c r="Q375" s="445">
        <f>+Q374*$Q$299/$Q$298</f>
        <v>683885.71428571432</v>
      </c>
      <c r="R375" s="445">
        <f>+R374*$R$299/$R$298</f>
        <v>676158.19209039549</v>
      </c>
      <c r="S375" s="446"/>
      <c r="T375" s="446"/>
      <c r="U375" s="445">
        <v>3978062.1572212065</v>
      </c>
      <c r="V375" s="445">
        <v>2581257.4139976273</v>
      </c>
      <c r="W375" s="445">
        <v>1903762.0297462817</v>
      </c>
      <c r="X375" s="445">
        <f>+X374*$X$299/$X$298</f>
        <v>1487354.7505126453</v>
      </c>
      <c r="Y375" s="445">
        <f>+Y374*$Y$299/$Y$298</f>
        <v>1236363.6363636365</v>
      </c>
      <c r="Z375" s="445">
        <f>+Z374*$Z$299/$Z$298</f>
        <v>1059912.3234291282</v>
      </c>
      <c r="AA375" s="445">
        <f>+AA374*$AA$299/$AA$298</f>
        <v>920473.77326565143</v>
      </c>
      <c r="AB375" s="445">
        <f>+AB374*$AB$299/$AB$298</f>
        <v>818352.76419706654</v>
      </c>
      <c r="AC375" s="445">
        <f>+AC374*$AC$299/$AC$298</f>
        <v>737377.16028464923</v>
      </c>
      <c r="AD375" s="445">
        <f>+AD374*$AD$299/$AD$298</f>
        <v>671190.62307217764</v>
      </c>
      <c r="AE375" s="445">
        <f>+AE374*$AE$299/$AE$298</f>
        <v>676158.19209039549</v>
      </c>
      <c r="AF375" s="1218"/>
      <c r="AG375" s="1196"/>
      <c r="AH375" s="790"/>
      <c r="AI375" s="790"/>
      <c r="AJ375" s="794"/>
      <c r="AK375" s="790"/>
      <c r="AL375" s="790"/>
      <c r="AM375" s="790"/>
      <c r="AN375" s="791"/>
      <c r="AO375" s="805"/>
      <c r="AP375" s="805"/>
      <c r="AQ375" s="786"/>
      <c r="AR375" s="786"/>
      <c r="AS375" s="786"/>
      <c r="AT375" s="786"/>
      <c r="AU375" s="787"/>
      <c r="AV375" s="787"/>
      <c r="AW375" s="787"/>
      <c r="AX375" s="785"/>
      <c r="AY375" s="1250"/>
    </row>
    <row r="376" spans="1:51" ht="19.350000000000001" customHeight="1" x14ac:dyDescent="0.25">
      <c r="A376" s="1195"/>
      <c r="B376" s="833"/>
      <c r="C376" s="809" t="s">
        <v>989</v>
      </c>
      <c r="D376" s="141" t="s">
        <v>41</v>
      </c>
      <c r="E376" s="142"/>
      <c r="F376" s="143"/>
      <c r="G376" s="445">
        <v>80</v>
      </c>
      <c r="H376" s="445">
        <v>80</v>
      </c>
      <c r="I376" s="445">
        <v>80</v>
      </c>
      <c r="J376" s="445">
        <v>80</v>
      </c>
      <c r="K376" s="445"/>
      <c r="L376" s="445"/>
      <c r="M376" s="445">
        <v>60</v>
      </c>
      <c r="N376" s="448">
        <v>60</v>
      </c>
      <c r="O376" s="449"/>
      <c r="P376" s="445"/>
      <c r="Q376" s="445">
        <v>30</v>
      </c>
      <c r="R376" s="447">
        <v>30</v>
      </c>
      <c r="S376" s="446"/>
      <c r="T376" s="445"/>
      <c r="U376" s="446"/>
      <c r="V376" s="446"/>
      <c r="W376" s="446"/>
      <c r="X376" s="446"/>
      <c r="Y376" s="446"/>
      <c r="Z376" s="446">
        <v>60</v>
      </c>
      <c r="AA376" s="448">
        <v>60</v>
      </c>
      <c r="AB376" s="449"/>
      <c r="AC376" s="445"/>
      <c r="AD376" s="445">
        <v>30</v>
      </c>
      <c r="AE376" s="447">
        <v>30</v>
      </c>
      <c r="AF376" s="1218" t="s">
        <v>1279</v>
      </c>
      <c r="AG376" s="1194" t="s">
        <v>484</v>
      </c>
      <c r="AH376" s="788" t="s">
        <v>1010</v>
      </c>
      <c r="AI376" s="788" t="s">
        <v>1011</v>
      </c>
      <c r="AJ376" s="792" t="s">
        <v>839</v>
      </c>
      <c r="AK376" s="788" t="s">
        <v>315</v>
      </c>
      <c r="AL376" s="788" t="s">
        <v>70</v>
      </c>
      <c r="AM376" s="788" t="s">
        <v>480</v>
      </c>
      <c r="AN376" s="791">
        <v>163231</v>
      </c>
      <c r="AO376" s="805">
        <v>77499</v>
      </c>
      <c r="AP376" s="805">
        <v>85731</v>
      </c>
      <c r="AQ376" s="786" t="s">
        <v>317</v>
      </c>
      <c r="AR376" s="786" t="s">
        <v>317</v>
      </c>
      <c r="AS376" s="786" t="s">
        <v>317</v>
      </c>
      <c r="AT376" s="786" t="s">
        <v>317</v>
      </c>
      <c r="AU376" s="787" t="s">
        <v>317</v>
      </c>
      <c r="AV376" s="787" t="s">
        <v>317</v>
      </c>
      <c r="AW376" s="787" t="s">
        <v>317</v>
      </c>
      <c r="AX376" s="783">
        <v>163231</v>
      </c>
      <c r="AY376" s="1251"/>
    </row>
    <row r="377" spans="1:51" ht="18" x14ac:dyDescent="0.25">
      <c r="A377" s="1195"/>
      <c r="B377" s="833"/>
      <c r="C377" s="809"/>
      <c r="D377" s="132" t="s">
        <v>3</v>
      </c>
      <c r="E377" s="142"/>
      <c r="F377" s="143"/>
      <c r="G377" s="445">
        <v>783657.14285714284</v>
      </c>
      <c r="H377" s="445">
        <v>783657.14285714284</v>
      </c>
      <c r="I377" s="445">
        <v>783657.14285714284</v>
      </c>
      <c r="J377" s="445">
        <v>621714.28571428568</v>
      </c>
      <c r="K377" s="445"/>
      <c r="L377" s="445"/>
      <c r="M377" s="445">
        <f>+M376*$M$299/$M$298</f>
        <v>466285.71428571426</v>
      </c>
      <c r="N377" s="445">
        <f>+N376*$N$299/$N$298</f>
        <v>512914.28571428574</v>
      </c>
      <c r="O377" s="445"/>
      <c r="P377" s="445"/>
      <c r="Q377" s="445">
        <f>+Q376*$Q$299/$Q$298</f>
        <v>256457.14285714287</v>
      </c>
      <c r="R377" s="445">
        <f>+R376*$R$299/$R$298</f>
        <v>253559.32203389829</v>
      </c>
      <c r="S377" s="446"/>
      <c r="T377" s="446"/>
      <c r="U377" s="445"/>
      <c r="V377" s="445"/>
      <c r="W377" s="445"/>
      <c r="X377" s="445"/>
      <c r="Y377" s="445"/>
      <c r="Z377" s="445">
        <f>+Z376*$Z$299/$Z$298</f>
        <v>794934.24257184612</v>
      </c>
      <c r="AA377" s="445">
        <f>+AA376*$AA$299/$AA$298</f>
        <v>690355.32994923857</v>
      </c>
      <c r="AB377" s="445"/>
      <c r="AC377" s="445"/>
      <c r="AD377" s="445">
        <f>+AD376*$AD$299/$AD$298</f>
        <v>251696.48365206661</v>
      </c>
      <c r="AE377" s="445">
        <f>+AE376*$AE$299/$AE$298</f>
        <v>253559.32203389829</v>
      </c>
      <c r="AF377" s="1218"/>
      <c r="AG377" s="1195"/>
      <c r="AH377" s="789"/>
      <c r="AI377" s="789"/>
      <c r="AJ377" s="793"/>
      <c r="AK377" s="789"/>
      <c r="AL377" s="789"/>
      <c r="AM377" s="789"/>
      <c r="AN377" s="791"/>
      <c r="AO377" s="805"/>
      <c r="AP377" s="805"/>
      <c r="AQ377" s="786"/>
      <c r="AR377" s="786"/>
      <c r="AS377" s="786"/>
      <c r="AT377" s="786"/>
      <c r="AU377" s="787"/>
      <c r="AV377" s="787"/>
      <c r="AW377" s="787"/>
      <c r="AX377" s="784"/>
      <c r="AY377" s="1251"/>
    </row>
    <row r="378" spans="1:51" ht="27" x14ac:dyDescent="0.25">
      <c r="A378" s="1195"/>
      <c r="B378" s="833"/>
      <c r="C378" s="809"/>
      <c r="D378" s="136" t="s">
        <v>42</v>
      </c>
      <c r="E378" s="142"/>
      <c r="F378" s="143"/>
      <c r="G378" s="445"/>
      <c r="H378" s="445"/>
      <c r="I378" s="445"/>
      <c r="J378" s="445"/>
      <c r="K378" s="445"/>
      <c r="L378" s="445"/>
      <c r="M378" s="445"/>
      <c r="N378" s="448"/>
      <c r="O378" s="445"/>
      <c r="P378" s="445"/>
      <c r="Q378" s="445"/>
      <c r="R378" s="447"/>
      <c r="S378" s="446"/>
      <c r="T378" s="446"/>
      <c r="U378" s="446"/>
      <c r="V378" s="446"/>
      <c r="W378" s="446"/>
      <c r="X378" s="446"/>
      <c r="Y378" s="446"/>
      <c r="Z378" s="446"/>
      <c r="AA378" s="448"/>
      <c r="AB378" s="445"/>
      <c r="AC378" s="445"/>
      <c r="AD378" s="445"/>
      <c r="AE378" s="447"/>
      <c r="AF378" s="1218"/>
      <c r="AG378" s="1195"/>
      <c r="AH378" s="789"/>
      <c r="AI378" s="789"/>
      <c r="AJ378" s="793"/>
      <c r="AK378" s="789"/>
      <c r="AL378" s="789"/>
      <c r="AM378" s="789"/>
      <c r="AN378" s="791"/>
      <c r="AO378" s="805"/>
      <c r="AP378" s="805"/>
      <c r="AQ378" s="786"/>
      <c r="AR378" s="786"/>
      <c r="AS378" s="786"/>
      <c r="AT378" s="786"/>
      <c r="AU378" s="787"/>
      <c r="AV378" s="787"/>
      <c r="AW378" s="787"/>
      <c r="AX378" s="784"/>
      <c r="AY378" s="1251"/>
    </row>
    <row r="379" spans="1:51" ht="27" x14ac:dyDescent="0.25">
      <c r="A379" s="1195"/>
      <c r="B379" s="833"/>
      <c r="C379" s="809"/>
      <c r="D379" s="132" t="s">
        <v>4</v>
      </c>
      <c r="E379" s="142"/>
      <c r="F379" s="143"/>
      <c r="G379" s="445"/>
      <c r="H379" s="445"/>
      <c r="I379" s="445"/>
      <c r="J379" s="445"/>
      <c r="K379" s="445"/>
      <c r="L379" s="445"/>
      <c r="M379" s="445"/>
      <c r="N379" s="448"/>
      <c r="O379" s="445"/>
      <c r="P379" s="445"/>
      <c r="Q379" s="445"/>
      <c r="R379" s="447"/>
      <c r="S379" s="446"/>
      <c r="T379" s="445"/>
      <c r="U379" s="445"/>
      <c r="V379" s="446"/>
      <c r="W379" s="446"/>
      <c r="X379" s="446"/>
      <c r="Y379" s="446"/>
      <c r="Z379" s="446"/>
      <c r="AA379" s="448"/>
      <c r="AB379" s="445"/>
      <c r="AC379" s="445"/>
      <c r="AD379" s="445"/>
      <c r="AE379" s="447"/>
      <c r="AF379" s="1218"/>
      <c r="AG379" s="1195"/>
      <c r="AH379" s="789"/>
      <c r="AI379" s="789"/>
      <c r="AJ379" s="793"/>
      <c r="AK379" s="789"/>
      <c r="AL379" s="789"/>
      <c r="AM379" s="789"/>
      <c r="AN379" s="791"/>
      <c r="AO379" s="805"/>
      <c r="AP379" s="805"/>
      <c r="AQ379" s="786"/>
      <c r="AR379" s="786"/>
      <c r="AS379" s="786"/>
      <c r="AT379" s="786"/>
      <c r="AU379" s="787"/>
      <c r="AV379" s="787"/>
      <c r="AW379" s="787"/>
      <c r="AX379" s="784"/>
      <c r="AY379" s="1251"/>
    </row>
    <row r="380" spans="1:51" ht="27" x14ac:dyDescent="0.25">
      <c r="A380" s="1195"/>
      <c r="B380" s="833"/>
      <c r="C380" s="809"/>
      <c r="D380" s="136" t="s">
        <v>43</v>
      </c>
      <c r="E380" s="142"/>
      <c r="F380" s="143"/>
      <c r="G380" s="445">
        <v>80</v>
      </c>
      <c r="H380" s="445">
        <v>80</v>
      </c>
      <c r="I380" s="445">
        <v>80</v>
      </c>
      <c r="J380" s="445">
        <v>80</v>
      </c>
      <c r="K380" s="445"/>
      <c r="L380" s="445"/>
      <c r="M380" s="445">
        <v>60</v>
      </c>
      <c r="N380" s="448">
        <v>60</v>
      </c>
      <c r="O380" s="445"/>
      <c r="P380" s="445"/>
      <c r="Q380" s="445">
        <v>30</v>
      </c>
      <c r="R380" s="447">
        <v>30</v>
      </c>
      <c r="S380" s="446"/>
      <c r="T380" s="446"/>
      <c r="U380" s="446"/>
      <c r="V380" s="445"/>
      <c r="W380" s="445"/>
      <c r="X380" s="446"/>
      <c r="Y380" s="446"/>
      <c r="Z380" s="446">
        <v>60</v>
      </c>
      <c r="AA380" s="448">
        <v>60</v>
      </c>
      <c r="AB380" s="445"/>
      <c r="AC380" s="445"/>
      <c r="AD380" s="445">
        <v>30</v>
      </c>
      <c r="AE380" s="447">
        <v>30</v>
      </c>
      <c r="AF380" s="1218"/>
      <c r="AG380" s="1195"/>
      <c r="AH380" s="789"/>
      <c r="AI380" s="789"/>
      <c r="AJ380" s="793"/>
      <c r="AK380" s="789"/>
      <c r="AL380" s="789"/>
      <c r="AM380" s="789"/>
      <c r="AN380" s="791"/>
      <c r="AO380" s="805"/>
      <c r="AP380" s="805"/>
      <c r="AQ380" s="786"/>
      <c r="AR380" s="786"/>
      <c r="AS380" s="786"/>
      <c r="AT380" s="786"/>
      <c r="AU380" s="787"/>
      <c r="AV380" s="787"/>
      <c r="AW380" s="787"/>
      <c r="AX380" s="784"/>
      <c r="AY380" s="1251"/>
    </row>
    <row r="381" spans="1:51" ht="27.75" thickBot="1" x14ac:dyDescent="0.3">
      <c r="A381" s="1195"/>
      <c r="B381" s="833"/>
      <c r="C381" s="809"/>
      <c r="D381" s="140" t="s">
        <v>45</v>
      </c>
      <c r="E381" s="142"/>
      <c r="F381" s="143"/>
      <c r="G381" s="445">
        <v>783657.14285714284</v>
      </c>
      <c r="H381" s="445">
        <v>783657.14285714284</v>
      </c>
      <c r="I381" s="445">
        <v>783657.14285714284</v>
      </c>
      <c r="J381" s="445">
        <v>621714.28571428568</v>
      </c>
      <c r="K381" s="445"/>
      <c r="L381" s="445"/>
      <c r="M381" s="445">
        <f>+M380*$M$299/$M$298</f>
        <v>466285.71428571426</v>
      </c>
      <c r="N381" s="445">
        <f>+N380*$N$299/$N$298</f>
        <v>512914.28571428574</v>
      </c>
      <c r="O381" s="445"/>
      <c r="P381" s="445"/>
      <c r="Q381" s="445">
        <f>+Q380*$Q$299/$Q$298</f>
        <v>256457.14285714287</v>
      </c>
      <c r="R381" s="445">
        <f>+R380*$R$299/$R$298</f>
        <v>253559.32203389829</v>
      </c>
      <c r="S381" s="446"/>
      <c r="T381" s="446"/>
      <c r="U381" s="445"/>
      <c r="V381" s="445"/>
      <c r="W381" s="445"/>
      <c r="X381" s="445"/>
      <c r="Y381" s="445"/>
      <c r="Z381" s="445">
        <f>+Z380*$Z$299/$Z$298</f>
        <v>794934.24257184612</v>
      </c>
      <c r="AA381" s="445">
        <f>+AA380*$AA$299/$AA$298</f>
        <v>690355.32994923857</v>
      </c>
      <c r="AB381" s="445"/>
      <c r="AC381" s="445"/>
      <c r="AD381" s="445">
        <f>+AD380*$AD$299/$AD$298</f>
        <v>251696.48365206661</v>
      </c>
      <c r="AE381" s="445">
        <f>+AE380*$AE$299/$AE$298</f>
        <v>253559.32203389829</v>
      </c>
      <c r="AF381" s="1218"/>
      <c r="AG381" s="1196"/>
      <c r="AH381" s="790"/>
      <c r="AI381" s="790"/>
      <c r="AJ381" s="794"/>
      <c r="AK381" s="790"/>
      <c r="AL381" s="790"/>
      <c r="AM381" s="790"/>
      <c r="AN381" s="791"/>
      <c r="AO381" s="805"/>
      <c r="AP381" s="805"/>
      <c r="AQ381" s="786"/>
      <c r="AR381" s="786"/>
      <c r="AS381" s="786"/>
      <c r="AT381" s="786"/>
      <c r="AU381" s="787"/>
      <c r="AV381" s="787"/>
      <c r="AW381" s="787"/>
      <c r="AX381" s="785"/>
      <c r="AY381" s="1251"/>
    </row>
    <row r="382" spans="1:51" ht="19.350000000000001" customHeight="1" x14ac:dyDescent="0.25">
      <c r="A382" s="1195"/>
      <c r="B382" s="833"/>
      <c r="C382" s="809" t="s">
        <v>990</v>
      </c>
      <c r="D382" s="141" t="s">
        <v>41</v>
      </c>
      <c r="E382" s="142"/>
      <c r="F382" s="143"/>
      <c r="G382" s="445">
        <v>80</v>
      </c>
      <c r="H382" s="445">
        <v>80</v>
      </c>
      <c r="I382" s="445">
        <v>80</v>
      </c>
      <c r="J382" s="445">
        <v>80</v>
      </c>
      <c r="K382" s="445"/>
      <c r="L382" s="445"/>
      <c r="M382" s="445">
        <v>60</v>
      </c>
      <c r="N382" s="448">
        <v>60</v>
      </c>
      <c r="O382" s="449"/>
      <c r="P382" s="445"/>
      <c r="Q382" s="445">
        <v>36</v>
      </c>
      <c r="R382" s="447">
        <v>36</v>
      </c>
      <c r="S382" s="446"/>
      <c r="T382" s="445"/>
      <c r="U382" s="446"/>
      <c r="V382" s="446"/>
      <c r="W382" s="446"/>
      <c r="X382" s="446"/>
      <c r="Y382" s="446"/>
      <c r="Z382" s="446">
        <v>60</v>
      </c>
      <c r="AA382" s="448">
        <v>60</v>
      </c>
      <c r="AB382" s="449"/>
      <c r="AC382" s="445"/>
      <c r="AD382" s="445">
        <v>36</v>
      </c>
      <c r="AE382" s="447">
        <v>36</v>
      </c>
      <c r="AF382" s="1218" t="s">
        <v>1280</v>
      </c>
      <c r="AG382" s="1194" t="s">
        <v>484</v>
      </c>
      <c r="AH382" s="788" t="s">
        <v>1010</v>
      </c>
      <c r="AI382" s="788" t="s">
        <v>1012</v>
      </c>
      <c r="AJ382" s="792" t="s">
        <v>839</v>
      </c>
      <c r="AK382" s="788" t="s">
        <v>315</v>
      </c>
      <c r="AL382" s="788" t="s">
        <v>70</v>
      </c>
      <c r="AM382" s="788" t="s">
        <v>480</v>
      </c>
      <c r="AN382" s="791">
        <v>163231</v>
      </c>
      <c r="AO382" s="805">
        <v>77499</v>
      </c>
      <c r="AP382" s="805">
        <v>85731</v>
      </c>
      <c r="AQ382" s="786" t="s">
        <v>317</v>
      </c>
      <c r="AR382" s="786" t="s">
        <v>317</v>
      </c>
      <c r="AS382" s="786" t="s">
        <v>317</v>
      </c>
      <c r="AT382" s="786" t="s">
        <v>317</v>
      </c>
      <c r="AU382" s="787" t="s">
        <v>317</v>
      </c>
      <c r="AV382" s="787" t="s">
        <v>317</v>
      </c>
      <c r="AW382" s="787" t="s">
        <v>317</v>
      </c>
      <c r="AX382" s="783">
        <v>163231</v>
      </c>
      <c r="AY382" s="1251"/>
    </row>
    <row r="383" spans="1:51" ht="18" x14ac:dyDescent="0.25">
      <c r="A383" s="1195"/>
      <c r="B383" s="833"/>
      <c r="C383" s="809"/>
      <c r="D383" s="132" t="s">
        <v>3</v>
      </c>
      <c r="E383" s="142"/>
      <c r="F383" s="143"/>
      <c r="G383" s="445">
        <v>783657.14285714284</v>
      </c>
      <c r="H383" s="445">
        <v>783657.14285714284</v>
      </c>
      <c r="I383" s="445">
        <v>783657.14285714284</v>
      </c>
      <c r="J383" s="445">
        <v>621714.28571428568</v>
      </c>
      <c r="K383" s="445"/>
      <c r="L383" s="445"/>
      <c r="M383" s="445">
        <f>+M382*$M$299/$M$298</f>
        <v>466285.71428571426</v>
      </c>
      <c r="N383" s="445">
        <f>+N382*$N$299/$N$298</f>
        <v>512914.28571428574</v>
      </c>
      <c r="O383" s="445"/>
      <c r="P383" s="445"/>
      <c r="Q383" s="445">
        <f>+Q382*$Q$299/$Q$298</f>
        <v>307748.57142857142</v>
      </c>
      <c r="R383" s="445">
        <f>+R382*$R$299/$R$298</f>
        <v>304271.18644067796</v>
      </c>
      <c r="S383" s="446"/>
      <c r="T383" s="446"/>
      <c r="U383" s="445"/>
      <c r="V383" s="445"/>
      <c r="W383" s="445"/>
      <c r="X383" s="445"/>
      <c r="Y383" s="445"/>
      <c r="Z383" s="445">
        <f>+Z382*$Z$299/$Z$298</f>
        <v>794934.24257184612</v>
      </c>
      <c r="AA383" s="445">
        <f>+AA382*$AA$299/$AA$298</f>
        <v>690355.32994923857</v>
      </c>
      <c r="AB383" s="445"/>
      <c r="AC383" s="445"/>
      <c r="AD383" s="445">
        <f>+AD382*$AD$299/$AD$298</f>
        <v>302035.78038247995</v>
      </c>
      <c r="AE383" s="445">
        <f>+AE382*$AE$299/$AE$298</f>
        <v>304271.18644067796</v>
      </c>
      <c r="AF383" s="1218"/>
      <c r="AG383" s="1195"/>
      <c r="AH383" s="789"/>
      <c r="AI383" s="789"/>
      <c r="AJ383" s="793"/>
      <c r="AK383" s="789"/>
      <c r="AL383" s="789"/>
      <c r="AM383" s="789"/>
      <c r="AN383" s="791"/>
      <c r="AO383" s="805"/>
      <c r="AP383" s="805"/>
      <c r="AQ383" s="786"/>
      <c r="AR383" s="786"/>
      <c r="AS383" s="786"/>
      <c r="AT383" s="786"/>
      <c r="AU383" s="787"/>
      <c r="AV383" s="787"/>
      <c r="AW383" s="787"/>
      <c r="AX383" s="784"/>
      <c r="AY383" s="1251"/>
    </row>
    <row r="384" spans="1:51" ht="27" x14ac:dyDescent="0.25">
      <c r="A384" s="1195"/>
      <c r="B384" s="833"/>
      <c r="C384" s="809"/>
      <c r="D384" s="136" t="s">
        <v>42</v>
      </c>
      <c r="E384" s="142"/>
      <c r="F384" s="143"/>
      <c r="G384" s="445"/>
      <c r="H384" s="445"/>
      <c r="I384" s="445"/>
      <c r="J384" s="445"/>
      <c r="K384" s="445"/>
      <c r="L384" s="445"/>
      <c r="M384" s="445"/>
      <c r="N384" s="448"/>
      <c r="O384" s="445"/>
      <c r="P384" s="445"/>
      <c r="Q384" s="445"/>
      <c r="R384" s="447"/>
      <c r="S384" s="446"/>
      <c r="T384" s="446"/>
      <c r="U384" s="446"/>
      <c r="V384" s="446"/>
      <c r="W384" s="446"/>
      <c r="X384" s="446"/>
      <c r="Y384" s="446"/>
      <c r="Z384" s="446"/>
      <c r="AA384" s="448"/>
      <c r="AB384" s="445"/>
      <c r="AC384" s="445"/>
      <c r="AD384" s="445"/>
      <c r="AE384" s="447"/>
      <c r="AF384" s="1218"/>
      <c r="AG384" s="1195"/>
      <c r="AH384" s="789"/>
      <c r="AI384" s="789"/>
      <c r="AJ384" s="793"/>
      <c r="AK384" s="789"/>
      <c r="AL384" s="789"/>
      <c r="AM384" s="789"/>
      <c r="AN384" s="791"/>
      <c r="AO384" s="805"/>
      <c r="AP384" s="805"/>
      <c r="AQ384" s="786"/>
      <c r="AR384" s="786"/>
      <c r="AS384" s="786"/>
      <c r="AT384" s="786"/>
      <c r="AU384" s="787"/>
      <c r="AV384" s="787"/>
      <c r="AW384" s="787"/>
      <c r="AX384" s="784"/>
      <c r="AY384" s="1251"/>
    </row>
    <row r="385" spans="1:51" ht="27" x14ac:dyDescent="0.25">
      <c r="A385" s="1195"/>
      <c r="B385" s="833"/>
      <c r="C385" s="809"/>
      <c r="D385" s="132" t="s">
        <v>4</v>
      </c>
      <c r="E385" s="142"/>
      <c r="F385" s="143"/>
      <c r="G385" s="445"/>
      <c r="H385" s="445"/>
      <c r="I385" s="445"/>
      <c r="J385" s="445"/>
      <c r="K385" s="445"/>
      <c r="L385" s="445"/>
      <c r="M385" s="445"/>
      <c r="N385" s="448"/>
      <c r="O385" s="445"/>
      <c r="P385" s="445"/>
      <c r="Q385" s="445"/>
      <c r="R385" s="447"/>
      <c r="S385" s="446"/>
      <c r="T385" s="445"/>
      <c r="U385" s="445"/>
      <c r="V385" s="446"/>
      <c r="W385" s="446"/>
      <c r="X385" s="446"/>
      <c r="Y385" s="446"/>
      <c r="Z385" s="446"/>
      <c r="AA385" s="448"/>
      <c r="AB385" s="445"/>
      <c r="AC385" s="445"/>
      <c r="AD385" s="445"/>
      <c r="AE385" s="447"/>
      <c r="AF385" s="1218"/>
      <c r="AG385" s="1195"/>
      <c r="AH385" s="789"/>
      <c r="AI385" s="789"/>
      <c r="AJ385" s="793"/>
      <c r="AK385" s="789"/>
      <c r="AL385" s="789"/>
      <c r="AM385" s="789"/>
      <c r="AN385" s="791"/>
      <c r="AO385" s="805"/>
      <c r="AP385" s="805"/>
      <c r="AQ385" s="786"/>
      <c r="AR385" s="786"/>
      <c r="AS385" s="786"/>
      <c r="AT385" s="786"/>
      <c r="AU385" s="787"/>
      <c r="AV385" s="787"/>
      <c r="AW385" s="787"/>
      <c r="AX385" s="784"/>
      <c r="AY385" s="1251"/>
    </row>
    <row r="386" spans="1:51" ht="27" x14ac:dyDescent="0.25">
      <c r="A386" s="1195"/>
      <c r="B386" s="833"/>
      <c r="C386" s="809"/>
      <c r="D386" s="136" t="s">
        <v>43</v>
      </c>
      <c r="E386" s="142"/>
      <c r="F386" s="143"/>
      <c r="G386" s="445">
        <v>80</v>
      </c>
      <c r="H386" s="445">
        <v>80</v>
      </c>
      <c r="I386" s="445">
        <v>80</v>
      </c>
      <c r="J386" s="445">
        <v>80</v>
      </c>
      <c r="K386" s="445"/>
      <c r="L386" s="445"/>
      <c r="M386" s="445">
        <v>60</v>
      </c>
      <c r="N386" s="448">
        <v>60</v>
      </c>
      <c r="O386" s="445"/>
      <c r="P386" s="445"/>
      <c r="Q386" s="445">
        <v>30</v>
      </c>
      <c r="R386" s="447">
        <v>36</v>
      </c>
      <c r="S386" s="446"/>
      <c r="T386" s="446"/>
      <c r="U386" s="446"/>
      <c r="V386" s="445"/>
      <c r="W386" s="445"/>
      <c r="X386" s="446"/>
      <c r="Y386" s="446"/>
      <c r="Z386" s="446">
        <v>60</v>
      </c>
      <c r="AA386" s="448">
        <v>60</v>
      </c>
      <c r="AB386" s="445"/>
      <c r="AC386" s="445"/>
      <c r="AD386" s="445">
        <v>30</v>
      </c>
      <c r="AE386" s="447">
        <v>36</v>
      </c>
      <c r="AF386" s="1218"/>
      <c r="AG386" s="1195"/>
      <c r="AH386" s="789"/>
      <c r="AI386" s="789"/>
      <c r="AJ386" s="793"/>
      <c r="AK386" s="789"/>
      <c r="AL386" s="789"/>
      <c r="AM386" s="789"/>
      <c r="AN386" s="791"/>
      <c r="AO386" s="805"/>
      <c r="AP386" s="805"/>
      <c r="AQ386" s="786"/>
      <c r="AR386" s="786"/>
      <c r="AS386" s="786"/>
      <c r="AT386" s="786"/>
      <c r="AU386" s="787"/>
      <c r="AV386" s="787"/>
      <c r="AW386" s="787"/>
      <c r="AX386" s="784"/>
      <c r="AY386" s="1251"/>
    </row>
    <row r="387" spans="1:51" ht="27.75" thickBot="1" x14ac:dyDescent="0.3">
      <c r="A387" s="1195"/>
      <c r="B387" s="833"/>
      <c r="C387" s="809"/>
      <c r="D387" s="140" t="s">
        <v>45</v>
      </c>
      <c r="E387" s="142"/>
      <c r="F387" s="143"/>
      <c r="G387" s="445">
        <v>783657.14285714284</v>
      </c>
      <c r="H387" s="445">
        <v>783657.14285714284</v>
      </c>
      <c r="I387" s="445">
        <v>783657.14285714284</v>
      </c>
      <c r="J387" s="445">
        <v>621714.28571428568</v>
      </c>
      <c r="K387" s="445"/>
      <c r="L387" s="445"/>
      <c r="M387" s="445">
        <f>+M386*$M$299/$M$298</f>
        <v>466285.71428571426</v>
      </c>
      <c r="N387" s="445">
        <f>+N386*$N$299/$N$298</f>
        <v>512914.28571428574</v>
      </c>
      <c r="O387" s="445"/>
      <c r="P387" s="445"/>
      <c r="Q387" s="445">
        <f>+Q386*$Q$299/$Q$298</f>
        <v>256457.14285714287</v>
      </c>
      <c r="R387" s="445">
        <f>+R386*$R$299/$R$298</f>
        <v>304271.18644067796</v>
      </c>
      <c r="S387" s="446"/>
      <c r="T387" s="446"/>
      <c r="U387" s="445"/>
      <c r="V387" s="445"/>
      <c r="W387" s="445"/>
      <c r="X387" s="445"/>
      <c r="Y387" s="445"/>
      <c r="Z387" s="445">
        <f>+Z386*$Z$299/$Z$298</f>
        <v>794934.24257184612</v>
      </c>
      <c r="AA387" s="445">
        <f>+AA386*$AA$299/$AA$298</f>
        <v>690355.32994923857</v>
      </c>
      <c r="AB387" s="445"/>
      <c r="AC387" s="445"/>
      <c r="AD387" s="445">
        <f>+AD386*$AD$299/$AD$298</f>
        <v>251696.48365206661</v>
      </c>
      <c r="AE387" s="445">
        <f>+AE386*$AE$299/$AE$298</f>
        <v>304271.18644067796</v>
      </c>
      <c r="AF387" s="1218"/>
      <c r="AG387" s="1196"/>
      <c r="AH387" s="790"/>
      <c r="AI387" s="790"/>
      <c r="AJ387" s="794"/>
      <c r="AK387" s="790"/>
      <c r="AL387" s="790"/>
      <c r="AM387" s="790"/>
      <c r="AN387" s="791"/>
      <c r="AO387" s="805"/>
      <c r="AP387" s="805"/>
      <c r="AQ387" s="786"/>
      <c r="AR387" s="786"/>
      <c r="AS387" s="786"/>
      <c r="AT387" s="786"/>
      <c r="AU387" s="787"/>
      <c r="AV387" s="787"/>
      <c r="AW387" s="787"/>
      <c r="AX387" s="785"/>
      <c r="AY387" s="1251"/>
    </row>
    <row r="388" spans="1:51" ht="19.350000000000001" customHeight="1" x14ac:dyDescent="0.25">
      <c r="A388" s="1195"/>
      <c r="B388" s="833"/>
      <c r="C388" s="809" t="s">
        <v>991</v>
      </c>
      <c r="D388" s="141" t="s">
        <v>41</v>
      </c>
      <c r="E388" s="142"/>
      <c r="F388" s="143"/>
      <c r="G388" s="445">
        <v>80</v>
      </c>
      <c r="H388" s="445">
        <v>80</v>
      </c>
      <c r="I388" s="445">
        <v>80</v>
      </c>
      <c r="J388" s="445">
        <v>80</v>
      </c>
      <c r="K388" s="445"/>
      <c r="L388" s="445"/>
      <c r="M388" s="445">
        <v>60</v>
      </c>
      <c r="N388" s="448">
        <v>60</v>
      </c>
      <c r="O388" s="449"/>
      <c r="P388" s="445"/>
      <c r="Q388" s="445">
        <v>9</v>
      </c>
      <c r="R388" s="447">
        <v>9</v>
      </c>
      <c r="S388" s="446"/>
      <c r="T388" s="445"/>
      <c r="U388" s="446"/>
      <c r="V388" s="446"/>
      <c r="W388" s="446"/>
      <c r="X388" s="446"/>
      <c r="Y388" s="446"/>
      <c r="Z388" s="446">
        <v>60</v>
      </c>
      <c r="AA388" s="448">
        <v>60</v>
      </c>
      <c r="AB388" s="449"/>
      <c r="AC388" s="445"/>
      <c r="AD388" s="445">
        <v>9</v>
      </c>
      <c r="AE388" s="447">
        <v>9</v>
      </c>
      <c r="AF388" s="1218" t="s">
        <v>1281</v>
      </c>
      <c r="AG388" s="1194" t="s">
        <v>484</v>
      </c>
      <c r="AH388" s="788" t="s">
        <v>485</v>
      </c>
      <c r="AI388" s="788" t="s">
        <v>1015</v>
      </c>
      <c r="AJ388" s="792" t="s">
        <v>839</v>
      </c>
      <c r="AK388" s="788" t="s">
        <v>315</v>
      </c>
      <c r="AL388" s="788" t="s">
        <v>70</v>
      </c>
      <c r="AM388" s="788" t="s">
        <v>480</v>
      </c>
      <c r="AN388" s="791">
        <v>163231</v>
      </c>
      <c r="AO388" s="805">
        <v>77499</v>
      </c>
      <c r="AP388" s="805">
        <v>85731</v>
      </c>
      <c r="AQ388" s="786" t="s">
        <v>317</v>
      </c>
      <c r="AR388" s="786" t="s">
        <v>317</v>
      </c>
      <c r="AS388" s="786" t="s">
        <v>317</v>
      </c>
      <c r="AT388" s="786" t="s">
        <v>317</v>
      </c>
      <c r="AU388" s="787" t="s">
        <v>317</v>
      </c>
      <c r="AV388" s="787" t="s">
        <v>317</v>
      </c>
      <c r="AW388" s="787" t="s">
        <v>317</v>
      </c>
      <c r="AX388" s="783">
        <v>163231</v>
      </c>
      <c r="AY388" s="1251"/>
    </row>
    <row r="389" spans="1:51" ht="18" x14ac:dyDescent="0.25">
      <c r="A389" s="1195"/>
      <c r="B389" s="833"/>
      <c r="C389" s="809"/>
      <c r="D389" s="132" t="s">
        <v>3</v>
      </c>
      <c r="E389" s="142"/>
      <c r="F389" s="143"/>
      <c r="G389" s="445">
        <v>783657.14285714284</v>
      </c>
      <c r="H389" s="445">
        <v>783657.14285714284</v>
      </c>
      <c r="I389" s="445">
        <v>783657.14285714284</v>
      </c>
      <c r="J389" s="445">
        <v>621714.28571428568</v>
      </c>
      <c r="K389" s="445"/>
      <c r="L389" s="445"/>
      <c r="M389" s="445">
        <f>+M388*$M$299/$M$298</f>
        <v>466285.71428571426</v>
      </c>
      <c r="N389" s="445">
        <f>+N388*$N$299/$N$298</f>
        <v>512914.28571428574</v>
      </c>
      <c r="O389" s="445"/>
      <c r="P389" s="445"/>
      <c r="Q389" s="445">
        <f>+Q388*$Q$299/$Q$298</f>
        <v>76937.142857142855</v>
      </c>
      <c r="R389" s="445">
        <f>+R388*$R$299/$R$298</f>
        <v>76067.796610169491</v>
      </c>
      <c r="S389" s="446"/>
      <c r="T389" s="446"/>
      <c r="U389" s="445"/>
      <c r="V389" s="445"/>
      <c r="W389" s="445"/>
      <c r="X389" s="445"/>
      <c r="Y389" s="445"/>
      <c r="Z389" s="445">
        <f>+Z388*$Z$299/$Z$298</f>
        <v>794934.24257184612</v>
      </c>
      <c r="AA389" s="445">
        <f>+AA388*$AA$299/$AA$298</f>
        <v>690355.32994923857</v>
      </c>
      <c r="AB389" s="445"/>
      <c r="AC389" s="445"/>
      <c r="AD389" s="445">
        <f>+AD388*$AD$299/$AD$298</f>
        <v>75508.945095619987</v>
      </c>
      <c r="AE389" s="445">
        <f>+AE388*$AE$299/$AE$298</f>
        <v>76067.796610169491</v>
      </c>
      <c r="AF389" s="1218"/>
      <c r="AG389" s="1195"/>
      <c r="AH389" s="789"/>
      <c r="AI389" s="789"/>
      <c r="AJ389" s="793"/>
      <c r="AK389" s="789"/>
      <c r="AL389" s="789"/>
      <c r="AM389" s="789"/>
      <c r="AN389" s="791"/>
      <c r="AO389" s="805"/>
      <c r="AP389" s="805"/>
      <c r="AQ389" s="786"/>
      <c r="AR389" s="786"/>
      <c r="AS389" s="786"/>
      <c r="AT389" s="786"/>
      <c r="AU389" s="787"/>
      <c r="AV389" s="787"/>
      <c r="AW389" s="787"/>
      <c r="AX389" s="784"/>
      <c r="AY389" s="1251"/>
    </row>
    <row r="390" spans="1:51" ht="27" x14ac:dyDescent="0.25">
      <c r="A390" s="1195"/>
      <c r="B390" s="833"/>
      <c r="C390" s="809"/>
      <c r="D390" s="136" t="s">
        <v>42</v>
      </c>
      <c r="E390" s="142"/>
      <c r="F390" s="143"/>
      <c r="G390" s="445"/>
      <c r="H390" s="445"/>
      <c r="I390" s="445"/>
      <c r="J390" s="445"/>
      <c r="K390" s="445"/>
      <c r="L390" s="445"/>
      <c r="M390" s="445"/>
      <c r="N390" s="448"/>
      <c r="O390" s="445"/>
      <c r="P390" s="445"/>
      <c r="Q390" s="445"/>
      <c r="R390" s="447"/>
      <c r="S390" s="446"/>
      <c r="T390" s="446"/>
      <c r="U390" s="446"/>
      <c r="V390" s="446"/>
      <c r="W390" s="446"/>
      <c r="X390" s="446"/>
      <c r="Y390" s="446"/>
      <c r="Z390" s="446"/>
      <c r="AA390" s="448"/>
      <c r="AB390" s="445"/>
      <c r="AC390" s="445"/>
      <c r="AD390" s="445"/>
      <c r="AE390" s="447"/>
      <c r="AF390" s="1218"/>
      <c r="AG390" s="1195"/>
      <c r="AH390" s="789"/>
      <c r="AI390" s="789"/>
      <c r="AJ390" s="793"/>
      <c r="AK390" s="789"/>
      <c r="AL390" s="789"/>
      <c r="AM390" s="789"/>
      <c r="AN390" s="791"/>
      <c r="AO390" s="805"/>
      <c r="AP390" s="805"/>
      <c r="AQ390" s="786"/>
      <c r="AR390" s="786"/>
      <c r="AS390" s="786"/>
      <c r="AT390" s="786"/>
      <c r="AU390" s="787"/>
      <c r="AV390" s="787"/>
      <c r="AW390" s="787"/>
      <c r="AX390" s="784"/>
      <c r="AY390" s="1251"/>
    </row>
    <row r="391" spans="1:51" ht="27" x14ac:dyDescent="0.25">
      <c r="A391" s="1195"/>
      <c r="B391" s="833"/>
      <c r="C391" s="809"/>
      <c r="D391" s="132" t="s">
        <v>4</v>
      </c>
      <c r="E391" s="142"/>
      <c r="F391" s="143"/>
      <c r="G391" s="445"/>
      <c r="H391" s="445"/>
      <c r="I391" s="445"/>
      <c r="J391" s="445"/>
      <c r="K391" s="445"/>
      <c r="L391" s="445"/>
      <c r="M391" s="445"/>
      <c r="N391" s="448"/>
      <c r="O391" s="445"/>
      <c r="P391" s="445"/>
      <c r="Q391" s="445"/>
      <c r="R391" s="447"/>
      <c r="S391" s="446"/>
      <c r="T391" s="445"/>
      <c r="U391" s="445"/>
      <c r="V391" s="446"/>
      <c r="W391" s="446"/>
      <c r="X391" s="446"/>
      <c r="Y391" s="446"/>
      <c r="Z391" s="446"/>
      <c r="AA391" s="448"/>
      <c r="AB391" s="445"/>
      <c r="AC391" s="445"/>
      <c r="AD391" s="445"/>
      <c r="AE391" s="447"/>
      <c r="AF391" s="1218"/>
      <c r="AG391" s="1195"/>
      <c r="AH391" s="789"/>
      <c r="AI391" s="789"/>
      <c r="AJ391" s="793"/>
      <c r="AK391" s="789"/>
      <c r="AL391" s="789"/>
      <c r="AM391" s="789"/>
      <c r="AN391" s="791"/>
      <c r="AO391" s="805"/>
      <c r="AP391" s="805"/>
      <c r="AQ391" s="786"/>
      <c r="AR391" s="786"/>
      <c r="AS391" s="786"/>
      <c r="AT391" s="786"/>
      <c r="AU391" s="787"/>
      <c r="AV391" s="787"/>
      <c r="AW391" s="787"/>
      <c r="AX391" s="784"/>
      <c r="AY391" s="1251"/>
    </row>
    <row r="392" spans="1:51" ht="27" x14ac:dyDescent="0.25">
      <c r="A392" s="1195"/>
      <c r="B392" s="833"/>
      <c r="C392" s="809"/>
      <c r="D392" s="136" t="s">
        <v>43</v>
      </c>
      <c r="E392" s="142"/>
      <c r="F392" s="143"/>
      <c r="G392" s="445">
        <v>80</v>
      </c>
      <c r="H392" s="445">
        <v>80</v>
      </c>
      <c r="I392" s="445">
        <v>80</v>
      </c>
      <c r="J392" s="445">
        <v>80</v>
      </c>
      <c r="K392" s="445"/>
      <c r="L392" s="445"/>
      <c r="M392" s="445">
        <v>60</v>
      </c>
      <c r="N392" s="448">
        <v>60</v>
      </c>
      <c r="O392" s="445"/>
      <c r="P392" s="445"/>
      <c r="Q392" s="445">
        <v>25</v>
      </c>
      <c r="R392" s="447">
        <v>9</v>
      </c>
      <c r="S392" s="446"/>
      <c r="T392" s="446"/>
      <c r="U392" s="446"/>
      <c r="V392" s="445"/>
      <c r="W392" s="445"/>
      <c r="X392" s="446"/>
      <c r="Y392" s="446"/>
      <c r="Z392" s="446">
        <v>60</v>
      </c>
      <c r="AA392" s="448">
        <v>60</v>
      </c>
      <c r="AB392" s="445"/>
      <c r="AC392" s="445"/>
      <c r="AD392" s="445">
        <v>25</v>
      </c>
      <c r="AE392" s="447">
        <v>9</v>
      </c>
      <c r="AF392" s="1218"/>
      <c r="AG392" s="1195"/>
      <c r="AH392" s="789"/>
      <c r="AI392" s="789"/>
      <c r="AJ392" s="793"/>
      <c r="AK392" s="789"/>
      <c r="AL392" s="789"/>
      <c r="AM392" s="789"/>
      <c r="AN392" s="791"/>
      <c r="AO392" s="805"/>
      <c r="AP392" s="805"/>
      <c r="AQ392" s="786"/>
      <c r="AR392" s="786"/>
      <c r="AS392" s="786"/>
      <c r="AT392" s="786"/>
      <c r="AU392" s="787"/>
      <c r="AV392" s="787"/>
      <c r="AW392" s="787"/>
      <c r="AX392" s="784"/>
      <c r="AY392" s="1251"/>
    </row>
    <row r="393" spans="1:51" ht="27.75" thickBot="1" x14ac:dyDescent="0.3">
      <c r="A393" s="1195"/>
      <c r="B393" s="833"/>
      <c r="C393" s="809"/>
      <c r="D393" s="140" t="s">
        <v>45</v>
      </c>
      <c r="E393" s="142"/>
      <c r="F393" s="143"/>
      <c r="G393" s="445">
        <v>783657.14285714284</v>
      </c>
      <c r="H393" s="445">
        <v>783657.14285714284</v>
      </c>
      <c r="I393" s="445">
        <v>783657.14285714284</v>
      </c>
      <c r="J393" s="445">
        <v>621714.28571428568</v>
      </c>
      <c r="K393" s="445"/>
      <c r="L393" s="445"/>
      <c r="M393" s="445">
        <f>+M392*$M$299/$M$298</f>
        <v>466285.71428571426</v>
      </c>
      <c r="N393" s="445">
        <f>+N392*$N$299/$N$298</f>
        <v>512914.28571428574</v>
      </c>
      <c r="O393" s="445"/>
      <c r="P393" s="445"/>
      <c r="Q393" s="445">
        <f>+Q392*$Q$299/$Q$298</f>
        <v>213714.28571428571</v>
      </c>
      <c r="R393" s="445">
        <f>+R392*$R$299/$R$298</f>
        <v>76067.796610169491</v>
      </c>
      <c r="S393" s="446"/>
      <c r="T393" s="446"/>
      <c r="U393" s="445"/>
      <c r="V393" s="445"/>
      <c r="W393" s="445"/>
      <c r="X393" s="445"/>
      <c r="Y393" s="445"/>
      <c r="Z393" s="445">
        <f>+Z392*$Z$299/$Z$298</f>
        <v>794934.24257184612</v>
      </c>
      <c r="AA393" s="445">
        <f>+AA392*$AA$299/$AA$298</f>
        <v>690355.32994923857</v>
      </c>
      <c r="AB393" s="445"/>
      <c r="AC393" s="445"/>
      <c r="AD393" s="445">
        <f>+AD392*$AD$299/$AD$298</f>
        <v>209747.06971005551</v>
      </c>
      <c r="AE393" s="445">
        <f>+AE392*$AE$299/$AE$298</f>
        <v>76067.796610169491</v>
      </c>
      <c r="AF393" s="1218"/>
      <c r="AG393" s="1196"/>
      <c r="AH393" s="790"/>
      <c r="AI393" s="790"/>
      <c r="AJ393" s="794"/>
      <c r="AK393" s="790"/>
      <c r="AL393" s="790"/>
      <c r="AM393" s="790"/>
      <c r="AN393" s="791"/>
      <c r="AO393" s="805"/>
      <c r="AP393" s="805"/>
      <c r="AQ393" s="786"/>
      <c r="AR393" s="786"/>
      <c r="AS393" s="786"/>
      <c r="AT393" s="786"/>
      <c r="AU393" s="787"/>
      <c r="AV393" s="787"/>
      <c r="AW393" s="787"/>
      <c r="AX393" s="785"/>
      <c r="AY393" s="1251"/>
    </row>
    <row r="394" spans="1:51" ht="19.350000000000001" customHeight="1" x14ac:dyDescent="0.25">
      <c r="A394" s="1195"/>
      <c r="B394" s="833"/>
      <c r="C394" s="809" t="s">
        <v>992</v>
      </c>
      <c r="D394" s="141" t="s">
        <v>41</v>
      </c>
      <c r="E394" s="142"/>
      <c r="F394" s="143"/>
      <c r="G394" s="445">
        <v>80</v>
      </c>
      <c r="H394" s="445">
        <v>80</v>
      </c>
      <c r="I394" s="445">
        <v>80</v>
      </c>
      <c r="J394" s="445">
        <v>80</v>
      </c>
      <c r="K394" s="445"/>
      <c r="L394" s="445"/>
      <c r="M394" s="445">
        <v>60</v>
      </c>
      <c r="N394" s="448">
        <v>60</v>
      </c>
      <c r="O394" s="449"/>
      <c r="P394" s="445"/>
      <c r="Q394" s="445">
        <v>25</v>
      </c>
      <c r="R394" s="447">
        <v>25</v>
      </c>
      <c r="S394" s="446"/>
      <c r="T394" s="445"/>
      <c r="U394" s="446"/>
      <c r="V394" s="446"/>
      <c r="W394" s="446"/>
      <c r="X394" s="446"/>
      <c r="Y394" s="446"/>
      <c r="Z394" s="446">
        <v>60</v>
      </c>
      <c r="AA394" s="448">
        <v>60</v>
      </c>
      <c r="AB394" s="449"/>
      <c r="AC394" s="445"/>
      <c r="AD394" s="445">
        <v>25</v>
      </c>
      <c r="AE394" s="447">
        <v>25</v>
      </c>
      <c r="AF394" s="1218" t="s">
        <v>1282</v>
      </c>
      <c r="AG394" s="1194" t="s">
        <v>484</v>
      </c>
      <c r="AH394" s="788" t="s">
        <v>821</v>
      </c>
      <c r="AI394" s="788" t="s">
        <v>822</v>
      </c>
      <c r="AJ394" s="792" t="s">
        <v>839</v>
      </c>
      <c r="AK394" s="788" t="s">
        <v>315</v>
      </c>
      <c r="AL394" s="788" t="s">
        <v>70</v>
      </c>
      <c r="AM394" s="788" t="s">
        <v>480</v>
      </c>
      <c r="AN394" s="791">
        <v>163231</v>
      </c>
      <c r="AO394" s="805">
        <v>77499</v>
      </c>
      <c r="AP394" s="805">
        <v>85731</v>
      </c>
      <c r="AQ394" s="786" t="s">
        <v>317</v>
      </c>
      <c r="AR394" s="786" t="s">
        <v>317</v>
      </c>
      <c r="AS394" s="786" t="s">
        <v>317</v>
      </c>
      <c r="AT394" s="786" t="s">
        <v>317</v>
      </c>
      <c r="AU394" s="787" t="s">
        <v>317</v>
      </c>
      <c r="AV394" s="787" t="s">
        <v>317</v>
      </c>
      <c r="AW394" s="787" t="s">
        <v>317</v>
      </c>
      <c r="AX394" s="783">
        <v>163231</v>
      </c>
      <c r="AY394" s="1251"/>
    </row>
    <row r="395" spans="1:51" ht="18" x14ac:dyDescent="0.25">
      <c r="A395" s="1195"/>
      <c r="B395" s="833"/>
      <c r="C395" s="809"/>
      <c r="D395" s="132" t="s">
        <v>3</v>
      </c>
      <c r="E395" s="142"/>
      <c r="F395" s="143"/>
      <c r="G395" s="445">
        <v>783657.14285714284</v>
      </c>
      <c r="H395" s="445">
        <v>783657.14285714284</v>
      </c>
      <c r="I395" s="445">
        <v>783657.14285714284</v>
      </c>
      <c r="J395" s="445">
        <v>621714.28571428568</v>
      </c>
      <c r="K395" s="445"/>
      <c r="L395" s="445"/>
      <c r="M395" s="445">
        <f>+M394*$M$299/$M$298</f>
        <v>466285.71428571426</v>
      </c>
      <c r="N395" s="445">
        <f>+N394*$N$299/$N$298</f>
        <v>512914.28571428574</v>
      </c>
      <c r="O395" s="445"/>
      <c r="P395" s="445"/>
      <c r="Q395" s="445">
        <f>+Q394*$Q$299/$Q$298</f>
        <v>213714.28571428571</v>
      </c>
      <c r="R395" s="445">
        <f>+R394*$R$299/$R$298</f>
        <v>211299.43502824858</v>
      </c>
      <c r="S395" s="446"/>
      <c r="T395" s="446"/>
      <c r="U395" s="445"/>
      <c r="V395" s="445"/>
      <c r="W395" s="445"/>
      <c r="X395" s="445"/>
      <c r="Y395" s="445"/>
      <c r="Z395" s="445">
        <f>+Z394*$Z$299/$Z$298</f>
        <v>794934.24257184612</v>
      </c>
      <c r="AA395" s="445">
        <f>+AA394*$AA$299/$AA$298</f>
        <v>690355.32994923857</v>
      </c>
      <c r="AB395" s="445"/>
      <c r="AC395" s="445"/>
      <c r="AD395" s="445">
        <f>+AD394*$AD$299/$AD$298</f>
        <v>209747.06971005551</v>
      </c>
      <c r="AE395" s="445">
        <f>+AE394*$AE$299/$AE$298</f>
        <v>211299.43502824858</v>
      </c>
      <c r="AF395" s="1218"/>
      <c r="AG395" s="1195"/>
      <c r="AH395" s="789"/>
      <c r="AI395" s="789"/>
      <c r="AJ395" s="793"/>
      <c r="AK395" s="789"/>
      <c r="AL395" s="789"/>
      <c r="AM395" s="789"/>
      <c r="AN395" s="791"/>
      <c r="AO395" s="805"/>
      <c r="AP395" s="805"/>
      <c r="AQ395" s="786"/>
      <c r="AR395" s="786"/>
      <c r="AS395" s="786"/>
      <c r="AT395" s="786"/>
      <c r="AU395" s="787"/>
      <c r="AV395" s="787"/>
      <c r="AW395" s="787"/>
      <c r="AX395" s="784"/>
      <c r="AY395" s="1251"/>
    </row>
    <row r="396" spans="1:51" ht="27" x14ac:dyDescent="0.25">
      <c r="A396" s="1195"/>
      <c r="B396" s="833"/>
      <c r="C396" s="809"/>
      <c r="D396" s="136" t="s">
        <v>42</v>
      </c>
      <c r="E396" s="142"/>
      <c r="F396" s="143"/>
      <c r="G396" s="445"/>
      <c r="H396" s="445"/>
      <c r="I396" s="445"/>
      <c r="J396" s="445"/>
      <c r="K396" s="445"/>
      <c r="L396" s="445"/>
      <c r="M396" s="445"/>
      <c r="N396" s="448"/>
      <c r="O396" s="445"/>
      <c r="P396" s="445"/>
      <c r="Q396" s="445"/>
      <c r="R396" s="447"/>
      <c r="S396" s="446"/>
      <c r="T396" s="446"/>
      <c r="U396" s="446"/>
      <c r="V396" s="446"/>
      <c r="W396" s="446"/>
      <c r="X396" s="446"/>
      <c r="Y396" s="446"/>
      <c r="Z396" s="446"/>
      <c r="AA396" s="448"/>
      <c r="AB396" s="445"/>
      <c r="AC396" s="445"/>
      <c r="AD396" s="445"/>
      <c r="AE396" s="447"/>
      <c r="AF396" s="1218"/>
      <c r="AG396" s="1195"/>
      <c r="AH396" s="789"/>
      <c r="AI396" s="789"/>
      <c r="AJ396" s="793"/>
      <c r="AK396" s="789"/>
      <c r="AL396" s="789"/>
      <c r="AM396" s="789"/>
      <c r="AN396" s="791"/>
      <c r="AO396" s="805"/>
      <c r="AP396" s="805"/>
      <c r="AQ396" s="786"/>
      <c r="AR396" s="786"/>
      <c r="AS396" s="786"/>
      <c r="AT396" s="786"/>
      <c r="AU396" s="787"/>
      <c r="AV396" s="787"/>
      <c r="AW396" s="787"/>
      <c r="AX396" s="784"/>
      <c r="AY396" s="1251"/>
    </row>
    <row r="397" spans="1:51" ht="27" x14ac:dyDescent="0.25">
      <c r="A397" s="1195"/>
      <c r="B397" s="833"/>
      <c r="C397" s="809"/>
      <c r="D397" s="132" t="s">
        <v>4</v>
      </c>
      <c r="E397" s="142"/>
      <c r="F397" s="143"/>
      <c r="G397" s="445"/>
      <c r="H397" s="445"/>
      <c r="I397" s="445"/>
      <c r="J397" s="445"/>
      <c r="K397" s="445"/>
      <c r="L397" s="445"/>
      <c r="M397" s="445"/>
      <c r="N397" s="448"/>
      <c r="O397" s="445"/>
      <c r="P397" s="445"/>
      <c r="Q397" s="445"/>
      <c r="R397" s="447"/>
      <c r="S397" s="446"/>
      <c r="T397" s="445"/>
      <c r="U397" s="445"/>
      <c r="V397" s="446"/>
      <c r="W397" s="446"/>
      <c r="X397" s="446"/>
      <c r="Y397" s="446"/>
      <c r="Z397" s="446"/>
      <c r="AA397" s="448"/>
      <c r="AB397" s="445"/>
      <c r="AC397" s="445"/>
      <c r="AD397" s="445"/>
      <c r="AE397" s="447"/>
      <c r="AF397" s="1218"/>
      <c r="AG397" s="1195"/>
      <c r="AH397" s="789"/>
      <c r="AI397" s="789"/>
      <c r="AJ397" s="793"/>
      <c r="AK397" s="789"/>
      <c r="AL397" s="789"/>
      <c r="AM397" s="789"/>
      <c r="AN397" s="791"/>
      <c r="AO397" s="805"/>
      <c r="AP397" s="805"/>
      <c r="AQ397" s="786"/>
      <c r="AR397" s="786"/>
      <c r="AS397" s="786"/>
      <c r="AT397" s="786"/>
      <c r="AU397" s="787"/>
      <c r="AV397" s="787"/>
      <c r="AW397" s="787"/>
      <c r="AX397" s="784"/>
      <c r="AY397" s="1251"/>
    </row>
    <row r="398" spans="1:51" ht="27" x14ac:dyDescent="0.25">
      <c r="A398" s="1195"/>
      <c r="B398" s="833"/>
      <c r="C398" s="809"/>
      <c r="D398" s="136" t="s">
        <v>43</v>
      </c>
      <c r="E398" s="142"/>
      <c r="F398" s="143"/>
      <c r="G398" s="445">
        <v>80</v>
      </c>
      <c r="H398" s="445">
        <v>80</v>
      </c>
      <c r="I398" s="445">
        <v>80</v>
      </c>
      <c r="J398" s="445">
        <v>80</v>
      </c>
      <c r="K398" s="445"/>
      <c r="L398" s="445"/>
      <c r="M398" s="445">
        <v>60</v>
      </c>
      <c r="N398" s="448">
        <v>60</v>
      </c>
      <c r="O398" s="445"/>
      <c r="P398" s="445"/>
      <c r="Q398" s="445">
        <v>25</v>
      </c>
      <c r="R398" s="447">
        <v>25</v>
      </c>
      <c r="S398" s="446"/>
      <c r="T398" s="446"/>
      <c r="U398" s="446"/>
      <c r="V398" s="445"/>
      <c r="W398" s="445"/>
      <c r="X398" s="446"/>
      <c r="Y398" s="446"/>
      <c r="Z398" s="446">
        <v>60</v>
      </c>
      <c r="AA398" s="448">
        <v>60</v>
      </c>
      <c r="AB398" s="445"/>
      <c r="AC398" s="445"/>
      <c r="AD398" s="445">
        <v>25</v>
      </c>
      <c r="AE398" s="447">
        <v>25</v>
      </c>
      <c r="AF398" s="1218"/>
      <c r="AG398" s="1195"/>
      <c r="AH398" s="789"/>
      <c r="AI398" s="789"/>
      <c r="AJ398" s="793"/>
      <c r="AK398" s="789"/>
      <c r="AL398" s="789"/>
      <c r="AM398" s="789"/>
      <c r="AN398" s="791"/>
      <c r="AO398" s="805"/>
      <c r="AP398" s="805"/>
      <c r="AQ398" s="786"/>
      <c r="AR398" s="786"/>
      <c r="AS398" s="786"/>
      <c r="AT398" s="786"/>
      <c r="AU398" s="787"/>
      <c r="AV398" s="787"/>
      <c r="AW398" s="787"/>
      <c r="AX398" s="784"/>
      <c r="AY398" s="1251"/>
    </row>
    <row r="399" spans="1:51" ht="27.75" thickBot="1" x14ac:dyDescent="0.3">
      <c r="A399" s="1195"/>
      <c r="B399" s="833"/>
      <c r="C399" s="809"/>
      <c r="D399" s="140" t="s">
        <v>45</v>
      </c>
      <c r="E399" s="142"/>
      <c r="F399" s="143"/>
      <c r="G399" s="445">
        <v>783657.14285714284</v>
      </c>
      <c r="H399" s="445">
        <v>783657.14285714284</v>
      </c>
      <c r="I399" s="445">
        <v>783657.14285714284</v>
      </c>
      <c r="J399" s="445">
        <v>621714.28571428568</v>
      </c>
      <c r="K399" s="445"/>
      <c r="L399" s="445"/>
      <c r="M399" s="445">
        <f>+M398*$M$299/$M$298</f>
        <v>466285.71428571426</v>
      </c>
      <c r="N399" s="445">
        <f>+N398*$N$299/$N$298</f>
        <v>512914.28571428574</v>
      </c>
      <c r="O399" s="445"/>
      <c r="P399" s="445"/>
      <c r="Q399" s="445">
        <f>+Q398*$Q$299/$Q$298</f>
        <v>213714.28571428571</v>
      </c>
      <c r="R399" s="445">
        <f>+R398*$R$299/$R$298</f>
        <v>211299.43502824858</v>
      </c>
      <c r="S399" s="446"/>
      <c r="T399" s="446"/>
      <c r="U399" s="445"/>
      <c r="V399" s="445"/>
      <c r="W399" s="445"/>
      <c r="X399" s="445"/>
      <c r="Y399" s="445"/>
      <c r="Z399" s="445">
        <f>+Z398*$Z$299/$Z$298</f>
        <v>794934.24257184612</v>
      </c>
      <c r="AA399" s="445">
        <f>+AA398*$AA$299/$AA$298</f>
        <v>690355.32994923857</v>
      </c>
      <c r="AB399" s="445"/>
      <c r="AC399" s="445"/>
      <c r="AD399" s="445">
        <f>+AD398*$AD$299/$AD$298</f>
        <v>209747.06971005551</v>
      </c>
      <c r="AE399" s="445">
        <f>+AE398*$AE$299/$AE$298</f>
        <v>211299.43502824858</v>
      </c>
      <c r="AF399" s="1218"/>
      <c r="AG399" s="1196"/>
      <c r="AH399" s="790"/>
      <c r="AI399" s="790"/>
      <c r="AJ399" s="794"/>
      <c r="AK399" s="790"/>
      <c r="AL399" s="790"/>
      <c r="AM399" s="790"/>
      <c r="AN399" s="791"/>
      <c r="AO399" s="805"/>
      <c r="AP399" s="805"/>
      <c r="AQ399" s="786"/>
      <c r="AR399" s="786"/>
      <c r="AS399" s="786"/>
      <c r="AT399" s="786"/>
      <c r="AU399" s="787"/>
      <c r="AV399" s="787"/>
      <c r="AW399" s="787"/>
      <c r="AX399" s="785"/>
      <c r="AY399" s="1251"/>
    </row>
    <row r="400" spans="1:51" ht="19.350000000000001" customHeight="1" x14ac:dyDescent="0.25">
      <c r="A400" s="1195"/>
      <c r="B400" s="833"/>
      <c r="C400" s="809" t="s">
        <v>993</v>
      </c>
      <c r="D400" s="141" t="s">
        <v>41</v>
      </c>
      <c r="E400" s="142"/>
      <c r="F400" s="143"/>
      <c r="G400" s="445">
        <v>80</v>
      </c>
      <c r="H400" s="445">
        <v>80</v>
      </c>
      <c r="I400" s="445">
        <v>80</v>
      </c>
      <c r="J400" s="445">
        <v>80</v>
      </c>
      <c r="K400" s="445"/>
      <c r="L400" s="445"/>
      <c r="M400" s="445">
        <v>60</v>
      </c>
      <c r="N400" s="448">
        <v>60</v>
      </c>
      <c r="O400" s="449"/>
      <c r="P400" s="445"/>
      <c r="Q400" s="445">
        <v>33</v>
      </c>
      <c r="R400" s="447">
        <v>33</v>
      </c>
      <c r="S400" s="446"/>
      <c r="T400" s="445"/>
      <c r="U400" s="446"/>
      <c r="V400" s="446"/>
      <c r="W400" s="446"/>
      <c r="X400" s="446"/>
      <c r="Y400" s="446"/>
      <c r="Z400" s="446">
        <v>60</v>
      </c>
      <c r="AA400" s="448">
        <v>60</v>
      </c>
      <c r="AB400" s="449"/>
      <c r="AC400" s="445"/>
      <c r="AD400" s="445">
        <v>33</v>
      </c>
      <c r="AE400" s="447">
        <v>33</v>
      </c>
      <c r="AF400" s="1218" t="s">
        <v>1283</v>
      </c>
      <c r="AG400" s="1194" t="s">
        <v>484</v>
      </c>
      <c r="AH400" s="788" t="s">
        <v>485</v>
      </c>
      <c r="AI400" s="788" t="s">
        <v>486</v>
      </c>
      <c r="AJ400" s="792" t="s">
        <v>839</v>
      </c>
      <c r="AK400" s="788" t="s">
        <v>315</v>
      </c>
      <c r="AL400" s="788" t="s">
        <v>70</v>
      </c>
      <c r="AM400" s="788" t="s">
        <v>480</v>
      </c>
      <c r="AN400" s="791">
        <v>163231</v>
      </c>
      <c r="AO400" s="805">
        <v>77499</v>
      </c>
      <c r="AP400" s="805">
        <v>85731</v>
      </c>
      <c r="AQ400" s="786" t="s">
        <v>317</v>
      </c>
      <c r="AR400" s="786" t="s">
        <v>317</v>
      </c>
      <c r="AS400" s="786" t="s">
        <v>317</v>
      </c>
      <c r="AT400" s="786" t="s">
        <v>317</v>
      </c>
      <c r="AU400" s="787" t="s">
        <v>317</v>
      </c>
      <c r="AV400" s="787" t="s">
        <v>317</v>
      </c>
      <c r="AW400" s="787" t="s">
        <v>317</v>
      </c>
      <c r="AX400" s="783">
        <v>163231</v>
      </c>
      <c r="AY400" s="1251"/>
    </row>
    <row r="401" spans="1:51" ht="18" x14ac:dyDescent="0.25">
      <c r="A401" s="1195"/>
      <c r="B401" s="833"/>
      <c r="C401" s="809"/>
      <c r="D401" s="132" t="s">
        <v>3</v>
      </c>
      <c r="E401" s="142"/>
      <c r="F401" s="143"/>
      <c r="G401" s="445">
        <v>783657.14285714284</v>
      </c>
      <c r="H401" s="445">
        <v>783657.14285714284</v>
      </c>
      <c r="I401" s="445">
        <v>783657.14285714284</v>
      </c>
      <c r="J401" s="445">
        <v>621714.28571428568</v>
      </c>
      <c r="K401" s="445"/>
      <c r="L401" s="445"/>
      <c r="M401" s="445">
        <f>+M400*$M$299/$M$298</f>
        <v>466285.71428571426</v>
      </c>
      <c r="N401" s="445">
        <f>+N400*$N$299/$N$298</f>
        <v>512914.28571428574</v>
      </c>
      <c r="O401" s="445"/>
      <c r="P401" s="445"/>
      <c r="Q401" s="445">
        <f>+Q400*$Q$299/$Q$298</f>
        <v>282102.85714285716</v>
      </c>
      <c r="R401" s="445">
        <f>+R400*$R$299/$R$298</f>
        <v>278915.25423728814</v>
      </c>
      <c r="S401" s="446"/>
      <c r="T401" s="446"/>
      <c r="U401" s="445"/>
      <c r="V401" s="445"/>
      <c r="W401" s="445"/>
      <c r="X401" s="445"/>
      <c r="Y401" s="445"/>
      <c r="Z401" s="445">
        <f>+Z400*$Z$299/$Z$298</f>
        <v>794934.24257184612</v>
      </c>
      <c r="AA401" s="445">
        <f>+AA400*$AA$299/$AA$298</f>
        <v>690355.32994923857</v>
      </c>
      <c r="AB401" s="445"/>
      <c r="AC401" s="445"/>
      <c r="AD401" s="445">
        <f>+AD400*$AD$299/$AD$298</f>
        <v>276866.13201727328</v>
      </c>
      <c r="AE401" s="445">
        <f>+AE400*$AE$299/$AE$298</f>
        <v>278915.25423728814</v>
      </c>
      <c r="AF401" s="1218"/>
      <c r="AG401" s="1195"/>
      <c r="AH401" s="789"/>
      <c r="AI401" s="789"/>
      <c r="AJ401" s="793"/>
      <c r="AK401" s="789"/>
      <c r="AL401" s="789"/>
      <c r="AM401" s="789"/>
      <c r="AN401" s="791"/>
      <c r="AO401" s="805"/>
      <c r="AP401" s="805"/>
      <c r="AQ401" s="786"/>
      <c r="AR401" s="786"/>
      <c r="AS401" s="786"/>
      <c r="AT401" s="786"/>
      <c r="AU401" s="787"/>
      <c r="AV401" s="787"/>
      <c r="AW401" s="787"/>
      <c r="AX401" s="784"/>
      <c r="AY401" s="1251"/>
    </row>
    <row r="402" spans="1:51" ht="27" x14ac:dyDescent="0.25">
      <c r="A402" s="1195"/>
      <c r="B402" s="833"/>
      <c r="C402" s="809"/>
      <c r="D402" s="136" t="s">
        <v>42</v>
      </c>
      <c r="E402" s="142"/>
      <c r="F402" s="143"/>
      <c r="G402" s="445"/>
      <c r="H402" s="445"/>
      <c r="I402" s="445"/>
      <c r="J402" s="445"/>
      <c r="K402" s="445"/>
      <c r="L402" s="445"/>
      <c r="M402" s="445"/>
      <c r="N402" s="448"/>
      <c r="O402" s="445"/>
      <c r="P402" s="445"/>
      <c r="Q402" s="445"/>
      <c r="R402" s="447"/>
      <c r="S402" s="446"/>
      <c r="T402" s="446"/>
      <c r="U402" s="446"/>
      <c r="V402" s="446"/>
      <c r="W402" s="446"/>
      <c r="X402" s="446"/>
      <c r="Y402" s="446"/>
      <c r="Z402" s="446"/>
      <c r="AA402" s="448"/>
      <c r="AB402" s="445"/>
      <c r="AC402" s="445"/>
      <c r="AD402" s="445"/>
      <c r="AE402" s="447"/>
      <c r="AF402" s="1218"/>
      <c r="AG402" s="1195"/>
      <c r="AH402" s="789"/>
      <c r="AI402" s="789"/>
      <c r="AJ402" s="793"/>
      <c r="AK402" s="789"/>
      <c r="AL402" s="789"/>
      <c r="AM402" s="789"/>
      <c r="AN402" s="791"/>
      <c r="AO402" s="805"/>
      <c r="AP402" s="805"/>
      <c r="AQ402" s="786"/>
      <c r="AR402" s="786"/>
      <c r="AS402" s="786"/>
      <c r="AT402" s="786"/>
      <c r="AU402" s="787"/>
      <c r="AV402" s="787"/>
      <c r="AW402" s="787"/>
      <c r="AX402" s="784"/>
      <c r="AY402" s="1251"/>
    </row>
    <row r="403" spans="1:51" ht="27" x14ac:dyDescent="0.25">
      <c r="A403" s="1195"/>
      <c r="B403" s="833"/>
      <c r="C403" s="809"/>
      <c r="D403" s="132" t="s">
        <v>4</v>
      </c>
      <c r="E403" s="142"/>
      <c r="F403" s="143"/>
      <c r="G403" s="445"/>
      <c r="H403" s="445"/>
      <c r="I403" s="445"/>
      <c r="J403" s="445"/>
      <c r="K403" s="445"/>
      <c r="L403" s="445"/>
      <c r="M403" s="445"/>
      <c r="N403" s="448"/>
      <c r="O403" s="445"/>
      <c r="P403" s="445"/>
      <c r="Q403" s="445"/>
      <c r="R403" s="447"/>
      <c r="S403" s="446"/>
      <c r="T403" s="445"/>
      <c r="U403" s="445"/>
      <c r="V403" s="446"/>
      <c r="W403" s="446"/>
      <c r="X403" s="446"/>
      <c r="Y403" s="446"/>
      <c r="Z403" s="446"/>
      <c r="AA403" s="448"/>
      <c r="AB403" s="445"/>
      <c r="AC403" s="445"/>
      <c r="AD403" s="445"/>
      <c r="AE403" s="447"/>
      <c r="AF403" s="1218"/>
      <c r="AG403" s="1195"/>
      <c r="AH403" s="789"/>
      <c r="AI403" s="789"/>
      <c r="AJ403" s="793"/>
      <c r="AK403" s="789"/>
      <c r="AL403" s="789"/>
      <c r="AM403" s="789"/>
      <c r="AN403" s="791"/>
      <c r="AO403" s="805"/>
      <c r="AP403" s="805"/>
      <c r="AQ403" s="786"/>
      <c r="AR403" s="786"/>
      <c r="AS403" s="786"/>
      <c r="AT403" s="786"/>
      <c r="AU403" s="787"/>
      <c r="AV403" s="787"/>
      <c r="AW403" s="787"/>
      <c r="AX403" s="784"/>
      <c r="AY403" s="1251"/>
    </row>
    <row r="404" spans="1:51" ht="27" x14ac:dyDescent="0.25">
      <c r="A404" s="1195"/>
      <c r="B404" s="833"/>
      <c r="C404" s="809"/>
      <c r="D404" s="136" t="s">
        <v>43</v>
      </c>
      <c r="E404" s="142"/>
      <c r="F404" s="143"/>
      <c r="G404" s="445">
        <v>80</v>
      </c>
      <c r="H404" s="445">
        <v>80</v>
      </c>
      <c r="I404" s="445">
        <v>80</v>
      </c>
      <c r="J404" s="445">
        <v>80</v>
      </c>
      <c r="K404" s="445"/>
      <c r="L404" s="445"/>
      <c r="M404" s="445">
        <v>60</v>
      </c>
      <c r="N404" s="448">
        <v>60</v>
      </c>
      <c r="O404" s="445"/>
      <c r="P404" s="445"/>
      <c r="Q404" s="445">
        <v>33</v>
      </c>
      <c r="R404" s="447">
        <v>33</v>
      </c>
      <c r="S404" s="446"/>
      <c r="T404" s="446"/>
      <c r="U404" s="446"/>
      <c r="V404" s="445"/>
      <c r="W404" s="445"/>
      <c r="X404" s="446"/>
      <c r="Y404" s="446"/>
      <c r="Z404" s="446">
        <v>60</v>
      </c>
      <c r="AA404" s="448">
        <v>60</v>
      </c>
      <c r="AB404" s="445"/>
      <c r="AC404" s="445"/>
      <c r="AD404" s="445">
        <v>33</v>
      </c>
      <c r="AE404" s="447">
        <v>33</v>
      </c>
      <c r="AF404" s="1218"/>
      <c r="AG404" s="1195"/>
      <c r="AH404" s="789"/>
      <c r="AI404" s="789"/>
      <c r="AJ404" s="793"/>
      <c r="AK404" s="789"/>
      <c r="AL404" s="789"/>
      <c r="AM404" s="789"/>
      <c r="AN404" s="791"/>
      <c r="AO404" s="805"/>
      <c r="AP404" s="805"/>
      <c r="AQ404" s="786"/>
      <c r="AR404" s="786"/>
      <c r="AS404" s="786"/>
      <c r="AT404" s="786"/>
      <c r="AU404" s="787"/>
      <c r="AV404" s="787"/>
      <c r="AW404" s="787"/>
      <c r="AX404" s="784"/>
      <c r="AY404" s="1251"/>
    </row>
    <row r="405" spans="1:51" ht="27.75" thickBot="1" x14ac:dyDescent="0.3">
      <c r="A405" s="1195"/>
      <c r="B405" s="833"/>
      <c r="C405" s="809"/>
      <c r="D405" s="140" t="s">
        <v>45</v>
      </c>
      <c r="E405" s="142"/>
      <c r="F405" s="143"/>
      <c r="G405" s="445">
        <v>783657.14285714284</v>
      </c>
      <c r="H405" s="445">
        <v>783657.14285714284</v>
      </c>
      <c r="I405" s="445">
        <v>783657.14285714284</v>
      </c>
      <c r="J405" s="445">
        <v>621714.28571428568</v>
      </c>
      <c r="K405" s="445"/>
      <c r="L405" s="445"/>
      <c r="M405" s="445">
        <f>+M404*$M$299/$M$298</f>
        <v>466285.71428571426</v>
      </c>
      <c r="N405" s="445">
        <f>+N404*$N$299/$N$298</f>
        <v>512914.28571428574</v>
      </c>
      <c r="O405" s="445"/>
      <c r="P405" s="445"/>
      <c r="Q405" s="445">
        <f>+Q404*$Q$299/$Q$298</f>
        <v>282102.85714285716</v>
      </c>
      <c r="R405" s="445">
        <f>+R404*$R$299/$R$298</f>
        <v>278915.25423728814</v>
      </c>
      <c r="S405" s="446"/>
      <c r="T405" s="446"/>
      <c r="U405" s="445"/>
      <c r="V405" s="445"/>
      <c r="W405" s="445"/>
      <c r="X405" s="445"/>
      <c r="Y405" s="445"/>
      <c r="Z405" s="445">
        <f>+Z404*$Z$299/$Z$298</f>
        <v>794934.24257184612</v>
      </c>
      <c r="AA405" s="445">
        <f>+AA404*$AA$299/$AA$298</f>
        <v>690355.32994923857</v>
      </c>
      <c r="AB405" s="445"/>
      <c r="AC405" s="445"/>
      <c r="AD405" s="445">
        <f>+AD404*$AD$299/$AD$298</f>
        <v>276866.13201727328</v>
      </c>
      <c r="AE405" s="445">
        <f>+AE404*$AE$299/$AE$298</f>
        <v>278915.25423728814</v>
      </c>
      <c r="AF405" s="1218"/>
      <c r="AG405" s="1196"/>
      <c r="AH405" s="790"/>
      <c r="AI405" s="790"/>
      <c r="AJ405" s="794"/>
      <c r="AK405" s="790"/>
      <c r="AL405" s="790"/>
      <c r="AM405" s="790"/>
      <c r="AN405" s="791"/>
      <c r="AO405" s="805"/>
      <c r="AP405" s="805"/>
      <c r="AQ405" s="786"/>
      <c r="AR405" s="786"/>
      <c r="AS405" s="786"/>
      <c r="AT405" s="786"/>
      <c r="AU405" s="787"/>
      <c r="AV405" s="787"/>
      <c r="AW405" s="787"/>
      <c r="AX405" s="785"/>
      <c r="AY405" s="1251"/>
    </row>
    <row r="406" spans="1:51" ht="19.350000000000001" customHeight="1" x14ac:dyDescent="0.25">
      <c r="A406" s="1195"/>
      <c r="B406" s="833"/>
      <c r="C406" s="809" t="s">
        <v>841</v>
      </c>
      <c r="D406" s="141" t="s">
        <v>41</v>
      </c>
      <c r="E406" s="142"/>
      <c r="F406" s="143"/>
      <c r="G406" s="445">
        <v>80</v>
      </c>
      <c r="H406" s="445">
        <v>80</v>
      </c>
      <c r="I406" s="445">
        <v>80</v>
      </c>
      <c r="J406" s="445">
        <v>80</v>
      </c>
      <c r="K406" s="445"/>
      <c r="L406" s="445"/>
      <c r="M406" s="445">
        <v>60</v>
      </c>
      <c r="N406" s="448">
        <v>60</v>
      </c>
      <c r="O406" s="449">
        <v>60</v>
      </c>
      <c r="P406" s="445">
        <v>60</v>
      </c>
      <c r="Q406" s="445">
        <v>60</v>
      </c>
      <c r="R406" s="447">
        <v>60</v>
      </c>
      <c r="S406" s="446"/>
      <c r="T406" s="445"/>
      <c r="U406" s="446"/>
      <c r="V406" s="446"/>
      <c r="W406" s="446"/>
      <c r="X406" s="446"/>
      <c r="Y406" s="446"/>
      <c r="Z406" s="446">
        <v>60</v>
      </c>
      <c r="AA406" s="448">
        <v>60</v>
      </c>
      <c r="AB406" s="449">
        <v>60</v>
      </c>
      <c r="AC406" s="445">
        <v>60</v>
      </c>
      <c r="AD406" s="445">
        <v>60</v>
      </c>
      <c r="AE406" s="447">
        <v>60</v>
      </c>
      <c r="AF406" s="1218" t="s">
        <v>897</v>
      </c>
      <c r="AG406" s="1194" t="s">
        <v>484</v>
      </c>
      <c r="AH406" s="788" t="s">
        <v>821</v>
      </c>
      <c r="AI406" s="788" t="s">
        <v>842</v>
      </c>
      <c r="AJ406" s="792" t="s">
        <v>839</v>
      </c>
      <c r="AK406" s="788" t="s">
        <v>315</v>
      </c>
      <c r="AL406" s="788" t="s">
        <v>70</v>
      </c>
      <c r="AM406" s="788" t="s">
        <v>480</v>
      </c>
      <c r="AN406" s="791">
        <v>163231</v>
      </c>
      <c r="AO406" s="805">
        <v>77499</v>
      </c>
      <c r="AP406" s="805">
        <v>85731</v>
      </c>
      <c r="AQ406" s="786" t="s">
        <v>317</v>
      </c>
      <c r="AR406" s="786" t="s">
        <v>317</v>
      </c>
      <c r="AS406" s="786" t="s">
        <v>317</v>
      </c>
      <c r="AT406" s="786" t="s">
        <v>317</v>
      </c>
      <c r="AU406" s="787" t="s">
        <v>317</v>
      </c>
      <c r="AV406" s="787" t="s">
        <v>317</v>
      </c>
      <c r="AW406" s="787" t="s">
        <v>317</v>
      </c>
      <c r="AX406" s="783">
        <v>163231</v>
      </c>
      <c r="AY406" s="1251"/>
    </row>
    <row r="407" spans="1:51" ht="18" x14ac:dyDescent="0.25">
      <c r="A407" s="1195"/>
      <c r="B407" s="833"/>
      <c r="C407" s="809"/>
      <c r="D407" s="132" t="s">
        <v>3</v>
      </c>
      <c r="E407" s="142"/>
      <c r="F407" s="143"/>
      <c r="G407" s="445">
        <v>783657.14285714284</v>
      </c>
      <c r="H407" s="445">
        <v>783657.14285714284</v>
      </c>
      <c r="I407" s="445">
        <v>783657.14285714284</v>
      </c>
      <c r="J407" s="445">
        <v>621714.28571428568</v>
      </c>
      <c r="K407" s="445"/>
      <c r="L407" s="445"/>
      <c r="M407" s="445">
        <f>+M406*$M$299/$M$298</f>
        <v>466285.71428571426</v>
      </c>
      <c r="N407" s="445">
        <f>+N406*$N$299/$N$298</f>
        <v>512914.28571428574</v>
      </c>
      <c r="O407" s="445">
        <f>+O406*$O$299/$O$298</f>
        <v>512914.28571428574</v>
      </c>
      <c r="P407" s="445">
        <f>+P406*$P$299/$P$298</f>
        <v>512914.28571428574</v>
      </c>
      <c r="Q407" s="445">
        <f>+Q406*$Q$299/$Q$298</f>
        <v>512914.28571428574</v>
      </c>
      <c r="R407" s="445">
        <f>+R406*$R$299/$R$298</f>
        <v>507118.64406779659</v>
      </c>
      <c r="S407" s="446"/>
      <c r="T407" s="446"/>
      <c r="U407" s="445"/>
      <c r="V407" s="445"/>
      <c r="W407" s="445"/>
      <c r="X407" s="445"/>
      <c r="Y407" s="445"/>
      <c r="Z407" s="445">
        <f>+Z406*$Z$299/$Z$298</f>
        <v>794934.24257184612</v>
      </c>
      <c r="AA407" s="445">
        <f>+AA406*$AA$299/$AA$298</f>
        <v>690355.32994923857</v>
      </c>
      <c r="AB407" s="445">
        <f>+AB406*$AB$299/$AB$298</f>
        <v>613764.57314779994</v>
      </c>
      <c r="AC407" s="445">
        <f>+AC406*$AC$299/$AC$298</f>
        <v>553032.87021348695</v>
      </c>
      <c r="AD407" s="445">
        <f>+AD406*$AD$299/$AD$298</f>
        <v>503392.96730413323</v>
      </c>
      <c r="AE407" s="445">
        <f>+AE406*$AE$299/$AE$298</f>
        <v>507118.64406779659</v>
      </c>
      <c r="AF407" s="1218"/>
      <c r="AG407" s="1195"/>
      <c r="AH407" s="789"/>
      <c r="AI407" s="789"/>
      <c r="AJ407" s="793"/>
      <c r="AK407" s="789"/>
      <c r="AL407" s="789"/>
      <c r="AM407" s="789"/>
      <c r="AN407" s="791"/>
      <c r="AO407" s="805"/>
      <c r="AP407" s="805"/>
      <c r="AQ407" s="786"/>
      <c r="AR407" s="786"/>
      <c r="AS407" s="786"/>
      <c r="AT407" s="786"/>
      <c r="AU407" s="787"/>
      <c r="AV407" s="787"/>
      <c r="AW407" s="787"/>
      <c r="AX407" s="784"/>
      <c r="AY407" s="1251"/>
    </row>
    <row r="408" spans="1:51" ht="27" x14ac:dyDescent="0.25">
      <c r="A408" s="1195"/>
      <c r="B408" s="833"/>
      <c r="C408" s="809"/>
      <c r="D408" s="136" t="s">
        <v>42</v>
      </c>
      <c r="E408" s="142"/>
      <c r="F408" s="143"/>
      <c r="G408" s="445"/>
      <c r="H408" s="445"/>
      <c r="I408" s="445"/>
      <c r="J408" s="445"/>
      <c r="K408" s="445"/>
      <c r="L408" s="445"/>
      <c r="M408" s="445"/>
      <c r="N408" s="448"/>
      <c r="O408" s="445"/>
      <c r="P408" s="445"/>
      <c r="Q408" s="445"/>
      <c r="R408" s="447"/>
      <c r="S408" s="446"/>
      <c r="T408" s="446"/>
      <c r="U408" s="446"/>
      <c r="V408" s="446"/>
      <c r="W408" s="446"/>
      <c r="X408" s="446"/>
      <c r="Y408" s="446"/>
      <c r="Z408" s="446"/>
      <c r="AA408" s="448"/>
      <c r="AB408" s="445"/>
      <c r="AC408" s="445"/>
      <c r="AD408" s="445"/>
      <c r="AE408" s="447"/>
      <c r="AF408" s="1218"/>
      <c r="AG408" s="1195"/>
      <c r="AH408" s="789"/>
      <c r="AI408" s="789"/>
      <c r="AJ408" s="793"/>
      <c r="AK408" s="789"/>
      <c r="AL408" s="789"/>
      <c r="AM408" s="789"/>
      <c r="AN408" s="791"/>
      <c r="AO408" s="805"/>
      <c r="AP408" s="805"/>
      <c r="AQ408" s="786"/>
      <c r="AR408" s="786"/>
      <c r="AS408" s="786"/>
      <c r="AT408" s="786"/>
      <c r="AU408" s="787"/>
      <c r="AV408" s="787"/>
      <c r="AW408" s="787"/>
      <c r="AX408" s="784"/>
      <c r="AY408" s="1251"/>
    </row>
    <row r="409" spans="1:51" ht="27" x14ac:dyDescent="0.25">
      <c r="A409" s="1195"/>
      <c r="B409" s="833"/>
      <c r="C409" s="809"/>
      <c r="D409" s="132" t="s">
        <v>4</v>
      </c>
      <c r="E409" s="142"/>
      <c r="F409" s="143"/>
      <c r="G409" s="445"/>
      <c r="H409" s="445"/>
      <c r="I409" s="445"/>
      <c r="J409" s="445"/>
      <c r="K409" s="445"/>
      <c r="L409" s="445"/>
      <c r="M409" s="445"/>
      <c r="N409" s="448"/>
      <c r="O409" s="445"/>
      <c r="P409" s="445"/>
      <c r="Q409" s="445"/>
      <c r="R409" s="447"/>
      <c r="S409" s="446"/>
      <c r="T409" s="445"/>
      <c r="U409" s="445"/>
      <c r="V409" s="446"/>
      <c r="W409" s="446"/>
      <c r="X409" s="446"/>
      <c r="Y409" s="446"/>
      <c r="Z409" s="446"/>
      <c r="AA409" s="448"/>
      <c r="AB409" s="445"/>
      <c r="AC409" s="445"/>
      <c r="AD409" s="445"/>
      <c r="AE409" s="447"/>
      <c r="AF409" s="1218"/>
      <c r="AG409" s="1195"/>
      <c r="AH409" s="789"/>
      <c r="AI409" s="789"/>
      <c r="AJ409" s="793"/>
      <c r="AK409" s="789"/>
      <c r="AL409" s="789"/>
      <c r="AM409" s="789"/>
      <c r="AN409" s="791"/>
      <c r="AO409" s="805"/>
      <c r="AP409" s="805"/>
      <c r="AQ409" s="786"/>
      <c r="AR409" s="786"/>
      <c r="AS409" s="786"/>
      <c r="AT409" s="786"/>
      <c r="AU409" s="787"/>
      <c r="AV409" s="787"/>
      <c r="AW409" s="787"/>
      <c r="AX409" s="784"/>
      <c r="AY409" s="1251"/>
    </row>
    <row r="410" spans="1:51" ht="27" x14ac:dyDescent="0.25">
      <c r="A410" s="1195"/>
      <c r="B410" s="833"/>
      <c r="C410" s="809"/>
      <c r="D410" s="136" t="s">
        <v>43</v>
      </c>
      <c r="E410" s="142"/>
      <c r="F410" s="143"/>
      <c r="G410" s="445">
        <v>80</v>
      </c>
      <c r="H410" s="445">
        <v>80</v>
      </c>
      <c r="I410" s="445">
        <v>80</v>
      </c>
      <c r="J410" s="445">
        <v>80</v>
      </c>
      <c r="K410" s="445"/>
      <c r="L410" s="445"/>
      <c r="M410" s="445">
        <v>60</v>
      </c>
      <c r="N410" s="448">
        <v>60</v>
      </c>
      <c r="O410" s="445">
        <v>60</v>
      </c>
      <c r="P410" s="445">
        <v>60</v>
      </c>
      <c r="Q410" s="445">
        <v>60</v>
      </c>
      <c r="R410" s="447">
        <v>60</v>
      </c>
      <c r="S410" s="446"/>
      <c r="T410" s="446"/>
      <c r="U410" s="446"/>
      <c r="V410" s="445"/>
      <c r="W410" s="445"/>
      <c r="X410" s="446"/>
      <c r="Y410" s="446"/>
      <c r="Z410" s="446">
        <v>60</v>
      </c>
      <c r="AA410" s="448">
        <v>60</v>
      </c>
      <c r="AB410" s="445">
        <v>60</v>
      </c>
      <c r="AC410" s="445">
        <v>60</v>
      </c>
      <c r="AD410" s="445">
        <v>60</v>
      </c>
      <c r="AE410" s="447">
        <v>60</v>
      </c>
      <c r="AF410" s="1218"/>
      <c r="AG410" s="1195"/>
      <c r="AH410" s="789"/>
      <c r="AI410" s="789"/>
      <c r="AJ410" s="793"/>
      <c r="AK410" s="789"/>
      <c r="AL410" s="789"/>
      <c r="AM410" s="789"/>
      <c r="AN410" s="791"/>
      <c r="AO410" s="805"/>
      <c r="AP410" s="805"/>
      <c r="AQ410" s="786"/>
      <c r="AR410" s="786"/>
      <c r="AS410" s="786"/>
      <c r="AT410" s="786"/>
      <c r="AU410" s="787"/>
      <c r="AV410" s="787"/>
      <c r="AW410" s="787"/>
      <c r="AX410" s="784"/>
      <c r="AY410" s="1251"/>
    </row>
    <row r="411" spans="1:51" ht="27.75" thickBot="1" x14ac:dyDescent="0.3">
      <c r="A411" s="1195"/>
      <c r="B411" s="833"/>
      <c r="C411" s="809"/>
      <c r="D411" s="140" t="s">
        <v>45</v>
      </c>
      <c r="E411" s="142"/>
      <c r="F411" s="143"/>
      <c r="G411" s="445">
        <v>783657.14285714284</v>
      </c>
      <c r="H411" s="445">
        <v>783657.14285714284</v>
      </c>
      <c r="I411" s="445">
        <v>783657.14285714284</v>
      </c>
      <c r="J411" s="445">
        <v>621714.28571428568</v>
      </c>
      <c r="K411" s="445"/>
      <c r="L411" s="445"/>
      <c r="M411" s="445">
        <f>+M410*$M$299/$M$298</f>
        <v>466285.71428571426</v>
      </c>
      <c r="N411" s="445">
        <f>+N410*$N$299/$N$298</f>
        <v>512914.28571428574</v>
      </c>
      <c r="O411" s="445">
        <f>+O410*$O$299/$O$298</f>
        <v>512914.28571428574</v>
      </c>
      <c r="P411" s="445">
        <f>+P410*$P$299/$P$298</f>
        <v>512914.28571428574</v>
      </c>
      <c r="Q411" s="445">
        <f>+Q410*$Q$299/$Q$298</f>
        <v>512914.28571428574</v>
      </c>
      <c r="R411" s="445">
        <f>+R410*$R$299/$R$298</f>
        <v>507118.64406779659</v>
      </c>
      <c r="S411" s="446"/>
      <c r="T411" s="446"/>
      <c r="U411" s="445"/>
      <c r="V411" s="445"/>
      <c r="W411" s="445"/>
      <c r="X411" s="445"/>
      <c r="Y411" s="445"/>
      <c r="Z411" s="445">
        <f>+Z410*$Z$299/$Z$298</f>
        <v>794934.24257184612</v>
      </c>
      <c r="AA411" s="445">
        <f>+AA410*$AA$299/$AA$298</f>
        <v>690355.32994923857</v>
      </c>
      <c r="AB411" s="445">
        <f>+AB410*$AB$299/$AB$298</f>
        <v>613764.57314779994</v>
      </c>
      <c r="AC411" s="445">
        <f>+AC410*$AC$299/$AC$298</f>
        <v>553032.87021348695</v>
      </c>
      <c r="AD411" s="445">
        <f>+AD410*$AD$299/$AD$298</f>
        <v>503392.96730413323</v>
      </c>
      <c r="AE411" s="445">
        <f>+AE410*$AE$299/$AE$298</f>
        <v>507118.64406779659</v>
      </c>
      <c r="AF411" s="1218"/>
      <c r="AG411" s="1196"/>
      <c r="AH411" s="790"/>
      <c r="AI411" s="790"/>
      <c r="AJ411" s="794"/>
      <c r="AK411" s="790"/>
      <c r="AL411" s="790"/>
      <c r="AM411" s="790"/>
      <c r="AN411" s="791"/>
      <c r="AO411" s="805"/>
      <c r="AP411" s="805"/>
      <c r="AQ411" s="786"/>
      <c r="AR411" s="786"/>
      <c r="AS411" s="786"/>
      <c r="AT411" s="786"/>
      <c r="AU411" s="787"/>
      <c r="AV411" s="787"/>
      <c r="AW411" s="787"/>
      <c r="AX411" s="785"/>
      <c r="AY411" s="1251"/>
    </row>
    <row r="412" spans="1:51" ht="19.149999999999999" customHeight="1" x14ac:dyDescent="0.25">
      <c r="A412" s="1195"/>
      <c r="B412" s="833"/>
      <c r="C412" s="809" t="s">
        <v>934</v>
      </c>
      <c r="D412" s="141" t="s">
        <v>41</v>
      </c>
      <c r="E412" s="142"/>
      <c r="F412" s="143"/>
      <c r="G412" s="445">
        <v>30</v>
      </c>
      <c r="H412" s="445">
        <v>30</v>
      </c>
      <c r="I412" s="445">
        <v>30</v>
      </c>
      <c r="J412" s="445">
        <v>30</v>
      </c>
      <c r="K412" s="445"/>
      <c r="L412" s="445"/>
      <c r="M412" s="445"/>
      <c r="N412" s="448"/>
      <c r="O412" s="445"/>
      <c r="P412" s="445">
        <v>140</v>
      </c>
      <c r="Q412" s="445">
        <v>140</v>
      </c>
      <c r="R412" s="447">
        <v>140</v>
      </c>
      <c r="S412" s="446"/>
      <c r="T412" s="446">
        <v>30</v>
      </c>
      <c r="U412" s="446">
        <v>30</v>
      </c>
      <c r="V412" s="446">
        <v>30</v>
      </c>
      <c r="W412" s="446">
        <v>30</v>
      </c>
      <c r="X412" s="446"/>
      <c r="Y412" s="446"/>
      <c r="Z412" s="446"/>
      <c r="AA412" s="448"/>
      <c r="AB412" s="445"/>
      <c r="AC412" s="445">
        <v>140</v>
      </c>
      <c r="AD412" s="445">
        <v>140</v>
      </c>
      <c r="AE412" s="447">
        <v>140</v>
      </c>
      <c r="AF412" s="1218" t="s">
        <v>1061</v>
      </c>
      <c r="AG412" s="1194" t="s">
        <v>502</v>
      </c>
      <c r="AH412" s="788" t="s">
        <v>940</v>
      </c>
      <c r="AI412" s="788" t="s">
        <v>919</v>
      </c>
      <c r="AJ412" s="792" t="s">
        <v>839</v>
      </c>
      <c r="AK412" s="788" t="s">
        <v>315</v>
      </c>
      <c r="AL412" s="788" t="s">
        <v>70</v>
      </c>
      <c r="AM412" s="788" t="s">
        <v>480</v>
      </c>
      <c r="AN412" s="791">
        <v>563173</v>
      </c>
      <c r="AO412" s="805">
        <v>258860</v>
      </c>
      <c r="AP412" s="805">
        <v>304313</v>
      </c>
      <c r="AQ412" s="786" t="s">
        <v>317</v>
      </c>
      <c r="AR412" s="786" t="s">
        <v>317</v>
      </c>
      <c r="AS412" s="786" t="s">
        <v>317</v>
      </c>
      <c r="AT412" s="786" t="s">
        <v>317</v>
      </c>
      <c r="AU412" s="787" t="s">
        <v>317</v>
      </c>
      <c r="AV412" s="787" t="s">
        <v>317</v>
      </c>
      <c r="AW412" s="787" t="s">
        <v>317</v>
      </c>
      <c r="AX412" s="783">
        <v>563173</v>
      </c>
      <c r="AY412" s="1214"/>
    </row>
    <row r="413" spans="1:51" ht="18.75" customHeight="1" x14ac:dyDescent="0.25">
      <c r="A413" s="1195"/>
      <c r="B413" s="833"/>
      <c r="C413" s="809"/>
      <c r="D413" s="132" t="s">
        <v>3</v>
      </c>
      <c r="E413" s="142"/>
      <c r="F413" s="143"/>
      <c r="G413" s="445">
        <v>293871.42857142858</v>
      </c>
      <c r="H413" s="445">
        <v>293871.42857142858</v>
      </c>
      <c r="I413" s="445">
        <v>293871.42857142858</v>
      </c>
      <c r="J413" s="445">
        <v>233142.85714285713</v>
      </c>
      <c r="K413" s="445"/>
      <c r="L413" s="445"/>
      <c r="M413" s="445"/>
      <c r="N413" s="445"/>
      <c r="O413" s="445"/>
      <c r="P413" s="445">
        <f>+P412*$P$299/$P$298</f>
        <v>1196800</v>
      </c>
      <c r="Q413" s="445">
        <f>+Q412*$Q$299/$Q$298</f>
        <v>1196800</v>
      </c>
      <c r="R413" s="445">
        <f>+R412*$R$299/$R$298</f>
        <v>1183276.836158192</v>
      </c>
      <c r="S413" s="446"/>
      <c r="T413" s="446"/>
      <c r="U413" s="445">
        <v>1491773.3089579525</v>
      </c>
      <c r="V413" s="445">
        <v>967971.53024911031</v>
      </c>
      <c r="W413" s="445">
        <v>713910.7611548556</v>
      </c>
      <c r="X413" s="445"/>
      <c r="Y413" s="445"/>
      <c r="Z413" s="445"/>
      <c r="AA413" s="445"/>
      <c r="AB413" s="445"/>
      <c r="AC413" s="445">
        <f>+AC412*$AC$299/$AC$298</f>
        <v>1290410.0304981363</v>
      </c>
      <c r="AD413" s="445">
        <f>+AD412*$AD$299/$AD$298</f>
        <v>1174583.590376311</v>
      </c>
      <c r="AE413" s="445">
        <f>+AE412*$AE$299/$AE$298</f>
        <v>1183276.836158192</v>
      </c>
      <c r="AF413" s="1218"/>
      <c r="AG413" s="1195"/>
      <c r="AH413" s="789"/>
      <c r="AI413" s="789"/>
      <c r="AJ413" s="793"/>
      <c r="AK413" s="789"/>
      <c r="AL413" s="789"/>
      <c r="AM413" s="789"/>
      <c r="AN413" s="791"/>
      <c r="AO413" s="805"/>
      <c r="AP413" s="805"/>
      <c r="AQ413" s="786"/>
      <c r="AR413" s="786"/>
      <c r="AS413" s="786"/>
      <c r="AT413" s="786"/>
      <c r="AU413" s="787"/>
      <c r="AV413" s="787"/>
      <c r="AW413" s="787"/>
      <c r="AX413" s="784"/>
      <c r="AY413" s="1214"/>
    </row>
    <row r="414" spans="1:51" ht="27.75" customHeight="1" x14ac:dyDescent="0.25">
      <c r="A414" s="1195"/>
      <c r="B414" s="833"/>
      <c r="C414" s="809"/>
      <c r="D414" s="136" t="s">
        <v>42</v>
      </c>
      <c r="E414" s="142"/>
      <c r="F414" s="143"/>
      <c r="G414" s="445"/>
      <c r="H414" s="445"/>
      <c r="I414" s="445"/>
      <c r="J414" s="445"/>
      <c r="K414" s="445"/>
      <c r="L414" s="445"/>
      <c r="M414" s="445"/>
      <c r="N414" s="448"/>
      <c r="O414" s="445"/>
      <c r="P414" s="445"/>
      <c r="Q414" s="445"/>
      <c r="R414" s="447"/>
      <c r="S414" s="446"/>
      <c r="T414" s="446"/>
      <c r="U414" s="446"/>
      <c r="V414" s="446"/>
      <c r="W414" s="446"/>
      <c r="X414" s="446"/>
      <c r="Y414" s="446"/>
      <c r="Z414" s="446"/>
      <c r="AA414" s="448"/>
      <c r="AB414" s="445"/>
      <c r="AC414" s="445"/>
      <c r="AD414" s="445"/>
      <c r="AE414" s="447"/>
      <c r="AF414" s="1218"/>
      <c r="AG414" s="1195"/>
      <c r="AH414" s="789"/>
      <c r="AI414" s="789"/>
      <c r="AJ414" s="793"/>
      <c r="AK414" s="789"/>
      <c r="AL414" s="789"/>
      <c r="AM414" s="789"/>
      <c r="AN414" s="791"/>
      <c r="AO414" s="805"/>
      <c r="AP414" s="805"/>
      <c r="AQ414" s="786"/>
      <c r="AR414" s="786"/>
      <c r="AS414" s="786"/>
      <c r="AT414" s="786"/>
      <c r="AU414" s="787"/>
      <c r="AV414" s="787"/>
      <c r="AW414" s="787"/>
      <c r="AX414" s="784"/>
      <c r="AY414" s="1214"/>
    </row>
    <row r="415" spans="1:51" ht="27.75" customHeight="1" x14ac:dyDescent="0.25">
      <c r="A415" s="1195"/>
      <c r="B415" s="833"/>
      <c r="C415" s="809"/>
      <c r="D415" s="132" t="s">
        <v>4</v>
      </c>
      <c r="E415" s="142"/>
      <c r="F415" s="143"/>
      <c r="G415" s="445"/>
      <c r="H415" s="445"/>
      <c r="I415" s="445"/>
      <c r="J415" s="445"/>
      <c r="K415" s="445"/>
      <c r="L415" s="445"/>
      <c r="M415" s="445"/>
      <c r="N415" s="448"/>
      <c r="O415" s="445"/>
      <c r="P415" s="445"/>
      <c r="Q415" s="445"/>
      <c r="R415" s="447"/>
      <c r="S415" s="446"/>
      <c r="T415" s="445">
        <v>453463.41463414632</v>
      </c>
      <c r="U415" s="445">
        <v>453463.41463414632</v>
      </c>
      <c r="V415" s="446"/>
      <c r="W415" s="446"/>
      <c r="X415" s="446"/>
      <c r="Y415" s="446"/>
      <c r="Z415" s="446"/>
      <c r="AA415" s="448"/>
      <c r="AB415" s="445"/>
      <c r="AC415" s="445"/>
      <c r="AD415" s="445"/>
      <c r="AE415" s="447"/>
      <c r="AF415" s="1218"/>
      <c r="AG415" s="1195"/>
      <c r="AH415" s="789"/>
      <c r="AI415" s="789"/>
      <c r="AJ415" s="793"/>
      <c r="AK415" s="789"/>
      <c r="AL415" s="789"/>
      <c r="AM415" s="789"/>
      <c r="AN415" s="791"/>
      <c r="AO415" s="805"/>
      <c r="AP415" s="805"/>
      <c r="AQ415" s="786"/>
      <c r="AR415" s="786"/>
      <c r="AS415" s="786"/>
      <c r="AT415" s="786"/>
      <c r="AU415" s="787"/>
      <c r="AV415" s="787"/>
      <c r="AW415" s="787"/>
      <c r="AX415" s="784"/>
      <c r="AY415" s="1214"/>
    </row>
    <row r="416" spans="1:51" ht="27.75" customHeight="1" x14ac:dyDescent="0.25">
      <c r="A416" s="1195"/>
      <c r="B416" s="833"/>
      <c r="C416" s="809"/>
      <c r="D416" s="136" t="s">
        <v>43</v>
      </c>
      <c r="E416" s="142"/>
      <c r="F416" s="143"/>
      <c r="G416" s="445">
        <v>30</v>
      </c>
      <c r="H416" s="445">
        <v>30</v>
      </c>
      <c r="I416" s="445">
        <v>30</v>
      </c>
      <c r="J416" s="445">
        <v>30</v>
      </c>
      <c r="K416" s="445"/>
      <c r="L416" s="445"/>
      <c r="M416" s="445"/>
      <c r="N416" s="448"/>
      <c r="O416" s="445"/>
      <c r="P416" s="445">
        <v>140</v>
      </c>
      <c r="Q416" s="445">
        <v>140</v>
      </c>
      <c r="R416" s="447">
        <v>140</v>
      </c>
      <c r="S416" s="446"/>
      <c r="T416" s="446">
        <v>30</v>
      </c>
      <c r="U416" s="446">
        <v>30</v>
      </c>
      <c r="V416" s="445">
        <v>30</v>
      </c>
      <c r="W416" s="445">
        <v>30</v>
      </c>
      <c r="X416" s="446"/>
      <c r="Y416" s="446"/>
      <c r="Z416" s="446"/>
      <c r="AA416" s="448"/>
      <c r="AB416" s="445"/>
      <c r="AC416" s="445">
        <v>140</v>
      </c>
      <c r="AD416" s="445">
        <v>140</v>
      </c>
      <c r="AE416" s="447">
        <v>140</v>
      </c>
      <c r="AF416" s="1218"/>
      <c r="AG416" s="1195"/>
      <c r="AH416" s="789"/>
      <c r="AI416" s="789"/>
      <c r="AJ416" s="793"/>
      <c r="AK416" s="789"/>
      <c r="AL416" s="789"/>
      <c r="AM416" s="789"/>
      <c r="AN416" s="791"/>
      <c r="AO416" s="805"/>
      <c r="AP416" s="805"/>
      <c r="AQ416" s="786"/>
      <c r="AR416" s="786"/>
      <c r="AS416" s="786"/>
      <c r="AT416" s="786"/>
      <c r="AU416" s="787"/>
      <c r="AV416" s="787"/>
      <c r="AW416" s="787"/>
      <c r="AX416" s="784"/>
      <c r="AY416" s="1214"/>
    </row>
    <row r="417" spans="1:51" ht="27.75" customHeight="1" thickBot="1" x14ac:dyDescent="0.3">
      <c r="A417" s="1195"/>
      <c r="B417" s="833"/>
      <c r="C417" s="809"/>
      <c r="D417" s="140" t="s">
        <v>45</v>
      </c>
      <c r="E417" s="142"/>
      <c r="F417" s="143"/>
      <c r="G417" s="445">
        <v>293871.42857142858</v>
      </c>
      <c r="H417" s="445">
        <v>293871.42857142858</v>
      </c>
      <c r="I417" s="445">
        <v>293871.42857142858</v>
      </c>
      <c r="J417" s="445">
        <v>233142.85714285713</v>
      </c>
      <c r="K417" s="445"/>
      <c r="L417" s="445"/>
      <c r="M417" s="445"/>
      <c r="N417" s="445"/>
      <c r="O417" s="445"/>
      <c r="P417" s="445">
        <f>+P416*$P$299/$P$298</f>
        <v>1196800</v>
      </c>
      <c r="Q417" s="445">
        <f>+Q416*$Q$299/$Q$298</f>
        <v>1196800</v>
      </c>
      <c r="R417" s="445">
        <f>+R416*$R$299/$R$298</f>
        <v>1183276.836158192</v>
      </c>
      <c r="S417" s="446"/>
      <c r="T417" s="446"/>
      <c r="U417" s="445">
        <v>1491773.3089579525</v>
      </c>
      <c r="V417" s="445">
        <v>967971.53024911031</v>
      </c>
      <c r="W417" s="445">
        <v>713910.7611548556</v>
      </c>
      <c r="X417" s="445"/>
      <c r="Y417" s="445"/>
      <c r="Z417" s="445"/>
      <c r="AA417" s="445"/>
      <c r="AB417" s="445"/>
      <c r="AC417" s="445">
        <f>+AC416*$AC$299/$AC$298</f>
        <v>1290410.0304981363</v>
      </c>
      <c r="AD417" s="445">
        <f>+AD416*$AD$299/$AD$298</f>
        <v>1174583.590376311</v>
      </c>
      <c r="AE417" s="445">
        <f>+AE416*$AE$299/$AE$298</f>
        <v>1183276.836158192</v>
      </c>
      <c r="AF417" s="1218"/>
      <c r="AG417" s="1196"/>
      <c r="AH417" s="790"/>
      <c r="AI417" s="790"/>
      <c r="AJ417" s="794"/>
      <c r="AK417" s="790"/>
      <c r="AL417" s="790"/>
      <c r="AM417" s="790"/>
      <c r="AN417" s="791"/>
      <c r="AO417" s="805"/>
      <c r="AP417" s="805"/>
      <c r="AQ417" s="786"/>
      <c r="AR417" s="786"/>
      <c r="AS417" s="786"/>
      <c r="AT417" s="786"/>
      <c r="AU417" s="787"/>
      <c r="AV417" s="787"/>
      <c r="AW417" s="787"/>
      <c r="AX417" s="785"/>
      <c r="AY417" s="1214"/>
    </row>
    <row r="418" spans="1:51" ht="19.149999999999999" customHeight="1" x14ac:dyDescent="0.25">
      <c r="A418" s="1195"/>
      <c r="B418" s="833"/>
      <c r="C418" s="809" t="s">
        <v>907</v>
      </c>
      <c r="D418" s="141" t="s">
        <v>41</v>
      </c>
      <c r="E418" s="142"/>
      <c r="F418" s="143"/>
      <c r="G418" s="445">
        <v>30</v>
      </c>
      <c r="H418" s="445">
        <v>30</v>
      </c>
      <c r="I418" s="445">
        <v>30</v>
      </c>
      <c r="J418" s="445">
        <v>30</v>
      </c>
      <c r="K418" s="445"/>
      <c r="L418" s="445"/>
      <c r="M418" s="445"/>
      <c r="N418" s="448"/>
      <c r="O418" s="445">
        <v>40</v>
      </c>
      <c r="P418" s="445">
        <v>40</v>
      </c>
      <c r="Q418" s="445">
        <v>40</v>
      </c>
      <c r="R418" s="447">
        <v>40</v>
      </c>
      <c r="S418" s="446"/>
      <c r="T418" s="446">
        <v>30</v>
      </c>
      <c r="U418" s="446">
        <v>30</v>
      </c>
      <c r="V418" s="446">
        <v>30</v>
      </c>
      <c r="W418" s="446">
        <v>30</v>
      </c>
      <c r="X418" s="446"/>
      <c r="Y418" s="446"/>
      <c r="Z418" s="446"/>
      <c r="AA418" s="448"/>
      <c r="AB418" s="445">
        <v>40</v>
      </c>
      <c r="AC418" s="445">
        <v>40</v>
      </c>
      <c r="AD418" s="445">
        <v>40</v>
      </c>
      <c r="AE418" s="447">
        <v>40</v>
      </c>
      <c r="AF418" s="1218" t="s">
        <v>973</v>
      </c>
      <c r="AG418" s="1194" t="s">
        <v>502</v>
      </c>
      <c r="AH418" s="788" t="s">
        <v>918</v>
      </c>
      <c r="AI418" s="788" t="s">
        <v>919</v>
      </c>
      <c r="AJ418" s="792" t="s">
        <v>839</v>
      </c>
      <c r="AK418" s="788" t="s">
        <v>315</v>
      </c>
      <c r="AL418" s="788" t="s">
        <v>70</v>
      </c>
      <c r="AM418" s="788" t="s">
        <v>480</v>
      </c>
      <c r="AN418" s="791">
        <v>563173</v>
      </c>
      <c r="AO418" s="805">
        <v>258860</v>
      </c>
      <c r="AP418" s="805">
        <v>304313</v>
      </c>
      <c r="AQ418" s="786" t="s">
        <v>317</v>
      </c>
      <c r="AR418" s="786" t="s">
        <v>317</v>
      </c>
      <c r="AS418" s="786" t="s">
        <v>317</v>
      </c>
      <c r="AT418" s="786" t="s">
        <v>317</v>
      </c>
      <c r="AU418" s="787" t="s">
        <v>317</v>
      </c>
      <c r="AV418" s="787" t="s">
        <v>317</v>
      </c>
      <c r="AW418" s="787" t="s">
        <v>317</v>
      </c>
      <c r="AX418" s="783">
        <v>563173</v>
      </c>
      <c r="AY418" s="1214"/>
    </row>
    <row r="419" spans="1:51" ht="18.75" customHeight="1" x14ac:dyDescent="0.25">
      <c r="A419" s="1195"/>
      <c r="B419" s="833"/>
      <c r="C419" s="809"/>
      <c r="D419" s="132" t="s">
        <v>3</v>
      </c>
      <c r="E419" s="142"/>
      <c r="F419" s="143"/>
      <c r="G419" s="445">
        <v>293871.42857142858</v>
      </c>
      <c r="H419" s="445">
        <v>293871.42857142858</v>
      </c>
      <c r="I419" s="445">
        <v>293871.42857142858</v>
      </c>
      <c r="J419" s="445">
        <v>233142.85714285713</v>
      </c>
      <c r="K419" s="445"/>
      <c r="L419" s="445"/>
      <c r="M419" s="445"/>
      <c r="N419" s="445"/>
      <c r="O419" s="445">
        <f>+O418*$O$299/$O$298</f>
        <v>341942.85714285716</v>
      </c>
      <c r="P419" s="445">
        <f>+P418*$P$299/$P$298</f>
        <v>341942.85714285716</v>
      </c>
      <c r="Q419" s="445">
        <f>+Q418*$Q$299/$Q$298</f>
        <v>341942.85714285716</v>
      </c>
      <c r="R419" s="445">
        <f>+R418*$R$299/$R$298</f>
        <v>338079.09604519774</v>
      </c>
      <c r="S419" s="446"/>
      <c r="T419" s="446"/>
      <c r="U419" s="445">
        <v>1491773.3089579525</v>
      </c>
      <c r="V419" s="445">
        <v>967971.53024911031</v>
      </c>
      <c r="W419" s="445">
        <v>713910.7611548556</v>
      </c>
      <c r="X419" s="445"/>
      <c r="Y419" s="445"/>
      <c r="Z419" s="445"/>
      <c r="AA419" s="445"/>
      <c r="AB419" s="445">
        <f>+AB418*$AB$299/$AB$298</f>
        <v>409176.38209853327</v>
      </c>
      <c r="AC419" s="445">
        <f>+AC418*$AC$299/$AC$298</f>
        <v>368688.58014232462</v>
      </c>
      <c r="AD419" s="445">
        <f>+AD418*$AD$299/$AD$298</f>
        <v>335595.31153608882</v>
      </c>
      <c r="AE419" s="445">
        <f>+AE418*$AE$299/$AE$298</f>
        <v>338079.09604519774</v>
      </c>
      <c r="AF419" s="1218"/>
      <c r="AG419" s="1195"/>
      <c r="AH419" s="789"/>
      <c r="AI419" s="789"/>
      <c r="AJ419" s="793"/>
      <c r="AK419" s="789"/>
      <c r="AL419" s="789"/>
      <c r="AM419" s="789"/>
      <c r="AN419" s="791"/>
      <c r="AO419" s="805"/>
      <c r="AP419" s="805"/>
      <c r="AQ419" s="786"/>
      <c r="AR419" s="786"/>
      <c r="AS419" s="786"/>
      <c r="AT419" s="786"/>
      <c r="AU419" s="787"/>
      <c r="AV419" s="787"/>
      <c r="AW419" s="787"/>
      <c r="AX419" s="784"/>
      <c r="AY419" s="1214"/>
    </row>
    <row r="420" spans="1:51" ht="27.75" customHeight="1" x14ac:dyDescent="0.25">
      <c r="A420" s="1195"/>
      <c r="B420" s="833"/>
      <c r="C420" s="809"/>
      <c r="D420" s="136" t="s">
        <v>42</v>
      </c>
      <c r="E420" s="142"/>
      <c r="F420" s="143"/>
      <c r="G420" s="445"/>
      <c r="H420" s="445"/>
      <c r="I420" s="445"/>
      <c r="J420" s="445"/>
      <c r="K420" s="445"/>
      <c r="L420" s="445"/>
      <c r="M420" s="445"/>
      <c r="N420" s="448"/>
      <c r="O420" s="445"/>
      <c r="P420" s="445"/>
      <c r="Q420" s="445"/>
      <c r="R420" s="447"/>
      <c r="S420" s="446"/>
      <c r="T420" s="446"/>
      <c r="U420" s="446"/>
      <c r="V420" s="446"/>
      <c r="W420" s="446"/>
      <c r="X420" s="446"/>
      <c r="Y420" s="446"/>
      <c r="Z420" s="446"/>
      <c r="AA420" s="448"/>
      <c r="AB420" s="445"/>
      <c r="AC420" s="445"/>
      <c r="AD420" s="445"/>
      <c r="AE420" s="447"/>
      <c r="AF420" s="1218"/>
      <c r="AG420" s="1195"/>
      <c r="AH420" s="789"/>
      <c r="AI420" s="789"/>
      <c r="AJ420" s="793"/>
      <c r="AK420" s="789"/>
      <c r="AL420" s="789"/>
      <c r="AM420" s="789"/>
      <c r="AN420" s="791"/>
      <c r="AO420" s="805"/>
      <c r="AP420" s="805"/>
      <c r="AQ420" s="786"/>
      <c r="AR420" s="786"/>
      <c r="AS420" s="786"/>
      <c r="AT420" s="786"/>
      <c r="AU420" s="787"/>
      <c r="AV420" s="787"/>
      <c r="AW420" s="787"/>
      <c r="AX420" s="784"/>
      <c r="AY420" s="1214"/>
    </row>
    <row r="421" spans="1:51" ht="27.75" customHeight="1" x14ac:dyDescent="0.25">
      <c r="A421" s="1195"/>
      <c r="B421" s="833"/>
      <c r="C421" s="809"/>
      <c r="D421" s="132" t="s">
        <v>4</v>
      </c>
      <c r="E421" s="142"/>
      <c r="F421" s="143"/>
      <c r="G421" s="445"/>
      <c r="H421" s="445"/>
      <c r="I421" s="445"/>
      <c r="J421" s="445"/>
      <c r="K421" s="445"/>
      <c r="L421" s="445"/>
      <c r="M421" s="445"/>
      <c r="N421" s="448"/>
      <c r="O421" s="445"/>
      <c r="P421" s="445"/>
      <c r="Q421" s="445"/>
      <c r="R421" s="447"/>
      <c r="S421" s="446"/>
      <c r="T421" s="445">
        <v>453463.41463414632</v>
      </c>
      <c r="U421" s="445">
        <v>453463.41463414632</v>
      </c>
      <c r="V421" s="446"/>
      <c r="W421" s="446"/>
      <c r="X421" s="446"/>
      <c r="Y421" s="446"/>
      <c r="Z421" s="446"/>
      <c r="AA421" s="448"/>
      <c r="AB421" s="445"/>
      <c r="AC421" s="445"/>
      <c r="AD421" s="445"/>
      <c r="AE421" s="447"/>
      <c r="AF421" s="1218"/>
      <c r="AG421" s="1195"/>
      <c r="AH421" s="789"/>
      <c r="AI421" s="789"/>
      <c r="AJ421" s="793"/>
      <c r="AK421" s="789"/>
      <c r="AL421" s="789"/>
      <c r="AM421" s="789"/>
      <c r="AN421" s="791"/>
      <c r="AO421" s="805"/>
      <c r="AP421" s="805"/>
      <c r="AQ421" s="786"/>
      <c r="AR421" s="786"/>
      <c r="AS421" s="786"/>
      <c r="AT421" s="786"/>
      <c r="AU421" s="787"/>
      <c r="AV421" s="787"/>
      <c r="AW421" s="787"/>
      <c r="AX421" s="784"/>
      <c r="AY421" s="1214"/>
    </row>
    <row r="422" spans="1:51" ht="27.75" customHeight="1" x14ac:dyDescent="0.25">
      <c r="A422" s="1195"/>
      <c r="B422" s="833"/>
      <c r="C422" s="809"/>
      <c r="D422" s="136" t="s">
        <v>43</v>
      </c>
      <c r="E422" s="142"/>
      <c r="F422" s="143"/>
      <c r="G422" s="445">
        <v>30</v>
      </c>
      <c r="H422" s="445">
        <v>30</v>
      </c>
      <c r="I422" s="445">
        <v>30</v>
      </c>
      <c r="J422" s="445">
        <v>30</v>
      </c>
      <c r="K422" s="445"/>
      <c r="L422" s="445"/>
      <c r="M422" s="445"/>
      <c r="N422" s="448"/>
      <c r="O422" s="445">
        <v>40</v>
      </c>
      <c r="P422" s="445">
        <v>40</v>
      </c>
      <c r="Q422" s="445">
        <v>40</v>
      </c>
      <c r="R422" s="447">
        <v>40</v>
      </c>
      <c r="S422" s="446"/>
      <c r="T422" s="446">
        <v>30</v>
      </c>
      <c r="U422" s="446">
        <v>30</v>
      </c>
      <c r="V422" s="445">
        <v>30</v>
      </c>
      <c r="W422" s="445">
        <v>30</v>
      </c>
      <c r="X422" s="446"/>
      <c r="Y422" s="446"/>
      <c r="Z422" s="446"/>
      <c r="AA422" s="448"/>
      <c r="AB422" s="445">
        <v>40</v>
      </c>
      <c r="AC422" s="445">
        <v>40</v>
      </c>
      <c r="AD422" s="445">
        <v>40</v>
      </c>
      <c r="AE422" s="447">
        <v>40</v>
      </c>
      <c r="AF422" s="1218"/>
      <c r="AG422" s="1195"/>
      <c r="AH422" s="789"/>
      <c r="AI422" s="789"/>
      <c r="AJ422" s="793"/>
      <c r="AK422" s="789"/>
      <c r="AL422" s="789"/>
      <c r="AM422" s="789"/>
      <c r="AN422" s="791"/>
      <c r="AO422" s="805"/>
      <c r="AP422" s="805"/>
      <c r="AQ422" s="786"/>
      <c r="AR422" s="786"/>
      <c r="AS422" s="786"/>
      <c r="AT422" s="786"/>
      <c r="AU422" s="787"/>
      <c r="AV422" s="787"/>
      <c r="AW422" s="787"/>
      <c r="AX422" s="784"/>
      <c r="AY422" s="1214"/>
    </row>
    <row r="423" spans="1:51" ht="27.75" customHeight="1" thickBot="1" x14ac:dyDescent="0.3">
      <c r="A423" s="1195"/>
      <c r="B423" s="833"/>
      <c r="C423" s="809"/>
      <c r="D423" s="140" t="s">
        <v>45</v>
      </c>
      <c r="E423" s="142"/>
      <c r="F423" s="143"/>
      <c r="G423" s="445">
        <v>293871.42857142858</v>
      </c>
      <c r="H423" s="445">
        <v>293871.42857142858</v>
      </c>
      <c r="I423" s="445">
        <v>293871.42857142858</v>
      </c>
      <c r="J423" s="445">
        <v>233142.85714285713</v>
      </c>
      <c r="K423" s="445"/>
      <c r="L423" s="445"/>
      <c r="M423" s="445"/>
      <c r="N423" s="445"/>
      <c r="O423" s="445">
        <f>+O422*$O$299/$O$298</f>
        <v>341942.85714285716</v>
      </c>
      <c r="P423" s="445">
        <f>+P422*$P$299/$P$298</f>
        <v>341942.85714285716</v>
      </c>
      <c r="Q423" s="445">
        <f>+Q422*$Q$299/$Q$298</f>
        <v>341942.85714285716</v>
      </c>
      <c r="R423" s="445">
        <f>+R422*$R$299/$R$298</f>
        <v>338079.09604519774</v>
      </c>
      <c r="S423" s="446"/>
      <c r="T423" s="446"/>
      <c r="U423" s="445">
        <v>1491773.3089579525</v>
      </c>
      <c r="V423" s="445">
        <v>967971.53024911031</v>
      </c>
      <c r="W423" s="445">
        <v>713910.7611548556</v>
      </c>
      <c r="X423" s="445"/>
      <c r="Y423" s="445"/>
      <c r="Z423" s="445"/>
      <c r="AA423" s="445"/>
      <c r="AB423" s="445">
        <f>+AB422*$AB$299/$AB$298</f>
        <v>409176.38209853327</v>
      </c>
      <c r="AC423" s="445">
        <f>+AC422*$AC$299/$AC$298</f>
        <v>368688.58014232462</v>
      </c>
      <c r="AD423" s="445">
        <f>+AD422*$AD$299/$AD$298</f>
        <v>335595.31153608882</v>
      </c>
      <c r="AE423" s="445">
        <f>+AE422*$AE$299/$AE$298</f>
        <v>338079.09604519774</v>
      </c>
      <c r="AF423" s="1218"/>
      <c r="AG423" s="1196"/>
      <c r="AH423" s="790"/>
      <c r="AI423" s="790"/>
      <c r="AJ423" s="794"/>
      <c r="AK423" s="790"/>
      <c r="AL423" s="790"/>
      <c r="AM423" s="790"/>
      <c r="AN423" s="791"/>
      <c r="AO423" s="805"/>
      <c r="AP423" s="805"/>
      <c r="AQ423" s="786"/>
      <c r="AR423" s="786"/>
      <c r="AS423" s="786"/>
      <c r="AT423" s="786"/>
      <c r="AU423" s="787"/>
      <c r="AV423" s="787"/>
      <c r="AW423" s="787"/>
      <c r="AX423" s="785"/>
      <c r="AY423" s="1214"/>
    </row>
    <row r="424" spans="1:51" ht="19.149999999999999" customHeight="1" x14ac:dyDescent="0.25">
      <c r="A424" s="1195"/>
      <c r="B424" s="833"/>
      <c r="C424" s="809" t="s">
        <v>908</v>
      </c>
      <c r="D424" s="141" t="s">
        <v>41</v>
      </c>
      <c r="E424" s="142"/>
      <c r="F424" s="143"/>
      <c r="G424" s="445">
        <v>30</v>
      </c>
      <c r="H424" s="445">
        <v>30</v>
      </c>
      <c r="I424" s="445">
        <v>30</v>
      </c>
      <c r="J424" s="445">
        <v>30</v>
      </c>
      <c r="K424" s="445"/>
      <c r="L424" s="445"/>
      <c r="M424" s="445"/>
      <c r="N424" s="448"/>
      <c r="O424" s="445">
        <v>105</v>
      </c>
      <c r="P424" s="445">
        <v>105</v>
      </c>
      <c r="Q424" s="445">
        <v>105</v>
      </c>
      <c r="R424" s="447">
        <v>105</v>
      </c>
      <c r="S424" s="446"/>
      <c r="T424" s="446">
        <v>30</v>
      </c>
      <c r="U424" s="446">
        <v>30</v>
      </c>
      <c r="V424" s="446">
        <v>30</v>
      </c>
      <c r="W424" s="446">
        <v>30</v>
      </c>
      <c r="X424" s="446"/>
      <c r="Y424" s="446"/>
      <c r="Z424" s="446"/>
      <c r="AA424" s="448"/>
      <c r="AB424" s="445">
        <v>105</v>
      </c>
      <c r="AC424" s="445">
        <v>105</v>
      </c>
      <c r="AD424" s="445">
        <v>105</v>
      </c>
      <c r="AE424" s="447">
        <v>105</v>
      </c>
      <c r="AF424" s="1218" t="s">
        <v>974</v>
      </c>
      <c r="AG424" s="1194" t="s">
        <v>502</v>
      </c>
      <c r="AH424" s="788" t="s">
        <v>918</v>
      </c>
      <c r="AI424" s="788" t="s">
        <v>919</v>
      </c>
      <c r="AJ424" s="792" t="s">
        <v>839</v>
      </c>
      <c r="AK424" s="788" t="s">
        <v>315</v>
      </c>
      <c r="AL424" s="788" t="s">
        <v>70</v>
      </c>
      <c r="AM424" s="788" t="s">
        <v>480</v>
      </c>
      <c r="AN424" s="791">
        <v>563173</v>
      </c>
      <c r="AO424" s="805">
        <v>258860</v>
      </c>
      <c r="AP424" s="805">
        <v>304313</v>
      </c>
      <c r="AQ424" s="786" t="s">
        <v>317</v>
      </c>
      <c r="AR424" s="786" t="s">
        <v>317</v>
      </c>
      <c r="AS424" s="786" t="s">
        <v>317</v>
      </c>
      <c r="AT424" s="786" t="s">
        <v>317</v>
      </c>
      <c r="AU424" s="787" t="s">
        <v>317</v>
      </c>
      <c r="AV424" s="787" t="s">
        <v>317</v>
      </c>
      <c r="AW424" s="787" t="s">
        <v>317</v>
      </c>
      <c r="AX424" s="783">
        <v>563173</v>
      </c>
      <c r="AY424" s="1214"/>
    </row>
    <row r="425" spans="1:51" ht="18.75" customHeight="1" x14ac:dyDescent="0.25">
      <c r="A425" s="1195"/>
      <c r="B425" s="833"/>
      <c r="C425" s="809"/>
      <c r="D425" s="132" t="s">
        <v>3</v>
      </c>
      <c r="E425" s="142"/>
      <c r="F425" s="143"/>
      <c r="G425" s="445">
        <v>293871.42857142858</v>
      </c>
      <c r="H425" s="445">
        <v>293871.42857142858</v>
      </c>
      <c r="I425" s="445">
        <v>293871.42857142858</v>
      </c>
      <c r="J425" s="445">
        <v>233142.85714285713</v>
      </c>
      <c r="K425" s="445"/>
      <c r="L425" s="445"/>
      <c r="M425" s="445"/>
      <c r="N425" s="445"/>
      <c r="O425" s="445">
        <f>+O424*$O$299/$O$298</f>
        <v>897600</v>
      </c>
      <c r="P425" s="445">
        <f>+P424*$P$299/$P$298</f>
        <v>897600</v>
      </c>
      <c r="Q425" s="445">
        <f>+Q424*$Q$299/$Q$298</f>
        <v>897600</v>
      </c>
      <c r="R425" s="445">
        <f>+R424*$R$299/$R$298</f>
        <v>887457.62711864407</v>
      </c>
      <c r="S425" s="446"/>
      <c r="T425" s="446"/>
      <c r="U425" s="445">
        <v>1491773.3089579525</v>
      </c>
      <c r="V425" s="445">
        <v>967971.53024911031</v>
      </c>
      <c r="W425" s="445">
        <v>713910.7611548556</v>
      </c>
      <c r="X425" s="445"/>
      <c r="Y425" s="445"/>
      <c r="Z425" s="445"/>
      <c r="AA425" s="445"/>
      <c r="AB425" s="445">
        <f>+AB424*$AB$299/$AB$298</f>
        <v>1074088.0030086499</v>
      </c>
      <c r="AC425" s="445">
        <f>+AC424*$AC$299/$AC$298</f>
        <v>967807.52287360223</v>
      </c>
      <c r="AD425" s="445">
        <f>+AD424*$AD$299/$AD$298</f>
        <v>880937.69278223324</v>
      </c>
      <c r="AE425" s="445">
        <f>+AE424*$AE$299/$AE$298</f>
        <v>887457.62711864407</v>
      </c>
      <c r="AF425" s="1218"/>
      <c r="AG425" s="1195"/>
      <c r="AH425" s="789"/>
      <c r="AI425" s="789"/>
      <c r="AJ425" s="793"/>
      <c r="AK425" s="789"/>
      <c r="AL425" s="789"/>
      <c r="AM425" s="789"/>
      <c r="AN425" s="791"/>
      <c r="AO425" s="805"/>
      <c r="AP425" s="805"/>
      <c r="AQ425" s="786"/>
      <c r="AR425" s="786"/>
      <c r="AS425" s="786"/>
      <c r="AT425" s="786"/>
      <c r="AU425" s="787"/>
      <c r="AV425" s="787"/>
      <c r="AW425" s="787"/>
      <c r="AX425" s="784"/>
      <c r="AY425" s="1214"/>
    </row>
    <row r="426" spans="1:51" ht="27.75" customHeight="1" x14ac:dyDescent="0.25">
      <c r="A426" s="1195"/>
      <c r="B426" s="833"/>
      <c r="C426" s="809"/>
      <c r="D426" s="136" t="s">
        <v>42</v>
      </c>
      <c r="E426" s="142"/>
      <c r="F426" s="143"/>
      <c r="G426" s="445"/>
      <c r="H426" s="445"/>
      <c r="I426" s="445"/>
      <c r="J426" s="445"/>
      <c r="K426" s="445"/>
      <c r="L426" s="445"/>
      <c r="M426" s="445"/>
      <c r="N426" s="448"/>
      <c r="O426" s="445"/>
      <c r="P426" s="445"/>
      <c r="Q426" s="445"/>
      <c r="R426" s="447"/>
      <c r="S426" s="446"/>
      <c r="T426" s="446"/>
      <c r="U426" s="446"/>
      <c r="V426" s="446"/>
      <c r="W426" s="446"/>
      <c r="X426" s="446"/>
      <c r="Y426" s="446"/>
      <c r="Z426" s="446"/>
      <c r="AA426" s="448"/>
      <c r="AB426" s="445"/>
      <c r="AC426" s="445"/>
      <c r="AD426" s="445"/>
      <c r="AE426" s="447"/>
      <c r="AF426" s="1218"/>
      <c r="AG426" s="1195"/>
      <c r="AH426" s="789"/>
      <c r="AI426" s="789"/>
      <c r="AJ426" s="793"/>
      <c r="AK426" s="789"/>
      <c r="AL426" s="789"/>
      <c r="AM426" s="789"/>
      <c r="AN426" s="791"/>
      <c r="AO426" s="805"/>
      <c r="AP426" s="805"/>
      <c r="AQ426" s="786"/>
      <c r="AR426" s="786"/>
      <c r="AS426" s="786"/>
      <c r="AT426" s="786"/>
      <c r="AU426" s="787"/>
      <c r="AV426" s="787"/>
      <c r="AW426" s="787"/>
      <c r="AX426" s="784"/>
      <c r="AY426" s="1214"/>
    </row>
    <row r="427" spans="1:51" ht="27.75" customHeight="1" x14ac:dyDescent="0.25">
      <c r="A427" s="1195"/>
      <c r="B427" s="833"/>
      <c r="C427" s="809"/>
      <c r="D427" s="132" t="s">
        <v>4</v>
      </c>
      <c r="E427" s="142"/>
      <c r="F427" s="143"/>
      <c r="G427" s="445"/>
      <c r="H427" s="445"/>
      <c r="I427" s="445"/>
      <c r="J427" s="445"/>
      <c r="K427" s="445"/>
      <c r="L427" s="445"/>
      <c r="M427" s="445"/>
      <c r="N427" s="448"/>
      <c r="O427" s="445"/>
      <c r="P427" s="445"/>
      <c r="Q427" s="445"/>
      <c r="R427" s="447"/>
      <c r="S427" s="446"/>
      <c r="T427" s="445">
        <v>453463.41463414632</v>
      </c>
      <c r="U427" s="445">
        <v>453463.41463414632</v>
      </c>
      <c r="V427" s="446"/>
      <c r="W427" s="446"/>
      <c r="X427" s="446"/>
      <c r="Y427" s="446"/>
      <c r="Z427" s="446"/>
      <c r="AA427" s="448"/>
      <c r="AB427" s="445"/>
      <c r="AC427" s="445"/>
      <c r="AD427" s="445"/>
      <c r="AE427" s="447"/>
      <c r="AF427" s="1218"/>
      <c r="AG427" s="1195"/>
      <c r="AH427" s="789"/>
      <c r="AI427" s="789"/>
      <c r="AJ427" s="793"/>
      <c r="AK427" s="789"/>
      <c r="AL427" s="789"/>
      <c r="AM427" s="789"/>
      <c r="AN427" s="791"/>
      <c r="AO427" s="805"/>
      <c r="AP427" s="805"/>
      <c r="AQ427" s="786"/>
      <c r="AR427" s="786"/>
      <c r="AS427" s="786"/>
      <c r="AT427" s="786"/>
      <c r="AU427" s="787"/>
      <c r="AV427" s="787"/>
      <c r="AW427" s="787"/>
      <c r="AX427" s="784"/>
      <c r="AY427" s="1214"/>
    </row>
    <row r="428" spans="1:51" ht="27.75" customHeight="1" x14ac:dyDescent="0.25">
      <c r="A428" s="1195"/>
      <c r="B428" s="833"/>
      <c r="C428" s="809"/>
      <c r="D428" s="136" t="s">
        <v>43</v>
      </c>
      <c r="E428" s="142"/>
      <c r="F428" s="143"/>
      <c r="G428" s="445">
        <v>30</v>
      </c>
      <c r="H428" s="445">
        <v>30</v>
      </c>
      <c r="I428" s="445">
        <v>30</v>
      </c>
      <c r="J428" s="445">
        <v>30</v>
      </c>
      <c r="K428" s="445"/>
      <c r="L428" s="445"/>
      <c r="M428" s="445"/>
      <c r="N428" s="448"/>
      <c r="O428" s="445">
        <v>105</v>
      </c>
      <c r="P428" s="445">
        <v>105</v>
      </c>
      <c r="Q428" s="445">
        <v>105</v>
      </c>
      <c r="R428" s="447">
        <v>105</v>
      </c>
      <c r="S428" s="446"/>
      <c r="T428" s="446">
        <v>30</v>
      </c>
      <c r="U428" s="446">
        <v>30</v>
      </c>
      <c r="V428" s="445">
        <v>30</v>
      </c>
      <c r="W428" s="445">
        <v>30</v>
      </c>
      <c r="X428" s="446"/>
      <c r="Y428" s="446"/>
      <c r="Z428" s="446"/>
      <c r="AA428" s="448"/>
      <c r="AB428" s="445">
        <v>105</v>
      </c>
      <c r="AC428" s="445">
        <v>105</v>
      </c>
      <c r="AD428" s="445">
        <v>105</v>
      </c>
      <c r="AE428" s="447">
        <v>105</v>
      </c>
      <c r="AF428" s="1218"/>
      <c r="AG428" s="1195"/>
      <c r="AH428" s="789"/>
      <c r="AI428" s="789"/>
      <c r="AJ428" s="793"/>
      <c r="AK428" s="789"/>
      <c r="AL428" s="789"/>
      <c r="AM428" s="789"/>
      <c r="AN428" s="791"/>
      <c r="AO428" s="805"/>
      <c r="AP428" s="805"/>
      <c r="AQ428" s="786"/>
      <c r="AR428" s="786"/>
      <c r="AS428" s="786"/>
      <c r="AT428" s="786"/>
      <c r="AU428" s="787"/>
      <c r="AV428" s="787"/>
      <c r="AW428" s="787"/>
      <c r="AX428" s="784"/>
      <c r="AY428" s="1214"/>
    </row>
    <row r="429" spans="1:51" ht="27.75" customHeight="1" thickBot="1" x14ac:dyDescent="0.3">
      <c r="A429" s="1195"/>
      <c r="B429" s="833"/>
      <c r="C429" s="809"/>
      <c r="D429" s="140" t="s">
        <v>45</v>
      </c>
      <c r="E429" s="142"/>
      <c r="F429" s="143"/>
      <c r="G429" s="445">
        <v>293871.42857142858</v>
      </c>
      <c r="H429" s="445">
        <v>293871.42857142858</v>
      </c>
      <c r="I429" s="445">
        <v>293871.42857142858</v>
      </c>
      <c r="J429" s="445">
        <v>233142.85714285713</v>
      </c>
      <c r="K429" s="445"/>
      <c r="L429" s="445"/>
      <c r="M429" s="445"/>
      <c r="N429" s="445"/>
      <c r="O429" s="445">
        <f>+O428*$O$299/$O$298</f>
        <v>897600</v>
      </c>
      <c r="P429" s="445">
        <f>+P428*$P$299/$P$298</f>
        <v>897600</v>
      </c>
      <c r="Q429" s="445">
        <f>+Q428*$Q$299/$Q$298</f>
        <v>897600</v>
      </c>
      <c r="R429" s="445">
        <f>+R428*$R$299/$R$298</f>
        <v>887457.62711864407</v>
      </c>
      <c r="S429" s="446"/>
      <c r="T429" s="446"/>
      <c r="U429" s="445">
        <v>1491773.3089579525</v>
      </c>
      <c r="V429" s="445">
        <v>967971.53024911031</v>
      </c>
      <c r="W429" s="445">
        <v>713910.7611548556</v>
      </c>
      <c r="X429" s="445"/>
      <c r="Y429" s="445"/>
      <c r="Z429" s="445"/>
      <c r="AA429" s="445"/>
      <c r="AB429" s="445">
        <f>+AB428*$AB$299/$AB$298</f>
        <v>1074088.0030086499</v>
      </c>
      <c r="AC429" s="445">
        <f>+AC428*$AC$299/$AC$298</f>
        <v>967807.52287360223</v>
      </c>
      <c r="AD429" s="445">
        <f>+AD428*$AD$299/$AD$298</f>
        <v>880937.69278223324</v>
      </c>
      <c r="AE429" s="445">
        <f>+AE428*$AE$299/$AE$298</f>
        <v>887457.62711864407</v>
      </c>
      <c r="AF429" s="1218"/>
      <c r="AG429" s="1196"/>
      <c r="AH429" s="790"/>
      <c r="AI429" s="790"/>
      <c r="AJ429" s="794"/>
      <c r="AK429" s="790"/>
      <c r="AL429" s="790"/>
      <c r="AM429" s="790"/>
      <c r="AN429" s="791"/>
      <c r="AO429" s="805"/>
      <c r="AP429" s="805"/>
      <c r="AQ429" s="786"/>
      <c r="AR429" s="786"/>
      <c r="AS429" s="786"/>
      <c r="AT429" s="786"/>
      <c r="AU429" s="787"/>
      <c r="AV429" s="787"/>
      <c r="AW429" s="787"/>
      <c r="AX429" s="785"/>
      <c r="AY429" s="1214"/>
    </row>
    <row r="430" spans="1:51" ht="19.149999999999999" customHeight="1" x14ac:dyDescent="0.25">
      <c r="A430" s="1195"/>
      <c r="B430" s="833"/>
      <c r="C430" s="809" t="s">
        <v>909</v>
      </c>
      <c r="D430" s="141" t="s">
        <v>41</v>
      </c>
      <c r="E430" s="142"/>
      <c r="F430" s="143"/>
      <c r="G430" s="445">
        <v>30</v>
      </c>
      <c r="H430" s="445">
        <v>30</v>
      </c>
      <c r="I430" s="445">
        <v>30</v>
      </c>
      <c r="J430" s="445">
        <v>30</v>
      </c>
      <c r="K430" s="445"/>
      <c r="L430" s="445"/>
      <c r="M430" s="445"/>
      <c r="N430" s="448"/>
      <c r="O430" s="445">
        <v>130</v>
      </c>
      <c r="P430" s="445">
        <v>130</v>
      </c>
      <c r="Q430" s="445">
        <v>130</v>
      </c>
      <c r="R430" s="447">
        <v>130</v>
      </c>
      <c r="S430" s="446"/>
      <c r="T430" s="446">
        <v>30</v>
      </c>
      <c r="U430" s="446">
        <v>30</v>
      </c>
      <c r="V430" s="446">
        <v>30</v>
      </c>
      <c r="W430" s="446">
        <v>30</v>
      </c>
      <c r="X430" s="446"/>
      <c r="Y430" s="446"/>
      <c r="Z430" s="446"/>
      <c r="AA430" s="448"/>
      <c r="AB430" s="445">
        <v>130</v>
      </c>
      <c r="AC430" s="445">
        <v>130</v>
      </c>
      <c r="AD430" s="445">
        <v>130</v>
      </c>
      <c r="AE430" s="447">
        <v>130</v>
      </c>
      <c r="AF430" s="1218" t="s">
        <v>975</v>
      </c>
      <c r="AG430" s="1194" t="s">
        <v>502</v>
      </c>
      <c r="AH430" s="788" t="s">
        <v>918</v>
      </c>
      <c r="AI430" s="788" t="s">
        <v>919</v>
      </c>
      <c r="AJ430" s="792" t="s">
        <v>839</v>
      </c>
      <c r="AK430" s="788" t="s">
        <v>315</v>
      </c>
      <c r="AL430" s="788" t="s">
        <v>70</v>
      </c>
      <c r="AM430" s="788" t="s">
        <v>480</v>
      </c>
      <c r="AN430" s="791">
        <v>563173</v>
      </c>
      <c r="AO430" s="805">
        <v>258860</v>
      </c>
      <c r="AP430" s="805">
        <v>304313</v>
      </c>
      <c r="AQ430" s="786" t="s">
        <v>317</v>
      </c>
      <c r="AR430" s="786" t="s">
        <v>317</v>
      </c>
      <c r="AS430" s="786" t="s">
        <v>317</v>
      </c>
      <c r="AT430" s="786" t="s">
        <v>317</v>
      </c>
      <c r="AU430" s="787" t="s">
        <v>317</v>
      </c>
      <c r="AV430" s="787" t="s">
        <v>317</v>
      </c>
      <c r="AW430" s="787" t="s">
        <v>317</v>
      </c>
      <c r="AX430" s="783">
        <v>563173</v>
      </c>
      <c r="AY430" s="1214"/>
    </row>
    <row r="431" spans="1:51" ht="18.75" customHeight="1" x14ac:dyDescent="0.25">
      <c r="A431" s="1195"/>
      <c r="B431" s="833"/>
      <c r="C431" s="809"/>
      <c r="D431" s="132" t="s">
        <v>3</v>
      </c>
      <c r="E431" s="142"/>
      <c r="F431" s="143"/>
      <c r="G431" s="445">
        <v>293871.42857142858</v>
      </c>
      <c r="H431" s="445">
        <v>293871.42857142858</v>
      </c>
      <c r="I431" s="445">
        <v>293871.42857142858</v>
      </c>
      <c r="J431" s="445">
        <v>233142.85714285713</v>
      </c>
      <c r="K431" s="445"/>
      <c r="L431" s="445"/>
      <c r="M431" s="445"/>
      <c r="N431" s="445"/>
      <c r="O431" s="445">
        <f>+O430*$O$299/$O$298</f>
        <v>1111314.2857142857</v>
      </c>
      <c r="P431" s="445">
        <f>+P430*$P$299/$P$298</f>
        <v>1111314.2857142857</v>
      </c>
      <c r="Q431" s="445">
        <f>+Q430*$Q$299/$Q$298</f>
        <v>1111314.2857142857</v>
      </c>
      <c r="R431" s="445">
        <f>+R430*$R$299/$R$298</f>
        <v>1098757.0621468928</v>
      </c>
      <c r="S431" s="446"/>
      <c r="T431" s="446"/>
      <c r="U431" s="445">
        <v>1491773.3089579525</v>
      </c>
      <c r="V431" s="445">
        <v>967971.53024911031</v>
      </c>
      <c r="W431" s="445">
        <v>713910.7611548556</v>
      </c>
      <c r="X431" s="445"/>
      <c r="Y431" s="445"/>
      <c r="Z431" s="445"/>
      <c r="AA431" s="445"/>
      <c r="AB431" s="445">
        <f>+AB430*$AB$299/$AB$298</f>
        <v>1329823.2418202332</v>
      </c>
      <c r="AC431" s="445">
        <f>+AC430*$AC$299/$AC$298</f>
        <v>1198237.8854625551</v>
      </c>
      <c r="AD431" s="445">
        <f>+AD430*$AD$299/$AD$298</f>
        <v>1090684.7624922886</v>
      </c>
      <c r="AE431" s="445">
        <f>+AE430*$AE$299/$AE$298</f>
        <v>1098757.0621468928</v>
      </c>
      <c r="AF431" s="1218"/>
      <c r="AG431" s="1195"/>
      <c r="AH431" s="789"/>
      <c r="AI431" s="789"/>
      <c r="AJ431" s="793"/>
      <c r="AK431" s="789"/>
      <c r="AL431" s="789"/>
      <c r="AM431" s="789"/>
      <c r="AN431" s="791"/>
      <c r="AO431" s="805"/>
      <c r="AP431" s="805"/>
      <c r="AQ431" s="786"/>
      <c r="AR431" s="786"/>
      <c r="AS431" s="786"/>
      <c r="AT431" s="786"/>
      <c r="AU431" s="787"/>
      <c r="AV431" s="787"/>
      <c r="AW431" s="787"/>
      <c r="AX431" s="784"/>
      <c r="AY431" s="1214"/>
    </row>
    <row r="432" spans="1:51" ht="27.75" customHeight="1" x14ac:dyDescent="0.25">
      <c r="A432" s="1195"/>
      <c r="B432" s="833"/>
      <c r="C432" s="809"/>
      <c r="D432" s="136" t="s">
        <v>42</v>
      </c>
      <c r="E432" s="142"/>
      <c r="F432" s="143"/>
      <c r="G432" s="445"/>
      <c r="H432" s="445"/>
      <c r="I432" s="445"/>
      <c r="J432" s="445"/>
      <c r="K432" s="445"/>
      <c r="L432" s="445"/>
      <c r="M432" s="445"/>
      <c r="N432" s="448"/>
      <c r="O432" s="445"/>
      <c r="P432" s="445"/>
      <c r="Q432" s="445"/>
      <c r="R432" s="447"/>
      <c r="S432" s="446"/>
      <c r="T432" s="446"/>
      <c r="U432" s="446"/>
      <c r="V432" s="446"/>
      <c r="W432" s="446"/>
      <c r="X432" s="446"/>
      <c r="Y432" s="446"/>
      <c r="Z432" s="446"/>
      <c r="AA432" s="448"/>
      <c r="AB432" s="445"/>
      <c r="AC432" s="445"/>
      <c r="AD432" s="445"/>
      <c r="AE432" s="447"/>
      <c r="AF432" s="1218"/>
      <c r="AG432" s="1195"/>
      <c r="AH432" s="789"/>
      <c r="AI432" s="789"/>
      <c r="AJ432" s="793"/>
      <c r="AK432" s="789"/>
      <c r="AL432" s="789"/>
      <c r="AM432" s="789"/>
      <c r="AN432" s="791"/>
      <c r="AO432" s="805"/>
      <c r="AP432" s="805"/>
      <c r="AQ432" s="786"/>
      <c r="AR432" s="786"/>
      <c r="AS432" s="786"/>
      <c r="AT432" s="786"/>
      <c r="AU432" s="787"/>
      <c r="AV432" s="787"/>
      <c r="AW432" s="787"/>
      <c r="AX432" s="784"/>
      <c r="AY432" s="1214"/>
    </row>
    <row r="433" spans="1:51" ht="27.75" customHeight="1" x14ac:dyDescent="0.25">
      <c r="A433" s="1195"/>
      <c r="B433" s="833"/>
      <c r="C433" s="809"/>
      <c r="D433" s="132" t="s">
        <v>4</v>
      </c>
      <c r="E433" s="142"/>
      <c r="F433" s="143"/>
      <c r="G433" s="445"/>
      <c r="H433" s="445"/>
      <c r="I433" s="445"/>
      <c r="J433" s="445"/>
      <c r="K433" s="445"/>
      <c r="L433" s="445"/>
      <c r="M433" s="445"/>
      <c r="N433" s="448"/>
      <c r="O433" s="445"/>
      <c r="P433" s="445"/>
      <c r="Q433" s="445"/>
      <c r="R433" s="447"/>
      <c r="S433" s="446"/>
      <c r="T433" s="445">
        <v>453463.41463414632</v>
      </c>
      <c r="U433" s="445">
        <v>453463.41463414632</v>
      </c>
      <c r="V433" s="446"/>
      <c r="W433" s="446"/>
      <c r="X433" s="446"/>
      <c r="Y433" s="446"/>
      <c r="Z433" s="446"/>
      <c r="AA433" s="448"/>
      <c r="AB433" s="445"/>
      <c r="AC433" s="445"/>
      <c r="AD433" s="445"/>
      <c r="AE433" s="447"/>
      <c r="AF433" s="1218"/>
      <c r="AG433" s="1195"/>
      <c r="AH433" s="789"/>
      <c r="AI433" s="789"/>
      <c r="AJ433" s="793"/>
      <c r="AK433" s="789"/>
      <c r="AL433" s="789"/>
      <c r="AM433" s="789"/>
      <c r="AN433" s="791"/>
      <c r="AO433" s="805"/>
      <c r="AP433" s="805"/>
      <c r="AQ433" s="786"/>
      <c r="AR433" s="786"/>
      <c r="AS433" s="786"/>
      <c r="AT433" s="786"/>
      <c r="AU433" s="787"/>
      <c r="AV433" s="787"/>
      <c r="AW433" s="787"/>
      <c r="AX433" s="784"/>
      <c r="AY433" s="1214"/>
    </row>
    <row r="434" spans="1:51" ht="27.75" customHeight="1" x14ac:dyDescent="0.25">
      <c r="A434" s="1195"/>
      <c r="B434" s="833"/>
      <c r="C434" s="809"/>
      <c r="D434" s="136" t="s">
        <v>43</v>
      </c>
      <c r="E434" s="142"/>
      <c r="F434" s="143"/>
      <c r="G434" s="445">
        <v>30</v>
      </c>
      <c r="H434" s="445">
        <v>30</v>
      </c>
      <c r="I434" s="445">
        <v>30</v>
      </c>
      <c r="J434" s="445">
        <v>30</v>
      </c>
      <c r="K434" s="445"/>
      <c r="L434" s="445"/>
      <c r="M434" s="445"/>
      <c r="N434" s="448"/>
      <c r="O434" s="445">
        <v>130</v>
      </c>
      <c r="P434" s="445">
        <v>130</v>
      </c>
      <c r="Q434" s="445">
        <v>130</v>
      </c>
      <c r="R434" s="447">
        <v>130</v>
      </c>
      <c r="S434" s="446"/>
      <c r="T434" s="446">
        <v>30</v>
      </c>
      <c r="U434" s="446">
        <v>30</v>
      </c>
      <c r="V434" s="445">
        <v>30</v>
      </c>
      <c r="W434" s="445">
        <v>30</v>
      </c>
      <c r="X434" s="446"/>
      <c r="Y434" s="446"/>
      <c r="Z434" s="446"/>
      <c r="AA434" s="448"/>
      <c r="AB434" s="445">
        <v>130</v>
      </c>
      <c r="AC434" s="445">
        <v>130</v>
      </c>
      <c r="AD434" s="445">
        <v>130</v>
      </c>
      <c r="AE434" s="447">
        <v>130</v>
      </c>
      <c r="AF434" s="1218"/>
      <c r="AG434" s="1195"/>
      <c r="AH434" s="789"/>
      <c r="AI434" s="789"/>
      <c r="AJ434" s="793"/>
      <c r="AK434" s="789"/>
      <c r="AL434" s="789"/>
      <c r="AM434" s="789"/>
      <c r="AN434" s="791"/>
      <c r="AO434" s="805"/>
      <c r="AP434" s="805"/>
      <c r="AQ434" s="786"/>
      <c r="AR434" s="786"/>
      <c r="AS434" s="786"/>
      <c r="AT434" s="786"/>
      <c r="AU434" s="787"/>
      <c r="AV434" s="787"/>
      <c r="AW434" s="787"/>
      <c r="AX434" s="784"/>
      <c r="AY434" s="1214"/>
    </row>
    <row r="435" spans="1:51" ht="27.75" customHeight="1" thickBot="1" x14ac:dyDescent="0.3">
      <c r="A435" s="1195"/>
      <c r="B435" s="833"/>
      <c r="C435" s="809"/>
      <c r="D435" s="140" t="s">
        <v>45</v>
      </c>
      <c r="E435" s="142"/>
      <c r="F435" s="143"/>
      <c r="G435" s="445">
        <v>293871.42857142858</v>
      </c>
      <c r="H435" s="445">
        <v>293871.42857142858</v>
      </c>
      <c r="I435" s="445">
        <v>293871.42857142858</v>
      </c>
      <c r="J435" s="445">
        <v>233142.85714285713</v>
      </c>
      <c r="K435" s="445"/>
      <c r="L435" s="445"/>
      <c r="M435" s="445"/>
      <c r="N435" s="445"/>
      <c r="O435" s="445">
        <f>+O434*$O$299/$O$298</f>
        <v>1111314.2857142857</v>
      </c>
      <c r="P435" s="445">
        <f>+P434*$P$299/$P$298</f>
        <v>1111314.2857142857</v>
      </c>
      <c r="Q435" s="445">
        <f>+Q434*$Q$299/$Q$298</f>
        <v>1111314.2857142857</v>
      </c>
      <c r="R435" s="445">
        <f>+R434*$R$299/$R$298</f>
        <v>1098757.0621468928</v>
      </c>
      <c r="S435" s="446"/>
      <c r="T435" s="446"/>
      <c r="U435" s="445">
        <v>1491773.3089579525</v>
      </c>
      <c r="V435" s="445">
        <v>967971.53024911031</v>
      </c>
      <c r="W435" s="445">
        <v>713910.7611548556</v>
      </c>
      <c r="X435" s="445"/>
      <c r="Y435" s="445"/>
      <c r="Z435" s="445"/>
      <c r="AA435" s="445"/>
      <c r="AB435" s="445">
        <f>+AB434*$AB$299/$AB$298</f>
        <v>1329823.2418202332</v>
      </c>
      <c r="AC435" s="445">
        <f>+AC434*$AC$299/$AC$298</f>
        <v>1198237.8854625551</v>
      </c>
      <c r="AD435" s="445">
        <f>+AD434*$AD$299/$AD$298</f>
        <v>1090684.7624922886</v>
      </c>
      <c r="AE435" s="445">
        <f>+AE434*$AE$299/$AE$298</f>
        <v>1098757.0621468928</v>
      </c>
      <c r="AF435" s="1218"/>
      <c r="AG435" s="1196"/>
      <c r="AH435" s="790"/>
      <c r="AI435" s="790"/>
      <c r="AJ435" s="794"/>
      <c r="AK435" s="790"/>
      <c r="AL435" s="790"/>
      <c r="AM435" s="790"/>
      <c r="AN435" s="791"/>
      <c r="AO435" s="805"/>
      <c r="AP435" s="805"/>
      <c r="AQ435" s="786"/>
      <c r="AR435" s="786"/>
      <c r="AS435" s="786"/>
      <c r="AT435" s="786"/>
      <c r="AU435" s="787"/>
      <c r="AV435" s="787"/>
      <c r="AW435" s="787"/>
      <c r="AX435" s="785"/>
      <c r="AY435" s="1214"/>
    </row>
    <row r="436" spans="1:51" ht="19.149999999999999" customHeight="1" x14ac:dyDescent="0.25">
      <c r="A436" s="1195"/>
      <c r="B436" s="833"/>
      <c r="C436" s="809" t="s">
        <v>500</v>
      </c>
      <c r="D436" s="141" t="s">
        <v>41</v>
      </c>
      <c r="E436" s="142"/>
      <c r="F436" s="143"/>
      <c r="G436" s="445">
        <v>30</v>
      </c>
      <c r="H436" s="445">
        <v>30</v>
      </c>
      <c r="I436" s="445">
        <v>30</v>
      </c>
      <c r="J436" s="445">
        <v>30</v>
      </c>
      <c r="K436" s="445">
        <v>30</v>
      </c>
      <c r="L436" s="445">
        <v>30</v>
      </c>
      <c r="M436" s="445">
        <v>30</v>
      </c>
      <c r="N436" s="448">
        <v>30</v>
      </c>
      <c r="O436" s="445">
        <v>30</v>
      </c>
      <c r="P436" s="445">
        <v>30</v>
      </c>
      <c r="Q436" s="445">
        <v>30</v>
      </c>
      <c r="R436" s="447">
        <v>30</v>
      </c>
      <c r="S436" s="446"/>
      <c r="T436" s="446">
        <v>30</v>
      </c>
      <c r="U436" s="446">
        <v>30</v>
      </c>
      <c r="V436" s="446">
        <v>30</v>
      </c>
      <c r="W436" s="446">
        <v>30</v>
      </c>
      <c r="X436" s="446">
        <v>30</v>
      </c>
      <c r="Y436" s="446">
        <v>30</v>
      </c>
      <c r="Z436" s="446">
        <v>30</v>
      </c>
      <c r="AA436" s="448">
        <v>30</v>
      </c>
      <c r="AB436" s="445">
        <v>30</v>
      </c>
      <c r="AC436" s="445">
        <v>30</v>
      </c>
      <c r="AD436" s="445">
        <v>30</v>
      </c>
      <c r="AE436" s="447">
        <v>30</v>
      </c>
      <c r="AF436" s="1218" t="s">
        <v>734</v>
      </c>
      <c r="AG436" s="1194" t="s">
        <v>502</v>
      </c>
      <c r="AH436" s="788" t="s">
        <v>503</v>
      </c>
      <c r="AI436" s="788" t="s">
        <v>504</v>
      </c>
      <c r="AJ436" s="792" t="s">
        <v>839</v>
      </c>
      <c r="AK436" s="788" t="s">
        <v>315</v>
      </c>
      <c r="AL436" s="788" t="s">
        <v>70</v>
      </c>
      <c r="AM436" s="788" t="s">
        <v>480</v>
      </c>
      <c r="AN436" s="791">
        <v>563173</v>
      </c>
      <c r="AO436" s="805">
        <v>258860</v>
      </c>
      <c r="AP436" s="805">
        <v>304313</v>
      </c>
      <c r="AQ436" s="786" t="s">
        <v>317</v>
      </c>
      <c r="AR436" s="786" t="s">
        <v>317</v>
      </c>
      <c r="AS436" s="786" t="s">
        <v>317</v>
      </c>
      <c r="AT436" s="786" t="s">
        <v>317</v>
      </c>
      <c r="AU436" s="787" t="s">
        <v>317</v>
      </c>
      <c r="AV436" s="787" t="s">
        <v>317</v>
      </c>
      <c r="AW436" s="787" t="s">
        <v>317</v>
      </c>
      <c r="AX436" s="783">
        <v>563173</v>
      </c>
      <c r="AY436" s="1214"/>
    </row>
    <row r="437" spans="1:51" ht="18.75" customHeight="1" x14ac:dyDescent="0.25">
      <c r="A437" s="1195"/>
      <c r="B437" s="833"/>
      <c r="C437" s="809"/>
      <c r="D437" s="132" t="s">
        <v>3</v>
      </c>
      <c r="E437" s="142"/>
      <c r="F437" s="143"/>
      <c r="G437" s="445">
        <v>293871.42857142858</v>
      </c>
      <c r="H437" s="445">
        <v>293871.42857142858</v>
      </c>
      <c r="I437" s="445">
        <v>293871.42857142858</v>
      </c>
      <c r="J437" s="445">
        <v>233142.85714285713</v>
      </c>
      <c r="K437" s="445">
        <f>+K436*$K$299/$K$298</f>
        <v>233142.85714285713</v>
      </c>
      <c r="L437" s="445">
        <f>+L436*$L$299/$L$298</f>
        <v>256457.14285714287</v>
      </c>
      <c r="M437" s="445">
        <f>+M436*$M$299/$M$298</f>
        <v>233142.85714285713</v>
      </c>
      <c r="N437" s="445">
        <f>+N436*$N$299/$N$298</f>
        <v>256457.14285714287</v>
      </c>
      <c r="O437" s="445">
        <f>+O436*$O$299/$O$298</f>
        <v>256457.14285714287</v>
      </c>
      <c r="P437" s="445">
        <f>+P436*$P$299/$P$298</f>
        <v>256457.14285714287</v>
      </c>
      <c r="Q437" s="445">
        <f>+Q436*$Q$299/$Q$298</f>
        <v>256457.14285714287</v>
      </c>
      <c r="R437" s="445">
        <f>+R436*$R$299/$R$298</f>
        <v>253559.32203389829</v>
      </c>
      <c r="S437" s="446"/>
      <c r="T437" s="446"/>
      <c r="U437" s="445">
        <v>1491773.3089579525</v>
      </c>
      <c r="V437" s="445">
        <v>967971.53024911031</v>
      </c>
      <c r="W437" s="445">
        <v>713910.7611548556</v>
      </c>
      <c r="X437" s="445">
        <f>+X436*$X$299/$X$298</f>
        <v>557758.03144224198</v>
      </c>
      <c r="Y437" s="445">
        <f>+Y436*$Y$299/$Y$298</f>
        <v>463636.36363636365</v>
      </c>
      <c r="Z437" s="445">
        <f>+Z436*$Z$299/$Z$298</f>
        <v>397467.12128592306</v>
      </c>
      <c r="AA437" s="445">
        <f>+AA436*$AA$299/$AA$298</f>
        <v>345177.66497461929</v>
      </c>
      <c r="AB437" s="445">
        <f>+AB436*$AB$299/$AB$298</f>
        <v>306882.28657389997</v>
      </c>
      <c r="AC437" s="445">
        <f>+AC436*$AC$299/$AC$298</f>
        <v>276516.43510674348</v>
      </c>
      <c r="AD437" s="445">
        <f>+AD436*$AD$299/$AD$298</f>
        <v>251696.48365206661</v>
      </c>
      <c r="AE437" s="445">
        <f>+AE436*$AE$299/$AE$298</f>
        <v>253559.32203389829</v>
      </c>
      <c r="AF437" s="1218"/>
      <c r="AG437" s="1195"/>
      <c r="AH437" s="789"/>
      <c r="AI437" s="789"/>
      <c r="AJ437" s="793"/>
      <c r="AK437" s="789"/>
      <c r="AL437" s="789"/>
      <c r="AM437" s="789"/>
      <c r="AN437" s="791"/>
      <c r="AO437" s="805"/>
      <c r="AP437" s="805"/>
      <c r="AQ437" s="786"/>
      <c r="AR437" s="786"/>
      <c r="AS437" s="786"/>
      <c r="AT437" s="786"/>
      <c r="AU437" s="787"/>
      <c r="AV437" s="787"/>
      <c r="AW437" s="787"/>
      <c r="AX437" s="784"/>
      <c r="AY437" s="1214"/>
    </row>
    <row r="438" spans="1:51" ht="27.75" customHeight="1" x14ac:dyDescent="0.25">
      <c r="A438" s="1195"/>
      <c r="B438" s="833"/>
      <c r="C438" s="809"/>
      <c r="D438" s="136" t="s">
        <v>42</v>
      </c>
      <c r="E438" s="142"/>
      <c r="F438" s="143"/>
      <c r="G438" s="445"/>
      <c r="H438" s="445"/>
      <c r="I438" s="445"/>
      <c r="J438" s="445"/>
      <c r="K438" s="445"/>
      <c r="L438" s="445"/>
      <c r="M438" s="445"/>
      <c r="N438" s="448"/>
      <c r="O438" s="445"/>
      <c r="P438" s="445"/>
      <c r="Q438" s="445"/>
      <c r="R438" s="447"/>
      <c r="S438" s="446"/>
      <c r="T438" s="446"/>
      <c r="U438" s="446"/>
      <c r="V438" s="446"/>
      <c r="W438" s="446"/>
      <c r="X438" s="446"/>
      <c r="Y438" s="446"/>
      <c r="Z438" s="446"/>
      <c r="AA438" s="448"/>
      <c r="AB438" s="445"/>
      <c r="AC438" s="445"/>
      <c r="AD438" s="445"/>
      <c r="AE438" s="447"/>
      <c r="AF438" s="1218"/>
      <c r="AG438" s="1195"/>
      <c r="AH438" s="789"/>
      <c r="AI438" s="789"/>
      <c r="AJ438" s="793"/>
      <c r="AK438" s="789"/>
      <c r="AL438" s="789"/>
      <c r="AM438" s="789"/>
      <c r="AN438" s="791"/>
      <c r="AO438" s="805"/>
      <c r="AP438" s="805"/>
      <c r="AQ438" s="786"/>
      <c r="AR438" s="786"/>
      <c r="AS438" s="786"/>
      <c r="AT438" s="786"/>
      <c r="AU438" s="787"/>
      <c r="AV438" s="787"/>
      <c r="AW438" s="787"/>
      <c r="AX438" s="784"/>
      <c r="AY438" s="1214"/>
    </row>
    <row r="439" spans="1:51" ht="27.75" customHeight="1" x14ac:dyDescent="0.25">
      <c r="A439" s="1195"/>
      <c r="B439" s="833"/>
      <c r="C439" s="809"/>
      <c r="D439" s="132" t="s">
        <v>4</v>
      </c>
      <c r="E439" s="142"/>
      <c r="F439" s="143"/>
      <c r="G439" s="445"/>
      <c r="H439" s="445"/>
      <c r="I439" s="445"/>
      <c r="J439" s="445"/>
      <c r="K439" s="445"/>
      <c r="L439" s="445"/>
      <c r="M439" s="445"/>
      <c r="N439" s="448"/>
      <c r="O439" s="445"/>
      <c r="P439" s="445"/>
      <c r="Q439" s="445"/>
      <c r="R439" s="447"/>
      <c r="S439" s="446"/>
      <c r="T439" s="445">
        <v>453463.41463414632</v>
      </c>
      <c r="U439" s="445">
        <v>453463.41463414632</v>
      </c>
      <c r="V439" s="446"/>
      <c r="W439" s="446"/>
      <c r="X439" s="446"/>
      <c r="Y439" s="446"/>
      <c r="Z439" s="446"/>
      <c r="AA439" s="448"/>
      <c r="AB439" s="445"/>
      <c r="AC439" s="445"/>
      <c r="AD439" s="445"/>
      <c r="AE439" s="447"/>
      <c r="AF439" s="1218"/>
      <c r="AG439" s="1195"/>
      <c r="AH439" s="789"/>
      <c r="AI439" s="789"/>
      <c r="AJ439" s="793"/>
      <c r="AK439" s="789"/>
      <c r="AL439" s="789"/>
      <c r="AM439" s="789"/>
      <c r="AN439" s="791"/>
      <c r="AO439" s="805"/>
      <c r="AP439" s="805"/>
      <c r="AQ439" s="786"/>
      <c r="AR439" s="786"/>
      <c r="AS439" s="786"/>
      <c r="AT439" s="786"/>
      <c r="AU439" s="787"/>
      <c r="AV439" s="787"/>
      <c r="AW439" s="787"/>
      <c r="AX439" s="784"/>
      <c r="AY439" s="1214"/>
    </row>
    <row r="440" spans="1:51" ht="27.75" customHeight="1" x14ac:dyDescent="0.25">
      <c r="A440" s="1195"/>
      <c r="B440" s="833"/>
      <c r="C440" s="809"/>
      <c r="D440" s="136" t="s">
        <v>43</v>
      </c>
      <c r="E440" s="142"/>
      <c r="F440" s="143"/>
      <c r="G440" s="445">
        <v>30</v>
      </c>
      <c r="H440" s="445">
        <v>30</v>
      </c>
      <c r="I440" s="445">
        <v>30</v>
      </c>
      <c r="J440" s="445">
        <v>30</v>
      </c>
      <c r="K440" s="445">
        <v>30</v>
      </c>
      <c r="L440" s="445">
        <v>30</v>
      </c>
      <c r="M440" s="445">
        <v>30</v>
      </c>
      <c r="N440" s="448">
        <v>30</v>
      </c>
      <c r="O440" s="445">
        <v>30</v>
      </c>
      <c r="P440" s="445">
        <v>30</v>
      </c>
      <c r="Q440" s="445">
        <v>30</v>
      </c>
      <c r="R440" s="447">
        <v>30</v>
      </c>
      <c r="S440" s="446"/>
      <c r="T440" s="446">
        <v>30</v>
      </c>
      <c r="U440" s="446">
        <v>30</v>
      </c>
      <c r="V440" s="445">
        <v>30</v>
      </c>
      <c r="W440" s="445">
        <v>30</v>
      </c>
      <c r="X440" s="446">
        <v>30</v>
      </c>
      <c r="Y440" s="446">
        <v>30</v>
      </c>
      <c r="Z440" s="446">
        <v>30</v>
      </c>
      <c r="AA440" s="448">
        <v>30</v>
      </c>
      <c r="AB440" s="445">
        <v>30</v>
      </c>
      <c r="AC440" s="445">
        <v>30</v>
      </c>
      <c r="AD440" s="445">
        <v>30</v>
      </c>
      <c r="AE440" s="447">
        <v>30</v>
      </c>
      <c r="AF440" s="1218"/>
      <c r="AG440" s="1195"/>
      <c r="AH440" s="789"/>
      <c r="AI440" s="789"/>
      <c r="AJ440" s="793"/>
      <c r="AK440" s="789"/>
      <c r="AL440" s="789"/>
      <c r="AM440" s="789"/>
      <c r="AN440" s="791"/>
      <c r="AO440" s="805"/>
      <c r="AP440" s="805"/>
      <c r="AQ440" s="786"/>
      <c r="AR440" s="786"/>
      <c r="AS440" s="786"/>
      <c r="AT440" s="786"/>
      <c r="AU440" s="787"/>
      <c r="AV440" s="787"/>
      <c r="AW440" s="787"/>
      <c r="AX440" s="784"/>
      <c r="AY440" s="1214"/>
    </row>
    <row r="441" spans="1:51" ht="27.75" customHeight="1" thickBot="1" x14ac:dyDescent="0.3">
      <c r="A441" s="1195"/>
      <c r="B441" s="833"/>
      <c r="C441" s="809"/>
      <c r="D441" s="140" t="s">
        <v>45</v>
      </c>
      <c r="E441" s="142"/>
      <c r="F441" s="143"/>
      <c r="G441" s="445">
        <v>293871.42857142858</v>
      </c>
      <c r="H441" s="445">
        <v>293871.42857142858</v>
      </c>
      <c r="I441" s="445">
        <v>293871.42857142858</v>
      </c>
      <c r="J441" s="445">
        <v>233142.85714285713</v>
      </c>
      <c r="K441" s="445">
        <f>+K440*$K$299/$K$298</f>
        <v>233142.85714285713</v>
      </c>
      <c r="L441" s="445">
        <f>+L440*$L$299/$L$298</f>
        <v>256457.14285714287</v>
      </c>
      <c r="M441" s="445">
        <f>+M440*$M$299/$M$298</f>
        <v>233142.85714285713</v>
      </c>
      <c r="N441" s="445">
        <f>+N440*$N$299/$N$298</f>
        <v>256457.14285714287</v>
      </c>
      <c r="O441" s="445">
        <f>+O440*$O$299/$O$298</f>
        <v>256457.14285714287</v>
      </c>
      <c r="P441" s="445">
        <f>+P440*$P$299/$P$298</f>
        <v>256457.14285714287</v>
      </c>
      <c r="Q441" s="445">
        <f>+Q440*$Q$299/$Q$298</f>
        <v>256457.14285714287</v>
      </c>
      <c r="R441" s="445">
        <f>+R440*$R$299/$R$298</f>
        <v>253559.32203389829</v>
      </c>
      <c r="S441" s="446"/>
      <c r="T441" s="446"/>
      <c r="U441" s="445">
        <v>1491773.3089579525</v>
      </c>
      <c r="V441" s="445">
        <v>967971.53024911031</v>
      </c>
      <c r="W441" s="445">
        <v>713910.7611548556</v>
      </c>
      <c r="X441" s="445">
        <f>+X440*$X$299/$X$298</f>
        <v>557758.03144224198</v>
      </c>
      <c r="Y441" s="445">
        <f>+Y440*$Y$299/$Y$298</f>
        <v>463636.36363636365</v>
      </c>
      <c r="Z441" s="445">
        <f>+Z440*$Z$299/$Z$298</f>
        <v>397467.12128592306</v>
      </c>
      <c r="AA441" s="445">
        <f>+AA440*$AA$299/$AA$298</f>
        <v>345177.66497461929</v>
      </c>
      <c r="AB441" s="445">
        <f>+AB440*$AB$299/$AB$298</f>
        <v>306882.28657389997</v>
      </c>
      <c r="AC441" s="445">
        <f>+AC440*$AC$299/$AC$298</f>
        <v>276516.43510674348</v>
      </c>
      <c r="AD441" s="445">
        <f>+AD440*$AD$299/$AD$298</f>
        <v>251696.48365206661</v>
      </c>
      <c r="AE441" s="445">
        <f>+AE440*$AE$299/$AE$298</f>
        <v>253559.32203389829</v>
      </c>
      <c r="AF441" s="1218"/>
      <c r="AG441" s="1196"/>
      <c r="AH441" s="790"/>
      <c r="AI441" s="790"/>
      <c r="AJ441" s="794"/>
      <c r="AK441" s="790"/>
      <c r="AL441" s="790"/>
      <c r="AM441" s="790"/>
      <c r="AN441" s="791"/>
      <c r="AO441" s="805"/>
      <c r="AP441" s="805"/>
      <c r="AQ441" s="786"/>
      <c r="AR441" s="786"/>
      <c r="AS441" s="786"/>
      <c r="AT441" s="786"/>
      <c r="AU441" s="787"/>
      <c r="AV441" s="787"/>
      <c r="AW441" s="787"/>
      <c r="AX441" s="785"/>
      <c r="AY441" s="1214"/>
    </row>
    <row r="442" spans="1:51" ht="19.350000000000001" customHeight="1" x14ac:dyDescent="0.25">
      <c r="A442" s="1195"/>
      <c r="B442" s="833"/>
      <c r="C442" s="809" t="s">
        <v>505</v>
      </c>
      <c r="D442" s="141" t="s">
        <v>41</v>
      </c>
      <c r="E442" s="142"/>
      <c r="F442" s="143"/>
      <c r="G442" s="445"/>
      <c r="H442" s="445"/>
      <c r="I442" s="445">
        <v>142</v>
      </c>
      <c r="J442" s="445">
        <v>142</v>
      </c>
      <c r="K442" s="445">
        <v>142</v>
      </c>
      <c r="L442" s="445">
        <v>142</v>
      </c>
      <c r="M442" s="445">
        <v>142</v>
      </c>
      <c r="N442" s="448">
        <v>142</v>
      </c>
      <c r="O442" s="445">
        <v>142</v>
      </c>
      <c r="P442" s="445">
        <v>142</v>
      </c>
      <c r="Q442" s="445">
        <v>142</v>
      </c>
      <c r="R442" s="447">
        <v>142</v>
      </c>
      <c r="S442" s="446"/>
      <c r="T442" s="446"/>
      <c r="U442" s="446"/>
      <c r="V442" s="446">
        <v>142</v>
      </c>
      <c r="W442" s="446">
        <v>142</v>
      </c>
      <c r="X442" s="446">
        <v>142</v>
      </c>
      <c r="Y442" s="446">
        <v>142</v>
      </c>
      <c r="Z442" s="446">
        <v>142</v>
      </c>
      <c r="AA442" s="448">
        <v>142</v>
      </c>
      <c r="AB442" s="445">
        <v>142</v>
      </c>
      <c r="AC442" s="445">
        <v>142</v>
      </c>
      <c r="AD442" s="445">
        <v>142</v>
      </c>
      <c r="AE442" s="447">
        <v>142</v>
      </c>
      <c r="AF442" s="1218" t="s">
        <v>735</v>
      </c>
      <c r="AG442" s="1194" t="s">
        <v>507</v>
      </c>
      <c r="AH442" s="788" t="s">
        <v>508</v>
      </c>
      <c r="AI442" s="788" t="s">
        <v>509</v>
      </c>
      <c r="AJ442" s="792" t="s">
        <v>839</v>
      </c>
      <c r="AK442" s="788" t="s">
        <v>315</v>
      </c>
      <c r="AL442" s="788" t="s">
        <v>70</v>
      </c>
      <c r="AM442" s="788" t="s">
        <v>480</v>
      </c>
      <c r="AN442" s="791">
        <v>254469</v>
      </c>
      <c r="AO442" s="805">
        <v>120116</v>
      </c>
      <c r="AP442" s="805">
        <v>134352</v>
      </c>
      <c r="AQ442" s="786" t="s">
        <v>317</v>
      </c>
      <c r="AR442" s="786" t="s">
        <v>317</v>
      </c>
      <c r="AS442" s="786" t="s">
        <v>317</v>
      </c>
      <c r="AT442" s="786" t="s">
        <v>317</v>
      </c>
      <c r="AU442" s="787" t="s">
        <v>317</v>
      </c>
      <c r="AV442" s="787" t="s">
        <v>317</v>
      </c>
      <c r="AW442" s="787" t="s">
        <v>317</v>
      </c>
      <c r="AX442" s="783">
        <v>254469</v>
      </c>
      <c r="AY442" s="1214"/>
    </row>
    <row r="443" spans="1:51" ht="18.75" customHeight="1" x14ac:dyDescent="0.25">
      <c r="A443" s="1195"/>
      <c r="B443" s="833"/>
      <c r="C443" s="809"/>
      <c r="D443" s="132" t="s">
        <v>3</v>
      </c>
      <c r="E443" s="142"/>
      <c r="F443" s="143"/>
      <c r="G443" s="445"/>
      <c r="H443" s="445"/>
      <c r="I443" s="445">
        <v>1390991.4285714286</v>
      </c>
      <c r="J443" s="445">
        <v>1103542.857142857</v>
      </c>
      <c r="K443" s="445">
        <f>+K442*$K$299/$K$298</f>
        <v>1103542.857142857</v>
      </c>
      <c r="L443" s="445">
        <f>+L442*$L$299/$L$298</f>
        <v>1213897.142857143</v>
      </c>
      <c r="M443" s="445">
        <f>+M442*$M$299/$M$298</f>
        <v>1103542.857142857</v>
      </c>
      <c r="N443" s="445">
        <f>+N442*$N$299/$N$298</f>
        <v>1213897.142857143</v>
      </c>
      <c r="O443" s="445">
        <f>+O442*$O$299/$O$298</f>
        <v>1213897.142857143</v>
      </c>
      <c r="P443" s="445">
        <f>+P442*$P$299/$P$298</f>
        <v>1213897.142857143</v>
      </c>
      <c r="Q443" s="445">
        <f>+Q442*$Q$299/$Q$298</f>
        <v>1213897.142857143</v>
      </c>
      <c r="R443" s="445">
        <f>+R442*$R$299/$R$298</f>
        <v>1200180.7909604521</v>
      </c>
      <c r="S443" s="446"/>
      <c r="T443" s="446"/>
      <c r="U443" s="445"/>
      <c r="V443" s="445">
        <v>4581731.909845789</v>
      </c>
      <c r="W443" s="445">
        <v>3379177.6027996498</v>
      </c>
      <c r="X443" s="445">
        <f>+X442*$X$299/$X$298</f>
        <v>2640054.6821599454</v>
      </c>
      <c r="Y443" s="445">
        <f>+Y442*$Y$299/$Y$298</f>
        <v>2194545.4545454546</v>
      </c>
      <c r="Z443" s="445">
        <f>+Z442*$Z$299/$Z$298</f>
        <v>1881344.3740867025</v>
      </c>
      <c r="AA443" s="445">
        <f>+AA442*$AA$299/$AA$298</f>
        <v>1633840.9475465312</v>
      </c>
      <c r="AB443" s="445">
        <f>+AB442*$AB$299/$AB$298</f>
        <v>1452576.1564497931</v>
      </c>
      <c r="AC443" s="445">
        <f>+AC442*$AC$299/$AC$298</f>
        <v>1308844.4595052525</v>
      </c>
      <c r="AD443" s="445">
        <f>+AD442*$AD$299/$AD$298</f>
        <v>1191363.3559531153</v>
      </c>
      <c r="AE443" s="445">
        <f>+AE442*$AE$299/$AE$298</f>
        <v>1200180.7909604521</v>
      </c>
      <c r="AF443" s="1218"/>
      <c r="AG443" s="1195"/>
      <c r="AH443" s="789"/>
      <c r="AI443" s="789"/>
      <c r="AJ443" s="793"/>
      <c r="AK443" s="789"/>
      <c r="AL443" s="789"/>
      <c r="AM443" s="789"/>
      <c r="AN443" s="791"/>
      <c r="AO443" s="805"/>
      <c r="AP443" s="805"/>
      <c r="AQ443" s="786"/>
      <c r="AR443" s="786"/>
      <c r="AS443" s="786"/>
      <c r="AT443" s="786"/>
      <c r="AU443" s="787"/>
      <c r="AV443" s="787"/>
      <c r="AW443" s="787"/>
      <c r="AX443" s="784"/>
      <c r="AY443" s="1214"/>
    </row>
    <row r="444" spans="1:51" ht="27.75" customHeight="1" x14ac:dyDescent="0.25">
      <c r="A444" s="1195"/>
      <c r="B444" s="833"/>
      <c r="C444" s="809"/>
      <c r="D444" s="136" t="s">
        <v>42</v>
      </c>
      <c r="E444" s="142"/>
      <c r="F444" s="143"/>
      <c r="G444" s="445"/>
      <c r="H444" s="445"/>
      <c r="I444" s="445"/>
      <c r="J444" s="445"/>
      <c r="K444" s="445"/>
      <c r="L444" s="445"/>
      <c r="M444" s="445"/>
      <c r="N444" s="448"/>
      <c r="O444" s="445"/>
      <c r="P444" s="445"/>
      <c r="Q444" s="445"/>
      <c r="R444" s="447"/>
      <c r="S444" s="446"/>
      <c r="T444" s="446"/>
      <c r="U444" s="446"/>
      <c r="V444" s="446"/>
      <c r="W444" s="446"/>
      <c r="X444" s="446"/>
      <c r="Y444" s="446"/>
      <c r="Z444" s="446"/>
      <c r="AA444" s="448"/>
      <c r="AB444" s="445"/>
      <c r="AC444" s="445"/>
      <c r="AD444" s="445"/>
      <c r="AE444" s="447"/>
      <c r="AF444" s="1218"/>
      <c r="AG444" s="1195"/>
      <c r="AH444" s="789"/>
      <c r="AI444" s="789"/>
      <c r="AJ444" s="793"/>
      <c r="AK444" s="789"/>
      <c r="AL444" s="789"/>
      <c r="AM444" s="789"/>
      <c r="AN444" s="791"/>
      <c r="AO444" s="805"/>
      <c r="AP444" s="805"/>
      <c r="AQ444" s="786"/>
      <c r="AR444" s="786"/>
      <c r="AS444" s="786"/>
      <c r="AT444" s="786"/>
      <c r="AU444" s="787"/>
      <c r="AV444" s="787"/>
      <c r="AW444" s="787"/>
      <c r="AX444" s="784"/>
      <c r="AY444" s="1214"/>
    </row>
    <row r="445" spans="1:51" ht="27.75" customHeight="1" x14ac:dyDescent="0.25">
      <c r="A445" s="1195"/>
      <c r="B445" s="833"/>
      <c r="C445" s="809"/>
      <c r="D445" s="132" t="s">
        <v>4</v>
      </c>
      <c r="E445" s="142"/>
      <c r="F445" s="143"/>
      <c r="G445" s="445"/>
      <c r="H445" s="445"/>
      <c r="I445" s="445"/>
      <c r="J445" s="445"/>
      <c r="K445" s="445"/>
      <c r="L445" s="445"/>
      <c r="M445" s="445"/>
      <c r="N445" s="448"/>
      <c r="O445" s="445"/>
      <c r="P445" s="445"/>
      <c r="Q445" s="445"/>
      <c r="R445" s="447"/>
      <c r="S445" s="446"/>
      <c r="T445" s="445"/>
      <c r="U445" s="445"/>
      <c r="V445" s="446"/>
      <c r="W445" s="446"/>
      <c r="X445" s="446"/>
      <c r="Y445" s="446"/>
      <c r="Z445" s="446"/>
      <c r="AA445" s="448"/>
      <c r="AB445" s="445"/>
      <c r="AC445" s="445"/>
      <c r="AD445" s="445"/>
      <c r="AE445" s="447"/>
      <c r="AF445" s="1218"/>
      <c r="AG445" s="1195"/>
      <c r="AH445" s="789"/>
      <c r="AI445" s="789"/>
      <c r="AJ445" s="793"/>
      <c r="AK445" s="789"/>
      <c r="AL445" s="789"/>
      <c r="AM445" s="789"/>
      <c r="AN445" s="791"/>
      <c r="AO445" s="805"/>
      <c r="AP445" s="805"/>
      <c r="AQ445" s="786"/>
      <c r="AR445" s="786"/>
      <c r="AS445" s="786"/>
      <c r="AT445" s="786"/>
      <c r="AU445" s="787"/>
      <c r="AV445" s="787"/>
      <c r="AW445" s="787"/>
      <c r="AX445" s="784"/>
      <c r="AY445" s="1214"/>
    </row>
    <row r="446" spans="1:51" ht="27.75" customHeight="1" x14ac:dyDescent="0.25">
      <c r="A446" s="1195"/>
      <c r="B446" s="833"/>
      <c r="C446" s="809"/>
      <c r="D446" s="136" t="s">
        <v>43</v>
      </c>
      <c r="E446" s="142"/>
      <c r="F446" s="143"/>
      <c r="G446" s="445"/>
      <c r="H446" s="445"/>
      <c r="I446" s="445">
        <v>142</v>
      </c>
      <c r="J446" s="445">
        <v>142</v>
      </c>
      <c r="K446" s="445">
        <v>142</v>
      </c>
      <c r="L446" s="445">
        <v>142</v>
      </c>
      <c r="M446" s="445">
        <v>142</v>
      </c>
      <c r="N446" s="448">
        <v>142</v>
      </c>
      <c r="O446" s="445">
        <v>142</v>
      </c>
      <c r="P446" s="445">
        <v>142</v>
      </c>
      <c r="Q446" s="445">
        <v>142</v>
      </c>
      <c r="R446" s="447">
        <v>142</v>
      </c>
      <c r="S446" s="446"/>
      <c r="T446" s="446"/>
      <c r="U446" s="446"/>
      <c r="V446" s="445">
        <v>142</v>
      </c>
      <c r="W446" s="445">
        <v>142</v>
      </c>
      <c r="X446" s="446">
        <v>142</v>
      </c>
      <c r="Y446" s="446">
        <v>142</v>
      </c>
      <c r="Z446" s="446">
        <v>142</v>
      </c>
      <c r="AA446" s="448">
        <v>142</v>
      </c>
      <c r="AB446" s="445">
        <v>142</v>
      </c>
      <c r="AC446" s="445">
        <v>142</v>
      </c>
      <c r="AD446" s="445">
        <v>142</v>
      </c>
      <c r="AE446" s="447">
        <v>142</v>
      </c>
      <c r="AF446" s="1218"/>
      <c r="AG446" s="1195"/>
      <c r="AH446" s="789"/>
      <c r="AI446" s="789"/>
      <c r="AJ446" s="793"/>
      <c r="AK446" s="789"/>
      <c r="AL446" s="789"/>
      <c r="AM446" s="789"/>
      <c r="AN446" s="791"/>
      <c r="AO446" s="805"/>
      <c r="AP446" s="805"/>
      <c r="AQ446" s="786"/>
      <c r="AR446" s="786"/>
      <c r="AS446" s="786"/>
      <c r="AT446" s="786"/>
      <c r="AU446" s="787"/>
      <c r="AV446" s="787"/>
      <c r="AW446" s="787"/>
      <c r="AX446" s="784"/>
      <c r="AY446" s="1214"/>
    </row>
    <row r="447" spans="1:51" ht="27.75" customHeight="1" thickBot="1" x14ac:dyDescent="0.3">
      <c r="A447" s="1195"/>
      <c r="B447" s="833"/>
      <c r="C447" s="809"/>
      <c r="D447" s="140" t="s">
        <v>45</v>
      </c>
      <c r="E447" s="142"/>
      <c r="F447" s="143"/>
      <c r="G447" s="445"/>
      <c r="H447" s="445"/>
      <c r="I447" s="445">
        <v>1390991.4285714286</v>
      </c>
      <c r="J447" s="445">
        <v>1103542.857142857</v>
      </c>
      <c r="K447" s="445">
        <f>+K446*$K$299/$K$298</f>
        <v>1103542.857142857</v>
      </c>
      <c r="L447" s="445">
        <f>+L446*$L$299/$L$298</f>
        <v>1213897.142857143</v>
      </c>
      <c r="M447" s="445">
        <f>+M446*$M$299/$M$298</f>
        <v>1103542.857142857</v>
      </c>
      <c r="N447" s="445">
        <f>+N446*$N$299/$N$298</f>
        <v>1213897.142857143</v>
      </c>
      <c r="O447" s="445">
        <f>+O446*$O$299/$O$298</f>
        <v>1213897.142857143</v>
      </c>
      <c r="P447" s="445">
        <f>+P446*$P$299/$P$298</f>
        <v>1213897.142857143</v>
      </c>
      <c r="Q447" s="445">
        <f>+Q446*$Q$299/$Q$298</f>
        <v>1213897.142857143</v>
      </c>
      <c r="R447" s="445">
        <f>+R446*$R$299/$R$298</f>
        <v>1200180.7909604521</v>
      </c>
      <c r="S447" s="446"/>
      <c r="T447" s="446"/>
      <c r="U447" s="445"/>
      <c r="V447" s="445">
        <v>4581731.909845789</v>
      </c>
      <c r="W447" s="445">
        <v>3379177.6027996498</v>
      </c>
      <c r="X447" s="445">
        <f>+X446*$X$299/$X$298</f>
        <v>2640054.6821599454</v>
      </c>
      <c r="Y447" s="445">
        <f>+Y446*$Y$299/$Y$298</f>
        <v>2194545.4545454546</v>
      </c>
      <c r="Z447" s="445">
        <f>+Z446*$Z$299/$Z$298</f>
        <v>1881344.3740867025</v>
      </c>
      <c r="AA447" s="445">
        <f>+AA446*$AA$299/$AA$298</f>
        <v>1633840.9475465312</v>
      </c>
      <c r="AB447" s="445">
        <f>+AB446*$AB$299/$AB$298</f>
        <v>1452576.1564497931</v>
      </c>
      <c r="AC447" s="445">
        <f>+AC446*$AC$299/$AC$298</f>
        <v>1308844.4595052525</v>
      </c>
      <c r="AD447" s="445">
        <f>+AD446*$AD$299/$AD$298</f>
        <v>1191363.3559531153</v>
      </c>
      <c r="AE447" s="445">
        <f>+AE446*$AE$299/$AE$298</f>
        <v>1200180.7909604521</v>
      </c>
      <c r="AF447" s="1218"/>
      <c r="AG447" s="1196"/>
      <c r="AH447" s="790"/>
      <c r="AI447" s="790"/>
      <c r="AJ447" s="794"/>
      <c r="AK447" s="790"/>
      <c r="AL447" s="790"/>
      <c r="AM447" s="790"/>
      <c r="AN447" s="791"/>
      <c r="AO447" s="805"/>
      <c r="AP447" s="805"/>
      <c r="AQ447" s="786"/>
      <c r="AR447" s="786"/>
      <c r="AS447" s="786"/>
      <c r="AT447" s="786"/>
      <c r="AU447" s="787"/>
      <c r="AV447" s="787"/>
      <c r="AW447" s="787"/>
      <c r="AX447" s="785"/>
      <c r="AY447" s="1214"/>
    </row>
    <row r="448" spans="1:51" ht="19.350000000000001" customHeight="1" x14ac:dyDescent="0.25">
      <c r="A448" s="1195"/>
      <c r="B448" s="833"/>
      <c r="C448" s="809" t="s">
        <v>510</v>
      </c>
      <c r="D448" s="141" t="s">
        <v>41</v>
      </c>
      <c r="E448" s="142"/>
      <c r="F448" s="143"/>
      <c r="G448" s="445">
        <v>40</v>
      </c>
      <c r="H448" s="445">
        <v>40</v>
      </c>
      <c r="I448" s="445">
        <v>40</v>
      </c>
      <c r="J448" s="445">
        <v>40</v>
      </c>
      <c r="K448" s="445">
        <v>40</v>
      </c>
      <c r="L448" s="445">
        <v>40</v>
      </c>
      <c r="M448" s="445">
        <v>40</v>
      </c>
      <c r="N448" s="448">
        <v>40</v>
      </c>
      <c r="O448" s="445">
        <v>40</v>
      </c>
      <c r="P448" s="445">
        <v>40</v>
      </c>
      <c r="Q448" s="445">
        <v>40</v>
      </c>
      <c r="R448" s="447">
        <v>40</v>
      </c>
      <c r="S448" s="446"/>
      <c r="T448" s="446">
        <v>40</v>
      </c>
      <c r="U448" s="446">
        <v>40</v>
      </c>
      <c r="V448" s="446">
        <v>40</v>
      </c>
      <c r="W448" s="446">
        <v>40</v>
      </c>
      <c r="X448" s="446">
        <v>40</v>
      </c>
      <c r="Y448" s="446">
        <v>40</v>
      </c>
      <c r="Z448" s="446">
        <v>40</v>
      </c>
      <c r="AA448" s="448">
        <v>40</v>
      </c>
      <c r="AB448" s="445">
        <v>40</v>
      </c>
      <c r="AC448" s="445">
        <v>40</v>
      </c>
      <c r="AD448" s="445">
        <v>40</v>
      </c>
      <c r="AE448" s="447">
        <v>40</v>
      </c>
      <c r="AF448" s="1218" t="s">
        <v>511</v>
      </c>
      <c r="AG448" s="1194" t="s">
        <v>507</v>
      </c>
      <c r="AH448" s="788" t="s">
        <v>512</v>
      </c>
      <c r="AI448" s="788" t="s">
        <v>513</v>
      </c>
      <c r="AJ448" s="792" t="s">
        <v>839</v>
      </c>
      <c r="AK448" s="788" t="s">
        <v>315</v>
      </c>
      <c r="AL448" s="788" t="s">
        <v>70</v>
      </c>
      <c r="AM448" s="788" t="s">
        <v>480</v>
      </c>
      <c r="AN448" s="791">
        <v>254469</v>
      </c>
      <c r="AO448" s="805">
        <v>120116</v>
      </c>
      <c r="AP448" s="805">
        <v>134352</v>
      </c>
      <c r="AQ448" s="786" t="s">
        <v>317</v>
      </c>
      <c r="AR448" s="786" t="s">
        <v>317</v>
      </c>
      <c r="AS448" s="786" t="s">
        <v>317</v>
      </c>
      <c r="AT448" s="786" t="s">
        <v>317</v>
      </c>
      <c r="AU448" s="787" t="s">
        <v>317</v>
      </c>
      <c r="AV448" s="787" t="s">
        <v>317</v>
      </c>
      <c r="AW448" s="787" t="s">
        <v>317</v>
      </c>
      <c r="AX448" s="783">
        <v>254469</v>
      </c>
      <c r="AY448" s="1214"/>
    </row>
    <row r="449" spans="1:51" ht="18.75" customHeight="1" x14ac:dyDescent="0.25">
      <c r="A449" s="1195"/>
      <c r="B449" s="833"/>
      <c r="C449" s="809"/>
      <c r="D449" s="132" t="s">
        <v>3</v>
      </c>
      <c r="E449" s="142"/>
      <c r="F449" s="143"/>
      <c r="G449" s="445">
        <v>391828.57142857142</v>
      </c>
      <c r="H449" s="445">
        <v>391828.57142857142</v>
      </c>
      <c r="I449" s="445">
        <v>391828.57142857142</v>
      </c>
      <c r="J449" s="445">
        <v>310857.14285714284</v>
      </c>
      <c r="K449" s="445">
        <f>+K448*$K$299/$K$298</f>
        <v>310857.14285714284</v>
      </c>
      <c r="L449" s="445">
        <f>+L448*$L$299/$L$298</f>
        <v>341942.85714285716</v>
      </c>
      <c r="M449" s="445">
        <f>+M448*$M$299/$M$298</f>
        <v>310857.14285714284</v>
      </c>
      <c r="N449" s="445">
        <f>+N448*$N$299/$N$298</f>
        <v>341942.85714285716</v>
      </c>
      <c r="O449" s="445">
        <f>+O448*$O$299/$O$298</f>
        <v>341942.85714285716</v>
      </c>
      <c r="P449" s="445">
        <f>+P448*$P$299/$P$298</f>
        <v>341942.85714285716</v>
      </c>
      <c r="Q449" s="445">
        <f>+Q448*$Q$299/$Q$298</f>
        <v>341942.85714285716</v>
      </c>
      <c r="R449" s="445">
        <f>+R448*$R$299/$R$298</f>
        <v>338079.09604519774</v>
      </c>
      <c r="S449" s="446"/>
      <c r="T449" s="446"/>
      <c r="U449" s="445">
        <v>1989031.0786106032</v>
      </c>
      <c r="V449" s="445">
        <v>1290628.7069988137</v>
      </c>
      <c r="W449" s="445">
        <v>951881.01487314084</v>
      </c>
      <c r="X449" s="445">
        <f>+X448*$X$299/$X$298</f>
        <v>743677.37525632267</v>
      </c>
      <c r="Y449" s="445">
        <f>+Y448*$Y$299/$Y$298</f>
        <v>618181.81818181823</v>
      </c>
      <c r="Z449" s="445">
        <f>+Z448*$Z$299/$Z$298</f>
        <v>529956.16171456408</v>
      </c>
      <c r="AA449" s="445">
        <f>+AA448*$AA$299/$AA$298</f>
        <v>460236.88663282571</v>
      </c>
      <c r="AB449" s="445">
        <f>+AB448*$AB$299/$AB$298</f>
        <v>409176.38209853327</v>
      </c>
      <c r="AC449" s="445">
        <f>+AC448*$AC$299/$AC$298</f>
        <v>368688.58014232462</v>
      </c>
      <c r="AD449" s="445">
        <f>+AD448*$AD$299/$AD$298</f>
        <v>335595.31153608882</v>
      </c>
      <c r="AE449" s="445">
        <f>+AE448*$AE$299/$AE$298</f>
        <v>338079.09604519774</v>
      </c>
      <c r="AF449" s="1218"/>
      <c r="AG449" s="1195"/>
      <c r="AH449" s="789"/>
      <c r="AI449" s="789"/>
      <c r="AJ449" s="793"/>
      <c r="AK449" s="789"/>
      <c r="AL449" s="789"/>
      <c r="AM449" s="789"/>
      <c r="AN449" s="791"/>
      <c r="AO449" s="805"/>
      <c r="AP449" s="805"/>
      <c r="AQ449" s="786"/>
      <c r="AR449" s="786"/>
      <c r="AS449" s="786"/>
      <c r="AT449" s="786"/>
      <c r="AU449" s="787"/>
      <c r="AV449" s="787"/>
      <c r="AW449" s="787"/>
      <c r="AX449" s="784"/>
      <c r="AY449" s="1214"/>
    </row>
    <row r="450" spans="1:51" ht="27.75" customHeight="1" x14ac:dyDescent="0.25">
      <c r="A450" s="1195"/>
      <c r="B450" s="833"/>
      <c r="C450" s="809"/>
      <c r="D450" s="136" t="s">
        <v>42</v>
      </c>
      <c r="E450" s="142"/>
      <c r="F450" s="143"/>
      <c r="G450" s="445"/>
      <c r="H450" s="445"/>
      <c r="I450" s="445"/>
      <c r="J450" s="445"/>
      <c r="K450" s="445"/>
      <c r="L450" s="445"/>
      <c r="M450" s="445"/>
      <c r="N450" s="448"/>
      <c r="O450" s="445"/>
      <c r="P450" s="445"/>
      <c r="Q450" s="445"/>
      <c r="R450" s="447"/>
      <c r="S450" s="446"/>
      <c r="T450" s="446"/>
      <c r="U450" s="446"/>
      <c r="V450" s="446"/>
      <c r="W450" s="446"/>
      <c r="X450" s="446"/>
      <c r="Y450" s="446"/>
      <c r="Z450" s="446"/>
      <c r="AA450" s="448"/>
      <c r="AB450" s="445"/>
      <c r="AC450" s="445"/>
      <c r="AD450" s="445"/>
      <c r="AE450" s="447"/>
      <c r="AF450" s="1218"/>
      <c r="AG450" s="1195"/>
      <c r="AH450" s="789"/>
      <c r="AI450" s="789"/>
      <c r="AJ450" s="793"/>
      <c r="AK450" s="789"/>
      <c r="AL450" s="789"/>
      <c r="AM450" s="789"/>
      <c r="AN450" s="791"/>
      <c r="AO450" s="805"/>
      <c r="AP450" s="805"/>
      <c r="AQ450" s="786"/>
      <c r="AR450" s="786"/>
      <c r="AS450" s="786"/>
      <c r="AT450" s="786"/>
      <c r="AU450" s="787"/>
      <c r="AV450" s="787"/>
      <c r="AW450" s="787"/>
      <c r="AX450" s="784"/>
      <c r="AY450" s="1214"/>
    </row>
    <row r="451" spans="1:51" ht="27.75" customHeight="1" x14ac:dyDescent="0.25">
      <c r="A451" s="1195"/>
      <c r="B451" s="833"/>
      <c r="C451" s="809"/>
      <c r="D451" s="132" t="s">
        <v>4</v>
      </c>
      <c r="E451" s="142"/>
      <c r="F451" s="143"/>
      <c r="G451" s="445"/>
      <c r="H451" s="445"/>
      <c r="I451" s="445"/>
      <c r="J451" s="445"/>
      <c r="K451" s="445"/>
      <c r="L451" s="445"/>
      <c r="M451" s="445"/>
      <c r="N451" s="448"/>
      <c r="O451" s="445"/>
      <c r="P451" s="445"/>
      <c r="Q451" s="445"/>
      <c r="R451" s="447"/>
      <c r="S451" s="446"/>
      <c r="T451" s="445">
        <v>604617.88617886184</v>
      </c>
      <c r="U451" s="445">
        <v>604617.88617886184</v>
      </c>
      <c r="V451" s="446"/>
      <c r="W451" s="446"/>
      <c r="X451" s="446"/>
      <c r="Y451" s="446"/>
      <c r="Z451" s="446"/>
      <c r="AA451" s="448"/>
      <c r="AB451" s="445"/>
      <c r="AC451" s="445"/>
      <c r="AD451" s="445"/>
      <c r="AE451" s="447"/>
      <c r="AF451" s="1218"/>
      <c r="AG451" s="1195"/>
      <c r="AH451" s="789"/>
      <c r="AI451" s="789"/>
      <c r="AJ451" s="793"/>
      <c r="AK451" s="789"/>
      <c r="AL451" s="789"/>
      <c r="AM451" s="789"/>
      <c r="AN451" s="791"/>
      <c r="AO451" s="805"/>
      <c r="AP451" s="805"/>
      <c r="AQ451" s="786"/>
      <c r="AR451" s="786"/>
      <c r="AS451" s="786"/>
      <c r="AT451" s="786"/>
      <c r="AU451" s="787"/>
      <c r="AV451" s="787"/>
      <c r="AW451" s="787"/>
      <c r="AX451" s="784"/>
      <c r="AY451" s="1214"/>
    </row>
    <row r="452" spans="1:51" ht="27.75" customHeight="1" x14ac:dyDescent="0.25">
      <c r="A452" s="1195"/>
      <c r="B452" s="833"/>
      <c r="C452" s="809"/>
      <c r="D452" s="136" t="s">
        <v>43</v>
      </c>
      <c r="E452" s="142"/>
      <c r="F452" s="143"/>
      <c r="G452" s="445">
        <v>40</v>
      </c>
      <c r="H452" s="445">
        <v>40</v>
      </c>
      <c r="I452" s="445">
        <v>40</v>
      </c>
      <c r="J452" s="445">
        <v>40</v>
      </c>
      <c r="K452" s="445">
        <v>40</v>
      </c>
      <c r="L452" s="445">
        <v>40</v>
      </c>
      <c r="M452" s="445">
        <v>40</v>
      </c>
      <c r="N452" s="448">
        <v>40</v>
      </c>
      <c r="O452" s="445">
        <v>40</v>
      </c>
      <c r="P452" s="445">
        <v>40</v>
      </c>
      <c r="Q452" s="445">
        <v>40</v>
      </c>
      <c r="R452" s="447">
        <v>40</v>
      </c>
      <c r="S452" s="446"/>
      <c r="T452" s="446">
        <v>40</v>
      </c>
      <c r="U452" s="446">
        <v>40</v>
      </c>
      <c r="V452" s="445">
        <v>40</v>
      </c>
      <c r="W452" s="445">
        <v>40</v>
      </c>
      <c r="X452" s="446">
        <v>40</v>
      </c>
      <c r="Y452" s="446">
        <v>40</v>
      </c>
      <c r="Z452" s="446">
        <v>40</v>
      </c>
      <c r="AA452" s="448">
        <v>40</v>
      </c>
      <c r="AB452" s="445">
        <v>40</v>
      </c>
      <c r="AC452" s="445">
        <v>40</v>
      </c>
      <c r="AD452" s="445">
        <v>40</v>
      </c>
      <c r="AE452" s="447">
        <v>40</v>
      </c>
      <c r="AF452" s="1218"/>
      <c r="AG452" s="1195"/>
      <c r="AH452" s="789"/>
      <c r="AI452" s="789"/>
      <c r="AJ452" s="793"/>
      <c r="AK452" s="789"/>
      <c r="AL452" s="789"/>
      <c r="AM452" s="789"/>
      <c r="AN452" s="791"/>
      <c r="AO452" s="805"/>
      <c r="AP452" s="805"/>
      <c r="AQ452" s="786"/>
      <c r="AR452" s="786"/>
      <c r="AS452" s="786"/>
      <c r="AT452" s="786"/>
      <c r="AU452" s="787"/>
      <c r="AV452" s="787"/>
      <c r="AW452" s="787"/>
      <c r="AX452" s="784"/>
      <c r="AY452" s="1214"/>
    </row>
    <row r="453" spans="1:51" ht="27.75" customHeight="1" thickBot="1" x14ac:dyDescent="0.3">
      <c r="A453" s="1195"/>
      <c r="B453" s="833"/>
      <c r="C453" s="809"/>
      <c r="D453" s="140" t="s">
        <v>45</v>
      </c>
      <c r="E453" s="142"/>
      <c r="F453" s="143"/>
      <c r="G453" s="445">
        <v>391828.57142857142</v>
      </c>
      <c r="H453" s="445">
        <v>391828.57142857142</v>
      </c>
      <c r="I453" s="445">
        <v>391828.57142857142</v>
      </c>
      <c r="J453" s="445">
        <v>310857.14285714284</v>
      </c>
      <c r="K453" s="445">
        <f>+K452*$K$299/$K$298</f>
        <v>310857.14285714284</v>
      </c>
      <c r="L453" s="445">
        <f>+L452*$L$299/$L$298</f>
        <v>341942.85714285716</v>
      </c>
      <c r="M453" s="445">
        <f>+M452*$M$299/$M$298</f>
        <v>310857.14285714284</v>
      </c>
      <c r="N453" s="445">
        <f>+N452*$N$299/$N$298</f>
        <v>341942.85714285716</v>
      </c>
      <c r="O453" s="445">
        <f>+O452*$O$299/$O$298</f>
        <v>341942.85714285716</v>
      </c>
      <c r="P453" s="445">
        <f>+P452*$P$299/$P$298</f>
        <v>341942.85714285716</v>
      </c>
      <c r="Q453" s="445">
        <f>+Q452*$Q$299/$Q$298</f>
        <v>341942.85714285716</v>
      </c>
      <c r="R453" s="445">
        <f>+R452*$R$299/$R$298</f>
        <v>338079.09604519774</v>
      </c>
      <c r="S453" s="446"/>
      <c r="T453" s="446"/>
      <c r="U453" s="445">
        <v>1989031.0786106032</v>
      </c>
      <c r="V453" s="445">
        <v>1290628.7069988137</v>
      </c>
      <c r="W453" s="445">
        <v>951881.01487314084</v>
      </c>
      <c r="X453" s="445">
        <f>+X452*$X$299/$X$298</f>
        <v>743677.37525632267</v>
      </c>
      <c r="Y453" s="445">
        <f>+Y452*$Y$299/$Y$298</f>
        <v>618181.81818181823</v>
      </c>
      <c r="Z453" s="445">
        <f>+Z452*$Z$299/$Z$298</f>
        <v>529956.16171456408</v>
      </c>
      <c r="AA453" s="445">
        <f>+AA452*$AA$299/$AA$298</f>
        <v>460236.88663282571</v>
      </c>
      <c r="AB453" s="445">
        <f>+AB452*$AB$299/$AB$298</f>
        <v>409176.38209853327</v>
      </c>
      <c r="AC453" s="445">
        <f>+AC452*$AC$299/$AC$298</f>
        <v>368688.58014232462</v>
      </c>
      <c r="AD453" s="445">
        <f>+AD452*$AD$299/$AD$298</f>
        <v>335595.31153608882</v>
      </c>
      <c r="AE453" s="445">
        <f>+AE452*$AE$299/$AE$298</f>
        <v>338079.09604519774</v>
      </c>
      <c r="AF453" s="1218"/>
      <c r="AG453" s="1196"/>
      <c r="AH453" s="790"/>
      <c r="AI453" s="790"/>
      <c r="AJ453" s="794"/>
      <c r="AK453" s="790"/>
      <c r="AL453" s="790"/>
      <c r="AM453" s="790"/>
      <c r="AN453" s="791"/>
      <c r="AO453" s="805"/>
      <c r="AP453" s="805"/>
      <c r="AQ453" s="786"/>
      <c r="AR453" s="786"/>
      <c r="AS453" s="786"/>
      <c r="AT453" s="786"/>
      <c r="AU453" s="787"/>
      <c r="AV453" s="787"/>
      <c r="AW453" s="787"/>
      <c r="AX453" s="785"/>
      <c r="AY453" s="1214"/>
    </row>
    <row r="454" spans="1:51" ht="19.350000000000001" customHeight="1" x14ac:dyDescent="0.25">
      <c r="A454" s="1195"/>
      <c r="B454" s="833"/>
      <c r="C454" s="809" t="s">
        <v>843</v>
      </c>
      <c r="D454" s="141" t="s">
        <v>41</v>
      </c>
      <c r="E454" s="142"/>
      <c r="F454" s="143"/>
      <c r="G454" s="445">
        <v>40</v>
      </c>
      <c r="H454" s="445">
        <v>40</v>
      </c>
      <c r="I454" s="445">
        <v>40</v>
      </c>
      <c r="J454" s="445">
        <v>40</v>
      </c>
      <c r="K454" s="445"/>
      <c r="L454" s="445"/>
      <c r="M454" s="445">
        <v>7</v>
      </c>
      <c r="N454" s="448">
        <v>7</v>
      </c>
      <c r="O454" s="445">
        <v>7</v>
      </c>
      <c r="P454" s="445">
        <v>7</v>
      </c>
      <c r="Q454" s="445">
        <v>7</v>
      </c>
      <c r="R454" s="447">
        <v>7</v>
      </c>
      <c r="S454" s="446"/>
      <c r="T454" s="446"/>
      <c r="U454" s="446"/>
      <c r="V454" s="446"/>
      <c r="W454" s="446"/>
      <c r="X454" s="446"/>
      <c r="Y454" s="446"/>
      <c r="Z454" s="446">
        <v>7</v>
      </c>
      <c r="AA454" s="448">
        <v>7</v>
      </c>
      <c r="AB454" s="445">
        <v>7</v>
      </c>
      <c r="AC454" s="445">
        <v>7</v>
      </c>
      <c r="AD454" s="445">
        <v>7</v>
      </c>
      <c r="AE454" s="447">
        <v>7</v>
      </c>
      <c r="AF454" s="1218" t="s">
        <v>898</v>
      </c>
      <c r="AG454" s="1194" t="s">
        <v>507</v>
      </c>
      <c r="AH454" s="788" t="s">
        <v>844</v>
      </c>
      <c r="AI454" s="788" t="s">
        <v>456</v>
      </c>
      <c r="AJ454" s="792" t="s">
        <v>839</v>
      </c>
      <c r="AK454" s="788" t="s">
        <v>315</v>
      </c>
      <c r="AL454" s="788" t="s">
        <v>70</v>
      </c>
      <c r="AM454" s="788" t="s">
        <v>480</v>
      </c>
      <c r="AN454" s="791">
        <v>254469</v>
      </c>
      <c r="AO454" s="805">
        <v>120116</v>
      </c>
      <c r="AP454" s="805">
        <v>134352</v>
      </c>
      <c r="AQ454" s="786" t="s">
        <v>317</v>
      </c>
      <c r="AR454" s="786" t="s">
        <v>317</v>
      </c>
      <c r="AS454" s="786" t="s">
        <v>317</v>
      </c>
      <c r="AT454" s="786" t="s">
        <v>317</v>
      </c>
      <c r="AU454" s="787" t="s">
        <v>317</v>
      </c>
      <c r="AV454" s="787" t="s">
        <v>317</v>
      </c>
      <c r="AW454" s="787" t="s">
        <v>317</v>
      </c>
      <c r="AX454" s="783">
        <v>254469</v>
      </c>
      <c r="AY454" s="1214"/>
    </row>
    <row r="455" spans="1:51" ht="18.75" customHeight="1" x14ac:dyDescent="0.25">
      <c r="A455" s="1195"/>
      <c r="B455" s="833"/>
      <c r="C455" s="809"/>
      <c r="D455" s="132" t="s">
        <v>3</v>
      </c>
      <c r="E455" s="142"/>
      <c r="F455" s="143"/>
      <c r="G455" s="445">
        <v>391828.57142857142</v>
      </c>
      <c r="H455" s="445">
        <v>391828.57142857142</v>
      </c>
      <c r="I455" s="445">
        <v>391828.57142857142</v>
      </c>
      <c r="J455" s="445">
        <v>310857.14285714284</v>
      </c>
      <c r="K455" s="445"/>
      <c r="L455" s="445"/>
      <c r="M455" s="445">
        <f>+M454*$M$299/$M$298</f>
        <v>54400</v>
      </c>
      <c r="N455" s="445">
        <f>+N454*$N$299/$N$298</f>
        <v>59840</v>
      </c>
      <c r="O455" s="445">
        <f>+O454*$O$299/$O$298</f>
        <v>59840</v>
      </c>
      <c r="P455" s="445">
        <f>+P454*$P$299/$P$298</f>
        <v>59840</v>
      </c>
      <c r="Q455" s="445">
        <f>+Q454*$Q$299/$Q$298</f>
        <v>59840</v>
      </c>
      <c r="R455" s="445">
        <f>+R454*$R$299/$R$298</f>
        <v>59163.841807909601</v>
      </c>
      <c r="S455" s="446"/>
      <c r="T455" s="446"/>
      <c r="U455" s="445"/>
      <c r="V455" s="445"/>
      <c r="W455" s="445"/>
      <c r="X455" s="445"/>
      <c r="Y455" s="445"/>
      <c r="Z455" s="445">
        <f>+Z454*$Z$299/$Z$298</f>
        <v>92742.328300048714</v>
      </c>
      <c r="AA455" s="445">
        <f>+AA454*$AA$299/$AA$298</f>
        <v>80541.455160744503</v>
      </c>
      <c r="AB455" s="445">
        <f>+AB454*$AB$299/$AB$298</f>
        <v>71605.866867243327</v>
      </c>
      <c r="AC455" s="445">
        <f>+AC454*$AC$299/$AC$298</f>
        <v>64520.501524906809</v>
      </c>
      <c r="AD455" s="445">
        <f>+AD454*$AD$299/$AD$298</f>
        <v>58729.179518815545</v>
      </c>
      <c r="AE455" s="445">
        <f>+AE454*$AE$299/$AE$298</f>
        <v>59163.841807909601</v>
      </c>
      <c r="AF455" s="1218"/>
      <c r="AG455" s="1195"/>
      <c r="AH455" s="789"/>
      <c r="AI455" s="789"/>
      <c r="AJ455" s="793"/>
      <c r="AK455" s="789"/>
      <c r="AL455" s="789"/>
      <c r="AM455" s="789"/>
      <c r="AN455" s="791"/>
      <c r="AO455" s="805"/>
      <c r="AP455" s="805"/>
      <c r="AQ455" s="786"/>
      <c r="AR455" s="786"/>
      <c r="AS455" s="786"/>
      <c r="AT455" s="786"/>
      <c r="AU455" s="787"/>
      <c r="AV455" s="787"/>
      <c r="AW455" s="787"/>
      <c r="AX455" s="784"/>
      <c r="AY455" s="1214"/>
    </row>
    <row r="456" spans="1:51" ht="27.75" customHeight="1" x14ac:dyDescent="0.25">
      <c r="A456" s="1195"/>
      <c r="B456" s="833"/>
      <c r="C456" s="809"/>
      <c r="D456" s="136" t="s">
        <v>42</v>
      </c>
      <c r="E456" s="142"/>
      <c r="F456" s="143"/>
      <c r="G456" s="445"/>
      <c r="H456" s="445"/>
      <c r="I456" s="445"/>
      <c r="J456" s="445"/>
      <c r="K456" s="445"/>
      <c r="L456" s="445"/>
      <c r="M456" s="445"/>
      <c r="N456" s="448"/>
      <c r="O456" s="445"/>
      <c r="P456" s="445"/>
      <c r="Q456" s="445"/>
      <c r="R456" s="447"/>
      <c r="S456" s="446"/>
      <c r="T456" s="446"/>
      <c r="U456" s="446"/>
      <c r="V456" s="446"/>
      <c r="W456" s="446"/>
      <c r="X456" s="446"/>
      <c r="Y456" s="446"/>
      <c r="Z456" s="446"/>
      <c r="AA456" s="448"/>
      <c r="AB456" s="445"/>
      <c r="AC456" s="445"/>
      <c r="AD456" s="445"/>
      <c r="AE456" s="447"/>
      <c r="AF456" s="1218"/>
      <c r="AG456" s="1195"/>
      <c r="AH456" s="789"/>
      <c r="AI456" s="789"/>
      <c r="AJ456" s="793"/>
      <c r="AK456" s="789"/>
      <c r="AL456" s="789"/>
      <c r="AM456" s="789"/>
      <c r="AN456" s="791"/>
      <c r="AO456" s="805"/>
      <c r="AP456" s="805"/>
      <c r="AQ456" s="786"/>
      <c r="AR456" s="786"/>
      <c r="AS456" s="786"/>
      <c r="AT456" s="786"/>
      <c r="AU456" s="787"/>
      <c r="AV456" s="787"/>
      <c r="AW456" s="787"/>
      <c r="AX456" s="784"/>
      <c r="AY456" s="1214"/>
    </row>
    <row r="457" spans="1:51" ht="27.75" customHeight="1" x14ac:dyDescent="0.25">
      <c r="A457" s="1195"/>
      <c r="B457" s="833"/>
      <c r="C457" s="809"/>
      <c r="D457" s="132" t="s">
        <v>4</v>
      </c>
      <c r="E457" s="142"/>
      <c r="F457" s="143"/>
      <c r="G457" s="445"/>
      <c r="H457" s="445"/>
      <c r="I457" s="445"/>
      <c r="J457" s="445"/>
      <c r="K457" s="445"/>
      <c r="L457" s="445"/>
      <c r="M457" s="445"/>
      <c r="N457" s="448"/>
      <c r="O457" s="445"/>
      <c r="P457" s="445"/>
      <c r="Q457" s="445"/>
      <c r="R457" s="447"/>
      <c r="S457" s="446"/>
      <c r="T457" s="445"/>
      <c r="U457" s="445"/>
      <c r="V457" s="446"/>
      <c r="W457" s="446"/>
      <c r="X457" s="446"/>
      <c r="Y457" s="446"/>
      <c r="Z457" s="446"/>
      <c r="AA457" s="448"/>
      <c r="AB457" s="445"/>
      <c r="AC457" s="445"/>
      <c r="AD457" s="445"/>
      <c r="AE457" s="447"/>
      <c r="AF457" s="1218"/>
      <c r="AG457" s="1195"/>
      <c r="AH457" s="789"/>
      <c r="AI457" s="789"/>
      <c r="AJ457" s="793"/>
      <c r="AK457" s="789"/>
      <c r="AL457" s="789"/>
      <c r="AM457" s="789"/>
      <c r="AN457" s="791"/>
      <c r="AO457" s="805"/>
      <c r="AP457" s="805"/>
      <c r="AQ457" s="786"/>
      <c r="AR457" s="786"/>
      <c r="AS457" s="786"/>
      <c r="AT457" s="786"/>
      <c r="AU457" s="787"/>
      <c r="AV457" s="787"/>
      <c r="AW457" s="787"/>
      <c r="AX457" s="784"/>
      <c r="AY457" s="1214"/>
    </row>
    <row r="458" spans="1:51" ht="27.75" customHeight="1" x14ac:dyDescent="0.25">
      <c r="A458" s="1195"/>
      <c r="B458" s="833"/>
      <c r="C458" s="809"/>
      <c r="D458" s="136" t="s">
        <v>43</v>
      </c>
      <c r="E458" s="142"/>
      <c r="F458" s="143"/>
      <c r="G458" s="445">
        <v>40</v>
      </c>
      <c r="H458" s="445">
        <v>40</v>
      </c>
      <c r="I458" s="445">
        <v>40</v>
      </c>
      <c r="J458" s="445">
        <v>40</v>
      </c>
      <c r="K458" s="445"/>
      <c r="L458" s="445"/>
      <c r="M458" s="445">
        <v>7</v>
      </c>
      <c r="N458" s="448">
        <v>7</v>
      </c>
      <c r="O458" s="445">
        <v>7</v>
      </c>
      <c r="P458" s="445">
        <v>7</v>
      </c>
      <c r="Q458" s="445">
        <v>7</v>
      </c>
      <c r="R458" s="447">
        <v>7</v>
      </c>
      <c r="S458" s="446"/>
      <c r="T458" s="446"/>
      <c r="U458" s="446"/>
      <c r="V458" s="445"/>
      <c r="W458" s="445"/>
      <c r="X458" s="446"/>
      <c r="Y458" s="446"/>
      <c r="Z458" s="446">
        <v>7</v>
      </c>
      <c r="AA458" s="448">
        <v>7</v>
      </c>
      <c r="AB458" s="445">
        <v>7</v>
      </c>
      <c r="AC458" s="445">
        <v>7</v>
      </c>
      <c r="AD458" s="445">
        <v>7</v>
      </c>
      <c r="AE458" s="447">
        <v>7</v>
      </c>
      <c r="AF458" s="1218"/>
      <c r="AG458" s="1195"/>
      <c r="AH458" s="789"/>
      <c r="AI458" s="789"/>
      <c r="AJ458" s="793"/>
      <c r="AK458" s="789"/>
      <c r="AL458" s="789"/>
      <c r="AM458" s="789"/>
      <c r="AN458" s="791"/>
      <c r="AO458" s="805"/>
      <c r="AP458" s="805"/>
      <c r="AQ458" s="786"/>
      <c r="AR458" s="786"/>
      <c r="AS458" s="786"/>
      <c r="AT458" s="786"/>
      <c r="AU458" s="787"/>
      <c r="AV458" s="787"/>
      <c r="AW458" s="787"/>
      <c r="AX458" s="784"/>
      <c r="AY458" s="1214"/>
    </row>
    <row r="459" spans="1:51" ht="27.75" customHeight="1" thickBot="1" x14ac:dyDescent="0.3">
      <c r="A459" s="1195"/>
      <c r="B459" s="833"/>
      <c r="C459" s="809"/>
      <c r="D459" s="140" t="s">
        <v>45</v>
      </c>
      <c r="E459" s="142"/>
      <c r="F459" s="143"/>
      <c r="G459" s="445">
        <v>391828.57142857142</v>
      </c>
      <c r="H459" s="445">
        <v>391828.57142857142</v>
      </c>
      <c r="I459" s="445">
        <v>391828.57142857142</v>
      </c>
      <c r="J459" s="445">
        <v>310857.14285714284</v>
      </c>
      <c r="K459" s="445"/>
      <c r="L459" s="445"/>
      <c r="M459" s="445">
        <f>+M458*$M$299/$M$298</f>
        <v>54400</v>
      </c>
      <c r="N459" s="445">
        <f>+N458*$N$299/$N$298</f>
        <v>59840</v>
      </c>
      <c r="O459" s="445">
        <f>+O458*$O$299/$O$298</f>
        <v>59840</v>
      </c>
      <c r="P459" s="445">
        <f>+P458*$P$299/$P$298</f>
        <v>59840</v>
      </c>
      <c r="Q459" s="445">
        <f>+Q458*$Q$299/$Q$298</f>
        <v>59840</v>
      </c>
      <c r="R459" s="445">
        <f>+R458*$R$299/$R$298</f>
        <v>59163.841807909601</v>
      </c>
      <c r="S459" s="446"/>
      <c r="T459" s="446"/>
      <c r="U459" s="445"/>
      <c r="V459" s="445"/>
      <c r="W459" s="445"/>
      <c r="X459" s="445"/>
      <c r="Y459" s="445"/>
      <c r="Z459" s="445">
        <f>+Z458*$Z$299/$Z$298</f>
        <v>92742.328300048714</v>
      </c>
      <c r="AA459" s="445">
        <f>+AA458*$AA$299/$AA$298</f>
        <v>80541.455160744503</v>
      </c>
      <c r="AB459" s="445">
        <f>+AB458*$AB$299/$AB$298</f>
        <v>71605.866867243327</v>
      </c>
      <c r="AC459" s="445">
        <f>+AC458*$AC$299/$AC$298</f>
        <v>64520.501524906809</v>
      </c>
      <c r="AD459" s="445">
        <f>+AD458*$AD$299/$AD$298</f>
        <v>58729.179518815545</v>
      </c>
      <c r="AE459" s="445">
        <f>+AE458*$AE$299/$AE$298</f>
        <v>59163.841807909601</v>
      </c>
      <c r="AF459" s="1218"/>
      <c r="AG459" s="1196"/>
      <c r="AH459" s="790"/>
      <c r="AI459" s="790"/>
      <c r="AJ459" s="794"/>
      <c r="AK459" s="790"/>
      <c r="AL459" s="790"/>
      <c r="AM459" s="790"/>
      <c r="AN459" s="791"/>
      <c r="AO459" s="805"/>
      <c r="AP459" s="805"/>
      <c r="AQ459" s="786"/>
      <c r="AR459" s="786"/>
      <c r="AS459" s="786"/>
      <c r="AT459" s="786"/>
      <c r="AU459" s="787"/>
      <c r="AV459" s="787"/>
      <c r="AW459" s="787"/>
      <c r="AX459" s="785"/>
      <c r="AY459" s="1214"/>
    </row>
    <row r="460" spans="1:51" ht="19.350000000000001" customHeight="1" x14ac:dyDescent="0.25">
      <c r="A460" s="1195"/>
      <c r="B460" s="833"/>
      <c r="C460" s="809" t="s">
        <v>997</v>
      </c>
      <c r="D460" s="141" t="s">
        <v>41</v>
      </c>
      <c r="E460" s="142"/>
      <c r="F460" s="143"/>
      <c r="G460" s="445"/>
      <c r="H460" s="445">
        <v>85</v>
      </c>
      <c r="I460" s="445">
        <v>85</v>
      </c>
      <c r="J460" s="445">
        <v>85</v>
      </c>
      <c r="K460" s="445"/>
      <c r="L460" s="445"/>
      <c r="M460" s="445"/>
      <c r="N460" s="445">
        <v>311</v>
      </c>
      <c r="O460" s="445"/>
      <c r="P460" s="445"/>
      <c r="Q460" s="445">
        <v>33</v>
      </c>
      <c r="R460" s="447">
        <v>33</v>
      </c>
      <c r="S460" s="446"/>
      <c r="T460" s="446"/>
      <c r="U460" s="446"/>
      <c r="V460" s="446"/>
      <c r="W460" s="446"/>
      <c r="X460" s="446"/>
      <c r="Y460" s="446"/>
      <c r="Z460" s="446"/>
      <c r="AA460" s="445"/>
      <c r="AB460" s="445"/>
      <c r="AC460" s="445"/>
      <c r="AD460" s="445">
        <v>33</v>
      </c>
      <c r="AE460" s="447">
        <v>33</v>
      </c>
      <c r="AF460" s="1218" t="s">
        <v>1284</v>
      </c>
      <c r="AG460" s="1194" t="s">
        <v>516</v>
      </c>
      <c r="AH460" s="788" t="s">
        <v>1013</v>
      </c>
      <c r="AI460" s="788" t="s">
        <v>1014</v>
      </c>
      <c r="AJ460" s="792" t="s">
        <v>839</v>
      </c>
      <c r="AK460" s="788" t="s">
        <v>315</v>
      </c>
      <c r="AL460" s="788" t="s">
        <v>70</v>
      </c>
      <c r="AM460" s="788" t="s">
        <v>480</v>
      </c>
      <c r="AN460" s="791">
        <v>107788</v>
      </c>
      <c r="AO460" s="805">
        <v>53687</v>
      </c>
      <c r="AP460" s="805">
        <v>54100</v>
      </c>
      <c r="AQ460" s="786" t="s">
        <v>317</v>
      </c>
      <c r="AR460" s="786" t="s">
        <v>317</v>
      </c>
      <c r="AS460" s="786" t="s">
        <v>317</v>
      </c>
      <c r="AT460" s="786" t="s">
        <v>317</v>
      </c>
      <c r="AU460" s="787" t="s">
        <v>317</v>
      </c>
      <c r="AV460" s="787" t="s">
        <v>317</v>
      </c>
      <c r="AW460" s="787" t="s">
        <v>317</v>
      </c>
      <c r="AX460" s="783">
        <v>107788</v>
      </c>
      <c r="AY460" s="1214"/>
    </row>
    <row r="461" spans="1:51" ht="18.75" customHeight="1" x14ac:dyDescent="0.25">
      <c r="A461" s="1195"/>
      <c r="B461" s="833"/>
      <c r="C461" s="809"/>
      <c r="D461" s="132" t="s">
        <v>3</v>
      </c>
      <c r="E461" s="142"/>
      <c r="F461" s="143"/>
      <c r="G461" s="445"/>
      <c r="H461" s="445">
        <v>832635.71428571432</v>
      </c>
      <c r="I461" s="445">
        <v>832635.71428571432</v>
      </c>
      <c r="J461" s="445">
        <v>660571.42857142852</v>
      </c>
      <c r="K461" s="445"/>
      <c r="L461" s="445"/>
      <c r="M461" s="445"/>
      <c r="N461" s="445">
        <f>+N460*$N$299/$N$298</f>
        <v>2658605.7142857141</v>
      </c>
      <c r="O461" s="445"/>
      <c r="P461" s="445"/>
      <c r="Q461" s="445">
        <f>+Q460*$Q$299/$Q$298</f>
        <v>282102.85714285716</v>
      </c>
      <c r="R461" s="445">
        <f>+R460*$R$299/$R$298</f>
        <v>278915.25423728814</v>
      </c>
      <c r="S461" s="446"/>
      <c r="T461" s="446"/>
      <c r="U461" s="445"/>
      <c r="V461" s="445"/>
      <c r="W461" s="445"/>
      <c r="X461" s="445"/>
      <c r="Y461" s="445"/>
      <c r="Z461" s="445"/>
      <c r="AA461" s="445"/>
      <c r="AB461" s="445"/>
      <c r="AC461" s="445"/>
      <c r="AD461" s="445">
        <f>+AD460*$AD$299/$AD$298</f>
        <v>276866.13201727328</v>
      </c>
      <c r="AE461" s="445">
        <f>+AE460*$AE$299/$AE$298</f>
        <v>278915.25423728814</v>
      </c>
      <c r="AF461" s="1218"/>
      <c r="AG461" s="1195"/>
      <c r="AH461" s="789"/>
      <c r="AI461" s="789"/>
      <c r="AJ461" s="793"/>
      <c r="AK461" s="789"/>
      <c r="AL461" s="789"/>
      <c r="AM461" s="789"/>
      <c r="AN461" s="791"/>
      <c r="AO461" s="805"/>
      <c r="AP461" s="805"/>
      <c r="AQ461" s="786"/>
      <c r="AR461" s="786"/>
      <c r="AS461" s="786"/>
      <c r="AT461" s="786"/>
      <c r="AU461" s="787"/>
      <c r="AV461" s="787"/>
      <c r="AW461" s="787"/>
      <c r="AX461" s="784"/>
      <c r="AY461" s="1214"/>
    </row>
    <row r="462" spans="1:51" ht="27.75" customHeight="1" x14ac:dyDescent="0.25">
      <c r="A462" s="1195"/>
      <c r="B462" s="833"/>
      <c r="C462" s="809"/>
      <c r="D462" s="136" t="s">
        <v>42</v>
      </c>
      <c r="E462" s="142"/>
      <c r="F462" s="143"/>
      <c r="G462" s="445"/>
      <c r="H462" s="445"/>
      <c r="I462" s="445"/>
      <c r="J462" s="445"/>
      <c r="K462" s="445"/>
      <c r="L462" s="445"/>
      <c r="M462" s="445"/>
      <c r="N462" s="445"/>
      <c r="O462" s="445"/>
      <c r="P462" s="445"/>
      <c r="Q462" s="445"/>
      <c r="R462" s="447"/>
      <c r="S462" s="446"/>
      <c r="T462" s="446"/>
      <c r="U462" s="446"/>
      <c r="V462" s="446"/>
      <c r="W462" s="446"/>
      <c r="X462" s="446"/>
      <c r="Y462" s="446"/>
      <c r="Z462" s="446"/>
      <c r="AA462" s="445"/>
      <c r="AB462" s="445"/>
      <c r="AC462" s="445"/>
      <c r="AD462" s="445"/>
      <c r="AE462" s="447"/>
      <c r="AF462" s="1218"/>
      <c r="AG462" s="1195"/>
      <c r="AH462" s="789"/>
      <c r="AI462" s="789"/>
      <c r="AJ462" s="793"/>
      <c r="AK462" s="789"/>
      <c r="AL462" s="789"/>
      <c r="AM462" s="789"/>
      <c r="AN462" s="791"/>
      <c r="AO462" s="805"/>
      <c r="AP462" s="805"/>
      <c r="AQ462" s="786"/>
      <c r="AR462" s="786"/>
      <c r="AS462" s="786"/>
      <c r="AT462" s="786"/>
      <c r="AU462" s="787"/>
      <c r="AV462" s="787"/>
      <c r="AW462" s="787"/>
      <c r="AX462" s="784"/>
      <c r="AY462" s="1214"/>
    </row>
    <row r="463" spans="1:51" ht="27.75" customHeight="1" x14ac:dyDescent="0.25">
      <c r="A463" s="1195"/>
      <c r="B463" s="833"/>
      <c r="C463" s="809"/>
      <c r="D463" s="132" t="s">
        <v>4</v>
      </c>
      <c r="E463" s="142"/>
      <c r="F463" s="143"/>
      <c r="G463" s="445"/>
      <c r="H463" s="445"/>
      <c r="I463" s="445"/>
      <c r="J463" s="445"/>
      <c r="K463" s="445"/>
      <c r="L463" s="445"/>
      <c r="M463" s="445"/>
      <c r="N463" s="445"/>
      <c r="O463" s="445"/>
      <c r="P463" s="445"/>
      <c r="Q463" s="445"/>
      <c r="R463" s="447"/>
      <c r="S463" s="446"/>
      <c r="T463" s="446"/>
      <c r="U463" s="446"/>
      <c r="V463" s="446"/>
      <c r="W463" s="446"/>
      <c r="X463" s="446"/>
      <c r="Y463" s="446"/>
      <c r="Z463" s="446"/>
      <c r="AA463" s="445"/>
      <c r="AB463" s="445"/>
      <c r="AC463" s="445"/>
      <c r="AD463" s="445"/>
      <c r="AE463" s="447"/>
      <c r="AF463" s="1218"/>
      <c r="AG463" s="1195"/>
      <c r="AH463" s="789"/>
      <c r="AI463" s="789"/>
      <c r="AJ463" s="793"/>
      <c r="AK463" s="789"/>
      <c r="AL463" s="789"/>
      <c r="AM463" s="789"/>
      <c r="AN463" s="791"/>
      <c r="AO463" s="805"/>
      <c r="AP463" s="805"/>
      <c r="AQ463" s="786"/>
      <c r="AR463" s="786"/>
      <c r="AS463" s="786"/>
      <c r="AT463" s="786"/>
      <c r="AU463" s="787"/>
      <c r="AV463" s="787"/>
      <c r="AW463" s="787"/>
      <c r="AX463" s="784"/>
      <c r="AY463" s="1214"/>
    </row>
    <row r="464" spans="1:51" ht="27.75" customHeight="1" x14ac:dyDescent="0.25">
      <c r="A464" s="1195"/>
      <c r="B464" s="833"/>
      <c r="C464" s="809"/>
      <c r="D464" s="136" t="s">
        <v>43</v>
      </c>
      <c r="E464" s="142"/>
      <c r="F464" s="143"/>
      <c r="G464" s="445"/>
      <c r="H464" s="445">
        <v>85</v>
      </c>
      <c r="I464" s="445">
        <v>85</v>
      </c>
      <c r="J464" s="445">
        <v>85</v>
      </c>
      <c r="K464" s="445"/>
      <c r="L464" s="445"/>
      <c r="M464" s="445"/>
      <c r="N464" s="445">
        <v>311</v>
      </c>
      <c r="O464" s="445"/>
      <c r="P464" s="445"/>
      <c r="Q464" s="445">
        <v>33</v>
      </c>
      <c r="R464" s="447">
        <v>33</v>
      </c>
      <c r="S464" s="446"/>
      <c r="T464" s="446"/>
      <c r="U464" s="446"/>
      <c r="V464" s="445"/>
      <c r="W464" s="445"/>
      <c r="X464" s="446"/>
      <c r="Y464" s="446"/>
      <c r="Z464" s="446"/>
      <c r="AA464" s="445"/>
      <c r="AB464" s="445"/>
      <c r="AC464" s="445"/>
      <c r="AD464" s="445">
        <v>33</v>
      </c>
      <c r="AE464" s="447">
        <v>33</v>
      </c>
      <c r="AF464" s="1218"/>
      <c r="AG464" s="1195"/>
      <c r="AH464" s="789"/>
      <c r="AI464" s="789"/>
      <c r="AJ464" s="793"/>
      <c r="AK464" s="789"/>
      <c r="AL464" s="789"/>
      <c r="AM464" s="789"/>
      <c r="AN464" s="791"/>
      <c r="AO464" s="805"/>
      <c r="AP464" s="805"/>
      <c r="AQ464" s="786"/>
      <c r="AR464" s="786"/>
      <c r="AS464" s="786"/>
      <c r="AT464" s="786"/>
      <c r="AU464" s="787"/>
      <c r="AV464" s="787"/>
      <c r="AW464" s="787"/>
      <c r="AX464" s="784"/>
      <c r="AY464" s="1214"/>
    </row>
    <row r="465" spans="1:51" ht="27.75" customHeight="1" thickBot="1" x14ac:dyDescent="0.3">
      <c r="A465" s="1195"/>
      <c r="B465" s="833"/>
      <c r="C465" s="809"/>
      <c r="D465" s="140" t="s">
        <v>45</v>
      </c>
      <c r="E465" s="142"/>
      <c r="F465" s="143"/>
      <c r="G465" s="445"/>
      <c r="H465" s="445">
        <v>832635.71428571432</v>
      </c>
      <c r="I465" s="445">
        <v>832635.71428571432</v>
      </c>
      <c r="J465" s="445">
        <v>660571.42857142852</v>
      </c>
      <c r="K465" s="445"/>
      <c r="L465" s="445"/>
      <c r="M465" s="445"/>
      <c r="N465" s="445">
        <f>+N464*$N$299/$N$298</f>
        <v>2658605.7142857141</v>
      </c>
      <c r="O465" s="445"/>
      <c r="P465" s="445"/>
      <c r="Q465" s="445">
        <f>+Q464*$Q$299/$Q$298</f>
        <v>282102.85714285716</v>
      </c>
      <c r="R465" s="445">
        <f>+R464*$R$299/$R$298</f>
        <v>278915.25423728814</v>
      </c>
      <c r="S465" s="446"/>
      <c r="T465" s="446"/>
      <c r="U465" s="445"/>
      <c r="V465" s="445"/>
      <c r="W465" s="445"/>
      <c r="X465" s="445"/>
      <c r="Y465" s="445"/>
      <c r="Z465" s="445"/>
      <c r="AA465" s="445"/>
      <c r="AB465" s="445"/>
      <c r="AC465" s="445"/>
      <c r="AD465" s="445">
        <f>+AD464*$AD$299/$AD$298</f>
        <v>276866.13201727328</v>
      </c>
      <c r="AE465" s="445">
        <f>+AE464*$AE$299/$AE$298</f>
        <v>278915.25423728814</v>
      </c>
      <c r="AF465" s="1218"/>
      <c r="AG465" s="1196"/>
      <c r="AH465" s="790"/>
      <c r="AI465" s="790"/>
      <c r="AJ465" s="794"/>
      <c r="AK465" s="790"/>
      <c r="AL465" s="790"/>
      <c r="AM465" s="790"/>
      <c r="AN465" s="791"/>
      <c r="AO465" s="805"/>
      <c r="AP465" s="805"/>
      <c r="AQ465" s="786"/>
      <c r="AR465" s="786"/>
      <c r="AS465" s="786"/>
      <c r="AT465" s="786"/>
      <c r="AU465" s="787"/>
      <c r="AV465" s="787"/>
      <c r="AW465" s="787"/>
      <c r="AX465" s="785"/>
      <c r="AY465" s="1214"/>
    </row>
    <row r="466" spans="1:51" ht="19.350000000000001" customHeight="1" x14ac:dyDescent="0.25">
      <c r="A466" s="1195"/>
      <c r="B466" s="833"/>
      <c r="C466" s="809" t="s">
        <v>998</v>
      </c>
      <c r="D466" s="141" t="s">
        <v>41</v>
      </c>
      <c r="E466" s="142"/>
      <c r="F466" s="143"/>
      <c r="G466" s="445"/>
      <c r="H466" s="445">
        <v>85</v>
      </c>
      <c r="I466" s="445">
        <v>85</v>
      </c>
      <c r="J466" s="445">
        <v>85</v>
      </c>
      <c r="K466" s="445"/>
      <c r="L466" s="445"/>
      <c r="M466" s="445"/>
      <c r="N466" s="445">
        <v>311</v>
      </c>
      <c r="O466" s="445"/>
      <c r="P466" s="445"/>
      <c r="Q466" s="445">
        <v>23</v>
      </c>
      <c r="R466" s="447">
        <v>23</v>
      </c>
      <c r="S466" s="446"/>
      <c r="T466" s="446"/>
      <c r="U466" s="446"/>
      <c r="V466" s="446"/>
      <c r="W466" s="446"/>
      <c r="X466" s="446"/>
      <c r="Y466" s="446"/>
      <c r="Z466" s="446"/>
      <c r="AA466" s="445"/>
      <c r="AB466" s="445"/>
      <c r="AC466" s="445"/>
      <c r="AD466" s="445">
        <v>23</v>
      </c>
      <c r="AE466" s="447">
        <v>23</v>
      </c>
      <c r="AF466" s="1218" t="s">
        <v>1285</v>
      </c>
      <c r="AG466" s="1194" t="s">
        <v>516</v>
      </c>
      <c r="AH466" s="788" t="s">
        <v>880</v>
      </c>
      <c r="AI466" s="788" t="s">
        <v>1023</v>
      </c>
      <c r="AJ466" s="792" t="s">
        <v>839</v>
      </c>
      <c r="AK466" s="788" t="s">
        <v>315</v>
      </c>
      <c r="AL466" s="788" t="s">
        <v>70</v>
      </c>
      <c r="AM466" s="788" t="s">
        <v>480</v>
      </c>
      <c r="AN466" s="791">
        <v>107788</v>
      </c>
      <c r="AO466" s="805">
        <v>53687</v>
      </c>
      <c r="AP466" s="805">
        <v>54100</v>
      </c>
      <c r="AQ466" s="786" t="s">
        <v>317</v>
      </c>
      <c r="AR466" s="786" t="s">
        <v>317</v>
      </c>
      <c r="AS466" s="786" t="s">
        <v>317</v>
      </c>
      <c r="AT466" s="786" t="s">
        <v>317</v>
      </c>
      <c r="AU466" s="787" t="s">
        <v>317</v>
      </c>
      <c r="AV466" s="787" t="s">
        <v>317</v>
      </c>
      <c r="AW466" s="787" t="s">
        <v>317</v>
      </c>
      <c r="AX466" s="783">
        <v>107788</v>
      </c>
      <c r="AY466" s="1214"/>
    </row>
    <row r="467" spans="1:51" ht="18.75" customHeight="1" x14ac:dyDescent="0.25">
      <c r="A467" s="1195"/>
      <c r="B467" s="833"/>
      <c r="C467" s="809"/>
      <c r="D467" s="132" t="s">
        <v>3</v>
      </c>
      <c r="E467" s="142"/>
      <c r="F467" s="143"/>
      <c r="G467" s="445"/>
      <c r="H467" s="445">
        <v>832635.71428571432</v>
      </c>
      <c r="I467" s="445">
        <v>832635.71428571432</v>
      </c>
      <c r="J467" s="445">
        <v>660571.42857142852</v>
      </c>
      <c r="K467" s="445"/>
      <c r="L467" s="445"/>
      <c r="M467" s="445"/>
      <c r="N467" s="445">
        <f>+N466*$N$299/$N$298</f>
        <v>2658605.7142857141</v>
      </c>
      <c r="O467" s="445"/>
      <c r="P467" s="445"/>
      <c r="Q467" s="445">
        <f>+Q466*$Q$299/$Q$298</f>
        <v>196617.14285714287</v>
      </c>
      <c r="R467" s="445">
        <f>+R466*$R$299/$R$298</f>
        <v>194395.48022598869</v>
      </c>
      <c r="S467" s="446"/>
      <c r="T467" s="446"/>
      <c r="U467" s="445"/>
      <c r="V467" s="445"/>
      <c r="W467" s="445"/>
      <c r="X467" s="445"/>
      <c r="Y467" s="445"/>
      <c r="Z467" s="445"/>
      <c r="AA467" s="445"/>
      <c r="AB467" s="445"/>
      <c r="AC467" s="445"/>
      <c r="AD467" s="445">
        <f>+AD466*$AD$299/$AD$298</f>
        <v>192967.30413325108</v>
      </c>
      <c r="AE467" s="445">
        <f>+AE466*$AE$299/$AE$298</f>
        <v>194395.48022598869</v>
      </c>
      <c r="AF467" s="1218"/>
      <c r="AG467" s="1195"/>
      <c r="AH467" s="789"/>
      <c r="AI467" s="789"/>
      <c r="AJ467" s="793"/>
      <c r="AK467" s="789"/>
      <c r="AL467" s="789"/>
      <c r="AM467" s="789"/>
      <c r="AN467" s="791"/>
      <c r="AO467" s="805"/>
      <c r="AP467" s="805"/>
      <c r="AQ467" s="786"/>
      <c r="AR467" s="786"/>
      <c r="AS467" s="786"/>
      <c r="AT467" s="786"/>
      <c r="AU467" s="787"/>
      <c r="AV467" s="787"/>
      <c r="AW467" s="787"/>
      <c r="AX467" s="784"/>
      <c r="AY467" s="1214"/>
    </row>
    <row r="468" spans="1:51" ht="27.75" customHeight="1" x14ac:dyDescent="0.25">
      <c r="A468" s="1195"/>
      <c r="B468" s="833"/>
      <c r="C468" s="809"/>
      <c r="D468" s="136" t="s">
        <v>42</v>
      </c>
      <c r="E468" s="142"/>
      <c r="F468" s="143"/>
      <c r="G468" s="445"/>
      <c r="H468" s="445"/>
      <c r="I468" s="445"/>
      <c r="J468" s="445"/>
      <c r="K468" s="445"/>
      <c r="L468" s="445"/>
      <c r="M468" s="445"/>
      <c r="N468" s="445"/>
      <c r="O468" s="445"/>
      <c r="P468" s="445"/>
      <c r="Q468" s="445"/>
      <c r="R468" s="447"/>
      <c r="S468" s="446"/>
      <c r="T468" s="446"/>
      <c r="U468" s="446"/>
      <c r="V468" s="446"/>
      <c r="W468" s="446"/>
      <c r="X468" s="446"/>
      <c r="Y468" s="446"/>
      <c r="Z468" s="446"/>
      <c r="AA468" s="445"/>
      <c r="AB468" s="445"/>
      <c r="AC468" s="445"/>
      <c r="AD468" s="445"/>
      <c r="AE468" s="447"/>
      <c r="AF468" s="1218"/>
      <c r="AG468" s="1195"/>
      <c r="AH468" s="789"/>
      <c r="AI468" s="789"/>
      <c r="AJ468" s="793"/>
      <c r="AK468" s="789"/>
      <c r="AL468" s="789"/>
      <c r="AM468" s="789"/>
      <c r="AN468" s="791"/>
      <c r="AO468" s="805"/>
      <c r="AP468" s="805"/>
      <c r="AQ468" s="786"/>
      <c r="AR468" s="786"/>
      <c r="AS468" s="786"/>
      <c r="AT468" s="786"/>
      <c r="AU468" s="787"/>
      <c r="AV468" s="787"/>
      <c r="AW468" s="787"/>
      <c r="AX468" s="784"/>
      <c r="AY468" s="1214"/>
    </row>
    <row r="469" spans="1:51" ht="27.75" customHeight="1" x14ac:dyDescent="0.25">
      <c r="A469" s="1195"/>
      <c r="B469" s="833"/>
      <c r="C469" s="809"/>
      <c r="D469" s="132" t="s">
        <v>4</v>
      </c>
      <c r="E469" s="142"/>
      <c r="F469" s="143"/>
      <c r="G469" s="445"/>
      <c r="H469" s="445"/>
      <c r="I469" s="445"/>
      <c r="J469" s="445"/>
      <c r="K469" s="445"/>
      <c r="L469" s="445"/>
      <c r="M469" s="445"/>
      <c r="N469" s="445"/>
      <c r="O469" s="445"/>
      <c r="P469" s="445"/>
      <c r="Q469" s="445"/>
      <c r="R469" s="447"/>
      <c r="S469" s="446"/>
      <c r="T469" s="446"/>
      <c r="U469" s="446"/>
      <c r="V469" s="446"/>
      <c r="W469" s="446"/>
      <c r="X469" s="446"/>
      <c r="Y469" s="446"/>
      <c r="Z469" s="446"/>
      <c r="AA469" s="445"/>
      <c r="AB469" s="445"/>
      <c r="AC469" s="445"/>
      <c r="AD469" s="445"/>
      <c r="AE469" s="447"/>
      <c r="AF469" s="1218"/>
      <c r="AG469" s="1195"/>
      <c r="AH469" s="789"/>
      <c r="AI469" s="789"/>
      <c r="AJ469" s="793"/>
      <c r="AK469" s="789"/>
      <c r="AL469" s="789"/>
      <c r="AM469" s="789"/>
      <c r="AN469" s="791"/>
      <c r="AO469" s="805"/>
      <c r="AP469" s="805"/>
      <c r="AQ469" s="786"/>
      <c r="AR469" s="786"/>
      <c r="AS469" s="786"/>
      <c r="AT469" s="786"/>
      <c r="AU469" s="787"/>
      <c r="AV469" s="787"/>
      <c r="AW469" s="787"/>
      <c r="AX469" s="784"/>
      <c r="AY469" s="1214"/>
    </row>
    <row r="470" spans="1:51" ht="27.75" customHeight="1" x14ac:dyDescent="0.25">
      <c r="A470" s="1195"/>
      <c r="B470" s="833"/>
      <c r="C470" s="809"/>
      <c r="D470" s="136" t="s">
        <v>43</v>
      </c>
      <c r="E470" s="142"/>
      <c r="F470" s="143"/>
      <c r="G470" s="445"/>
      <c r="H470" s="445">
        <v>85</v>
      </c>
      <c r="I470" s="445">
        <v>85</v>
      </c>
      <c r="J470" s="445">
        <v>85</v>
      </c>
      <c r="K470" s="445"/>
      <c r="L470" s="445"/>
      <c r="M470" s="445"/>
      <c r="N470" s="445">
        <v>311</v>
      </c>
      <c r="O470" s="445"/>
      <c r="P470" s="445"/>
      <c r="Q470" s="445">
        <v>23</v>
      </c>
      <c r="R470" s="447">
        <v>23</v>
      </c>
      <c r="S470" s="446"/>
      <c r="T470" s="446"/>
      <c r="U470" s="446"/>
      <c r="V470" s="445"/>
      <c r="W470" s="445"/>
      <c r="X470" s="446"/>
      <c r="Y470" s="446"/>
      <c r="Z470" s="446"/>
      <c r="AA470" s="445"/>
      <c r="AB470" s="445"/>
      <c r="AC470" s="445"/>
      <c r="AD470" s="445">
        <v>23</v>
      </c>
      <c r="AE470" s="447">
        <v>23</v>
      </c>
      <c r="AF470" s="1218"/>
      <c r="AG470" s="1195"/>
      <c r="AH470" s="789"/>
      <c r="AI470" s="789"/>
      <c r="AJ470" s="793"/>
      <c r="AK470" s="789"/>
      <c r="AL470" s="789"/>
      <c r="AM470" s="789"/>
      <c r="AN470" s="791"/>
      <c r="AO470" s="805"/>
      <c r="AP470" s="805"/>
      <c r="AQ470" s="786"/>
      <c r="AR470" s="786"/>
      <c r="AS470" s="786"/>
      <c r="AT470" s="786"/>
      <c r="AU470" s="787"/>
      <c r="AV470" s="787"/>
      <c r="AW470" s="787"/>
      <c r="AX470" s="784"/>
      <c r="AY470" s="1214"/>
    </row>
    <row r="471" spans="1:51" ht="27.75" customHeight="1" thickBot="1" x14ac:dyDescent="0.3">
      <c r="A471" s="1195"/>
      <c r="B471" s="833"/>
      <c r="C471" s="809"/>
      <c r="D471" s="140" t="s">
        <v>45</v>
      </c>
      <c r="E471" s="142"/>
      <c r="F471" s="143"/>
      <c r="G471" s="445"/>
      <c r="H471" s="445">
        <v>832635.71428571432</v>
      </c>
      <c r="I471" s="445">
        <v>832635.71428571432</v>
      </c>
      <c r="J471" s="445">
        <v>660571.42857142852</v>
      </c>
      <c r="K471" s="445"/>
      <c r="L471" s="445"/>
      <c r="M471" s="445"/>
      <c r="N471" s="445">
        <f>+N470*$N$299/$N$298</f>
        <v>2658605.7142857141</v>
      </c>
      <c r="O471" s="445"/>
      <c r="P471" s="445"/>
      <c r="Q471" s="445">
        <f>+Q470*$Q$299/$Q$298</f>
        <v>196617.14285714287</v>
      </c>
      <c r="R471" s="445">
        <f>+R470*$R$299/$R$298</f>
        <v>194395.48022598869</v>
      </c>
      <c r="S471" s="446"/>
      <c r="T471" s="446"/>
      <c r="U471" s="445"/>
      <c r="V471" s="445"/>
      <c r="W471" s="445"/>
      <c r="X471" s="445"/>
      <c r="Y471" s="445"/>
      <c r="Z471" s="445"/>
      <c r="AA471" s="445"/>
      <c r="AB471" s="445"/>
      <c r="AC471" s="445"/>
      <c r="AD471" s="445">
        <f>+AD470*$AD$299/$AD$298</f>
        <v>192967.30413325108</v>
      </c>
      <c r="AE471" s="445">
        <f>+AE470*$AE$299/$AE$298</f>
        <v>194395.48022598869</v>
      </c>
      <c r="AF471" s="1218"/>
      <c r="AG471" s="1196"/>
      <c r="AH471" s="790"/>
      <c r="AI471" s="790"/>
      <c r="AJ471" s="794"/>
      <c r="AK471" s="790"/>
      <c r="AL471" s="790"/>
      <c r="AM471" s="790"/>
      <c r="AN471" s="791"/>
      <c r="AO471" s="805"/>
      <c r="AP471" s="805"/>
      <c r="AQ471" s="786"/>
      <c r="AR471" s="786"/>
      <c r="AS471" s="786"/>
      <c r="AT471" s="786"/>
      <c r="AU471" s="787"/>
      <c r="AV471" s="787"/>
      <c r="AW471" s="787"/>
      <c r="AX471" s="785"/>
      <c r="AY471" s="1214"/>
    </row>
    <row r="472" spans="1:51" ht="19.350000000000001" customHeight="1" x14ac:dyDescent="0.25">
      <c r="A472" s="1195"/>
      <c r="B472" s="833"/>
      <c r="C472" s="809" t="s">
        <v>879</v>
      </c>
      <c r="D472" s="141" t="s">
        <v>41</v>
      </c>
      <c r="E472" s="142"/>
      <c r="F472" s="143"/>
      <c r="G472" s="445"/>
      <c r="H472" s="445">
        <v>85</v>
      </c>
      <c r="I472" s="445">
        <v>85</v>
      </c>
      <c r="J472" s="445">
        <v>85</v>
      </c>
      <c r="K472" s="445"/>
      <c r="L472" s="445"/>
      <c r="M472" s="445"/>
      <c r="N472" s="445">
        <v>311</v>
      </c>
      <c r="O472" s="445">
        <v>311</v>
      </c>
      <c r="P472" s="445">
        <v>311</v>
      </c>
      <c r="Q472" s="445">
        <v>311</v>
      </c>
      <c r="R472" s="447">
        <v>311</v>
      </c>
      <c r="S472" s="446"/>
      <c r="T472" s="446"/>
      <c r="U472" s="446"/>
      <c r="V472" s="446"/>
      <c r="W472" s="446"/>
      <c r="X472" s="446"/>
      <c r="Y472" s="446"/>
      <c r="Z472" s="446"/>
      <c r="AA472" s="445">
        <v>311</v>
      </c>
      <c r="AB472" s="445">
        <v>311</v>
      </c>
      <c r="AC472" s="445">
        <v>311</v>
      </c>
      <c r="AD472" s="445">
        <v>311</v>
      </c>
      <c r="AE472" s="447">
        <v>311</v>
      </c>
      <c r="AF472" s="1218" t="s">
        <v>899</v>
      </c>
      <c r="AG472" s="1194" t="s">
        <v>516</v>
      </c>
      <c r="AH472" s="788" t="s">
        <v>880</v>
      </c>
      <c r="AI472" s="788" t="s">
        <v>881</v>
      </c>
      <c r="AJ472" s="792" t="s">
        <v>839</v>
      </c>
      <c r="AK472" s="788" t="s">
        <v>315</v>
      </c>
      <c r="AL472" s="788" t="s">
        <v>70</v>
      </c>
      <c r="AM472" s="788" t="s">
        <v>480</v>
      </c>
      <c r="AN472" s="791">
        <v>107788</v>
      </c>
      <c r="AO472" s="805">
        <v>53687</v>
      </c>
      <c r="AP472" s="805">
        <v>54100</v>
      </c>
      <c r="AQ472" s="786" t="s">
        <v>317</v>
      </c>
      <c r="AR472" s="786" t="s">
        <v>317</v>
      </c>
      <c r="AS472" s="786" t="s">
        <v>317</v>
      </c>
      <c r="AT472" s="786" t="s">
        <v>317</v>
      </c>
      <c r="AU472" s="787" t="s">
        <v>317</v>
      </c>
      <c r="AV472" s="787" t="s">
        <v>317</v>
      </c>
      <c r="AW472" s="787" t="s">
        <v>317</v>
      </c>
      <c r="AX472" s="783">
        <v>107788</v>
      </c>
      <c r="AY472" s="1214"/>
    </row>
    <row r="473" spans="1:51" ht="18.75" customHeight="1" x14ac:dyDescent="0.25">
      <c r="A473" s="1195"/>
      <c r="B473" s="833"/>
      <c r="C473" s="809"/>
      <c r="D473" s="132" t="s">
        <v>3</v>
      </c>
      <c r="E473" s="142"/>
      <c r="F473" s="143"/>
      <c r="G473" s="445"/>
      <c r="H473" s="445">
        <v>832635.71428571432</v>
      </c>
      <c r="I473" s="445">
        <v>832635.71428571432</v>
      </c>
      <c r="J473" s="445">
        <v>660571.42857142852</v>
      </c>
      <c r="K473" s="445"/>
      <c r="L473" s="445"/>
      <c r="M473" s="445"/>
      <c r="N473" s="445">
        <f>+N472*$N$299/$N$298</f>
        <v>2658605.7142857141</v>
      </c>
      <c r="O473" s="445">
        <f>+O472*$O$299/$O$298</f>
        <v>2658605.7142857141</v>
      </c>
      <c r="P473" s="445">
        <f>+P472*$P$299/$P$298</f>
        <v>2658605.7142857141</v>
      </c>
      <c r="Q473" s="445">
        <f>+Q472*$Q$299/$Q$298</f>
        <v>2658605.7142857141</v>
      </c>
      <c r="R473" s="445">
        <f>+R472*$R$299/$R$298</f>
        <v>2628564.9717514124</v>
      </c>
      <c r="S473" s="446"/>
      <c r="T473" s="446"/>
      <c r="U473" s="445"/>
      <c r="V473" s="445"/>
      <c r="W473" s="445"/>
      <c r="X473" s="445"/>
      <c r="Y473" s="445"/>
      <c r="Z473" s="445"/>
      <c r="AA473" s="445">
        <f>+AA472*$AA$299/$AA$298</f>
        <v>3578341.79357022</v>
      </c>
      <c r="AB473" s="445">
        <f>+AB472*$AB$299/$AB$298</f>
        <v>3181346.3708160962</v>
      </c>
      <c r="AC473" s="445">
        <f>+AC472*$AC$299/$AC$298</f>
        <v>2866553.7106065741</v>
      </c>
      <c r="AD473" s="445">
        <f>+AD472*$AD$299/$AD$298</f>
        <v>2609253.5471930909</v>
      </c>
      <c r="AE473" s="445">
        <f>+AE472*$AE$299/$AE$298</f>
        <v>2628564.9717514124</v>
      </c>
      <c r="AF473" s="1218"/>
      <c r="AG473" s="1195"/>
      <c r="AH473" s="789"/>
      <c r="AI473" s="789"/>
      <c r="AJ473" s="793"/>
      <c r="AK473" s="789"/>
      <c r="AL473" s="789"/>
      <c r="AM473" s="789"/>
      <c r="AN473" s="791"/>
      <c r="AO473" s="805"/>
      <c r="AP473" s="805"/>
      <c r="AQ473" s="786"/>
      <c r="AR473" s="786"/>
      <c r="AS473" s="786"/>
      <c r="AT473" s="786"/>
      <c r="AU473" s="787"/>
      <c r="AV473" s="787"/>
      <c r="AW473" s="787"/>
      <c r="AX473" s="784"/>
      <c r="AY473" s="1214"/>
    </row>
    <row r="474" spans="1:51" ht="27.75" customHeight="1" x14ac:dyDescent="0.25">
      <c r="A474" s="1195"/>
      <c r="B474" s="833"/>
      <c r="C474" s="809"/>
      <c r="D474" s="136" t="s">
        <v>42</v>
      </c>
      <c r="E474" s="142"/>
      <c r="F474" s="143"/>
      <c r="G474" s="445"/>
      <c r="H474" s="445"/>
      <c r="I474" s="445"/>
      <c r="J474" s="445"/>
      <c r="K474" s="445"/>
      <c r="L474" s="445"/>
      <c r="M474" s="445"/>
      <c r="N474" s="445"/>
      <c r="O474" s="445"/>
      <c r="P474" s="445"/>
      <c r="Q474" s="445"/>
      <c r="R474" s="447"/>
      <c r="S474" s="446"/>
      <c r="T474" s="446"/>
      <c r="U474" s="446"/>
      <c r="V474" s="446"/>
      <c r="W474" s="446"/>
      <c r="X474" s="446"/>
      <c r="Y474" s="446"/>
      <c r="Z474" s="446"/>
      <c r="AA474" s="445"/>
      <c r="AB474" s="445"/>
      <c r="AC474" s="445"/>
      <c r="AD474" s="445"/>
      <c r="AE474" s="447"/>
      <c r="AF474" s="1218"/>
      <c r="AG474" s="1195"/>
      <c r="AH474" s="789"/>
      <c r="AI474" s="789"/>
      <c r="AJ474" s="793"/>
      <c r="AK474" s="789"/>
      <c r="AL474" s="789"/>
      <c r="AM474" s="789"/>
      <c r="AN474" s="791"/>
      <c r="AO474" s="805"/>
      <c r="AP474" s="805"/>
      <c r="AQ474" s="786"/>
      <c r="AR474" s="786"/>
      <c r="AS474" s="786"/>
      <c r="AT474" s="786"/>
      <c r="AU474" s="787"/>
      <c r="AV474" s="787"/>
      <c r="AW474" s="787"/>
      <c r="AX474" s="784"/>
      <c r="AY474" s="1214"/>
    </row>
    <row r="475" spans="1:51" ht="27.75" customHeight="1" x14ac:dyDescent="0.25">
      <c r="A475" s="1195"/>
      <c r="B475" s="833"/>
      <c r="C475" s="809"/>
      <c r="D475" s="132" t="s">
        <v>4</v>
      </c>
      <c r="E475" s="142"/>
      <c r="F475" s="143"/>
      <c r="G475" s="445"/>
      <c r="H475" s="445"/>
      <c r="I475" s="445"/>
      <c r="J475" s="445"/>
      <c r="K475" s="445"/>
      <c r="L475" s="445"/>
      <c r="M475" s="445"/>
      <c r="N475" s="445"/>
      <c r="O475" s="445"/>
      <c r="P475" s="445"/>
      <c r="Q475" s="445"/>
      <c r="R475" s="447"/>
      <c r="S475" s="446"/>
      <c r="T475" s="446"/>
      <c r="U475" s="446"/>
      <c r="V475" s="446"/>
      <c r="W475" s="446"/>
      <c r="X475" s="446"/>
      <c r="Y475" s="446"/>
      <c r="Z475" s="446"/>
      <c r="AA475" s="445"/>
      <c r="AB475" s="445"/>
      <c r="AC475" s="445"/>
      <c r="AD475" s="445"/>
      <c r="AE475" s="447"/>
      <c r="AF475" s="1218"/>
      <c r="AG475" s="1195"/>
      <c r="AH475" s="789"/>
      <c r="AI475" s="789"/>
      <c r="AJ475" s="793"/>
      <c r="AK475" s="789"/>
      <c r="AL475" s="789"/>
      <c r="AM475" s="789"/>
      <c r="AN475" s="791"/>
      <c r="AO475" s="805"/>
      <c r="AP475" s="805"/>
      <c r="AQ475" s="786"/>
      <c r="AR475" s="786"/>
      <c r="AS475" s="786"/>
      <c r="AT475" s="786"/>
      <c r="AU475" s="787"/>
      <c r="AV475" s="787"/>
      <c r="AW475" s="787"/>
      <c r="AX475" s="784"/>
      <c r="AY475" s="1214"/>
    </row>
    <row r="476" spans="1:51" ht="27.75" customHeight="1" x14ac:dyDescent="0.25">
      <c r="A476" s="1195"/>
      <c r="B476" s="833"/>
      <c r="C476" s="809"/>
      <c r="D476" s="136" t="s">
        <v>43</v>
      </c>
      <c r="E476" s="142"/>
      <c r="F476" s="143"/>
      <c r="G476" s="445"/>
      <c r="H476" s="445">
        <v>85</v>
      </c>
      <c r="I476" s="445">
        <v>85</v>
      </c>
      <c r="J476" s="445">
        <v>85</v>
      </c>
      <c r="K476" s="445"/>
      <c r="L476" s="445"/>
      <c r="M476" s="445"/>
      <c r="N476" s="445">
        <v>311</v>
      </c>
      <c r="O476" s="445">
        <v>311</v>
      </c>
      <c r="P476" s="445">
        <v>311</v>
      </c>
      <c r="Q476" s="445">
        <v>311</v>
      </c>
      <c r="R476" s="447">
        <v>311</v>
      </c>
      <c r="S476" s="446"/>
      <c r="T476" s="446"/>
      <c r="U476" s="446"/>
      <c r="V476" s="445"/>
      <c r="W476" s="445"/>
      <c r="X476" s="446"/>
      <c r="Y476" s="446"/>
      <c r="Z476" s="446"/>
      <c r="AA476" s="445">
        <v>311</v>
      </c>
      <c r="AB476" s="445">
        <v>311</v>
      </c>
      <c r="AC476" s="445">
        <v>311</v>
      </c>
      <c r="AD476" s="445">
        <v>311</v>
      </c>
      <c r="AE476" s="447">
        <v>311</v>
      </c>
      <c r="AF476" s="1218"/>
      <c r="AG476" s="1195"/>
      <c r="AH476" s="789"/>
      <c r="AI476" s="789"/>
      <c r="AJ476" s="793"/>
      <c r="AK476" s="789"/>
      <c r="AL476" s="789"/>
      <c r="AM476" s="789"/>
      <c r="AN476" s="791"/>
      <c r="AO476" s="805"/>
      <c r="AP476" s="805"/>
      <c r="AQ476" s="786"/>
      <c r="AR476" s="786"/>
      <c r="AS476" s="786"/>
      <c r="AT476" s="786"/>
      <c r="AU476" s="787"/>
      <c r="AV476" s="787"/>
      <c r="AW476" s="787"/>
      <c r="AX476" s="784"/>
      <c r="AY476" s="1214"/>
    </row>
    <row r="477" spans="1:51" ht="27.75" customHeight="1" thickBot="1" x14ac:dyDescent="0.3">
      <c r="A477" s="1195"/>
      <c r="B477" s="833"/>
      <c r="C477" s="809"/>
      <c r="D477" s="140" t="s">
        <v>45</v>
      </c>
      <c r="E477" s="142"/>
      <c r="F477" s="143"/>
      <c r="G477" s="445"/>
      <c r="H477" s="445">
        <v>832635.71428571432</v>
      </c>
      <c r="I477" s="445">
        <v>832635.71428571432</v>
      </c>
      <c r="J477" s="445">
        <v>660571.42857142852</v>
      </c>
      <c r="K477" s="445"/>
      <c r="L477" s="445"/>
      <c r="M477" s="445"/>
      <c r="N477" s="445">
        <f>+N476*$N$299/$N$298</f>
        <v>2658605.7142857141</v>
      </c>
      <c r="O477" s="445">
        <f>+O476*$O$299/$O$298</f>
        <v>2658605.7142857141</v>
      </c>
      <c r="P477" s="445">
        <f>+P476*$P$299/$P$298</f>
        <v>2658605.7142857141</v>
      </c>
      <c r="Q477" s="445">
        <f>+Q476*$Q$299/$Q$298</f>
        <v>2658605.7142857141</v>
      </c>
      <c r="R477" s="445">
        <f>+R476*$R$299/$R$298</f>
        <v>2628564.9717514124</v>
      </c>
      <c r="S477" s="446"/>
      <c r="T477" s="446"/>
      <c r="U477" s="445"/>
      <c r="V477" s="445"/>
      <c r="W477" s="445"/>
      <c r="X477" s="445"/>
      <c r="Y477" s="445"/>
      <c r="Z477" s="445"/>
      <c r="AA477" s="445">
        <f>+AA476*$AA$299/$AA$298</f>
        <v>3578341.79357022</v>
      </c>
      <c r="AB477" s="445">
        <f>+AB476*$AB$299/$AB$298</f>
        <v>3181346.3708160962</v>
      </c>
      <c r="AC477" s="445">
        <f>+AC476*$AC$299/$AC$298</f>
        <v>2866553.7106065741</v>
      </c>
      <c r="AD477" s="445">
        <f>+AD476*$AD$299/$AD$298</f>
        <v>2609253.5471930909</v>
      </c>
      <c r="AE477" s="445">
        <f>+AE476*$AE$299/$AE$298</f>
        <v>2628564.9717514124</v>
      </c>
      <c r="AF477" s="1218"/>
      <c r="AG477" s="1196"/>
      <c r="AH477" s="790"/>
      <c r="AI477" s="790"/>
      <c r="AJ477" s="794"/>
      <c r="AK477" s="790"/>
      <c r="AL477" s="790"/>
      <c r="AM477" s="790"/>
      <c r="AN477" s="791"/>
      <c r="AO477" s="805"/>
      <c r="AP477" s="805"/>
      <c r="AQ477" s="786"/>
      <c r="AR477" s="786"/>
      <c r="AS477" s="786"/>
      <c r="AT477" s="786"/>
      <c r="AU477" s="787"/>
      <c r="AV477" s="787"/>
      <c r="AW477" s="787"/>
      <c r="AX477" s="785"/>
      <c r="AY477" s="1214"/>
    </row>
    <row r="478" spans="1:51" ht="19.350000000000001" customHeight="1" x14ac:dyDescent="0.25">
      <c r="A478" s="1195"/>
      <c r="B478" s="833"/>
      <c r="C478" s="809" t="s">
        <v>514</v>
      </c>
      <c r="D478" s="141" t="s">
        <v>41</v>
      </c>
      <c r="E478" s="142"/>
      <c r="F478" s="143"/>
      <c r="G478" s="445"/>
      <c r="H478" s="445">
        <v>85</v>
      </c>
      <c r="I478" s="445">
        <v>85</v>
      </c>
      <c r="J478" s="445">
        <v>85</v>
      </c>
      <c r="K478" s="445">
        <v>85</v>
      </c>
      <c r="L478" s="445">
        <v>85</v>
      </c>
      <c r="M478" s="445">
        <v>85</v>
      </c>
      <c r="N478" s="448">
        <v>85</v>
      </c>
      <c r="O478" s="445">
        <v>85</v>
      </c>
      <c r="P478" s="445">
        <v>85</v>
      </c>
      <c r="Q478" s="445">
        <v>85</v>
      </c>
      <c r="R478" s="447">
        <v>85</v>
      </c>
      <c r="S478" s="446"/>
      <c r="T478" s="446"/>
      <c r="U478" s="446">
        <v>85</v>
      </c>
      <c r="V478" s="446">
        <v>85</v>
      </c>
      <c r="W478" s="446">
        <v>85</v>
      </c>
      <c r="X478" s="446">
        <v>85</v>
      </c>
      <c r="Y478" s="446">
        <v>85</v>
      </c>
      <c r="Z478" s="446">
        <v>85</v>
      </c>
      <c r="AA478" s="448">
        <v>85</v>
      </c>
      <c r="AB478" s="445">
        <v>85</v>
      </c>
      <c r="AC478" s="445">
        <v>85</v>
      </c>
      <c r="AD478" s="445">
        <v>85</v>
      </c>
      <c r="AE478" s="447">
        <v>85</v>
      </c>
      <c r="AF478" s="1218" t="s">
        <v>736</v>
      </c>
      <c r="AG478" s="1194" t="s">
        <v>516</v>
      </c>
      <c r="AH478" s="788" t="s">
        <v>517</v>
      </c>
      <c r="AI478" s="788" t="s">
        <v>518</v>
      </c>
      <c r="AJ478" s="792" t="s">
        <v>839</v>
      </c>
      <c r="AK478" s="788" t="s">
        <v>315</v>
      </c>
      <c r="AL478" s="788" t="s">
        <v>70</v>
      </c>
      <c r="AM478" s="788" t="s">
        <v>480</v>
      </c>
      <c r="AN478" s="791">
        <v>107788</v>
      </c>
      <c r="AO478" s="805">
        <v>53687</v>
      </c>
      <c r="AP478" s="805">
        <v>54100</v>
      </c>
      <c r="AQ478" s="786" t="s">
        <v>317</v>
      </c>
      <c r="AR478" s="786" t="s">
        <v>317</v>
      </c>
      <c r="AS478" s="786" t="s">
        <v>317</v>
      </c>
      <c r="AT478" s="786" t="s">
        <v>317</v>
      </c>
      <c r="AU478" s="787" t="s">
        <v>317</v>
      </c>
      <c r="AV478" s="787" t="s">
        <v>317</v>
      </c>
      <c r="AW478" s="787" t="s">
        <v>317</v>
      </c>
      <c r="AX478" s="783">
        <v>107788</v>
      </c>
      <c r="AY478" s="1214"/>
    </row>
    <row r="479" spans="1:51" ht="18.75" customHeight="1" x14ac:dyDescent="0.25">
      <c r="A479" s="1195"/>
      <c r="B479" s="833"/>
      <c r="C479" s="809"/>
      <c r="D479" s="132" t="s">
        <v>3</v>
      </c>
      <c r="E479" s="142"/>
      <c r="F479" s="143"/>
      <c r="G479" s="445"/>
      <c r="H479" s="445">
        <v>832635.71428571432</v>
      </c>
      <c r="I479" s="445">
        <v>832635.71428571432</v>
      </c>
      <c r="J479" s="445">
        <v>660571.42857142852</v>
      </c>
      <c r="K479" s="445">
        <f>+K478*$K$299/$K$298</f>
        <v>660571.42857142852</v>
      </c>
      <c r="L479" s="445">
        <f>+L478*$L$299/$L$298</f>
        <v>726628.57142857148</v>
      </c>
      <c r="M479" s="445">
        <f>+M478*$M$299/$M$298</f>
        <v>660571.42857142852</v>
      </c>
      <c r="N479" s="445">
        <f>+N478*$N$299/$N$298</f>
        <v>726628.57142857148</v>
      </c>
      <c r="O479" s="445">
        <f>+O478*$O$299/$O$298</f>
        <v>726628.57142857148</v>
      </c>
      <c r="P479" s="445">
        <f>+P478*$P$299/$P$298</f>
        <v>726628.57142857148</v>
      </c>
      <c r="Q479" s="445">
        <f>+Q478*$Q$299/$Q$298</f>
        <v>726628.57142857148</v>
      </c>
      <c r="R479" s="445">
        <f>+R478*$R$299/$R$298</f>
        <v>718418.07909604523</v>
      </c>
      <c r="S479" s="446"/>
      <c r="T479" s="446"/>
      <c r="U479" s="445">
        <v>4226691.0420475323</v>
      </c>
      <c r="V479" s="445">
        <v>2742586.0023724791</v>
      </c>
      <c r="W479" s="445">
        <v>2022747.1566054244</v>
      </c>
      <c r="X479" s="445">
        <f>+X478*$X$299/$X$298</f>
        <v>1580314.4224196856</v>
      </c>
      <c r="Y479" s="445">
        <f>+Y478*$Y$299/$Y$298</f>
        <v>1313636.3636363635</v>
      </c>
      <c r="Z479" s="445">
        <f>+Z478*$Z$299/$Z$298</f>
        <v>1126156.8436434485</v>
      </c>
      <c r="AA479" s="445">
        <f>+AA478*$AA$299/$AA$298</f>
        <v>978003.3840947547</v>
      </c>
      <c r="AB479" s="445">
        <f>+AB478*$AB$299/$AB$298</f>
        <v>869499.81195938319</v>
      </c>
      <c r="AC479" s="445">
        <f>+AC478*$AC$299/$AC$298</f>
        <v>783463.23280243983</v>
      </c>
      <c r="AD479" s="445">
        <f>+AD478*$AD$299/$AD$298</f>
        <v>713140.03701418883</v>
      </c>
      <c r="AE479" s="445">
        <f>+AE478*$AE$299/$AE$298</f>
        <v>718418.07909604523</v>
      </c>
      <c r="AF479" s="1218"/>
      <c r="AG479" s="1195"/>
      <c r="AH479" s="789"/>
      <c r="AI479" s="789"/>
      <c r="AJ479" s="793"/>
      <c r="AK479" s="789"/>
      <c r="AL479" s="789"/>
      <c r="AM479" s="789"/>
      <c r="AN479" s="791"/>
      <c r="AO479" s="805"/>
      <c r="AP479" s="805"/>
      <c r="AQ479" s="786"/>
      <c r="AR479" s="786"/>
      <c r="AS479" s="786"/>
      <c r="AT479" s="786"/>
      <c r="AU479" s="787"/>
      <c r="AV479" s="787"/>
      <c r="AW479" s="787"/>
      <c r="AX479" s="784"/>
      <c r="AY479" s="1214"/>
    </row>
    <row r="480" spans="1:51" ht="27.75" customHeight="1" x14ac:dyDescent="0.25">
      <c r="A480" s="1195"/>
      <c r="B480" s="833"/>
      <c r="C480" s="809"/>
      <c r="D480" s="136" t="s">
        <v>42</v>
      </c>
      <c r="E480" s="142"/>
      <c r="F480" s="143"/>
      <c r="G480" s="445"/>
      <c r="H480" s="445"/>
      <c r="I480" s="445"/>
      <c r="J480" s="445"/>
      <c r="K480" s="445"/>
      <c r="L480" s="445"/>
      <c r="M480" s="445"/>
      <c r="N480" s="448"/>
      <c r="O480" s="445"/>
      <c r="P480" s="445"/>
      <c r="Q480" s="445"/>
      <c r="R480" s="447"/>
      <c r="S480" s="446"/>
      <c r="T480" s="446"/>
      <c r="U480" s="446"/>
      <c r="V480" s="446"/>
      <c r="W480" s="446"/>
      <c r="X480" s="446"/>
      <c r="Y480" s="446"/>
      <c r="Z480" s="446"/>
      <c r="AA480" s="448"/>
      <c r="AB480" s="445"/>
      <c r="AC480" s="445"/>
      <c r="AD480" s="445"/>
      <c r="AE480" s="447"/>
      <c r="AF480" s="1218"/>
      <c r="AG480" s="1195"/>
      <c r="AH480" s="789"/>
      <c r="AI480" s="789"/>
      <c r="AJ480" s="793"/>
      <c r="AK480" s="789"/>
      <c r="AL480" s="789"/>
      <c r="AM480" s="789"/>
      <c r="AN480" s="791"/>
      <c r="AO480" s="805"/>
      <c r="AP480" s="805"/>
      <c r="AQ480" s="786"/>
      <c r="AR480" s="786"/>
      <c r="AS480" s="786"/>
      <c r="AT480" s="786"/>
      <c r="AU480" s="787"/>
      <c r="AV480" s="787"/>
      <c r="AW480" s="787"/>
      <c r="AX480" s="784"/>
      <c r="AY480" s="1214"/>
    </row>
    <row r="481" spans="1:51" ht="27.75" customHeight="1" x14ac:dyDescent="0.25">
      <c r="A481" s="1195"/>
      <c r="B481" s="833"/>
      <c r="C481" s="809"/>
      <c r="D481" s="132" t="s">
        <v>4</v>
      </c>
      <c r="E481" s="142"/>
      <c r="F481" s="143"/>
      <c r="G481" s="445"/>
      <c r="H481" s="445"/>
      <c r="I481" s="445"/>
      <c r="J481" s="445"/>
      <c r="K481" s="445"/>
      <c r="L481" s="445"/>
      <c r="M481" s="445"/>
      <c r="N481" s="448"/>
      <c r="O481" s="445"/>
      <c r="P481" s="445"/>
      <c r="Q481" s="445"/>
      <c r="R481" s="447"/>
      <c r="S481" s="446"/>
      <c r="T481" s="446"/>
      <c r="U481" s="446"/>
      <c r="V481" s="446"/>
      <c r="W481" s="446"/>
      <c r="X481" s="446"/>
      <c r="Y481" s="446"/>
      <c r="Z481" s="446"/>
      <c r="AA481" s="448"/>
      <c r="AB481" s="445"/>
      <c r="AC481" s="445"/>
      <c r="AD481" s="445"/>
      <c r="AE481" s="447"/>
      <c r="AF481" s="1218"/>
      <c r="AG481" s="1195"/>
      <c r="AH481" s="789"/>
      <c r="AI481" s="789"/>
      <c r="AJ481" s="793"/>
      <c r="AK481" s="789"/>
      <c r="AL481" s="789"/>
      <c r="AM481" s="789"/>
      <c r="AN481" s="791"/>
      <c r="AO481" s="805"/>
      <c r="AP481" s="805"/>
      <c r="AQ481" s="786"/>
      <c r="AR481" s="786"/>
      <c r="AS481" s="786"/>
      <c r="AT481" s="786"/>
      <c r="AU481" s="787"/>
      <c r="AV481" s="787"/>
      <c r="AW481" s="787"/>
      <c r="AX481" s="784"/>
      <c r="AY481" s="1214"/>
    </row>
    <row r="482" spans="1:51" ht="27.75" customHeight="1" x14ac:dyDescent="0.25">
      <c r="A482" s="1195"/>
      <c r="B482" s="833"/>
      <c r="C482" s="809"/>
      <c r="D482" s="136" t="s">
        <v>43</v>
      </c>
      <c r="E482" s="142"/>
      <c r="F482" s="143"/>
      <c r="G482" s="445"/>
      <c r="H482" s="445">
        <v>85</v>
      </c>
      <c r="I482" s="445">
        <v>85</v>
      </c>
      <c r="J482" s="445">
        <v>85</v>
      </c>
      <c r="K482" s="445">
        <v>85</v>
      </c>
      <c r="L482" s="445">
        <v>85</v>
      </c>
      <c r="M482" s="445">
        <v>85</v>
      </c>
      <c r="N482" s="448">
        <v>85</v>
      </c>
      <c r="O482" s="445">
        <v>85</v>
      </c>
      <c r="P482" s="445">
        <v>85</v>
      </c>
      <c r="Q482" s="445">
        <v>85</v>
      </c>
      <c r="R482" s="447">
        <v>85</v>
      </c>
      <c r="S482" s="446"/>
      <c r="T482" s="446"/>
      <c r="U482" s="446">
        <v>85</v>
      </c>
      <c r="V482" s="445">
        <v>85</v>
      </c>
      <c r="W482" s="445">
        <v>85</v>
      </c>
      <c r="X482" s="446">
        <v>85</v>
      </c>
      <c r="Y482" s="446">
        <v>85</v>
      </c>
      <c r="Z482" s="446">
        <v>85</v>
      </c>
      <c r="AA482" s="448">
        <v>85</v>
      </c>
      <c r="AB482" s="445">
        <v>85</v>
      </c>
      <c r="AC482" s="445">
        <v>85</v>
      </c>
      <c r="AD482" s="445">
        <v>85</v>
      </c>
      <c r="AE482" s="447">
        <v>85</v>
      </c>
      <c r="AF482" s="1218"/>
      <c r="AG482" s="1195"/>
      <c r="AH482" s="789"/>
      <c r="AI482" s="789"/>
      <c r="AJ482" s="793"/>
      <c r="AK482" s="789"/>
      <c r="AL482" s="789"/>
      <c r="AM482" s="789"/>
      <c r="AN482" s="791"/>
      <c r="AO482" s="805"/>
      <c r="AP482" s="805"/>
      <c r="AQ482" s="786"/>
      <c r="AR482" s="786"/>
      <c r="AS482" s="786"/>
      <c r="AT482" s="786"/>
      <c r="AU482" s="787"/>
      <c r="AV482" s="787"/>
      <c r="AW482" s="787"/>
      <c r="AX482" s="784"/>
      <c r="AY482" s="1214"/>
    </row>
    <row r="483" spans="1:51" ht="27.75" customHeight="1" thickBot="1" x14ac:dyDescent="0.3">
      <c r="A483" s="1195"/>
      <c r="B483" s="833"/>
      <c r="C483" s="809"/>
      <c r="D483" s="140" t="s">
        <v>45</v>
      </c>
      <c r="E483" s="142"/>
      <c r="F483" s="143"/>
      <c r="G483" s="445"/>
      <c r="H483" s="445">
        <v>832635.71428571432</v>
      </c>
      <c r="I483" s="445">
        <v>832635.71428571432</v>
      </c>
      <c r="J483" s="445">
        <v>660571.42857142852</v>
      </c>
      <c r="K483" s="445">
        <f>+K482*$K$299/$K$298</f>
        <v>660571.42857142852</v>
      </c>
      <c r="L483" s="445">
        <f>+L482*$L$299/$L$298</f>
        <v>726628.57142857148</v>
      </c>
      <c r="M483" s="445">
        <f>+M482*$M$299/$M$298</f>
        <v>660571.42857142852</v>
      </c>
      <c r="N483" s="445">
        <f>+N482*$N$299/$N$298</f>
        <v>726628.57142857148</v>
      </c>
      <c r="O483" s="445">
        <f>+O482*$O$299/$O$298</f>
        <v>726628.57142857148</v>
      </c>
      <c r="P483" s="445">
        <f>+P482*$P$299/$P$298</f>
        <v>726628.57142857148</v>
      </c>
      <c r="Q483" s="445">
        <f>+Q482*$Q$299/$Q$298</f>
        <v>726628.57142857148</v>
      </c>
      <c r="R483" s="445">
        <f>+R482*$R$299/$R$298</f>
        <v>718418.07909604523</v>
      </c>
      <c r="S483" s="446"/>
      <c r="T483" s="446"/>
      <c r="U483" s="445">
        <v>4226691.0420475323</v>
      </c>
      <c r="V483" s="445">
        <v>2742586.0023724791</v>
      </c>
      <c r="W483" s="445">
        <v>2022747.1566054244</v>
      </c>
      <c r="X483" s="445">
        <f>+X482*$X$299/$X$298</f>
        <v>1580314.4224196856</v>
      </c>
      <c r="Y483" s="445">
        <f>+Y482*$Y$299/$Y$298</f>
        <v>1313636.3636363635</v>
      </c>
      <c r="Z483" s="445">
        <f>+Z482*$Z$299/$Z$298</f>
        <v>1126156.8436434485</v>
      </c>
      <c r="AA483" s="445">
        <f>+AA482*$AA$299/$AA$298</f>
        <v>978003.3840947547</v>
      </c>
      <c r="AB483" s="445">
        <f>+AB482*$AB$299/$AB$298</f>
        <v>869499.81195938319</v>
      </c>
      <c r="AC483" s="445">
        <f>+AC482*$AC$299/$AC$298</f>
        <v>783463.23280243983</v>
      </c>
      <c r="AD483" s="445">
        <f>+AD482*$AD$299/$AD$298</f>
        <v>713140.03701418883</v>
      </c>
      <c r="AE483" s="445">
        <f>+AE482*$AE$299/$AE$298</f>
        <v>718418.07909604523</v>
      </c>
      <c r="AF483" s="1218"/>
      <c r="AG483" s="1196"/>
      <c r="AH483" s="790"/>
      <c r="AI483" s="790"/>
      <c r="AJ483" s="794"/>
      <c r="AK483" s="790"/>
      <c r="AL483" s="790"/>
      <c r="AM483" s="790"/>
      <c r="AN483" s="791"/>
      <c r="AO483" s="805"/>
      <c r="AP483" s="805"/>
      <c r="AQ483" s="786"/>
      <c r="AR483" s="786"/>
      <c r="AS483" s="786"/>
      <c r="AT483" s="786"/>
      <c r="AU483" s="787"/>
      <c r="AV483" s="787"/>
      <c r="AW483" s="787"/>
      <c r="AX483" s="785"/>
      <c r="AY483" s="1214"/>
    </row>
    <row r="484" spans="1:51" ht="19.350000000000001" hidden="1" customHeight="1" x14ac:dyDescent="0.25">
      <c r="A484" s="1195"/>
      <c r="B484" s="833"/>
      <c r="C484" s="809" t="s">
        <v>324</v>
      </c>
      <c r="D484" s="141" t="s">
        <v>41</v>
      </c>
      <c r="E484" s="142"/>
      <c r="F484" s="143"/>
      <c r="G484" s="445"/>
      <c r="H484" s="445"/>
      <c r="I484" s="445"/>
      <c r="J484" s="445"/>
      <c r="K484" s="445"/>
      <c r="L484" s="445"/>
      <c r="M484" s="445"/>
      <c r="N484" s="448"/>
      <c r="O484" s="445"/>
      <c r="P484" s="445"/>
      <c r="Q484" s="445"/>
      <c r="R484" s="447"/>
      <c r="S484" s="446"/>
      <c r="T484" s="446"/>
      <c r="U484" s="446"/>
      <c r="V484" s="446"/>
      <c r="W484" s="446"/>
      <c r="X484" s="446"/>
      <c r="Y484" s="446"/>
      <c r="Z484" s="446"/>
      <c r="AA484" s="448"/>
      <c r="AB484" s="445"/>
      <c r="AC484" s="445"/>
      <c r="AD484" s="445"/>
      <c r="AE484" s="447"/>
      <c r="AF484" s="1223"/>
      <c r="AG484" s="1194" t="s">
        <v>324</v>
      </c>
      <c r="AH484" s="788" t="s">
        <v>350</v>
      </c>
      <c r="AI484" s="788" t="s">
        <v>350</v>
      </c>
      <c r="AJ484" s="792" t="s">
        <v>839</v>
      </c>
      <c r="AK484" s="788" t="s">
        <v>315</v>
      </c>
      <c r="AL484" s="788" t="s">
        <v>70</v>
      </c>
      <c r="AM484" s="788" t="s">
        <v>480</v>
      </c>
      <c r="AN484" s="791">
        <v>22438</v>
      </c>
      <c r="AO484" s="805">
        <v>181364</v>
      </c>
      <c r="AP484" s="805">
        <v>191238</v>
      </c>
      <c r="AQ484" s="786" t="s">
        <v>317</v>
      </c>
      <c r="AR484" s="786" t="s">
        <v>317</v>
      </c>
      <c r="AS484" s="786" t="s">
        <v>317</v>
      </c>
      <c r="AT484" s="786" t="s">
        <v>317</v>
      </c>
      <c r="AU484" s="787" t="s">
        <v>317</v>
      </c>
      <c r="AV484" s="787" t="s">
        <v>317</v>
      </c>
      <c r="AW484" s="787" t="s">
        <v>317</v>
      </c>
      <c r="AX484" s="783">
        <v>22438</v>
      </c>
      <c r="AY484" s="1214"/>
    </row>
    <row r="485" spans="1:51" ht="18.75" hidden="1" customHeight="1" x14ac:dyDescent="0.25">
      <c r="A485" s="1195"/>
      <c r="B485" s="833"/>
      <c r="C485" s="809"/>
      <c r="D485" s="132" t="s">
        <v>3</v>
      </c>
      <c r="E485" s="142"/>
      <c r="F485" s="143"/>
      <c r="G485" s="445"/>
      <c r="H485" s="445"/>
      <c r="I485" s="445"/>
      <c r="J485" s="445"/>
      <c r="K485" s="445"/>
      <c r="L485" s="445"/>
      <c r="M485" s="445"/>
      <c r="N485" s="448"/>
      <c r="O485" s="445"/>
      <c r="P485" s="445"/>
      <c r="Q485" s="445"/>
      <c r="R485" s="447"/>
      <c r="S485" s="446"/>
      <c r="T485" s="446"/>
      <c r="U485" s="446"/>
      <c r="V485" s="446"/>
      <c r="W485" s="446"/>
      <c r="X485" s="446"/>
      <c r="Y485" s="446"/>
      <c r="Z485" s="446"/>
      <c r="AA485" s="448"/>
      <c r="AB485" s="445"/>
      <c r="AC485" s="445"/>
      <c r="AD485" s="445"/>
      <c r="AE485" s="447"/>
      <c r="AF485" s="1223"/>
      <c r="AG485" s="1195"/>
      <c r="AH485" s="789"/>
      <c r="AI485" s="789"/>
      <c r="AJ485" s="793"/>
      <c r="AK485" s="789"/>
      <c r="AL485" s="789"/>
      <c r="AM485" s="789"/>
      <c r="AN485" s="791"/>
      <c r="AO485" s="805"/>
      <c r="AP485" s="805"/>
      <c r="AQ485" s="786"/>
      <c r="AR485" s="786"/>
      <c r="AS485" s="786"/>
      <c r="AT485" s="786"/>
      <c r="AU485" s="787"/>
      <c r="AV485" s="787"/>
      <c r="AW485" s="787"/>
      <c r="AX485" s="784"/>
      <c r="AY485" s="1214"/>
    </row>
    <row r="486" spans="1:51" ht="27.75" hidden="1" customHeight="1" x14ac:dyDescent="0.25">
      <c r="A486" s="1195"/>
      <c r="B486" s="833"/>
      <c r="C486" s="809"/>
      <c r="D486" s="136" t="s">
        <v>42</v>
      </c>
      <c r="E486" s="142"/>
      <c r="F486" s="143"/>
      <c r="G486" s="445"/>
      <c r="H486" s="445"/>
      <c r="I486" s="445"/>
      <c r="J486" s="445"/>
      <c r="K486" s="445"/>
      <c r="L486" s="445"/>
      <c r="M486" s="445"/>
      <c r="N486" s="448"/>
      <c r="O486" s="445"/>
      <c r="P486" s="445"/>
      <c r="Q486" s="445"/>
      <c r="R486" s="447"/>
      <c r="S486" s="446"/>
      <c r="T486" s="446"/>
      <c r="U486" s="446"/>
      <c r="V486" s="446"/>
      <c r="W486" s="446"/>
      <c r="X486" s="446"/>
      <c r="Y486" s="446"/>
      <c r="Z486" s="446"/>
      <c r="AA486" s="448"/>
      <c r="AB486" s="445"/>
      <c r="AC486" s="445"/>
      <c r="AD486" s="445"/>
      <c r="AE486" s="447"/>
      <c r="AF486" s="1223"/>
      <c r="AG486" s="1195"/>
      <c r="AH486" s="789"/>
      <c r="AI486" s="789"/>
      <c r="AJ486" s="793"/>
      <c r="AK486" s="789"/>
      <c r="AL486" s="789"/>
      <c r="AM486" s="789"/>
      <c r="AN486" s="791"/>
      <c r="AO486" s="805"/>
      <c r="AP486" s="805"/>
      <c r="AQ486" s="786"/>
      <c r="AR486" s="786"/>
      <c r="AS486" s="786"/>
      <c r="AT486" s="786"/>
      <c r="AU486" s="787"/>
      <c r="AV486" s="787"/>
      <c r="AW486" s="787"/>
      <c r="AX486" s="784"/>
      <c r="AY486" s="1214"/>
    </row>
    <row r="487" spans="1:51" ht="27.75" hidden="1" customHeight="1" x14ac:dyDescent="0.25">
      <c r="A487" s="1195"/>
      <c r="B487" s="833"/>
      <c r="C487" s="809"/>
      <c r="D487" s="132" t="s">
        <v>4</v>
      </c>
      <c r="E487" s="142"/>
      <c r="F487" s="143"/>
      <c r="G487" s="445"/>
      <c r="H487" s="445"/>
      <c r="I487" s="445"/>
      <c r="J487" s="445"/>
      <c r="K487" s="445"/>
      <c r="L487" s="445"/>
      <c r="M487" s="445"/>
      <c r="N487" s="448"/>
      <c r="O487" s="445"/>
      <c r="P487" s="445"/>
      <c r="Q487" s="445"/>
      <c r="R487" s="447"/>
      <c r="S487" s="446"/>
      <c r="T487" s="446"/>
      <c r="U487" s="446"/>
      <c r="V487" s="446"/>
      <c r="W487" s="446"/>
      <c r="X487" s="446"/>
      <c r="Y487" s="446"/>
      <c r="Z487" s="446"/>
      <c r="AA487" s="448"/>
      <c r="AB487" s="445"/>
      <c r="AC487" s="445"/>
      <c r="AD487" s="445"/>
      <c r="AE487" s="447"/>
      <c r="AF487" s="1223"/>
      <c r="AG487" s="1195"/>
      <c r="AH487" s="789"/>
      <c r="AI487" s="789"/>
      <c r="AJ487" s="793"/>
      <c r="AK487" s="789"/>
      <c r="AL487" s="789"/>
      <c r="AM487" s="789"/>
      <c r="AN487" s="791"/>
      <c r="AO487" s="805"/>
      <c r="AP487" s="805"/>
      <c r="AQ487" s="786"/>
      <c r="AR487" s="786"/>
      <c r="AS487" s="786"/>
      <c r="AT487" s="786"/>
      <c r="AU487" s="787"/>
      <c r="AV487" s="787"/>
      <c r="AW487" s="787"/>
      <c r="AX487" s="784"/>
      <c r="AY487" s="1214"/>
    </row>
    <row r="488" spans="1:51" ht="27.75" hidden="1" customHeight="1" x14ac:dyDescent="0.25">
      <c r="A488" s="1195"/>
      <c r="B488" s="833"/>
      <c r="C488" s="809"/>
      <c r="D488" s="136" t="s">
        <v>43</v>
      </c>
      <c r="E488" s="142"/>
      <c r="F488" s="143"/>
      <c r="G488" s="445"/>
      <c r="H488" s="445"/>
      <c r="I488" s="445"/>
      <c r="J488" s="445"/>
      <c r="K488" s="445"/>
      <c r="L488" s="445"/>
      <c r="M488" s="445"/>
      <c r="N488" s="448"/>
      <c r="O488" s="445"/>
      <c r="P488" s="445"/>
      <c r="Q488" s="445"/>
      <c r="R488" s="447"/>
      <c r="S488" s="446"/>
      <c r="T488" s="446"/>
      <c r="U488" s="446"/>
      <c r="V488" s="446"/>
      <c r="W488" s="446"/>
      <c r="X488" s="446"/>
      <c r="Y488" s="446"/>
      <c r="Z488" s="446"/>
      <c r="AA488" s="448"/>
      <c r="AB488" s="445"/>
      <c r="AC488" s="445"/>
      <c r="AD488" s="445"/>
      <c r="AE488" s="447"/>
      <c r="AF488" s="1223"/>
      <c r="AG488" s="1195"/>
      <c r="AH488" s="789"/>
      <c r="AI488" s="789"/>
      <c r="AJ488" s="793"/>
      <c r="AK488" s="789"/>
      <c r="AL488" s="789"/>
      <c r="AM488" s="789"/>
      <c r="AN488" s="791"/>
      <c r="AO488" s="805"/>
      <c r="AP488" s="805"/>
      <c r="AQ488" s="786"/>
      <c r="AR488" s="786"/>
      <c r="AS488" s="786"/>
      <c r="AT488" s="786"/>
      <c r="AU488" s="787"/>
      <c r="AV488" s="787"/>
      <c r="AW488" s="787"/>
      <c r="AX488" s="784"/>
      <c r="AY488" s="1214"/>
    </row>
    <row r="489" spans="1:51" ht="27.75" hidden="1" customHeight="1" thickBot="1" x14ac:dyDescent="0.3">
      <c r="A489" s="1195"/>
      <c r="B489" s="833"/>
      <c r="C489" s="809"/>
      <c r="D489" s="140" t="s">
        <v>45</v>
      </c>
      <c r="E489" s="142"/>
      <c r="F489" s="143"/>
      <c r="G489" s="445"/>
      <c r="H489" s="445"/>
      <c r="I489" s="445"/>
      <c r="J489" s="445"/>
      <c r="K489" s="445"/>
      <c r="L489" s="445"/>
      <c r="M489" s="445"/>
      <c r="N489" s="448"/>
      <c r="O489" s="445"/>
      <c r="P489" s="445"/>
      <c r="Q489" s="445"/>
      <c r="R489" s="447"/>
      <c r="S489" s="446"/>
      <c r="T489" s="446"/>
      <c r="U489" s="446"/>
      <c r="V489" s="446"/>
      <c r="W489" s="446"/>
      <c r="X489" s="446"/>
      <c r="Y489" s="446"/>
      <c r="Z489" s="446"/>
      <c r="AA489" s="448"/>
      <c r="AB489" s="445"/>
      <c r="AC489" s="445"/>
      <c r="AD489" s="445"/>
      <c r="AE489" s="447"/>
      <c r="AF489" s="1223"/>
      <c r="AG489" s="1196"/>
      <c r="AH489" s="790"/>
      <c r="AI489" s="790"/>
      <c r="AJ489" s="794"/>
      <c r="AK489" s="790"/>
      <c r="AL489" s="790"/>
      <c r="AM489" s="790"/>
      <c r="AN489" s="791"/>
      <c r="AO489" s="805"/>
      <c r="AP489" s="805"/>
      <c r="AQ489" s="786"/>
      <c r="AR489" s="786"/>
      <c r="AS489" s="786"/>
      <c r="AT489" s="786"/>
      <c r="AU489" s="787"/>
      <c r="AV489" s="787"/>
      <c r="AW489" s="787"/>
      <c r="AX489" s="785"/>
      <c r="AY489" s="1214"/>
    </row>
    <row r="490" spans="1:51" ht="19.350000000000001" hidden="1" customHeight="1" x14ac:dyDescent="0.25">
      <c r="A490" s="1195"/>
      <c r="B490" s="833"/>
      <c r="C490" s="809" t="s">
        <v>352</v>
      </c>
      <c r="D490" s="141" t="s">
        <v>41</v>
      </c>
      <c r="E490" s="142"/>
      <c r="F490" s="143"/>
      <c r="G490" s="445"/>
      <c r="H490" s="445"/>
      <c r="I490" s="445"/>
      <c r="J490" s="445"/>
      <c r="K490" s="445"/>
      <c r="L490" s="445"/>
      <c r="M490" s="445"/>
      <c r="N490" s="448"/>
      <c r="O490" s="445"/>
      <c r="P490" s="445"/>
      <c r="Q490" s="445"/>
      <c r="R490" s="447"/>
      <c r="S490" s="446"/>
      <c r="T490" s="446"/>
      <c r="U490" s="446"/>
      <c r="V490" s="446"/>
      <c r="W490" s="446"/>
      <c r="X490" s="446"/>
      <c r="Y490" s="446"/>
      <c r="Z490" s="446"/>
      <c r="AA490" s="448"/>
      <c r="AB490" s="445"/>
      <c r="AC490" s="445"/>
      <c r="AD490" s="445"/>
      <c r="AE490" s="447"/>
      <c r="AF490" s="1223"/>
      <c r="AG490" s="1194" t="s">
        <v>352</v>
      </c>
      <c r="AH490" s="788" t="s">
        <v>350</v>
      </c>
      <c r="AI490" s="788" t="s">
        <v>350</v>
      </c>
      <c r="AJ490" s="792" t="s">
        <v>839</v>
      </c>
      <c r="AK490" s="788" t="s">
        <v>315</v>
      </c>
      <c r="AL490" s="788" t="s">
        <v>70</v>
      </c>
      <c r="AM490" s="788" t="s">
        <v>480</v>
      </c>
      <c r="AN490" s="791">
        <v>186383</v>
      </c>
      <c r="AO490" s="805">
        <v>86612</v>
      </c>
      <c r="AP490" s="805">
        <v>92493</v>
      </c>
      <c r="AQ490" s="786" t="s">
        <v>317</v>
      </c>
      <c r="AR490" s="786" t="s">
        <v>317</v>
      </c>
      <c r="AS490" s="786" t="s">
        <v>317</v>
      </c>
      <c r="AT490" s="786" t="s">
        <v>317</v>
      </c>
      <c r="AU490" s="787" t="s">
        <v>317</v>
      </c>
      <c r="AV490" s="787" t="s">
        <v>317</v>
      </c>
      <c r="AW490" s="787" t="s">
        <v>317</v>
      </c>
      <c r="AX490" s="783">
        <v>186383</v>
      </c>
      <c r="AY490" s="1214"/>
    </row>
    <row r="491" spans="1:51" ht="18.75" hidden="1" customHeight="1" x14ac:dyDescent="0.25">
      <c r="A491" s="1195"/>
      <c r="B491" s="833"/>
      <c r="C491" s="809"/>
      <c r="D491" s="132" t="s">
        <v>3</v>
      </c>
      <c r="E491" s="142"/>
      <c r="F491" s="143"/>
      <c r="G491" s="445"/>
      <c r="H491" s="445"/>
      <c r="I491" s="445"/>
      <c r="J491" s="445"/>
      <c r="K491" s="445"/>
      <c r="L491" s="445"/>
      <c r="M491" s="445"/>
      <c r="N491" s="448"/>
      <c r="O491" s="445"/>
      <c r="P491" s="445"/>
      <c r="Q491" s="445"/>
      <c r="R491" s="447"/>
      <c r="S491" s="446"/>
      <c r="T491" s="446"/>
      <c r="U491" s="446"/>
      <c r="V491" s="446"/>
      <c r="W491" s="446"/>
      <c r="X491" s="446"/>
      <c r="Y491" s="446"/>
      <c r="Z491" s="446"/>
      <c r="AA491" s="448"/>
      <c r="AB491" s="445"/>
      <c r="AC491" s="445"/>
      <c r="AD491" s="445"/>
      <c r="AE491" s="447"/>
      <c r="AF491" s="1223"/>
      <c r="AG491" s="1195"/>
      <c r="AH491" s="789"/>
      <c r="AI491" s="789"/>
      <c r="AJ491" s="793"/>
      <c r="AK491" s="789"/>
      <c r="AL491" s="789"/>
      <c r="AM491" s="789"/>
      <c r="AN491" s="791"/>
      <c r="AO491" s="805"/>
      <c r="AP491" s="805"/>
      <c r="AQ491" s="786"/>
      <c r="AR491" s="786"/>
      <c r="AS491" s="786"/>
      <c r="AT491" s="786"/>
      <c r="AU491" s="787"/>
      <c r="AV491" s="787"/>
      <c r="AW491" s="787"/>
      <c r="AX491" s="784"/>
      <c r="AY491" s="1214"/>
    </row>
    <row r="492" spans="1:51" ht="27.75" hidden="1" customHeight="1" x14ac:dyDescent="0.25">
      <c r="A492" s="1195"/>
      <c r="B492" s="833"/>
      <c r="C492" s="809"/>
      <c r="D492" s="136" t="s">
        <v>42</v>
      </c>
      <c r="E492" s="142"/>
      <c r="F492" s="143"/>
      <c r="G492" s="445"/>
      <c r="H492" s="445"/>
      <c r="I492" s="445"/>
      <c r="J492" s="445"/>
      <c r="K492" s="445"/>
      <c r="L492" s="445"/>
      <c r="M492" s="445"/>
      <c r="N492" s="448"/>
      <c r="O492" s="445"/>
      <c r="P492" s="445"/>
      <c r="Q492" s="445"/>
      <c r="R492" s="447"/>
      <c r="S492" s="446"/>
      <c r="T492" s="446"/>
      <c r="U492" s="446"/>
      <c r="V492" s="446"/>
      <c r="W492" s="446"/>
      <c r="X492" s="446"/>
      <c r="Y492" s="446"/>
      <c r="Z492" s="446"/>
      <c r="AA492" s="448"/>
      <c r="AB492" s="445"/>
      <c r="AC492" s="445"/>
      <c r="AD492" s="445"/>
      <c r="AE492" s="447"/>
      <c r="AF492" s="1223"/>
      <c r="AG492" s="1195"/>
      <c r="AH492" s="789"/>
      <c r="AI492" s="789"/>
      <c r="AJ492" s="793"/>
      <c r="AK492" s="789"/>
      <c r="AL492" s="789"/>
      <c r="AM492" s="789"/>
      <c r="AN492" s="791"/>
      <c r="AO492" s="805"/>
      <c r="AP492" s="805"/>
      <c r="AQ492" s="786"/>
      <c r="AR492" s="786"/>
      <c r="AS492" s="786"/>
      <c r="AT492" s="786"/>
      <c r="AU492" s="787"/>
      <c r="AV492" s="787"/>
      <c r="AW492" s="787"/>
      <c r="AX492" s="784"/>
      <c r="AY492" s="1214"/>
    </row>
    <row r="493" spans="1:51" ht="27.75" hidden="1" customHeight="1" x14ac:dyDescent="0.25">
      <c r="A493" s="1195"/>
      <c r="B493" s="833"/>
      <c r="C493" s="809"/>
      <c r="D493" s="132" t="s">
        <v>4</v>
      </c>
      <c r="E493" s="142"/>
      <c r="F493" s="143"/>
      <c r="G493" s="445"/>
      <c r="H493" s="445"/>
      <c r="I493" s="445"/>
      <c r="J493" s="445"/>
      <c r="K493" s="445"/>
      <c r="L493" s="445"/>
      <c r="M493" s="445"/>
      <c r="N493" s="448"/>
      <c r="O493" s="445"/>
      <c r="P493" s="445"/>
      <c r="Q493" s="445"/>
      <c r="R493" s="447"/>
      <c r="S493" s="446"/>
      <c r="T493" s="446"/>
      <c r="U493" s="446"/>
      <c r="V493" s="446"/>
      <c r="W493" s="446"/>
      <c r="X493" s="446"/>
      <c r="Y493" s="446"/>
      <c r="Z493" s="446"/>
      <c r="AA493" s="448"/>
      <c r="AB493" s="445"/>
      <c r="AC493" s="445"/>
      <c r="AD493" s="445"/>
      <c r="AE493" s="447"/>
      <c r="AF493" s="1223"/>
      <c r="AG493" s="1195"/>
      <c r="AH493" s="789"/>
      <c r="AI493" s="789"/>
      <c r="AJ493" s="793"/>
      <c r="AK493" s="789"/>
      <c r="AL493" s="789"/>
      <c r="AM493" s="789"/>
      <c r="AN493" s="791"/>
      <c r="AO493" s="805"/>
      <c r="AP493" s="805"/>
      <c r="AQ493" s="786"/>
      <c r="AR493" s="786"/>
      <c r="AS493" s="786"/>
      <c r="AT493" s="786"/>
      <c r="AU493" s="787"/>
      <c r="AV493" s="787"/>
      <c r="AW493" s="787"/>
      <c r="AX493" s="784"/>
      <c r="AY493" s="1214"/>
    </row>
    <row r="494" spans="1:51" ht="27.75" hidden="1" customHeight="1" x14ac:dyDescent="0.25">
      <c r="A494" s="1195"/>
      <c r="B494" s="833"/>
      <c r="C494" s="809"/>
      <c r="D494" s="136" t="s">
        <v>43</v>
      </c>
      <c r="E494" s="142"/>
      <c r="F494" s="143"/>
      <c r="G494" s="445"/>
      <c r="H494" s="445"/>
      <c r="I494" s="445"/>
      <c r="J494" s="445"/>
      <c r="K494" s="445"/>
      <c r="L494" s="445"/>
      <c r="M494" s="445"/>
      <c r="N494" s="448"/>
      <c r="O494" s="445"/>
      <c r="P494" s="445"/>
      <c r="Q494" s="445"/>
      <c r="R494" s="447"/>
      <c r="S494" s="446"/>
      <c r="T494" s="446"/>
      <c r="U494" s="446"/>
      <c r="V494" s="446"/>
      <c r="W494" s="446"/>
      <c r="X494" s="446"/>
      <c r="Y494" s="446"/>
      <c r="Z494" s="446"/>
      <c r="AA494" s="448"/>
      <c r="AB494" s="445"/>
      <c r="AC494" s="445"/>
      <c r="AD494" s="445"/>
      <c r="AE494" s="447"/>
      <c r="AF494" s="1223"/>
      <c r="AG494" s="1195"/>
      <c r="AH494" s="789"/>
      <c r="AI494" s="789"/>
      <c r="AJ494" s="793"/>
      <c r="AK494" s="789"/>
      <c r="AL494" s="789"/>
      <c r="AM494" s="789"/>
      <c r="AN494" s="791"/>
      <c r="AO494" s="805"/>
      <c r="AP494" s="805"/>
      <c r="AQ494" s="786"/>
      <c r="AR494" s="786"/>
      <c r="AS494" s="786"/>
      <c r="AT494" s="786"/>
      <c r="AU494" s="787"/>
      <c r="AV494" s="787"/>
      <c r="AW494" s="787"/>
      <c r="AX494" s="784"/>
      <c r="AY494" s="1214"/>
    </row>
    <row r="495" spans="1:51" ht="27.75" hidden="1" customHeight="1" thickBot="1" x14ac:dyDescent="0.3">
      <c r="A495" s="1195"/>
      <c r="B495" s="833"/>
      <c r="C495" s="809"/>
      <c r="D495" s="140" t="s">
        <v>45</v>
      </c>
      <c r="E495" s="142"/>
      <c r="F495" s="143"/>
      <c r="G495" s="445"/>
      <c r="H495" s="445"/>
      <c r="I495" s="445"/>
      <c r="J495" s="445"/>
      <c r="K495" s="445"/>
      <c r="L495" s="445"/>
      <c r="M495" s="445"/>
      <c r="N495" s="448"/>
      <c r="O495" s="445"/>
      <c r="P495" s="445"/>
      <c r="Q495" s="445"/>
      <c r="R495" s="447"/>
      <c r="S495" s="446"/>
      <c r="T495" s="446"/>
      <c r="U495" s="446"/>
      <c r="V495" s="446"/>
      <c r="W495" s="446"/>
      <c r="X495" s="446"/>
      <c r="Y495" s="446"/>
      <c r="Z495" s="446"/>
      <c r="AA495" s="448"/>
      <c r="AB495" s="445"/>
      <c r="AC495" s="445"/>
      <c r="AD495" s="445"/>
      <c r="AE495" s="447"/>
      <c r="AF495" s="1223"/>
      <c r="AG495" s="1196"/>
      <c r="AH495" s="790"/>
      <c r="AI495" s="790"/>
      <c r="AJ495" s="794"/>
      <c r="AK495" s="790"/>
      <c r="AL495" s="790"/>
      <c r="AM495" s="790"/>
      <c r="AN495" s="791"/>
      <c r="AO495" s="805"/>
      <c r="AP495" s="805"/>
      <c r="AQ495" s="786"/>
      <c r="AR495" s="786"/>
      <c r="AS495" s="786"/>
      <c r="AT495" s="786"/>
      <c r="AU495" s="787"/>
      <c r="AV495" s="787"/>
      <c r="AW495" s="787"/>
      <c r="AX495" s="785"/>
      <c r="AY495" s="1214"/>
    </row>
    <row r="496" spans="1:51" ht="19.350000000000001" hidden="1" customHeight="1" x14ac:dyDescent="0.25">
      <c r="A496" s="1195"/>
      <c r="B496" s="833"/>
      <c r="C496" s="809" t="s">
        <v>356</v>
      </c>
      <c r="D496" s="141" t="s">
        <v>41</v>
      </c>
      <c r="E496" s="142"/>
      <c r="F496" s="143"/>
      <c r="G496" s="445"/>
      <c r="H496" s="445"/>
      <c r="I496" s="445"/>
      <c r="J496" s="445"/>
      <c r="K496" s="445"/>
      <c r="L496" s="445"/>
      <c r="M496" s="445"/>
      <c r="N496" s="448"/>
      <c r="O496" s="445"/>
      <c r="P496" s="445"/>
      <c r="Q496" s="445"/>
      <c r="R496" s="447"/>
      <c r="S496" s="446"/>
      <c r="T496" s="446"/>
      <c r="U496" s="446"/>
      <c r="V496" s="446"/>
      <c r="W496" s="446"/>
      <c r="X496" s="446"/>
      <c r="Y496" s="446"/>
      <c r="Z496" s="446"/>
      <c r="AA496" s="448"/>
      <c r="AB496" s="445"/>
      <c r="AC496" s="445"/>
      <c r="AD496" s="445"/>
      <c r="AE496" s="447"/>
      <c r="AF496" s="1223"/>
      <c r="AG496" s="1194" t="s">
        <v>356</v>
      </c>
      <c r="AH496" s="788" t="s">
        <v>350</v>
      </c>
      <c r="AI496" s="788" t="s">
        <v>350</v>
      </c>
      <c r="AJ496" s="792" t="s">
        <v>839</v>
      </c>
      <c r="AK496" s="788" t="s">
        <v>315</v>
      </c>
      <c r="AL496" s="788" t="s">
        <v>70</v>
      </c>
      <c r="AM496" s="788" t="s">
        <v>480</v>
      </c>
      <c r="AN496" s="791">
        <v>753496</v>
      </c>
      <c r="AO496" s="805">
        <v>350318</v>
      </c>
      <c r="AP496" s="805">
        <v>376910</v>
      </c>
      <c r="AQ496" s="786" t="s">
        <v>317</v>
      </c>
      <c r="AR496" s="786" t="s">
        <v>317</v>
      </c>
      <c r="AS496" s="786" t="s">
        <v>317</v>
      </c>
      <c r="AT496" s="786" t="s">
        <v>317</v>
      </c>
      <c r="AU496" s="787" t="s">
        <v>317</v>
      </c>
      <c r="AV496" s="787" t="s">
        <v>317</v>
      </c>
      <c r="AW496" s="787" t="s">
        <v>317</v>
      </c>
      <c r="AX496" s="783">
        <v>753496</v>
      </c>
      <c r="AY496" s="1214"/>
    </row>
    <row r="497" spans="1:51" ht="18.75" hidden="1" customHeight="1" x14ac:dyDescent="0.25">
      <c r="A497" s="1195"/>
      <c r="B497" s="833"/>
      <c r="C497" s="809"/>
      <c r="D497" s="132" t="s">
        <v>3</v>
      </c>
      <c r="E497" s="142"/>
      <c r="F497" s="143"/>
      <c r="G497" s="445"/>
      <c r="H497" s="445"/>
      <c r="I497" s="445"/>
      <c r="J497" s="445"/>
      <c r="K497" s="445"/>
      <c r="L497" s="445"/>
      <c r="M497" s="445"/>
      <c r="N497" s="448"/>
      <c r="O497" s="445"/>
      <c r="P497" s="445"/>
      <c r="Q497" s="445"/>
      <c r="R497" s="447"/>
      <c r="S497" s="446"/>
      <c r="T497" s="446"/>
      <c r="U497" s="446"/>
      <c r="V497" s="446"/>
      <c r="W497" s="446"/>
      <c r="X497" s="446"/>
      <c r="Y497" s="446"/>
      <c r="Z497" s="446"/>
      <c r="AA497" s="448"/>
      <c r="AB497" s="445"/>
      <c r="AC497" s="445"/>
      <c r="AD497" s="445"/>
      <c r="AE497" s="447"/>
      <c r="AF497" s="1223"/>
      <c r="AG497" s="1195"/>
      <c r="AH497" s="789"/>
      <c r="AI497" s="789"/>
      <c r="AJ497" s="793"/>
      <c r="AK497" s="789"/>
      <c r="AL497" s="789"/>
      <c r="AM497" s="789"/>
      <c r="AN497" s="791"/>
      <c r="AO497" s="805"/>
      <c r="AP497" s="805"/>
      <c r="AQ497" s="786"/>
      <c r="AR497" s="786"/>
      <c r="AS497" s="786"/>
      <c r="AT497" s="786"/>
      <c r="AU497" s="787"/>
      <c r="AV497" s="787"/>
      <c r="AW497" s="787"/>
      <c r="AX497" s="784"/>
      <c r="AY497" s="1214"/>
    </row>
    <row r="498" spans="1:51" ht="27.75" hidden="1" customHeight="1" x14ac:dyDescent="0.25">
      <c r="A498" s="1195"/>
      <c r="B498" s="833"/>
      <c r="C498" s="809"/>
      <c r="D498" s="136" t="s">
        <v>42</v>
      </c>
      <c r="E498" s="142"/>
      <c r="F498" s="143"/>
      <c r="G498" s="445"/>
      <c r="H498" s="445"/>
      <c r="I498" s="445"/>
      <c r="J498" s="445"/>
      <c r="K498" s="445"/>
      <c r="L498" s="445"/>
      <c r="M498" s="445"/>
      <c r="N498" s="448"/>
      <c r="O498" s="445"/>
      <c r="P498" s="445"/>
      <c r="Q498" s="445"/>
      <c r="R498" s="447"/>
      <c r="S498" s="446"/>
      <c r="T498" s="446"/>
      <c r="U498" s="446"/>
      <c r="V498" s="446"/>
      <c r="W498" s="446"/>
      <c r="X498" s="446"/>
      <c r="Y498" s="446"/>
      <c r="Z498" s="446"/>
      <c r="AA498" s="448"/>
      <c r="AB498" s="445"/>
      <c r="AC498" s="445"/>
      <c r="AD498" s="445"/>
      <c r="AE498" s="447"/>
      <c r="AF498" s="1223"/>
      <c r="AG498" s="1195"/>
      <c r="AH498" s="789"/>
      <c r="AI498" s="789"/>
      <c r="AJ498" s="793"/>
      <c r="AK498" s="789"/>
      <c r="AL498" s="789"/>
      <c r="AM498" s="789"/>
      <c r="AN498" s="791"/>
      <c r="AO498" s="805"/>
      <c r="AP498" s="805"/>
      <c r="AQ498" s="786"/>
      <c r="AR498" s="786"/>
      <c r="AS498" s="786"/>
      <c r="AT498" s="786"/>
      <c r="AU498" s="787"/>
      <c r="AV498" s="787"/>
      <c r="AW498" s="787"/>
      <c r="AX498" s="784"/>
      <c r="AY498" s="1214"/>
    </row>
    <row r="499" spans="1:51" ht="27.75" hidden="1" customHeight="1" x14ac:dyDescent="0.25">
      <c r="A499" s="1195"/>
      <c r="B499" s="833"/>
      <c r="C499" s="809"/>
      <c r="D499" s="132" t="s">
        <v>4</v>
      </c>
      <c r="E499" s="142"/>
      <c r="F499" s="143"/>
      <c r="G499" s="445"/>
      <c r="H499" s="445"/>
      <c r="I499" s="445"/>
      <c r="J499" s="445"/>
      <c r="K499" s="445"/>
      <c r="L499" s="445"/>
      <c r="M499" s="445"/>
      <c r="N499" s="448"/>
      <c r="O499" s="445"/>
      <c r="P499" s="445"/>
      <c r="Q499" s="445"/>
      <c r="R499" s="447"/>
      <c r="S499" s="446"/>
      <c r="T499" s="446"/>
      <c r="U499" s="446"/>
      <c r="V499" s="446"/>
      <c r="W499" s="446"/>
      <c r="X499" s="446"/>
      <c r="Y499" s="446"/>
      <c r="Z499" s="446"/>
      <c r="AA499" s="448"/>
      <c r="AB499" s="445"/>
      <c r="AC499" s="445"/>
      <c r="AD499" s="445"/>
      <c r="AE499" s="447"/>
      <c r="AF499" s="1223"/>
      <c r="AG499" s="1195"/>
      <c r="AH499" s="789"/>
      <c r="AI499" s="789"/>
      <c r="AJ499" s="793"/>
      <c r="AK499" s="789"/>
      <c r="AL499" s="789"/>
      <c r="AM499" s="789"/>
      <c r="AN499" s="791"/>
      <c r="AO499" s="805"/>
      <c r="AP499" s="805"/>
      <c r="AQ499" s="786"/>
      <c r="AR499" s="786"/>
      <c r="AS499" s="786"/>
      <c r="AT499" s="786"/>
      <c r="AU499" s="787"/>
      <c r="AV499" s="787"/>
      <c r="AW499" s="787"/>
      <c r="AX499" s="784"/>
      <c r="AY499" s="1214"/>
    </row>
    <row r="500" spans="1:51" ht="27.75" hidden="1" customHeight="1" x14ac:dyDescent="0.25">
      <c r="A500" s="1195"/>
      <c r="B500" s="833"/>
      <c r="C500" s="809"/>
      <c r="D500" s="136" t="s">
        <v>43</v>
      </c>
      <c r="E500" s="142"/>
      <c r="F500" s="143"/>
      <c r="G500" s="445"/>
      <c r="H500" s="445"/>
      <c r="I500" s="445"/>
      <c r="J500" s="445"/>
      <c r="K500" s="445"/>
      <c r="L500" s="445"/>
      <c r="M500" s="445"/>
      <c r="N500" s="448"/>
      <c r="O500" s="445"/>
      <c r="P500" s="445"/>
      <c r="Q500" s="445"/>
      <c r="R500" s="447"/>
      <c r="S500" s="446"/>
      <c r="T500" s="446"/>
      <c r="U500" s="446"/>
      <c r="V500" s="446"/>
      <c r="W500" s="446"/>
      <c r="X500" s="446"/>
      <c r="Y500" s="446"/>
      <c r="Z500" s="446"/>
      <c r="AA500" s="448"/>
      <c r="AB500" s="445"/>
      <c r="AC500" s="445"/>
      <c r="AD500" s="445"/>
      <c r="AE500" s="447"/>
      <c r="AF500" s="1223"/>
      <c r="AG500" s="1195"/>
      <c r="AH500" s="789"/>
      <c r="AI500" s="789"/>
      <c r="AJ500" s="793"/>
      <c r="AK500" s="789"/>
      <c r="AL500" s="789"/>
      <c r="AM500" s="789"/>
      <c r="AN500" s="791"/>
      <c r="AO500" s="805"/>
      <c r="AP500" s="805"/>
      <c r="AQ500" s="786"/>
      <c r="AR500" s="786"/>
      <c r="AS500" s="786"/>
      <c r="AT500" s="786"/>
      <c r="AU500" s="787"/>
      <c r="AV500" s="787"/>
      <c r="AW500" s="787"/>
      <c r="AX500" s="784"/>
      <c r="AY500" s="1214"/>
    </row>
    <row r="501" spans="1:51" ht="27.75" hidden="1" customHeight="1" thickBot="1" x14ac:dyDescent="0.3">
      <c r="A501" s="1195"/>
      <c r="B501" s="833"/>
      <c r="C501" s="809"/>
      <c r="D501" s="140" t="s">
        <v>45</v>
      </c>
      <c r="E501" s="142"/>
      <c r="F501" s="143"/>
      <c r="G501" s="445"/>
      <c r="H501" s="445"/>
      <c r="I501" s="445"/>
      <c r="J501" s="445"/>
      <c r="K501" s="445"/>
      <c r="L501" s="445"/>
      <c r="M501" s="445"/>
      <c r="N501" s="448"/>
      <c r="O501" s="445"/>
      <c r="P501" s="445"/>
      <c r="Q501" s="445"/>
      <c r="R501" s="447"/>
      <c r="S501" s="446"/>
      <c r="T501" s="446"/>
      <c r="U501" s="446"/>
      <c r="V501" s="446"/>
      <c r="W501" s="446"/>
      <c r="X501" s="446"/>
      <c r="Y501" s="446"/>
      <c r="Z501" s="446"/>
      <c r="AA501" s="448"/>
      <c r="AB501" s="445"/>
      <c r="AC501" s="445"/>
      <c r="AD501" s="445"/>
      <c r="AE501" s="447"/>
      <c r="AF501" s="1223"/>
      <c r="AG501" s="1196"/>
      <c r="AH501" s="790"/>
      <c r="AI501" s="790"/>
      <c r="AJ501" s="794"/>
      <c r="AK501" s="790"/>
      <c r="AL501" s="790"/>
      <c r="AM501" s="790"/>
      <c r="AN501" s="791"/>
      <c r="AO501" s="805"/>
      <c r="AP501" s="805"/>
      <c r="AQ501" s="786"/>
      <c r="AR501" s="786"/>
      <c r="AS501" s="786"/>
      <c r="AT501" s="786"/>
      <c r="AU501" s="787"/>
      <c r="AV501" s="787"/>
      <c r="AW501" s="787"/>
      <c r="AX501" s="785"/>
      <c r="AY501" s="1214"/>
    </row>
    <row r="502" spans="1:51" ht="19.350000000000001" hidden="1" customHeight="1" x14ac:dyDescent="0.25">
      <c r="A502" s="1195"/>
      <c r="B502" s="833"/>
      <c r="C502" s="809" t="s">
        <v>361</v>
      </c>
      <c r="D502" s="141" t="s">
        <v>41</v>
      </c>
      <c r="E502" s="142"/>
      <c r="F502" s="143"/>
      <c r="G502" s="445"/>
      <c r="H502" s="445"/>
      <c r="I502" s="445"/>
      <c r="J502" s="445"/>
      <c r="K502" s="445"/>
      <c r="L502" s="445"/>
      <c r="M502" s="445"/>
      <c r="N502" s="448"/>
      <c r="O502" s="445"/>
      <c r="P502" s="445"/>
      <c r="Q502" s="445"/>
      <c r="R502" s="447"/>
      <c r="S502" s="446"/>
      <c r="T502" s="446"/>
      <c r="U502" s="446"/>
      <c r="V502" s="446"/>
      <c r="W502" s="446"/>
      <c r="X502" s="446"/>
      <c r="Y502" s="446"/>
      <c r="Z502" s="446"/>
      <c r="AA502" s="448"/>
      <c r="AB502" s="445"/>
      <c r="AC502" s="445"/>
      <c r="AD502" s="445"/>
      <c r="AE502" s="447"/>
      <c r="AF502" s="1223"/>
      <c r="AG502" s="1194" t="s">
        <v>361</v>
      </c>
      <c r="AH502" s="788" t="s">
        <v>350</v>
      </c>
      <c r="AI502" s="788" t="s">
        <v>350</v>
      </c>
      <c r="AJ502" s="792" t="s">
        <v>839</v>
      </c>
      <c r="AK502" s="788" t="s">
        <v>315</v>
      </c>
      <c r="AL502" s="788" t="s">
        <v>70</v>
      </c>
      <c r="AM502" s="788" t="s">
        <v>480</v>
      </c>
      <c r="AN502" s="791">
        <v>1230539</v>
      </c>
      <c r="AO502" s="805">
        <v>511137</v>
      </c>
      <c r="AP502" s="805">
        <v>556761</v>
      </c>
      <c r="AQ502" s="786" t="s">
        <v>317</v>
      </c>
      <c r="AR502" s="786" t="s">
        <v>317</v>
      </c>
      <c r="AS502" s="786" t="s">
        <v>317</v>
      </c>
      <c r="AT502" s="786" t="s">
        <v>317</v>
      </c>
      <c r="AU502" s="787" t="s">
        <v>317</v>
      </c>
      <c r="AV502" s="787" t="s">
        <v>317</v>
      </c>
      <c r="AW502" s="787" t="s">
        <v>317</v>
      </c>
      <c r="AX502" s="783">
        <v>1230539</v>
      </c>
      <c r="AY502" s="1214"/>
    </row>
    <row r="503" spans="1:51" ht="18.75" hidden="1" customHeight="1" x14ac:dyDescent="0.25">
      <c r="A503" s="1195"/>
      <c r="B503" s="833"/>
      <c r="C503" s="809"/>
      <c r="D503" s="132" t="s">
        <v>3</v>
      </c>
      <c r="E503" s="142"/>
      <c r="F503" s="143"/>
      <c r="G503" s="445"/>
      <c r="H503" s="445"/>
      <c r="I503" s="445"/>
      <c r="J503" s="445"/>
      <c r="K503" s="445"/>
      <c r="L503" s="445"/>
      <c r="M503" s="445"/>
      <c r="N503" s="448"/>
      <c r="O503" s="445"/>
      <c r="P503" s="445"/>
      <c r="Q503" s="445"/>
      <c r="R503" s="447"/>
      <c r="S503" s="446"/>
      <c r="T503" s="446"/>
      <c r="U503" s="446"/>
      <c r="V503" s="446"/>
      <c r="W503" s="446"/>
      <c r="X503" s="446"/>
      <c r="Y503" s="446"/>
      <c r="Z503" s="446"/>
      <c r="AA503" s="448"/>
      <c r="AB503" s="445"/>
      <c r="AC503" s="445"/>
      <c r="AD503" s="445"/>
      <c r="AE503" s="447"/>
      <c r="AF503" s="1223"/>
      <c r="AG503" s="1195"/>
      <c r="AH503" s="789"/>
      <c r="AI503" s="789"/>
      <c r="AJ503" s="793"/>
      <c r="AK503" s="789"/>
      <c r="AL503" s="789"/>
      <c r="AM503" s="789"/>
      <c r="AN503" s="791"/>
      <c r="AO503" s="805"/>
      <c r="AP503" s="805"/>
      <c r="AQ503" s="786"/>
      <c r="AR503" s="786"/>
      <c r="AS503" s="786"/>
      <c r="AT503" s="786"/>
      <c r="AU503" s="787"/>
      <c r="AV503" s="787"/>
      <c r="AW503" s="787"/>
      <c r="AX503" s="784"/>
      <c r="AY503" s="1214"/>
    </row>
    <row r="504" spans="1:51" ht="27.75" hidden="1" customHeight="1" x14ac:dyDescent="0.25">
      <c r="A504" s="1195"/>
      <c r="B504" s="833"/>
      <c r="C504" s="809"/>
      <c r="D504" s="136" t="s">
        <v>42</v>
      </c>
      <c r="E504" s="142"/>
      <c r="F504" s="143"/>
      <c r="G504" s="445"/>
      <c r="H504" s="445"/>
      <c r="I504" s="445"/>
      <c r="J504" s="445"/>
      <c r="K504" s="445"/>
      <c r="L504" s="445"/>
      <c r="M504" s="445"/>
      <c r="N504" s="448"/>
      <c r="O504" s="445"/>
      <c r="P504" s="445"/>
      <c r="Q504" s="445"/>
      <c r="R504" s="447"/>
      <c r="S504" s="446"/>
      <c r="T504" s="446"/>
      <c r="U504" s="446"/>
      <c r="V504" s="446"/>
      <c r="W504" s="446"/>
      <c r="X504" s="446"/>
      <c r="Y504" s="446"/>
      <c r="Z504" s="446"/>
      <c r="AA504" s="448"/>
      <c r="AB504" s="445"/>
      <c r="AC504" s="445"/>
      <c r="AD504" s="445"/>
      <c r="AE504" s="447"/>
      <c r="AF504" s="1223"/>
      <c r="AG504" s="1195"/>
      <c r="AH504" s="789"/>
      <c r="AI504" s="789"/>
      <c r="AJ504" s="793"/>
      <c r="AK504" s="789"/>
      <c r="AL504" s="789"/>
      <c r="AM504" s="789"/>
      <c r="AN504" s="791"/>
      <c r="AO504" s="805"/>
      <c r="AP504" s="805"/>
      <c r="AQ504" s="786"/>
      <c r="AR504" s="786"/>
      <c r="AS504" s="786"/>
      <c r="AT504" s="786"/>
      <c r="AU504" s="787"/>
      <c r="AV504" s="787"/>
      <c r="AW504" s="787"/>
      <c r="AX504" s="784"/>
      <c r="AY504" s="1214"/>
    </row>
    <row r="505" spans="1:51" ht="27.75" hidden="1" customHeight="1" x14ac:dyDescent="0.25">
      <c r="A505" s="1195"/>
      <c r="B505" s="833"/>
      <c r="C505" s="809"/>
      <c r="D505" s="132" t="s">
        <v>4</v>
      </c>
      <c r="E505" s="142"/>
      <c r="F505" s="143"/>
      <c r="G505" s="445"/>
      <c r="H505" s="445"/>
      <c r="I505" s="445"/>
      <c r="J505" s="445"/>
      <c r="K505" s="445"/>
      <c r="L505" s="445"/>
      <c r="M505" s="445"/>
      <c r="N505" s="448"/>
      <c r="O505" s="445"/>
      <c r="P505" s="445"/>
      <c r="Q505" s="445"/>
      <c r="R505" s="447"/>
      <c r="S505" s="446"/>
      <c r="T505" s="446"/>
      <c r="U505" s="446"/>
      <c r="V505" s="446"/>
      <c r="W505" s="446"/>
      <c r="X505" s="446"/>
      <c r="Y505" s="446"/>
      <c r="Z505" s="446"/>
      <c r="AA505" s="448"/>
      <c r="AB505" s="445"/>
      <c r="AC505" s="445"/>
      <c r="AD505" s="445"/>
      <c r="AE505" s="447"/>
      <c r="AF505" s="1223"/>
      <c r="AG505" s="1195"/>
      <c r="AH505" s="789"/>
      <c r="AI505" s="789"/>
      <c r="AJ505" s="793"/>
      <c r="AK505" s="789"/>
      <c r="AL505" s="789"/>
      <c r="AM505" s="789"/>
      <c r="AN505" s="791"/>
      <c r="AO505" s="805"/>
      <c r="AP505" s="805"/>
      <c r="AQ505" s="786"/>
      <c r="AR505" s="786"/>
      <c r="AS505" s="786"/>
      <c r="AT505" s="786"/>
      <c r="AU505" s="787"/>
      <c r="AV505" s="787"/>
      <c r="AW505" s="787"/>
      <c r="AX505" s="784"/>
      <c r="AY505" s="1214"/>
    </row>
    <row r="506" spans="1:51" ht="27.75" hidden="1" customHeight="1" x14ac:dyDescent="0.25">
      <c r="A506" s="1195"/>
      <c r="B506" s="833"/>
      <c r="C506" s="809"/>
      <c r="D506" s="136" t="s">
        <v>43</v>
      </c>
      <c r="E506" s="142"/>
      <c r="F506" s="143"/>
      <c r="G506" s="445"/>
      <c r="H506" s="445"/>
      <c r="I506" s="445"/>
      <c r="J506" s="445"/>
      <c r="K506" s="445"/>
      <c r="L506" s="445"/>
      <c r="M506" s="445"/>
      <c r="N506" s="448"/>
      <c r="O506" s="445"/>
      <c r="P506" s="445"/>
      <c r="Q506" s="445"/>
      <c r="R506" s="447"/>
      <c r="S506" s="446"/>
      <c r="T506" s="446"/>
      <c r="U506" s="446"/>
      <c r="V506" s="446"/>
      <c r="W506" s="446"/>
      <c r="X506" s="446"/>
      <c r="Y506" s="446"/>
      <c r="Z506" s="446"/>
      <c r="AA506" s="448"/>
      <c r="AB506" s="445"/>
      <c r="AC506" s="445"/>
      <c r="AD506" s="445"/>
      <c r="AE506" s="447"/>
      <c r="AF506" s="1223"/>
      <c r="AG506" s="1195"/>
      <c r="AH506" s="789"/>
      <c r="AI506" s="789"/>
      <c r="AJ506" s="793"/>
      <c r="AK506" s="789"/>
      <c r="AL506" s="789"/>
      <c r="AM506" s="789"/>
      <c r="AN506" s="791"/>
      <c r="AO506" s="805"/>
      <c r="AP506" s="805"/>
      <c r="AQ506" s="786"/>
      <c r="AR506" s="786"/>
      <c r="AS506" s="786"/>
      <c r="AT506" s="786"/>
      <c r="AU506" s="787"/>
      <c r="AV506" s="787"/>
      <c r="AW506" s="787"/>
      <c r="AX506" s="784"/>
      <c r="AY506" s="1214"/>
    </row>
    <row r="507" spans="1:51" ht="27.75" hidden="1" customHeight="1" thickBot="1" x14ac:dyDescent="0.3">
      <c r="A507" s="1195"/>
      <c r="B507" s="833"/>
      <c r="C507" s="809"/>
      <c r="D507" s="140" t="s">
        <v>45</v>
      </c>
      <c r="E507" s="142"/>
      <c r="F507" s="143"/>
      <c r="G507" s="445"/>
      <c r="H507" s="445"/>
      <c r="I507" s="445"/>
      <c r="J507" s="445"/>
      <c r="K507" s="445"/>
      <c r="L507" s="445"/>
      <c r="M507" s="445"/>
      <c r="N507" s="448"/>
      <c r="O507" s="445"/>
      <c r="P507" s="445"/>
      <c r="Q507" s="445"/>
      <c r="R507" s="447"/>
      <c r="S507" s="446"/>
      <c r="T507" s="446"/>
      <c r="U507" s="446"/>
      <c r="V507" s="446"/>
      <c r="W507" s="446"/>
      <c r="X507" s="446"/>
      <c r="Y507" s="446"/>
      <c r="Z507" s="446"/>
      <c r="AA507" s="448"/>
      <c r="AB507" s="445"/>
      <c r="AC507" s="445"/>
      <c r="AD507" s="445"/>
      <c r="AE507" s="447"/>
      <c r="AF507" s="1223"/>
      <c r="AG507" s="1196"/>
      <c r="AH507" s="790"/>
      <c r="AI507" s="790"/>
      <c r="AJ507" s="794"/>
      <c r="AK507" s="790"/>
      <c r="AL507" s="790"/>
      <c r="AM507" s="790"/>
      <c r="AN507" s="791"/>
      <c r="AO507" s="805"/>
      <c r="AP507" s="805"/>
      <c r="AQ507" s="786"/>
      <c r="AR507" s="786"/>
      <c r="AS507" s="786"/>
      <c r="AT507" s="786"/>
      <c r="AU507" s="787"/>
      <c r="AV507" s="787"/>
      <c r="AW507" s="787"/>
      <c r="AX507" s="785"/>
      <c r="AY507" s="1214"/>
    </row>
    <row r="508" spans="1:51" ht="19.350000000000001" customHeight="1" x14ac:dyDescent="0.25">
      <c r="A508" s="1195"/>
      <c r="B508" s="833"/>
      <c r="C508" s="809" t="s">
        <v>935</v>
      </c>
      <c r="D508" s="141" t="s">
        <v>41</v>
      </c>
      <c r="E508" s="142"/>
      <c r="F508" s="143"/>
      <c r="G508" s="445"/>
      <c r="H508" s="445"/>
      <c r="I508" s="445"/>
      <c r="J508" s="445"/>
      <c r="K508" s="445"/>
      <c r="L508" s="445"/>
      <c r="M508" s="445"/>
      <c r="N508" s="448"/>
      <c r="O508" s="445"/>
      <c r="P508" s="445">
        <v>100</v>
      </c>
      <c r="Q508" s="445">
        <v>100</v>
      </c>
      <c r="R508" s="447">
        <v>100</v>
      </c>
      <c r="S508" s="446"/>
      <c r="T508" s="446"/>
      <c r="U508" s="446"/>
      <c r="V508" s="446"/>
      <c r="W508" s="446"/>
      <c r="X508" s="446"/>
      <c r="Y508" s="446"/>
      <c r="Z508" s="446"/>
      <c r="AA508" s="448"/>
      <c r="AB508" s="445"/>
      <c r="AC508" s="445">
        <v>100</v>
      </c>
      <c r="AD508" s="445">
        <v>100</v>
      </c>
      <c r="AE508" s="447">
        <v>100</v>
      </c>
      <c r="AF508" s="1217" t="s">
        <v>1062</v>
      </c>
      <c r="AG508" s="1194" t="s">
        <v>433</v>
      </c>
      <c r="AH508" s="788" t="s">
        <v>942</v>
      </c>
      <c r="AI508" s="788" t="s">
        <v>941</v>
      </c>
      <c r="AJ508" s="792" t="s">
        <v>839</v>
      </c>
      <c r="AK508" s="788" t="s">
        <v>315</v>
      </c>
      <c r="AL508" s="788" t="s">
        <v>70</v>
      </c>
      <c r="AM508" s="788" t="s">
        <v>480</v>
      </c>
      <c r="AN508" s="791">
        <v>424038</v>
      </c>
      <c r="AO508" s="805">
        <v>181876</v>
      </c>
      <c r="AP508" s="805">
        <v>201858</v>
      </c>
      <c r="AQ508" s="786" t="s">
        <v>317</v>
      </c>
      <c r="AR508" s="786" t="s">
        <v>317</v>
      </c>
      <c r="AS508" s="786" t="s">
        <v>317</v>
      </c>
      <c r="AT508" s="786" t="s">
        <v>317</v>
      </c>
      <c r="AU508" s="787" t="s">
        <v>317</v>
      </c>
      <c r="AV508" s="787" t="s">
        <v>317</v>
      </c>
      <c r="AW508" s="787" t="s">
        <v>317</v>
      </c>
      <c r="AX508" s="783">
        <v>424038</v>
      </c>
      <c r="AY508" s="1214"/>
    </row>
    <row r="509" spans="1:51" ht="18.75" customHeight="1" x14ac:dyDescent="0.25">
      <c r="A509" s="1195"/>
      <c r="B509" s="833"/>
      <c r="C509" s="809"/>
      <c r="D509" s="132" t="s">
        <v>3</v>
      </c>
      <c r="E509" s="142"/>
      <c r="F509" s="143"/>
      <c r="G509" s="445"/>
      <c r="H509" s="445"/>
      <c r="I509" s="445"/>
      <c r="J509" s="445"/>
      <c r="K509" s="445"/>
      <c r="L509" s="445"/>
      <c r="M509" s="445"/>
      <c r="N509" s="448"/>
      <c r="O509" s="445"/>
      <c r="P509" s="445">
        <f>+P508*$P$299/$P$298</f>
        <v>854857.14285714284</v>
      </c>
      <c r="Q509" s="445">
        <f>+Q508*$Q$299/$Q$298</f>
        <v>854857.14285714284</v>
      </c>
      <c r="R509" s="445">
        <f>+R508*$R$299/$R$298</f>
        <v>845197.74011299433</v>
      </c>
      <c r="S509" s="446"/>
      <c r="T509" s="446"/>
      <c r="U509" s="446"/>
      <c r="V509" s="446"/>
      <c r="W509" s="446"/>
      <c r="X509" s="446"/>
      <c r="Y509" s="446"/>
      <c r="Z509" s="446"/>
      <c r="AA509" s="448"/>
      <c r="AB509" s="445"/>
      <c r="AC509" s="445">
        <f>+AC508*$AC$299/$AC$298</f>
        <v>921721.45035581163</v>
      </c>
      <c r="AD509" s="445">
        <f>+AD508*$AD$299/$AD$298</f>
        <v>838988.27884022205</v>
      </c>
      <c r="AE509" s="445">
        <f>+AE508*$AE$299/$AE$298</f>
        <v>845197.74011299433</v>
      </c>
      <c r="AF509" s="1217"/>
      <c r="AG509" s="1195"/>
      <c r="AH509" s="789"/>
      <c r="AI509" s="789"/>
      <c r="AJ509" s="793"/>
      <c r="AK509" s="789"/>
      <c r="AL509" s="789"/>
      <c r="AM509" s="789"/>
      <c r="AN509" s="791"/>
      <c r="AO509" s="805"/>
      <c r="AP509" s="805"/>
      <c r="AQ509" s="786"/>
      <c r="AR509" s="786"/>
      <c r="AS509" s="786"/>
      <c r="AT509" s="786"/>
      <c r="AU509" s="787"/>
      <c r="AV509" s="787"/>
      <c r="AW509" s="787"/>
      <c r="AX509" s="784"/>
      <c r="AY509" s="1214"/>
    </row>
    <row r="510" spans="1:51" ht="27.75" customHeight="1" x14ac:dyDescent="0.25">
      <c r="A510" s="1195"/>
      <c r="B510" s="833"/>
      <c r="C510" s="809"/>
      <c r="D510" s="136" t="s">
        <v>42</v>
      </c>
      <c r="E510" s="142"/>
      <c r="F510" s="143"/>
      <c r="G510" s="445"/>
      <c r="H510" s="445"/>
      <c r="I510" s="445"/>
      <c r="J510" s="445"/>
      <c r="K510" s="445"/>
      <c r="L510" s="445"/>
      <c r="M510" s="445"/>
      <c r="N510" s="448"/>
      <c r="O510" s="445"/>
      <c r="P510" s="445"/>
      <c r="Q510" s="445"/>
      <c r="R510" s="447"/>
      <c r="S510" s="446"/>
      <c r="T510" s="446"/>
      <c r="U510" s="446"/>
      <c r="V510" s="446"/>
      <c r="W510" s="446"/>
      <c r="X510" s="446"/>
      <c r="Y510" s="446"/>
      <c r="Z510" s="446"/>
      <c r="AA510" s="448"/>
      <c r="AB510" s="445"/>
      <c r="AC510" s="445"/>
      <c r="AD510" s="445"/>
      <c r="AE510" s="447"/>
      <c r="AF510" s="1217"/>
      <c r="AG510" s="1195"/>
      <c r="AH510" s="789"/>
      <c r="AI510" s="789"/>
      <c r="AJ510" s="793"/>
      <c r="AK510" s="789"/>
      <c r="AL510" s="789"/>
      <c r="AM510" s="789"/>
      <c r="AN510" s="791"/>
      <c r="AO510" s="805"/>
      <c r="AP510" s="805"/>
      <c r="AQ510" s="786"/>
      <c r="AR510" s="786"/>
      <c r="AS510" s="786"/>
      <c r="AT510" s="786"/>
      <c r="AU510" s="787"/>
      <c r="AV510" s="787"/>
      <c r="AW510" s="787"/>
      <c r="AX510" s="784"/>
      <c r="AY510" s="1214"/>
    </row>
    <row r="511" spans="1:51" ht="27.75" customHeight="1" x14ac:dyDescent="0.25">
      <c r="A511" s="1195"/>
      <c r="B511" s="833"/>
      <c r="C511" s="809"/>
      <c r="D511" s="132" t="s">
        <v>4</v>
      </c>
      <c r="E511" s="142"/>
      <c r="F511" s="143"/>
      <c r="G511" s="445"/>
      <c r="H511" s="445"/>
      <c r="I511" s="445"/>
      <c r="J511" s="445"/>
      <c r="K511" s="445"/>
      <c r="L511" s="445"/>
      <c r="M511" s="445"/>
      <c r="N511" s="448"/>
      <c r="O511" s="445"/>
      <c r="P511" s="445"/>
      <c r="Q511" s="445"/>
      <c r="R511" s="447"/>
      <c r="S511" s="446"/>
      <c r="T511" s="446"/>
      <c r="U511" s="446"/>
      <c r="V511" s="446"/>
      <c r="W511" s="446"/>
      <c r="X511" s="446"/>
      <c r="Y511" s="446"/>
      <c r="Z511" s="446"/>
      <c r="AA511" s="448"/>
      <c r="AB511" s="445"/>
      <c r="AC511" s="445"/>
      <c r="AD511" s="445"/>
      <c r="AE511" s="447"/>
      <c r="AF511" s="1217"/>
      <c r="AG511" s="1195"/>
      <c r="AH511" s="789"/>
      <c r="AI511" s="789"/>
      <c r="AJ511" s="793"/>
      <c r="AK511" s="789"/>
      <c r="AL511" s="789"/>
      <c r="AM511" s="789"/>
      <c r="AN511" s="791"/>
      <c r="AO511" s="805"/>
      <c r="AP511" s="805"/>
      <c r="AQ511" s="786"/>
      <c r="AR511" s="786"/>
      <c r="AS511" s="786"/>
      <c r="AT511" s="786"/>
      <c r="AU511" s="787"/>
      <c r="AV511" s="787"/>
      <c r="AW511" s="787"/>
      <c r="AX511" s="784"/>
      <c r="AY511" s="1214"/>
    </row>
    <row r="512" spans="1:51" ht="27.75" customHeight="1" x14ac:dyDescent="0.25">
      <c r="A512" s="1195"/>
      <c r="B512" s="833"/>
      <c r="C512" s="809"/>
      <c r="D512" s="136" t="s">
        <v>43</v>
      </c>
      <c r="E512" s="142"/>
      <c r="F512" s="143"/>
      <c r="G512" s="445"/>
      <c r="H512" s="445"/>
      <c r="I512" s="445"/>
      <c r="J512" s="445"/>
      <c r="K512" s="445"/>
      <c r="L512" s="445"/>
      <c r="M512" s="445"/>
      <c r="N512" s="448"/>
      <c r="O512" s="445"/>
      <c r="P512" s="445">
        <v>100</v>
      </c>
      <c r="Q512" s="445">
        <v>100</v>
      </c>
      <c r="R512" s="447">
        <v>100</v>
      </c>
      <c r="S512" s="446"/>
      <c r="T512" s="446"/>
      <c r="U512" s="446"/>
      <c r="V512" s="446"/>
      <c r="W512" s="446"/>
      <c r="X512" s="446"/>
      <c r="Y512" s="446"/>
      <c r="Z512" s="446"/>
      <c r="AA512" s="448"/>
      <c r="AB512" s="445"/>
      <c r="AC512" s="445">
        <v>100</v>
      </c>
      <c r="AD512" s="445">
        <v>100</v>
      </c>
      <c r="AE512" s="447">
        <v>100</v>
      </c>
      <c r="AF512" s="1217"/>
      <c r="AG512" s="1195"/>
      <c r="AH512" s="789"/>
      <c r="AI512" s="789"/>
      <c r="AJ512" s="793"/>
      <c r="AK512" s="789"/>
      <c r="AL512" s="789"/>
      <c r="AM512" s="789"/>
      <c r="AN512" s="791"/>
      <c r="AO512" s="805"/>
      <c r="AP512" s="805"/>
      <c r="AQ512" s="786"/>
      <c r="AR512" s="786"/>
      <c r="AS512" s="786"/>
      <c r="AT512" s="786"/>
      <c r="AU512" s="787"/>
      <c r="AV512" s="787"/>
      <c r="AW512" s="787"/>
      <c r="AX512" s="784"/>
      <c r="AY512" s="1214"/>
    </row>
    <row r="513" spans="1:51" ht="27.75" customHeight="1" thickBot="1" x14ac:dyDescent="0.3">
      <c r="A513" s="1195"/>
      <c r="B513" s="833"/>
      <c r="C513" s="809"/>
      <c r="D513" s="140" t="s">
        <v>45</v>
      </c>
      <c r="E513" s="142"/>
      <c r="F513" s="143"/>
      <c r="G513" s="445"/>
      <c r="H513" s="445"/>
      <c r="I513" s="445"/>
      <c r="J513" s="445"/>
      <c r="K513" s="445"/>
      <c r="L513" s="445"/>
      <c r="M513" s="445"/>
      <c r="N513" s="448"/>
      <c r="O513" s="445"/>
      <c r="P513" s="445">
        <f>+P512*$P$299/$P$298</f>
        <v>854857.14285714284</v>
      </c>
      <c r="Q513" s="445">
        <f>+Q512*$Q$299/$Q$298</f>
        <v>854857.14285714284</v>
      </c>
      <c r="R513" s="445">
        <f>+R512*$R$299/$R$298</f>
        <v>845197.74011299433</v>
      </c>
      <c r="S513" s="446"/>
      <c r="T513" s="446"/>
      <c r="U513" s="446"/>
      <c r="V513" s="446"/>
      <c r="W513" s="446"/>
      <c r="X513" s="446"/>
      <c r="Y513" s="446"/>
      <c r="Z513" s="446"/>
      <c r="AA513" s="448"/>
      <c r="AB513" s="445"/>
      <c r="AC513" s="445">
        <f>+AC512*$AC$299/$AC$298</f>
        <v>921721.45035581163</v>
      </c>
      <c r="AD513" s="445">
        <f>+AD512*$AD$299/$AD$298</f>
        <v>838988.27884022205</v>
      </c>
      <c r="AE513" s="445">
        <f>+AE512*$AE$299/$AE$298</f>
        <v>845197.74011299433</v>
      </c>
      <c r="AF513" s="1222"/>
      <c r="AG513" s="1196"/>
      <c r="AH513" s="790"/>
      <c r="AI513" s="790"/>
      <c r="AJ513" s="794"/>
      <c r="AK513" s="790"/>
      <c r="AL513" s="790"/>
      <c r="AM513" s="790"/>
      <c r="AN513" s="791"/>
      <c r="AO513" s="805"/>
      <c r="AP513" s="805"/>
      <c r="AQ513" s="786"/>
      <c r="AR513" s="786"/>
      <c r="AS513" s="786"/>
      <c r="AT513" s="786"/>
      <c r="AU513" s="787"/>
      <c r="AV513" s="787"/>
      <c r="AW513" s="787"/>
      <c r="AX513" s="785"/>
      <c r="AY513" s="1214"/>
    </row>
    <row r="514" spans="1:51" ht="19.350000000000001" customHeight="1" x14ac:dyDescent="0.25">
      <c r="A514" s="1195"/>
      <c r="B514" s="833"/>
      <c r="C514" s="809" t="s">
        <v>845</v>
      </c>
      <c r="D514" s="141" t="s">
        <v>41</v>
      </c>
      <c r="E514" s="142"/>
      <c r="F514" s="143"/>
      <c r="G514" s="445"/>
      <c r="H514" s="445">
        <v>85</v>
      </c>
      <c r="I514" s="445">
        <v>85</v>
      </c>
      <c r="J514" s="445">
        <v>85</v>
      </c>
      <c r="K514" s="445"/>
      <c r="L514" s="445"/>
      <c r="M514" s="445">
        <v>45</v>
      </c>
      <c r="N514" s="448">
        <v>45</v>
      </c>
      <c r="O514" s="445">
        <v>45</v>
      </c>
      <c r="P514" s="445">
        <v>45</v>
      </c>
      <c r="Q514" s="445">
        <v>45</v>
      </c>
      <c r="R514" s="447">
        <v>45</v>
      </c>
      <c r="S514" s="446"/>
      <c r="T514" s="446"/>
      <c r="U514" s="446"/>
      <c r="V514" s="446"/>
      <c r="W514" s="446"/>
      <c r="X514" s="446"/>
      <c r="Y514" s="446"/>
      <c r="Z514" s="446">
        <v>45</v>
      </c>
      <c r="AA514" s="448">
        <v>45</v>
      </c>
      <c r="AB514" s="445">
        <v>45</v>
      </c>
      <c r="AC514" s="445">
        <v>45</v>
      </c>
      <c r="AD514" s="445">
        <v>45</v>
      </c>
      <c r="AE514" s="447">
        <v>45</v>
      </c>
      <c r="AF514" s="1218" t="s">
        <v>900</v>
      </c>
      <c r="AG514" s="1194" t="s">
        <v>516</v>
      </c>
      <c r="AH514" s="788" t="s">
        <v>846</v>
      </c>
      <c r="AI514" s="788" t="s">
        <v>847</v>
      </c>
      <c r="AJ514" s="792" t="s">
        <v>839</v>
      </c>
      <c r="AK514" s="788" t="s">
        <v>315</v>
      </c>
      <c r="AL514" s="788" t="s">
        <v>70</v>
      </c>
      <c r="AM514" s="788" t="s">
        <v>480</v>
      </c>
      <c r="AN514" s="791">
        <v>107788</v>
      </c>
      <c r="AO514" s="805">
        <v>53687</v>
      </c>
      <c r="AP514" s="805">
        <v>54100</v>
      </c>
      <c r="AQ514" s="786" t="s">
        <v>317</v>
      </c>
      <c r="AR514" s="786" t="s">
        <v>317</v>
      </c>
      <c r="AS514" s="786" t="s">
        <v>317</v>
      </c>
      <c r="AT514" s="786" t="s">
        <v>317</v>
      </c>
      <c r="AU514" s="787" t="s">
        <v>317</v>
      </c>
      <c r="AV514" s="787" t="s">
        <v>317</v>
      </c>
      <c r="AW514" s="787" t="s">
        <v>317</v>
      </c>
      <c r="AX514" s="783">
        <v>107788</v>
      </c>
      <c r="AY514" s="1214"/>
    </row>
    <row r="515" spans="1:51" ht="18.75" customHeight="1" x14ac:dyDescent="0.25">
      <c r="A515" s="1195"/>
      <c r="B515" s="833"/>
      <c r="C515" s="809"/>
      <c r="D515" s="132" t="s">
        <v>3</v>
      </c>
      <c r="E515" s="142"/>
      <c r="F515" s="143"/>
      <c r="G515" s="445"/>
      <c r="H515" s="445">
        <v>832635.71428571432</v>
      </c>
      <c r="I515" s="445">
        <v>832635.71428571432</v>
      </c>
      <c r="J515" s="445">
        <v>660571.42857142852</v>
      </c>
      <c r="K515" s="445"/>
      <c r="L515" s="445"/>
      <c r="M515" s="445">
        <f>+M514*$M$299/$M$298</f>
        <v>349714.28571428574</v>
      </c>
      <c r="N515" s="445">
        <f>+N514*$N$299/$N$298</f>
        <v>384685.71428571426</v>
      </c>
      <c r="O515" s="445">
        <f>+O514*$O$299/$O$298</f>
        <v>384685.71428571426</v>
      </c>
      <c r="P515" s="445">
        <f>+P514*$P$299/$P$298</f>
        <v>384685.71428571426</v>
      </c>
      <c r="Q515" s="445">
        <f>+Q514*$Q$299/$Q$298</f>
        <v>384685.71428571426</v>
      </c>
      <c r="R515" s="445">
        <f>+R514*$R$299/$R$298</f>
        <v>380338.98305084748</v>
      </c>
      <c r="S515" s="446"/>
      <c r="T515" s="446"/>
      <c r="U515" s="445"/>
      <c r="V515" s="445"/>
      <c r="W515" s="445"/>
      <c r="X515" s="445"/>
      <c r="Y515" s="445"/>
      <c r="Z515" s="445">
        <f>+Z514*$Z$299/$Z$298</f>
        <v>596200.68192888459</v>
      </c>
      <c r="AA515" s="445">
        <f>+AA514*$AA$299/$AA$298</f>
        <v>517766.49746192893</v>
      </c>
      <c r="AB515" s="445">
        <f>+AB514*$AB$299/$AB$298</f>
        <v>460323.42986084992</v>
      </c>
      <c r="AC515" s="445">
        <f>+AC514*$AC$299/$AC$298</f>
        <v>414774.65266011521</v>
      </c>
      <c r="AD515" s="445">
        <f>+AD514*$AD$299/$AD$298</f>
        <v>377544.72547809995</v>
      </c>
      <c r="AE515" s="445">
        <f>+AE514*$AE$299/$AE$298</f>
        <v>380338.98305084748</v>
      </c>
      <c r="AF515" s="1218"/>
      <c r="AG515" s="1195"/>
      <c r="AH515" s="789"/>
      <c r="AI515" s="789"/>
      <c r="AJ515" s="793"/>
      <c r="AK515" s="789"/>
      <c r="AL515" s="789"/>
      <c r="AM515" s="789"/>
      <c r="AN515" s="791"/>
      <c r="AO515" s="805"/>
      <c r="AP515" s="805"/>
      <c r="AQ515" s="786"/>
      <c r="AR515" s="786"/>
      <c r="AS515" s="786"/>
      <c r="AT515" s="786"/>
      <c r="AU515" s="787"/>
      <c r="AV515" s="787"/>
      <c r="AW515" s="787"/>
      <c r="AX515" s="784"/>
      <c r="AY515" s="1214"/>
    </row>
    <row r="516" spans="1:51" ht="27.75" customHeight="1" x14ac:dyDescent="0.25">
      <c r="A516" s="1195"/>
      <c r="B516" s="833"/>
      <c r="C516" s="809"/>
      <c r="D516" s="136" t="s">
        <v>42</v>
      </c>
      <c r="E516" s="142"/>
      <c r="F516" s="143"/>
      <c r="G516" s="445"/>
      <c r="H516" s="445"/>
      <c r="I516" s="445"/>
      <c r="J516" s="445"/>
      <c r="K516" s="445"/>
      <c r="L516" s="445"/>
      <c r="M516" s="445"/>
      <c r="N516" s="448"/>
      <c r="O516" s="445"/>
      <c r="P516" s="445"/>
      <c r="Q516" s="445"/>
      <c r="R516" s="447"/>
      <c r="S516" s="446"/>
      <c r="T516" s="446"/>
      <c r="U516" s="446"/>
      <c r="V516" s="446"/>
      <c r="W516" s="446"/>
      <c r="X516" s="446"/>
      <c r="Y516" s="446"/>
      <c r="Z516" s="446"/>
      <c r="AA516" s="448"/>
      <c r="AB516" s="445"/>
      <c r="AC516" s="445"/>
      <c r="AD516" s="445"/>
      <c r="AE516" s="447"/>
      <c r="AF516" s="1218"/>
      <c r="AG516" s="1195"/>
      <c r="AH516" s="789"/>
      <c r="AI516" s="789"/>
      <c r="AJ516" s="793"/>
      <c r="AK516" s="789"/>
      <c r="AL516" s="789"/>
      <c r="AM516" s="789"/>
      <c r="AN516" s="791"/>
      <c r="AO516" s="805"/>
      <c r="AP516" s="805"/>
      <c r="AQ516" s="786"/>
      <c r="AR516" s="786"/>
      <c r="AS516" s="786"/>
      <c r="AT516" s="786"/>
      <c r="AU516" s="787"/>
      <c r="AV516" s="787"/>
      <c r="AW516" s="787"/>
      <c r="AX516" s="784"/>
      <c r="AY516" s="1214"/>
    </row>
    <row r="517" spans="1:51" ht="27.75" customHeight="1" x14ac:dyDescent="0.25">
      <c r="A517" s="1195"/>
      <c r="B517" s="833"/>
      <c r="C517" s="809"/>
      <c r="D517" s="132" t="s">
        <v>4</v>
      </c>
      <c r="E517" s="142"/>
      <c r="F517" s="143"/>
      <c r="G517" s="445"/>
      <c r="H517" s="445"/>
      <c r="I517" s="445"/>
      <c r="J517" s="445"/>
      <c r="K517" s="445"/>
      <c r="L517" s="445"/>
      <c r="M517" s="445"/>
      <c r="N517" s="448"/>
      <c r="O517" s="445"/>
      <c r="P517" s="445"/>
      <c r="Q517" s="445"/>
      <c r="R517" s="447"/>
      <c r="S517" s="446"/>
      <c r="T517" s="446"/>
      <c r="U517" s="446"/>
      <c r="V517" s="446"/>
      <c r="W517" s="446"/>
      <c r="X517" s="446"/>
      <c r="Y517" s="446"/>
      <c r="Z517" s="446"/>
      <c r="AA517" s="448"/>
      <c r="AB517" s="445"/>
      <c r="AC517" s="445"/>
      <c r="AD517" s="445"/>
      <c r="AE517" s="447"/>
      <c r="AF517" s="1218"/>
      <c r="AG517" s="1195"/>
      <c r="AH517" s="789"/>
      <c r="AI517" s="789"/>
      <c r="AJ517" s="793"/>
      <c r="AK517" s="789"/>
      <c r="AL517" s="789"/>
      <c r="AM517" s="789"/>
      <c r="AN517" s="791"/>
      <c r="AO517" s="805"/>
      <c r="AP517" s="805"/>
      <c r="AQ517" s="786"/>
      <c r="AR517" s="786"/>
      <c r="AS517" s="786"/>
      <c r="AT517" s="786"/>
      <c r="AU517" s="787"/>
      <c r="AV517" s="787"/>
      <c r="AW517" s="787"/>
      <c r="AX517" s="784"/>
      <c r="AY517" s="1214"/>
    </row>
    <row r="518" spans="1:51" ht="27.75" customHeight="1" x14ac:dyDescent="0.25">
      <c r="A518" s="1195"/>
      <c r="B518" s="833"/>
      <c r="C518" s="809"/>
      <c r="D518" s="136" t="s">
        <v>43</v>
      </c>
      <c r="E518" s="142"/>
      <c r="F518" s="143"/>
      <c r="G518" s="445"/>
      <c r="H518" s="445">
        <v>85</v>
      </c>
      <c r="I518" s="445">
        <v>85</v>
      </c>
      <c r="J518" s="445">
        <v>85</v>
      </c>
      <c r="K518" s="445"/>
      <c r="L518" s="445"/>
      <c r="M518" s="445">
        <v>45</v>
      </c>
      <c r="N518" s="448">
        <v>45</v>
      </c>
      <c r="O518" s="445">
        <v>45</v>
      </c>
      <c r="P518" s="445">
        <v>45</v>
      </c>
      <c r="Q518" s="445">
        <v>45</v>
      </c>
      <c r="R518" s="447">
        <v>45</v>
      </c>
      <c r="S518" s="446"/>
      <c r="T518" s="446"/>
      <c r="U518" s="446"/>
      <c r="V518" s="445"/>
      <c r="W518" s="445"/>
      <c r="X518" s="446"/>
      <c r="Y518" s="446"/>
      <c r="Z518" s="446">
        <v>45</v>
      </c>
      <c r="AA518" s="448">
        <v>45</v>
      </c>
      <c r="AB518" s="445">
        <v>45</v>
      </c>
      <c r="AC518" s="445">
        <v>45</v>
      </c>
      <c r="AD518" s="445">
        <v>45</v>
      </c>
      <c r="AE518" s="447">
        <v>45</v>
      </c>
      <c r="AF518" s="1218"/>
      <c r="AG518" s="1195"/>
      <c r="AH518" s="789"/>
      <c r="AI518" s="789"/>
      <c r="AJ518" s="793"/>
      <c r="AK518" s="789"/>
      <c r="AL518" s="789"/>
      <c r="AM518" s="789"/>
      <c r="AN518" s="791"/>
      <c r="AO518" s="805"/>
      <c r="AP518" s="805"/>
      <c r="AQ518" s="786"/>
      <c r="AR518" s="786"/>
      <c r="AS518" s="786"/>
      <c r="AT518" s="786"/>
      <c r="AU518" s="787"/>
      <c r="AV518" s="787"/>
      <c r="AW518" s="787"/>
      <c r="AX518" s="784"/>
      <c r="AY518" s="1214"/>
    </row>
    <row r="519" spans="1:51" ht="27.75" customHeight="1" thickBot="1" x14ac:dyDescent="0.3">
      <c r="A519" s="1195"/>
      <c r="B519" s="833"/>
      <c r="C519" s="809"/>
      <c r="D519" s="140" t="s">
        <v>45</v>
      </c>
      <c r="E519" s="142"/>
      <c r="F519" s="143"/>
      <c r="G519" s="445"/>
      <c r="H519" s="445">
        <v>832635.71428571432</v>
      </c>
      <c r="I519" s="445">
        <v>832635.71428571432</v>
      </c>
      <c r="J519" s="445">
        <v>660571.42857142852</v>
      </c>
      <c r="K519" s="445"/>
      <c r="L519" s="445"/>
      <c r="M519" s="445">
        <f>+M518*$M$299/$M$298</f>
        <v>349714.28571428574</v>
      </c>
      <c r="N519" s="445">
        <f>+N518*$N$299/$N$298</f>
        <v>384685.71428571426</v>
      </c>
      <c r="O519" s="445">
        <f>+O518*$O$299/$O$298</f>
        <v>384685.71428571426</v>
      </c>
      <c r="P519" s="445">
        <f>+P518*$P$299/$P$298</f>
        <v>384685.71428571426</v>
      </c>
      <c r="Q519" s="445">
        <f>+Q518*$Q$299/$Q$298</f>
        <v>384685.71428571426</v>
      </c>
      <c r="R519" s="445">
        <f>+R518*$R$299/$R$298</f>
        <v>380338.98305084748</v>
      </c>
      <c r="S519" s="446"/>
      <c r="T519" s="446"/>
      <c r="U519" s="445"/>
      <c r="V519" s="445"/>
      <c r="W519" s="445"/>
      <c r="X519" s="445"/>
      <c r="Y519" s="445"/>
      <c r="Z519" s="445">
        <f>+Z518*$Z$299/$Z$298</f>
        <v>596200.68192888459</v>
      </c>
      <c r="AA519" s="445">
        <f>+AA518*$AA$299/$AA$298</f>
        <v>517766.49746192893</v>
      </c>
      <c r="AB519" s="445">
        <f>+AB518*$AB$299/$AB$298</f>
        <v>460323.42986084992</v>
      </c>
      <c r="AC519" s="445">
        <f>+AC518*$AC$299/$AC$298</f>
        <v>414774.65266011521</v>
      </c>
      <c r="AD519" s="445">
        <f>+AD518*$AD$299/$AD$298</f>
        <v>377544.72547809995</v>
      </c>
      <c r="AE519" s="445">
        <f>+AE518*$AE$299/$AE$298</f>
        <v>380338.98305084748</v>
      </c>
      <c r="AF519" s="1218"/>
      <c r="AG519" s="1196"/>
      <c r="AH519" s="790"/>
      <c r="AI519" s="790"/>
      <c r="AJ519" s="794"/>
      <c r="AK519" s="790"/>
      <c r="AL519" s="790"/>
      <c r="AM519" s="790"/>
      <c r="AN519" s="791"/>
      <c r="AO519" s="805"/>
      <c r="AP519" s="805"/>
      <c r="AQ519" s="786"/>
      <c r="AR519" s="786"/>
      <c r="AS519" s="786"/>
      <c r="AT519" s="786"/>
      <c r="AU519" s="787"/>
      <c r="AV519" s="787"/>
      <c r="AW519" s="787"/>
      <c r="AX519" s="785"/>
      <c r="AY519" s="1214"/>
    </row>
    <row r="520" spans="1:51" ht="19.350000000000001" customHeight="1" x14ac:dyDescent="0.25">
      <c r="A520" s="1195"/>
      <c r="B520" s="833"/>
      <c r="C520" s="809" t="s">
        <v>994</v>
      </c>
      <c r="D520" s="141" t="s">
        <v>41</v>
      </c>
      <c r="E520" s="142"/>
      <c r="F520" s="143"/>
      <c r="G520" s="445"/>
      <c r="H520" s="445"/>
      <c r="I520" s="445"/>
      <c r="J520" s="445">
        <v>300</v>
      </c>
      <c r="K520" s="445">
        <v>300</v>
      </c>
      <c r="L520" s="445">
        <v>300</v>
      </c>
      <c r="M520" s="445">
        <v>300</v>
      </c>
      <c r="N520" s="448">
        <v>300</v>
      </c>
      <c r="O520" s="445"/>
      <c r="P520" s="445"/>
      <c r="Q520" s="445">
        <v>18</v>
      </c>
      <c r="R520" s="447">
        <v>18</v>
      </c>
      <c r="S520" s="446"/>
      <c r="T520" s="446"/>
      <c r="U520" s="446"/>
      <c r="V520" s="446"/>
      <c r="W520" s="448"/>
      <c r="X520" s="446"/>
      <c r="Y520" s="446"/>
      <c r="Z520" s="446"/>
      <c r="AA520" s="448"/>
      <c r="AB520" s="445"/>
      <c r="AC520" s="445"/>
      <c r="AD520" s="445">
        <v>18</v>
      </c>
      <c r="AE520" s="447">
        <v>18</v>
      </c>
      <c r="AF520" s="1217" t="s">
        <v>1286</v>
      </c>
      <c r="AG520" s="1194" t="s">
        <v>371</v>
      </c>
      <c r="AH520" s="788" t="s">
        <v>1021</v>
      </c>
      <c r="AI520" s="788" t="s">
        <v>1022</v>
      </c>
      <c r="AJ520" s="792" t="s">
        <v>839</v>
      </c>
      <c r="AK520" s="788" t="s">
        <v>315</v>
      </c>
      <c r="AL520" s="788" t="s">
        <v>70</v>
      </c>
      <c r="AM520" s="788" t="s">
        <v>480</v>
      </c>
      <c r="AN520" s="791">
        <v>887886</v>
      </c>
      <c r="AO520" s="805">
        <v>392164</v>
      </c>
      <c r="AP520" s="805">
        <v>439214</v>
      </c>
      <c r="AQ520" s="786" t="s">
        <v>317</v>
      </c>
      <c r="AR520" s="786" t="s">
        <v>317</v>
      </c>
      <c r="AS520" s="786" t="s">
        <v>317</v>
      </c>
      <c r="AT520" s="786" t="s">
        <v>317</v>
      </c>
      <c r="AU520" s="787" t="s">
        <v>317</v>
      </c>
      <c r="AV520" s="787" t="s">
        <v>317</v>
      </c>
      <c r="AW520" s="787" t="s">
        <v>317</v>
      </c>
      <c r="AX520" s="783">
        <v>887886</v>
      </c>
      <c r="AY520" s="1214"/>
    </row>
    <row r="521" spans="1:51" ht="18.75" customHeight="1" x14ac:dyDescent="0.25">
      <c r="A521" s="1195"/>
      <c r="B521" s="833"/>
      <c r="C521" s="809"/>
      <c r="D521" s="132" t="s">
        <v>3</v>
      </c>
      <c r="E521" s="142"/>
      <c r="F521" s="143"/>
      <c r="G521" s="445"/>
      <c r="H521" s="445"/>
      <c r="I521" s="445"/>
      <c r="J521" s="445">
        <v>2331428.5714285714</v>
      </c>
      <c r="K521" s="445">
        <f>+K520*$K$299/$K$298</f>
        <v>2331428.5714285714</v>
      </c>
      <c r="L521" s="445">
        <f>+L520*$L$299/$L$298</f>
        <v>2564571.4285714286</v>
      </c>
      <c r="M521" s="445">
        <f>+M520*$M$299/$M$298</f>
        <v>2331428.5714285714</v>
      </c>
      <c r="N521" s="445">
        <f>+N520*$N$299/$N$298</f>
        <v>2564571.4285714286</v>
      </c>
      <c r="O521" s="445"/>
      <c r="P521" s="445"/>
      <c r="Q521" s="445">
        <f>+Q520*$Q$299/$Q$298</f>
        <v>153874.28571428571</v>
      </c>
      <c r="R521" s="445">
        <f>+R520*$R$299/$R$298</f>
        <v>152135.59322033898</v>
      </c>
      <c r="S521" s="446"/>
      <c r="T521" s="446"/>
      <c r="U521" s="446"/>
      <c r="V521" s="446"/>
      <c r="W521" s="445"/>
      <c r="X521" s="445"/>
      <c r="Y521" s="445"/>
      <c r="Z521" s="445"/>
      <c r="AA521" s="445"/>
      <c r="AB521" s="445"/>
      <c r="AC521" s="445"/>
      <c r="AD521" s="445">
        <f>+AD520*$AD$299/$AD$298</f>
        <v>151017.89019123997</v>
      </c>
      <c r="AE521" s="445">
        <f>+AE520*$AE$299/$AE$298</f>
        <v>152135.59322033898</v>
      </c>
      <c r="AF521" s="1217"/>
      <c r="AG521" s="1195"/>
      <c r="AH521" s="789"/>
      <c r="AI521" s="789"/>
      <c r="AJ521" s="793"/>
      <c r="AK521" s="789"/>
      <c r="AL521" s="789"/>
      <c r="AM521" s="789"/>
      <c r="AN521" s="791"/>
      <c r="AO521" s="805"/>
      <c r="AP521" s="805"/>
      <c r="AQ521" s="786"/>
      <c r="AR521" s="786"/>
      <c r="AS521" s="786"/>
      <c r="AT521" s="786"/>
      <c r="AU521" s="787"/>
      <c r="AV521" s="787"/>
      <c r="AW521" s="787"/>
      <c r="AX521" s="784"/>
      <c r="AY521" s="1214"/>
    </row>
    <row r="522" spans="1:51" ht="27.75" customHeight="1" x14ac:dyDescent="0.25">
      <c r="A522" s="1195"/>
      <c r="B522" s="833"/>
      <c r="C522" s="809"/>
      <c r="D522" s="136" t="s">
        <v>42</v>
      </c>
      <c r="E522" s="142"/>
      <c r="F522" s="143"/>
      <c r="G522" s="445"/>
      <c r="H522" s="445"/>
      <c r="I522" s="445"/>
      <c r="J522" s="445"/>
      <c r="K522" s="445"/>
      <c r="L522" s="445"/>
      <c r="M522" s="445"/>
      <c r="N522" s="448"/>
      <c r="O522" s="445"/>
      <c r="P522" s="445"/>
      <c r="Q522" s="445"/>
      <c r="R522" s="447"/>
      <c r="S522" s="446"/>
      <c r="T522" s="446"/>
      <c r="U522" s="446"/>
      <c r="V522" s="446"/>
      <c r="W522" s="446"/>
      <c r="X522" s="446"/>
      <c r="Y522" s="446"/>
      <c r="Z522" s="446"/>
      <c r="AA522" s="448"/>
      <c r="AB522" s="445"/>
      <c r="AC522" s="445"/>
      <c r="AD522" s="445"/>
      <c r="AE522" s="447"/>
      <c r="AF522" s="1217"/>
      <c r="AG522" s="1195"/>
      <c r="AH522" s="789"/>
      <c r="AI522" s="789"/>
      <c r="AJ522" s="793"/>
      <c r="AK522" s="789"/>
      <c r="AL522" s="789"/>
      <c r="AM522" s="789"/>
      <c r="AN522" s="791"/>
      <c r="AO522" s="805"/>
      <c r="AP522" s="805"/>
      <c r="AQ522" s="786"/>
      <c r="AR522" s="786"/>
      <c r="AS522" s="786"/>
      <c r="AT522" s="786"/>
      <c r="AU522" s="787"/>
      <c r="AV522" s="787"/>
      <c r="AW522" s="787"/>
      <c r="AX522" s="784"/>
      <c r="AY522" s="1214"/>
    </row>
    <row r="523" spans="1:51" ht="27.75" customHeight="1" x14ac:dyDescent="0.25">
      <c r="A523" s="1195"/>
      <c r="B523" s="833"/>
      <c r="C523" s="809"/>
      <c r="D523" s="132" t="s">
        <v>4</v>
      </c>
      <c r="E523" s="142"/>
      <c r="F523" s="143"/>
      <c r="G523" s="445"/>
      <c r="H523" s="445"/>
      <c r="I523" s="445"/>
      <c r="J523" s="445"/>
      <c r="K523" s="445"/>
      <c r="L523" s="445"/>
      <c r="M523" s="445"/>
      <c r="N523" s="448"/>
      <c r="O523" s="445"/>
      <c r="P523" s="445"/>
      <c r="Q523" s="445"/>
      <c r="R523" s="447"/>
      <c r="S523" s="446"/>
      <c r="T523" s="446"/>
      <c r="U523" s="446"/>
      <c r="V523" s="446"/>
      <c r="W523" s="446"/>
      <c r="X523" s="446"/>
      <c r="Y523" s="446"/>
      <c r="Z523" s="446"/>
      <c r="AA523" s="448"/>
      <c r="AB523" s="445"/>
      <c r="AC523" s="445"/>
      <c r="AD523" s="445"/>
      <c r="AE523" s="447"/>
      <c r="AF523" s="1217"/>
      <c r="AG523" s="1195"/>
      <c r="AH523" s="789"/>
      <c r="AI523" s="789"/>
      <c r="AJ523" s="793"/>
      <c r="AK523" s="789"/>
      <c r="AL523" s="789"/>
      <c r="AM523" s="789"/>
      <c r="AN523" s="791"/>
      <c r="AO523" s="805"/>
      <c r="AP523" s="805"/>
      <c r="AQ523" s="786"/>
      <c r="AR523" s="786"/>
      <c r="AS523" s="786"/>
      <c r="AT523" s="786"/>
      <c r="AU523" s="787"/>
      <c r="AV523" s="787"/>
      <c r="AW523" s="787"/>
      <c r="AX523" s="784"/>
      <c r="AY523" s="1214"/>
    </row>
    <row r="524" spans="1:51" ht="27.75" customHeight="1" x14ac:dyDescent="0.25">
      <c r="A524" s="1195"/>
      <c r="B524" s="833"/>
      <c r="C524" s="809"/>
      <c r="D524" s="136" t="s">
        <v>43</v>
      </c>
      <c r="E524" s="142"/>
      <c r="F524" s="143"/>
      <c r="G524" s="445"/>
      <c r="H524" s="445"/>
      <c r="I524" s="445"/>
      <c r="J524" s="445">
        <v>300</v>
      </c>
      <c r="K524" s="445">
        <v>300</v>
      </c>
      <c r="L524" s="445">
        <v>300</v>
      </c>
      <c r="M524" s="445">
        <v>300</v>
      </c>
      <c r="N524" s="448">
        <v>300</v>
      </c>
      <c r="O524" s="445"/>
      <c r="P524" s="445"/>
      <c r="Q524" s="445">
        <v>18</v>
      </c>
      <c r="R524" s="447">
        <v>18</v>
      </c>
      <c r="S524" s="446"/>
      <c r="T524" s="446"/>
      <c r="U524" s="446"/>
      <c r="V524" s="446"/>
      <c r="W524" s="445"/>
      <c r="X524" s="446"/>
      <c r="Y524" s="446"/>
      <c r="Z524" s="446"/>
      <c r="AA524" s="448"/>
      <c r="AB524" s="445"/>
      <c r="AC524" s="445"/>
      <c r="AD524" s="445">
        <v>18</v>
      </c>
      <c r="AE524" s="447">
        <v>18</v>
      </c>
      <c r="AF524" s="1217"/>
      <c r="AG524" s="1195"/>
      <c r="AH524" s="789"/>
      <c r="AI524" s="789"/>
      <c r="AJ524" s="793"/>
      <c r="AK524" s="789"/>
      <c r="AL524" s="789"/>
      <c r="AM524" s="789"/>
      <c r="AN524" s="791"/>
      <c r="AO524" s="805"/>
      <c r="AP524" s="805"/>
      <c r="AQ524" s="786"/>
      <c r="AR524" s="786"/>
      <c r="AS524" s="786"/>
      <c r="AT524" s="786"/>
      <c r="AU524" s="787"/>
      <c r="AV524" s="787"/>
      <c r="AW524" s="787"/>
      <c r="AX524" s="784"/>
      <c r="AY524" s="1214"/>
    </row>
    <row r="525" spans="1:51" ht="27.75" customHeight="1" thickBot="1" x14ac:dyDescent="0.3">
      <c r="A525" s="1195"/>
      <c r="B525" s="833"/>
      <c r="C525" s="809"/>
      <c r="D525" s="140" t="s">
        <v>45</v>
      </c>
      <c r="E525" s="142"/>
      <c r="F525" s="143"/>
      <c r="G525" s="445"/>
      <c r="H525" s="445"/>
      <c r="I525" s="445"/>
      <c r="J525" s="445">
        <v>2331428.5714285714</v>
      </c>
      <c r="K525" s="445">
        <f>+K524*$K$299/$K$298</f>
        <v>2331428.5714285714</v>
      </c>
      <c r="L525" s="445">
        <f>+L524*$L$299/$L$298</f>
        <v>2564571.4285714286</v>
      </c>
      <c r="M525" s="445">
        <f>+M524*$M$299/$M$298</f>
        <v>2331428.5714285714</v>
      </c>
      <c r="N525" s="445">
        <f>+N524*$N$299/$N$298</f>
        <v>2564571.4285714286</v>
      </c>
      <c r="O525" s="445"/>
      <c r="P525" s="445"/>
      <c r="Q525" s="445">
        <f>+Q524*$Q$299/$Q$298</f>
        <v>153874.28571428571</v>
      </c>
      <c r="R525" s="445">
        <f>+R524*$R$299/$R$298</f>
        <v>152135.59322033898</v>
      </c>
      <c r="S525" s="446"/>
      <c r="T525" s="446"/>
      <c r="U525" s="446"/>
      <c r="V525" s="446"/>
      <c r="W525" s="445"/>
      <c r="X525" s="445"/>
      <c r="Y525" s="445"/>
      <c r="Z525" s="445"/>
      <c r="AA525" s="445"/>
      <c r="AB525" s="445"/>
      <c r="AC525" s="445"/>
      <c r="AD525" s="445">
        <f>+AD524*$AD$299/$AD$298</f>
        <v>151017.89019123997</v>
      </c>
      <c r="AE525" s="445">
        <f>+AE524*$AE$299/$AE$298</f>
        <v>152135.59322033898</v>
      </c>
      <c r="AF525" s="1217"/>
      <c r="AG525" s="1196"/>
      <c r="AH525" s="790"/>
      <c r="AI525" s="790"/>
      <c r="AJ525" s="794"/>
      <c r="AK525" s="790"/>
      <c r="AL525" s="790"/>
      <c r="AM525" s="790"/>
      <c r="AN525" s="791"/>
      <c r="AO525" s="805"/>
      <c r="AP525" s="805"/>
      <c r="AQ525" s="786"/>
      <c r="AR525" s="786"/>
      <c r="AS525" s="786"/>
      <c r="AT525" s="786"/>
      <c r="AU525" s="787"/>
      <c r="AV525" s="787"/>
      <c r="AW525" s="787"/>
      <c r="AX525" s="785"/>
      <c r="AY525" s="1214"/>
    </row>
    <row r="526" spans="1:51" ht="19.350000000000001" customHeight="1" x14ac:dyDescent="0.25">
      <c r="A526" s="1195"/>
      <c r="B526" s="833"/>
      <c r="C526" s="809" t="s">
        <v>519</v>
      </c>
      <c r="D526" s="141" t="s">
        <v>41</v>
      </c>
      <c r="E526" s="142"/>
      <c r="F526" s="143"/>
      <c r="G526" s="445"/>
      <c r="H526" s="445"/>
      <c r="I526" s="445"/>
      <c r="J526" s="445">
        <v>300</v>
      </c>
      <c r="K526" s="445">
        <v>300</v>
      </c>
      <c r="L526" s="445">
        <v>300</v>
      </c>
      <c r="M526" s="445">
        <v>300</v>
      </c>
      <c r="N526" s="448">
        <v>300</v>
      </c>
      <c r="O526" s="445">
        <v>300</v>
      </c>
      <c r="P526" s="445">
        <v>300</v>
      </c>
      <c r="Q526" s="445">
        <v>300</v>
      </c>
      <c r="R526" s="447">
        <v>300</v>
      </c>
      <c r="S526" s="446"/>
      <c r="T526" s="446"/>
      <c r="U526" s="446"/>
      <c r="V526" s="446"/>
      <c r="W526" s="448">
        <v>300</v>
      </c>
      <c r="X526" s="446">
        <v>300</v>
      </c>
      <c r="Y526" s="446">
        <v>300</v>
      </c>
      <c r="Z526" s="446">
        <v>300</v>
      </c>
      <c r="AA526" s="448">
        <v>300</v>
      </c>
      <c r="AB526" s="445">
        <v>300</v>
      </c>
      <c r="AC526" s="445">
        <v>300</v>
      </c>
      <c r="AD526" s="445">
        <v>300</v>
      </c>
      <c r="AE526" s="447">
        <v>300</v>
      </c>
      <c r="AF526" s="1217" t="s">
        <v>737</v>
      </c>
      <c r="AG526" s="1194" t="s">
        <v>371</v>
      </c>
      <c r="AH526" s="788" t="s">
        <v>521</v>
      </c>
      <c r="AI526" s="788" t="s">
        <v>522</v>
      </c>
      <c r="AJ526" s="792" t="s">
        <v>839</v>
      </c>
      <c r="AK526" s="788" t="s">
        <v>315</v>
      </c>
      <c r="AL526" s="788" t="s">
        <v>70</v>
      </c>
      <c r="AM526" s="788" t="s">
        <v>480</v>
      </c>
      <c r="AN526" s="791">
        <v>887886</v>
      </c>
      <c r="AO526" s="805">
        <v>392164</v>
      </c>
      <c r="AP526" s="805">
        <v>439214</v>
      </c>
      <c r="AQ526" s="786" t="s">
        <v>317</v>
      </c>
      <c r="AR526" s="786" t="s">
        <v>317</v>
      </c>
      <c r="AS526" s="786" t="s">
        <v>317</v>
      </c>
      <c r="AT526" s="786" t="s">
        <v>317</v>
      </c>
      <c r="AU526" s="787" t="s">
        <v>317</v>
      </c>
      <c r="AV526" s="787" t="s">
        <v>317</v>
      </c>
      <c r="AW526" s="787" t="s">
        <v>317</v>
      </c>
      <c r="AX526" s="783">
        <v>887886</v>
      </c>
      <c r="AY526" s="1214"/>
    </row>
    <row r="527" spans="1:51" ht="18.75" customHeight="1" x14ac:dyDescent="0.25">
      <c r="A527" s="1195"/>
      <c r="B527" s="833"/>
      <c r="C527" s="809"/>
      <c r="D527" s="132" t="s">
        <v>3</v>
      </c>
      <c r="E527" s="142"/>
      <c r="F527" s="143"/>
      <c r="G527" s="445"/>
      <c r="H527" s="445"/>
      <c r="I527" s="445"/>
      <c r="J527" s="445">
        <v>2331428.5714285714</v>
      </c>
      <c r="K527" s="445">
        <f>+K526*$K$299/$K$298</f>
        <v>2331428.5714285714</v>
      </c>
      <c r="L527" s="445">
        <f>+L526*$L$299/$L$298</f>
        <v>2564571.4285714286</v>
      </c>
      <c r="M527" s="445">
        <f>+M526*$M$299/$M$298</f>
        <v>2331428.5714285714</v>
      </c>
      <c r="N527" s="445">
        <f>+N526*$N$299/$N$298</f>
        <v>2564571.4285714286</v>
      </c>
      <c r="O527" s="445">
        <f>+O526*$O$299/$O$298</f>
        <v>2564571.4285714286</v>
      </c>
      <c r="P527" s="445">
        <f>+P526*$P$299/$P$298</f>
        <v>2564571.4285714286</v>
      </c>
      <c r="Q527" s="445">
        <f>+Q526*$Q$299/$Q$298</f>
        <v>2564571.4285714286</v>
      </c>
      <c r="R527" s="445">
        <f>+R526*$R$299/$R$298</f>
        <v>2535593.220338983</v>
      </c>
      <c r="S527" s="446"/>
      <c r="T527" s="446"/>
      <c r="U527" s="446"/>
      <c r="V527" s="446"/>
      <c r="W527" s="445">
        <v>7139107.611548556</v>
      </c>
      <c r="X527" s="445">
        <f>+X526*$X$299/$X$298</f>
        <v>5577580.3144224193</v>
      </c>
      <c r="Y527" s="445">
        <f>+Y526*$Y$299/$Y$298</f>
        <v>4636363.6363636367</v>
      </c>
      <c r="Z527" s="445">
        <f>+Z526*$Z$299/$Z$298</f>
        <v>3974671.2128592306</v>
      </c>
      <c r="AA527" s="445">
        <f>+AA526*$AA$299/$AA$298</f>
        <v>3451776.6497461931</v>
      </c>
      <c r="AB527" s="445">
        <f>+AB526*$AB$299/$AB$298</f>
        <v>3068822.8657389996</v>
      </c>
      <c r="AC527" s="445">
        <f>+AC526*$AC$299/$AC$298</f>
        <v>2765164.351067435</v>
      </c>
      <c r="AD527" s="445">
        <f>+AD526*$AD$299/$AD$298</f>
        <v>2516964.8365206663</v>
      </c>
      <c r="AE527" s="445">
        <f>+AE526*$AE$299/$AE$298</f>
        <v>2535593.220338983</v>
      </c>
      <c r="AF527" s="1217"/>
      <c r="AG527" s="1195"/>
      <c r="AH527" s="789"/>
      <c r="AI527" s="789"/>
      <c r="AJ527" s="793"/>
      <c r="AK527" s="789"/>
      <c r="AL527" s="789"/>
      <c r="AM527" s="789"/>
      <c r="AN527" s="791"/>
      <c r="AO527" s="805"/>
      <c r="AP527" s="805"/>
      <c r="AQ527" s="786"/>
      <c r="AR527" s="786"/>
      <c r="AS527" s="786"/>
      <c r="AT527" s="786"/>
      <c r="AU527" s="787"/>
      <c r="AV527" s="787"/>
      <c r="AW527" s="787"/>
      <c r="AX527" s="784"/>
      <c r="AY527" s="1214"/>
    </row>
    <row r="528" spans="1:51" ht="27.75" customHeight="1" x14ac:dyDescent="0.25">
      <c r="A528" s="1195"/>
      <c r="B528" s="833"/>
      <c r="C528" s="809"/>
      <c r="D528" s="136" t="s">
        <v>42</v>
      </c>
      <c r="E528" s="142"/>
      <c r="F528" s="143"/>
      <c r="G528" s="445"/>
      <c r="H528" s="445"/>
      <c r="I528" s="445"/>
      <c r="J528" s="445"/>
      <c r="K528" s="445"/>
      <c r="L528" s="445"/>
      <c r="M528" s="445"/>
      <c r="N528" s="448"/>
      <c r="O528" s="445"/>
      <c r="P528" s="445"/>
      <c r="Q528" s="445"/>
      <c r="R528" s="447"/>
      <c r="S528" s="446"/>
      <c r="T528" s="446"/>
      <c r="U528" s="446"/>
      <c r="V528" s="446"/>
      <c r="W528" s="446"/>
      <c r="X528" s="446"/>
      <c r="Y528" s="446"/>
      <c r="Z528" s="446"/>
      <c r="AA528" s="448"/>
      <c r="AB528" s="445"/>
      <c r="AC528" s="445"/>
      <c r="AD528" s="445"/>
      <c r="AE528" s="447"/>
      <c r="AF528" s="1217"/>
      <c r="AG528" s="1195"/>
      <c r="AH528" s="789"/>
      <c r="AI528" s="789"/>
      <c r="AJ528" s="793"/>
      <c r="AK528" s="789"/>
      <c r="AL528" s="789"/>
      <c r="AM528" s="789"/>
      <c r="AN528" s="791"/>
      <c r="AO528" s="805"/>
      <c r="AP528" s="805"/>
      <c r="AQ528" s="786"/>
      <c r="AR528" s="786"/>
      <c r="AS528" s="786"/>
      <c r="AT528" s="786"/>
      <c r="AU528" s="787"/>
      <c r="AV528" s="787"/>
      <c r="AW528" s="787"/>
      <c r="AX528" s="784"/>
      <c r="AY528" s="1214"/>
    </row>
    <row r="529" spans="1:51" ht="27.75" customHeight="1" x14ac:dyDescent="0.25">
      <c r="A529" s="1195"/>
      <c r="B529" s="833"/>
      <c r="C529" s="809"/>
      <c r="D529" s="132" t="s">
        <v>4</v>
      </c>
      <c r="E529" s="142"/>
      <c r="F529" s="143"/>
      <c r="G529" s="445"/>
      <c r="H529" s="445"/>
      <c r="I529" s="445"/>
      <c r="J529" s="445"/>
      <c r="K529" s="445"/>
      <c r="L529" s="445"/>
      <c r="M529" s="445"/>
      <c r="N529" s="448"/>
      <c r="O529" s="445"/>
      <c r="P529" s="445"/>
      <c r="Q529" s="445"/>
      <c r="R529" s="447"/>
      <c r="S529" s="446"/>
      <c r="T529" s="446"/>
      <c r="U529" s="446"/>
      <c r="V529" s="446"/>
      <c r="W529" s="446"/>
      <c r="X529" s="446"/>
      <c r="Y529" s="446"/>
      <c r="Z529" s="446"/>
      <c r="AA529" s="448"/>
      <c r="AB529" s="445"/>
      <c r="AC529" s="445"/>
      <c r="AD529" s="445"/>
      <c r="AE529" s="447"/>
      <c r="AF529" s="1217"/>
      <c r="AG529" s="1195"/>
      <c r="AH529" s="789"/>
      <c r="AI529" s="789"/>
      <c r="AJ529" s="793"/>
      <c r="AK529" s="789"/>
      <c r="AL529" s="789"/>
      <c r="AM529" s="789"/>
      <c r="AN529" s="791"/>
      <c r="AO529" s="805"/>
      <c r="AP529" s="805"/>
      <c r="AQ529" s="786"/>
      <c r="AR529" s="786"/>
      <c r="AS529" s="786"/>
      <c r="AT529" s="786"/>
      <c r="AU529" s="787"/>
      <c r="AV529" s="787"/>
      <c r="AW529" s="787"/>
      <c r="AX529" s="784"/>
      <c r="AY529" s="1214"/>
    </row>
    <row r="530" spans="1:51" ht="27.75" customHeight="1" x14ac:dyDescent="0.25">
      <c r="A530" s="1195"/>
      <c r="B530" s="833"/>
      <c r="C530" s="809"/>
      <c r="D530" s="136" t="s">
        <v>43</v>
      </c>
      <c r="E530" s="142"/>
      <c r="F530" s="143"/>
      <c r="G530" s="445"/>
      <c r="H530" s="445"/>
      <c r="I530" s="445"/>
      <c r="J530" s="445">
        <v>300</v>
      </c>
      <c r="K530" s="445">
        <v>300</v>
      </c>
      <c r="L530" s="445">
        <v>300</v>
      </c>
      <c r="M530" s="445">
        <v>300</v>
      </c>
      <c r="N530" s="448">
        <v>300</v>
      </c>
      <c r="O530" s="445">
        <v>300</v>
      </c>
      <c r="P530" s="445">
        <v>300</v>
      </c>
      <c r="Q530" s="445">
        <v>300</v>
      </c>
      <c r="R530" s="447">
        <v>300</v>
      </c>
      <c r="S530" s="446"/>
      <c r="T530" s="446"/>
      <c r="U530" s="446"/>
      <c r="V530" s="446"/>
      <c r="W530" s="445">
        <v>300</v>
      </c>
      <c r="X530" s="446">
        <v>300</v>
      </c>
      <c r="Y530" s="446">
        <v>300</v>
      </c>
      <c r="Z530" s="446">
        <v>300</v>
      </c>
      <c r="AA530" s="448">
        <v>300</v>
      </c>
      <c r="AB530" s="445">
        <v>300</v>
      </c>
      <c r="AC530" s="445">
        <v>300</v>
      </c>
      <c r="AD530" s="445">
        <v>300</v>
      </c>
      <c r="AE530" s="447">
        <v>300</v>
      </c>
      <c r="AF530" s="1217"/>
      <c r="AG530" s="1195"/>
      <c r="AH530" s="789"/>
      <c r="AI530" s="789"/>
      <c r="AJ530" s="793"/>
      <c r="AK530" s="789"/>
      <c r="AL530" s="789"/>
      <c r="AM530" s="789"/>
      <c r="AN530" s="791"/>
      <c r="AO530" s="805"/>
      <c r="AP530" s="805"/>
      <c r="AQ530" s="786"/>
      <c r="AR530" s="786"/>
      <c r="AS530" s="786"/>
      <c r="AT530" s="786"/>
      <c r="AU530" s="787"/>
      <c r="AV530" s="787"/>
      <c r="AW530" s="787"/>
      <c r="AX530" s="784"/>
      <c r="AY530" s="1214"/>
    </row>
    <row r="531" spans="1:51" ht="27.75" customHeight="1" thickBot="1" x14ac:dyDescent="0.3">
      <c r="A531" s="1195"/>
      <c r="B531" s="833"/>
      <c r="C531" s="809"/>
      <c r="D531" s="140" t="s">
        <v>45</v>
      </c>
      <c r="E531" s="142"/>
      <c r="F531" s="143"/>
      <c r="G531" s="445"/>
      <c r="H531" s="445"/>
      <c r="I531" s="445"/>
      <c r="J531" s="445">
        <v>2331428.5714285714</v>
      </c>
      <c r="K531" s="445">
        <f>+K530*$K$299/$K$298</f>
        <v>2331428.5714285714</v>
      </c>
      <c r="L531" s="445">
        <f>+L530*$L$299/$L$298</f>
        <v>2564571.4285714286</v>
      </c>
      <c r="M531" s="445">
        <f>+M530*$M$299/$M$298</f>
        <v>2331428.5714285714</v>
      </c>
      <c r="N531" s="445">
        <f>+N530*$N$299/$N$298</f>
        <v>2564571.4285714286</v>
      </c>
      <c r="O531" s="445">
        <f>+O530*$O$299/$O$298</f>
        <v>2564571.4285714286</v>
      </c>
      <c r="P531" s="445">
        <f>+P530*$P$299/$P$298</f>
        <v>2564571.4285714286</v>
      </c>
      <c r="Q531" s="445">
        <f>+Q530*$Q$299/$Q$298</f>
        <v>2564571.4285714286</v>
      </c>
      <c r="R531" s="445">
        <f>+R530*$R$299/$R$298</f>
        <v>2535593.220338983</v>
      </c>
      <c r="S531" s="446"/>
      <c r="T531" s="446"/>
      <c r="U531" s="446"/>
      <c r="V531" s="446"/>
      <c r="W531" s="445">
        <v>7139107.611548556</v>
      </c>
      <c r="X531" s="445">
        <f>+X530*$X$299/$X$298</f>
        <v>5577580.3144224193</v>
      </c>
      <c r="Y531" s="445">
        <f>+Y530*$Y$299/$Y$298</f>
        <v>4636363.6363636367</v>
      </c>
      <c r="Z531" s="445">
        <f>+Z530*$Z$299/$Z$298</f>
        <v>3974671.2128592306</v>
      </c>
      <c r="AA531" s="445">
        <f>+AA530*$AA$299/$AA$298</f>
        <v>3451776.6497461931</v>
      </c>
      <c r="AB531" s="445">
        <f>+AB530*$AB$299/$AB$298</f>
        <v>3068822.8657389996</v>
      </c>
      <c r="AC531" s="445">
        <f>+AC530*$AC$299/$AC$298</f>
        <v>2765164.351067435</v>
      </c>
      <c r="AD531" s="445">
        <f>+AD530*$AD$299/$AD$298</f>
        <v>2516964.8365206663</v>
      </c>
      <c r="AE531" s="445">
        <f>+AE530*$AE$299/$AE$298</f>
        <v>2535593.220338983</v>
      </c>
      <c r="AF531" s="1217"/>
      <c r="AG531" s="1196"/>
      <c r="AH531" s="790"/>
      <c r="AI531" s="790"/>
      <c r="AJ531" s="794"/>
      <c r="AK531" s="790"/>
      <c r="AL531" s="790"/>
      <c r="AM531" s="790"/>
      <c r="AN531" s="791"/>
      <c r="AO531" s="805"/>
      <c r="AP531" s="805"/>
      <c r="AQ531" s="786"/>
      <c r="AR531" s="786"/>
      <c r="AS531" s="786"/>
      <c r="AT531" s="786"/>
      <c r="AU531" s="787"/>
      <c r="AV531" s="787"/>
      <c r="AW531" s="787"/>
      <c r="AX531" s="785"/>
      <c r="AY531" s="1214"/>
    </row>
    <row r="532" spans="1:51" ht="19.350000000000001" hidden="1" customHeight="1" x14ac:dyDescent="0.25">
      <c r="A532" s="1195"/>
      <c r="B532" s="833"/>
      <c r="C532" s="809" t="s">
        <v>378</v>
      </c>
      <c r="D532" s="141" t="s">
        <v>41</v>
      </c>
      <c r="E532" s="142"/>
      <c r="F532" s="143"/>
      <c r="G532" s="445"/>
      <c r="H532" s="445"/>
      <c r="I532" s="445"/>
      <c r="J532" s="445"/>
      <c r="K532" s="445"/>
      <c r="L532" s="445"/>
      <c r="M532" s="445"/>
      <c r="N532" s="448"/>
      <c r="O532" s="445"/>
      <c r="P532" s="445"/>
      <c r="Q532" s="445"/>
      <c r="R532" s="447"/>
      <c r="S532" s="446"/>
      <c r="T532" s="446"/>
      <c r="U532" s="446"/>
      <c r="V532" s="446"/>
      <c r="W532" s="446"/>
      <c r="X532" s="446"/>
      <c r="Y532" s="446"/>
      <c r="Z532" s="446"/>
      <c r="AA532" s="448"/>
      <c r="AB532" s="445"/>
      <c r="AC532" s="445"/>
      <c r="AD532" s="445"/>
      <c r="AE532" s="447"/>
      <c r="AF532" s="1223"/>
      <c r="AG532" s="1194" t="s">
        <v>378</v>
      </c>
      <c r="AH532" s="788" t="s">
        <v>523</v>
      </c>
      <c r="AI532" s="788" t="s">
        <v>524</v>
      </c>
      <c r="AJ532" s="792" t="s">
        <v>839</v>
      </c>
      <c r="AK532" s="788" t="s">
        <v>315</v>
      </c>
      <c r="AL532" s="788" t="s">
        <v>70</v>
      </c>
      <c r="AM532" s="788" t="s">
        <v>480</v>
      </c>
      <c r="AN532" s="791">
        <v>1215896</v>
      </c>
      <c r="AO532" s="805">
        <v>572451</v>
      </c>
      <c r="AP532" s="805">
        <v>643445</v>
      </c>
      <c r="AQ532" s="786" t="s">
        <v>317</v>
      </c>
      <c r="AR532" s="786" t="s">
        <v>317</v>
      </c>
      <c r="AS532" s="786" t="s">
        <v>317</v>
      </c>
      <c r="AT532" s="786" t="s">
        <v>317</v>
      </c>
      <c r="AU532" s="787" t="s">
        <v>317</v>
      </c>
      <c r="AV532" s="787" t="s">
        <v>317</v>
      </c>
      <c r="AW532" s="787" t="s">
        <v>317</v>
      </c>
      <c r="AX532" s="783">
        <v>1215896</v>
      </c>
      <c r="AY532" s="1214"/>
    </row>
    <row r="533" spans="1:51" ht="18" hidden="1" customHeight="1" x14ac:dyDescent="0.25">
      <c r="A533" s="1195"/>
      <c r="B533" s="833"/>
      <c r="C533" s="809"/>
      <c r="D533" s="132" t="s">
        <v>3</v>
      </c>
      <c r="E533" s="142"/>
      <c r="F533" s="143"/>
      <c r="G533" s="445"/>
      <c r="H533" s="445"/>
      <c r="I533" s="445"/>
      <c r="J533" s="445"/>
      <c r="K533" s="445"/>
      <c r="L533" s="445"/>
      <c r="M533" s="445"/>
      <c r="N533" s="445"/>
      <c r="O533" s="445"/>
      <c r="P533" s="445"/>
      <c r="Q533" s="445"/>
      <c r="R533" s="445"/>
      <c r="S533" s="446"/>
      <c r="T533" s="446"/>
      <c r="U533" s="446"/>
      <c r="V533" s="446"/>
      <c r="W533" s="446"/>
      <c r="X533" s="446"/>
      <c r="Y533" s="446"/>
      <c r="Z533" s="446"/>
      <c r="AA533" s="445"/>
      <c r="AB533" s="445"/>
      <c r="AC533" s="445"/>
      <c r="AD533" s="445"/>
      <c r="AE533" s="445"/>
      <c r="AF533" s="1223"/>
      <c r="AG533" s="1195"/>
      <c r="AH533" s="789"/>
      <c r="AI533" s="789"/>
      <c r="AJ533" s="793"/>
      <c r="AK533" s="789"/>
      <c r="AL533" s="789"/>
      <c r="AM533" s="789"/>
      <c r="AN533" s="791"/>
      <c r="AO533" s="805"/>
      <c r="AP533" s="805"/>
      <c r="AQ533" s="786"/>
      <c r="AR533" s="786"/>
      <c r="AS533" s="786"/>
      <c r="AT533" s="786"/>
      <c r="AU533" s="787"/>
      <c r="AV533" s="787"/>
      <c r="AW533" s="787"/>
      <c r="AX533" s="784"/>
      <c r="AY533" s="1214"/>
    </row>
    <row r="534" spans="1:51" ht="27" hidden="1" customHeight="1" x14ac:dyDescent="0.25">
      <c r="A534" s="1195"/>
      <c r="B534" s="833"/>
      <c r="C534" s="809"/>
      <c r="D534" s="136" t="s">
        <v>42</v>
      </c>
      <c r="E534" s="142"/>
      <c r="F534" s="143"/>
      <c r="G534" s="445"/>
      <c r="H534" s="445"/>
      <c r="I534" s="445"/>
      <c r="J534" s="445"/>
      <c r="K534" s="445"/>
      <c r="L534" s="445"/>
      <c r="M534" s="445"/>
      <c r="N534" s="448"/>
      <c r="O534" s="445"/>
      <c r="P534" s="445"/>
      <c r="Q534" s="445"/>
      <c r="R534" s="447"/>
      <c r="S534" s="446"/>
      <c r="T534" s="446"/>
      <c r="U534" s="446"/>
      <c r="V534" s="446"/>
      <c r="W534" s="446"/>
      <c r="X534" s="446"/>
      <c r="Y534" s="446"/>
      <c r="Z534" s="446"/>
      <c r="AA534" s="448"/>
      <c r="AB534" s="445"/>
      <c r="AC534" s="445"/>
      <c r="AD534" s="445"/>
      <c r="AE534" s="447"/>
      <c r="AF534" s="1223"/>
      <c r="AG534" s="1195"/>
      <c r="AH534" s="789"/>
      <c r="AI534" s="789"/>
      <c r="AJ534" s="793"/>
      <c r="AK534" s="789"/>
      <c r="AL534" s="789"/>
      <c r="AM534" s="789"/>
      <c r="AN534" s="791"/>
      <c r="AO534" s="805"/>
      <c r="AP534" s="805"/>
      <c r="AQ534" s="786"/>
      <c r="AR534" s="786"/>
      <c r="AS534" s="786"/>
      <c r="AT534" s="786"/>
      <c r="AU534" s="787"/>
      <c r="AV534" s="787"/>
      <c r="AW534" s="787"/>
      <c r="AX534" s="784"/>
      <c r="AY534" s="1214"/>
    </row>
    <row r="535" spans="1:51" ht="27" hidden="1" customHeight="1" x14ac:dyDescent="0.25">
      <c r="A535" s="1195"/>
      <c r="B535" s="833"/>
      <c r="C535" s="809"/>
      <c r="D535" s="132" t="s">
        <v>4</v>
      </c>
      <c r="E535" s="142"/>
      <c r="F535" s="143"/>
      <c r="G535" s="445"/>
      <c r="H535" s="445"/>
      <c r="I535" s="445"/>
      <c r="J535" s="445"/>
      <c r="K535" s="445"/>
      <c r="L535" s="445"/>
      <c r="M535" s="445"/>
      <c r="N535" s="448"/>
      <c r="O535" s="445"/>
      <c r="P535" s="445"/>
      <c r="Q535" s="445"/>
      <c r="R535" s="447"/>
      <c r="S535" s="446"/>
      <c r="T535" s="446"/>
      <c r="U535" s="446"/>
      <c r="V535" s="446"/>
      <c r="W535" s="446"/>
      <c r="X535" s="446"/>
      <c r="Y535" s="446"/>
      <c r="Z535" s="446"/>
      <c r="AA535" s="448"/>
      <c r="AB535" s="445"/>
      <c r="AC535" s="445"/>
      <c r="AD535" s="445"/>
      <c r="AE535" s="447"/>
      <c r="AF535" s="1223"/>
      <c r="AG535" s="1195"/>
      <c r="AH535" s="789"/>
      <c r="AI535" s="789"/>
      <c r="AJ535" s="793"/>
      <c r="AK535" s="789"/>
      <c r="AL535" s="789"/>
      <c r="AM535" s="789"/>
      <c r="AN535" s="791"/>
      <c r="AO535" s="805"/>
      <c r="AP535" s="805"/>
      <c r="AQ535" s="786"/>
      <c r="AR535" s="786"/>
      <c r="AS535" s="786"/>
      <c r="AT535" s="786"/>
      <c r="AU535" s="787"/>
      <c r="AV535" s="787"/>
      <c r="AW535" s="787"/>
      <c r="AX535" s="784"/>
      <c r="AY535" s="1214"/>
    </row>
    <row r="536" spans="1:51" ht="27" hidden="1" customHeight="1" x14ac:dyDescent="0.25">
      <c r="A536" s="1195"/>
      <c r="B536" s="833"/>
      <c r="C536" s="809"/>
      <c r="D536" s="136" t="s">
        <v>43</v>
      </c>
      <c r="E536" s="142"/>
      <c r="F536" s="143"/>
      <c r="G536" s="445"/>
      <c r="H536" s="445"/>
      <c r="I536" s="445"/>
      <c r="J536" s="445"/>
      <c r="K536" s="445"/>
      <c r="L536" s="445"/>
      <c r="M536" s="445"/>
      <c r="N536" s="448"/>
      <c r="O536" s="445"/>
      <c r="P536" s="445"/>
      <c r="Q536" s="445"/>
      <c r="R536" s="447"/>
      <c r="S536" s="446"/>
      <c r="T536" s="446"/>
      <c r="U536" s="446"/>
      <c r="V536" s="446"/>
      <c r="W536" s="446"/>
      <c r="X536" s="446"/>
      <c r="Y536" s="446"/>
      <c r="Z536" s="446"/>
      <c r="AA536" s="448"/>
      <c r="AB536" s="445"/>
      <c r="AC536" s="445"/>
      <c r="AD536" s="445"/>
      <c r="AE536" s="447"/>
      <c r="AF536" s="1223"/>
      <c r="AG536" s="1195"/>
      <c r="AH536" s="789"/>
      <c r="AI536" s="789"/>
      <c r="AJ536" s="793"/>
      <c r="AK536" s="789"/>
      <c r="AL536" s="789"/>
      <c r="AM536" s="789"/>
      <c r="AN536" s="791"/>
      <c r="AO536" s="805"/>
      <c r="AP536" s="805"/>
      <c r="AQ536" s="786"/>
      <c r="AR536" s="786"/>
      <c r="AS536" s="786"/>
      <c r="AT536" s="786"/>
      <c r="AU536" s="787"/>
      <c r="AV536" s="787"/>
      <c r="AW536" s="787"/>
      <c r="AX536" s="784"/>
      <c r="AY536" s="1214"/>
    </row>
    <row r="537" spans="1:51" ht="27.75" hidden="1" customHeight="1" thickBot="1" x14ac:dyDescent="0.3">
      <c r="A537" s="1195"/>
      <c r="B537" s="833"/>
      <c r="C537" s="809"/>
      <c r="D537" s="140" t="s">
        <v>45</v>
      </c>
      <c r="E537" s="142"/>
      <c r="F537" s="143"/>
      <c r="G537" s="445"/>
      <c r="H537" s="445"/>
      <c r="I537" s="445"/>
      <c r="J537" s="445"/>
      <c r="K537" s="445"/>
      <c r="L537" s="445"/>
      <c r="M537" s="445"/>
      <c r="N537" s="448"/>
      <c r="O537" s="445"/>
      <c r="P537" s="445"/>
      <c r="Q537" s="445"/>
      <c r="R537" s="445"/>
      <c r="S537" s="446"/>
      <c r="T537" s="446"/>
      <c r="U537" s="446"/>
      <c r="V537" s="446"/>
      <c r="W537" s="446"/>
      <c r="X537" s="446"/>
      <c r="Y537" s="446"/>
      <c r="Z537" s="446"/>
      <c r="AA537" s="448"/>
      <c r="AB537" s="445"/>
      <c r="AC537" s="445"/>
      <c r="AD537" s="445"/>
      <c r="AE537" s="445"/>
      <c r="AF537" s="1223"/>
      <c r="AG537" s="1196"/>
      <c r="AH537" s="790"/>
      <c r="AI537" s="790"/>
      <c r="AJ537" s="794"/>
      <c r="AK537" s="790"/>
      <c r="AL537" s="790"/>
      <c r="AM537" s="790"/>
      <c r="AN537" s="791"/>
      <c r="AO537" s="805"/>
      <c r="AP537" s="805"/>
      <c r="AQ537" s="786"/>
      <c r="AR537" s="786"/>
      <c r="AS537" s="786"/>
      <c r="AT537" s="786"/>
      <c r="AU537" s="787"/>
      <c r="AV537" s="787"/>
      <c r="AW537" s="787"/>
      <c r="AX537" s="785"/>
      <c r="AY537" s="1214"/>
    </row>
    <row r="538" spans="1:51" ht="19.350000000000001" hidden="1" customHeight="1" x14ac:dyDescent="0.25">
      <c r="A538" s="1195"/>
      <c r="B538" s="833"/>
      <c r="C538" s="809" t="s">
        <v>383</v>
      </c>
      <c r="D538" s="141" t="s">
        <v>41</v>
      </c>
      <c r="E538" s="142"/>
      <c r="F538" s="143"/>
      <c r="G538" s="445"/>
      <c r="H538" s="445"/>
      <c r="I538" s="445"/>
      <c r="J538" s="445"/>
      <c r="K538" s="445"/>
      <c r="L538" s="445"/>
      <c r="M538" s="445"/>
      <c r="N538" s="448"/>
      <c r="O538" s="445"/>
      <c r="P538" s="445"/>
      <c r="Q538" s="445"/>
      <c r="R538" s="447"/>
      <c r="S538" s="446"/>
      <c r="T538" s="446"/>
      <c r="U538" s="446"/>
      <c r="V538" s="446"/>
      <c r="W538" s="446"/>
      <c r="X538" s="446"/>
      <c r="Y538" s="446"/>
      <c r="Z538" s="446"/>
      <c r="AA538" s="448"/>
      <c r="AB538" s="445"/>
      <c r="AC538" s="445"/>
      <c r="AD538" s="445"/>
      <c r="AE538" s="447"/>
      <c r="AF538" s="1223"/>
      <c r="AG538" s="1194" t="s">
        <v>383</v>
      </c>
      <c r="AH538" s="788" t="s">
        <v>526</v>
      </c>
      <c r="AI538" s="788" t="s">
        <v>527</v>
      </c>
      <c r="AJ538" s="792" t="s">
        <v>839</v>
      </c>
      <c r="AK538" s="788" t="s">
        <v>315</v>
      </c>
      <c r="AL538" s="788" t="s">
        <v>70</v>
      </c>
      <c r="AM538" s="788" t="s">
        <v>480</v>
      </c>
      <c r="AN538" s="791">
        <v>270280</v>
      </c>
      <c r="AO538" s="805">
        <v>64519</v>
      </c>
      <c r="AP538" s="805">
        <v>72507</v>
      </c>
      <c r="AQ538" s="786" t="s">
        <v>317</v>
      </c>
      <c r="AR538" s="786" t="s">
        <v>317</v>
      </c>
      <c r="AS538" s="786" t="s">
        <v>317</v>
      </c>
      <c r="AT538" s="786" t="s">
        <v>317</v>
      </c>
      <c r="AU538" s="787" t="s">
        <v>317</v>
      </c>
      <c r="AV538" s="787" t="s">
        <v>317</v>
      </c>
      <c r="AW538" s="787" t="s">
        <v>317</v>
      </c>
      <c r="AX538" s="783">
        <v>270280</v>
      </c>
      <c r="AY538" s="1214"/>
    </row>
    <row r="539" spans="1:51" ht="18.75" hidden="1" customHeight="1" x14ac:dyDescent="0.25">
      <c r="A539" s="1195"/>
      <c r="B539" s="833"/>
      <c r="C539" s="809"/>
      <c r="D539" s="132" t="s">
        <v>3</v>
      </c>
      <c r="E539" s="142"/>
      <c r="F539" s="143"/>
      <c r="G539" s="445"/>
      <c r="H539" s="445"/>
      <c r="I539" s="445"/>
      <c r="J539" s="445"/>
      <c r="K539" s="445"/>
      <c r="L539" s="445"/>
      <c r="M539" s="445"/>
      <c r="N539" s="448"/>
      <c r="O539" s="445"/>
      <c r="P539" s="445"/>
      <c r="Q539" s="445"/>
      <c r="R539" s="445"/>
      <c r="S539" s="446"/>
      <c r="T539" s="446"/>
      <c r="U539" s="446"/>
      <c r="V539" s="446"/>
      <c r="W539" s="446"/>
      <c r="X539" s="446"/>
      <c r="Y539" s="446"/>
      <c r="Z539" s="446"/>
      <c r="AA539" s="448"/>
      <c r="AB539" s="445"/>
      <c r="AC539" s="445"/>
      <c r="AD539" s="445"/>
      <c r="AE539" s="445"/>
      <c r="AF539" s="1223"/>
      <c r="AG539" s="1195"/>
      <c r="AH539" s="789"/>
      <c r="AI539" s="789"/>
      <c r="AJ539" s="793"/>
      <c r="AK539" s="789"/>
      <c r="AL539" s="789"/>
      <c r="AM539" s="789"/>
      <c r="AN539" s="791"/>
      <c r="AO539" s="805"/>
      <c r="AP539" s="805"/>
      <c r="AQ539" s="786"/>
      <c r="AR539" s="786"/>
      <c r="AS539" s="786"/>
      <c r="AT539" s="786"/>
      <c r="AU539" s="787"/>
      <c r="AV539" s="787"/>
      <c r="AW539" s="787"/>
      <c r="AX539" s="784"/>
      <c r="AY539" s="1214"/>
    </row>
    <row r="540" spans="1:51" ht="27.75" hidden="1" customHeight="1" x14ac:dyDescent="0.25">
      <c r="A540" s="1195"/>
      <c r="B540" s="833"/>
      <c r="C540" s="809"/>
      <c r="D540" s="136" t="s">
        <v>42</v>
      </c>
      <c r="E540" s="142"/>
      <c r="F540" s="143"/>
      <c r="G540" s="445"/>
      <c r="H540" s="445"/>
      <c r="I540" s="445"/>
      <c r="J540" s="445"/>
      <c r="K540" s="445"/>
      <c r="L540" s="445"/>
      <c r="M540" s="445"/>
      <c r="N540" s="448"/>
      <c r="O540" s="445"/>
      <c r="P540" s="445"/>
      <c r="Q540" s="445"/>
      <c r="R540" s="447"/>
      <c r="S540" s="446"/>
      <c r="T540" s="446"/>
      <c r="U540" s="446"/>
      <c r="V540" s="446"/>
      <c r="W540" s="446"/>
      <c r="X540" s="446"/>
      <c r="Y540" s="446"/>
      <c r="Z540" s="446"/>
      <c r="AA540" s="448"/>
      <c r="AB540" s="445"/>
      <c r="AC540" s="445"/>
      <c r="AD540" s="445"/>
      <c r="AE540" s="447"/>
      <c r="AF540" s="1223"/>
      <c r="AG540" s="1195"/>
      <c r="AH540" s="789"/>
      <c r="AI540" s="789"/>
      <c r="AJ540" s="793"/>
      <c r="AK540" s="789"/>
      <c r="AL540" s="789"/>
      <c r="AM540" s="789"/>
      <c r="AN540" s="791"/>
      <c r="AO540" s="805"/>
      <c r="AP540" s="805"/>
      <c r="AQ540" s="786"/>
      <c r="AR540" s="786"/>
      <c r="AS540" s="786"/>
      <c r="AT540" s="786"/>
      <c r="AU540" s="787"/>
      <c r="AV540" s="787"/>
      <c r="AW540" s="787"/>
      <c r="AX540" s="784"/>
      <c r="AY540" s="1214"/>
    </row>
    <row r="541" spans="1:51" ht="27.75" hidden="1" customHeight="1" x14ac:dyDescent="0.25">
      <c r="A541" s="1195"/>
      <c r="B541" s="833"/>
      <c r="C541" s="809"/>
      <c r="D541" s="132" t="s">
        <v>4</v>
      </c>
      <c r="E541" s="142"/>
      <c r="F541" s="143"/>
      <c r="G541" s="445"/>
      <c r="H541" s="445"/>
      <c r="I541" s="445"/>
      <c r="J541" s="445"/>
      <c r="K541" s="445"/>
      <c r="L541" s="445"/>
      <c r="M541" s="445"/>
      <c r="N541" s="448"/>
      <c r="O541" s="445"/>
      <c r="P541" s="445"/>
      <c r="Q541" s="445"/>
      <c r="R541" s="447"/>
      <c r="S541" s="446"/>
      <c r="T541" s="446"/>
      <c r="U541" s="446"/>
      <c r="V541" s="446"/>
      <c r="W541" s="446"/>
      <c r="X541" s="446"/>
      <c r="Y541" s="446"/>
      <c r="Z541" s="446"/>
      <c r="AA541" s="448"/>
      <c r="AB541" s="445"/>
      <c r="AC541" s="445"/>
      <c r="AD541" s="445"/>
      <c r="AE541" s="447"/>
      <c r="AF541" s="1223"/>
      <c r="AG541" s="1195"/>
      <c r="AH541" s="789"/>
      <c r="AI541" s="789"/>
      <c r="AJ541" s="793"/>
      <c r="AK541" s="789"/>
      <c r="AL541" s="789"/>
      <c r="AM541" s="789"/>
      <c r="AN541" s="791"/>
      <c r="AO541" s="805"/>
      <c r="AP541" s="805"/>
      <c r="AQ541" s="786"/>
      <c r="AR541" s="786"/>
      <c r="AS541" s="786"/>
      <c r="AT541" s="786"/>
      <c r="AU541" s="787"/>
      <c r="AV541" s="787"/>
      <c r="AW541" s="787"/>
      <c r="AX541" s="784"/>
      <c r="AY541" s="1214"/>
    </row>
    <row r="542" spans="1:51" ht="27.75" hidden="1" customHeight="1" x14ac:dyDescent="0.25">
      <c r="A542" s="1195"/>
      <c r="B542" s="833"/>
      <c r="C542" s="809"/>
      <c r="D542" s="136" t="s">
        <v>43</v>
      </c>
      <c r="E542" s="142"/>
      <c r="F542" s="143"/>
      <c r="G542" s="445"/>
      <c r="H542" s="445"/>
      <c r="I542" s="445"/>
      <c r="J542" s="445"/>
      <c r="K542" s="445"/>
      <c r="L542" s="445"/>
      <c r="M542" s="445"/>
      <c r="N542" s="448"/>
      <c r="O542" s="445"/>
      <c r="P542" s="445"/>
      <c r="Q542" s="445"/>
      <c r="R542" s="447"/>
      <c r="S542" s="446"/>
      <c r="T542" s="446"/>
      <c r="U542" s="446"/>
      <c r="V542" s="446"/>
      <c r="W542" s="446"/>
      <c r="X542" s="446"/>
      <c r="Y542" s="446"/>
      <c r="Z542" s="446"/>
      <c r="AA542" s="448"/>
      <c r="AB542" s="445"/>
      <c r="AC542" s="445"/>
      <c r="AD542" s="445"/>
      <c r="AE542" s="447"/>
      <c r="AF542" s="1223"/>
      <c r="AG542" s="1195"/>
      <c r="AH542" s="789"/>
      <c r="AI542" s="789"/>
      <c r="AJ542" s="793"/>
      <c r="AK542" s="789"/>
      <c r="AL542" s="789"/>
      <c r="AM542" s="789"/>
      <c r="AN542" s="791"/>
      <c r="AO542" s="805"/>
      <c r="AP542" s="805"/>
      <c r="AQ542" s="786"/>
      <c r="AR542" s="786"/>
      <c r="AS542" s="786"/>
      <c r="AT542" s="786"/>
      <c r="AU542" s="787"/>
      <c r="AV542" s="787"/>
      <c r="AW542" s="787"/>
      <c r="AX542" s="784"/>
      <c r="AY542" s="1214"/>
    </row>
    <row r="543" spans="1:51" ht="27.75" hidden="1" customHeight="1" thickBot="1" x14ac:dyDescent="0.3">
      <c r="A543" s="1195"/>
      <c r="B543" s="833"/>
      <c r="C543" s="809"/>
      <c r="D543" s="140" t="s">
        <v>45</v>
      </c>
      <c r="E543" s="142"/>
      <c r="F543" s="143"/>
      <c r="G543" s="445"/>
      <c r="H543" s="445"/>
      <c r="I543" s="445"/>
      <c r="J543" s="445"/>
      <c r="K543" s="445"/>
      <c r="L543" s="445"/>
      <c r="M543" s="445"/>
      <c r="N543" s="448"/>
      <c r="O543" s="445"/>
      <c r="P543" s="445"/>
      <c r="Q543" s="445"/>
      <c r="R543" s="445"/>
      <c r="S543" s="446"/>
      <c r="T543" s="446"/>
      <c r="U543" s="446"/>
      <c r="V543" s="446"/>
      <c r="W543" s="446"/>
      <c r="X543" s="446"/>
      <c r="Y543" s="446"/>
      <c r="Z543" s="446"/>
      <c r="AA543" s="448"/>
      <c r="AB543" s="445"/>
      <c r="AC543" s="445"/>
      <c r="AD543" s="445"/>
      <c r="AE543" s="445"/>
      <c r="AF543" s="1223"/>
      <c r="AG543" s="1196"/>
      <c r="AH543" s="790"/>
      <c r="AI543" s="790"/>
      <c r="AJ543" s="794"/>
      <c r="AK543" s="790"/>
      <c r="AL543" s="790"/>
      <c r="AM543" s="790"/>
      <c r="AN543" s="791"/>
      <c r="AO543" s="805"/>
      <c r="AP543" s="805"/>
      <c r="AQ543" s="786"/>
      <c r="AR543" s="786"/>
      <c r="AS543" s="786"/>
      <c r="AT543" s="786"/>
      <c r="AU543" s="787"/>
      <c r="AV543" s="787"/>
      <c r="AW543" s="787"/>
      <c r="AX543" s="785"/>
      <c r="AY543" s="1214"/>
    </row>
    <row r="544" spans="1:51" ht="19.350000000000001" customHeight="1" x14ac:dyDescent="0.25">
      <c r="A544" s="1195"/>
      <c r="B544" s="833"/>
      <c r="C544" s="809" t="s">
        <v>986</v>
      </c>
      <c r="D544" s="141" t="s">
        <v>41</v>
      </c>
      <c r="E544" s="142"/>
      <c r="F544" s="143"/>
      <c r="G544" s="445"/>
      <c r="H544" s="445"/>
      <c r="I544" s="445"/>
      <c r="J544" s="445"/>
      <c r="K544" s="445"/>
      <c r="L544" s="445"/>
      <c r="M544" s="445"/>
      <c r="N544" s="448"/>
      <c r="O544" s="445"/>
      <c r="P544" s="445"/>
      <c r="Q544" s="445">
        <v>18</v>
      </c>
      <c r="R544" s="447">
        <v>18</v>
      </c>
      <c r="S544" s="446"/>
      <c r="T544" s="446"/>
      <c r="U544" s="446"/>
      <c r="V544" s="446"/>
      <c r="W544" s="446"/>
      <c r="X544" s="446"/>
      <c r="Y544" s="446"/>
      <c r="Z544" s="446"/>
      <c r="AA544" s="448"/>
      <c r="AB544" s="445"/>
      <c r="AC544" s="445"/>
      <c r="AD544" s="445">
        <v>18</v>
      </c>
      <c r="AE544" s="447">
        <v>18</v>
      </c>
      <c r="AF544" s="1217" t="s">
        <v>1287</v>
      </c>
      <c r="AG544" s="1194" t="s">
        <v>386</v>
      </c>
      <c r="AH544" s="788" t="s">
        <v>943</v>
      </c>
      <c r="AI544" s="788" t="s">
        <v>1016</v>
      </c>
      <c r="AJ544" s="792" t="s">
        <v>839</v>
      </c>
      <c r="AK544" s="788" t="s">
        <v>315</v>
      </c>
      <c r="AL544" s="788" t="s">
        <v>70</v>
      </c>
      <c r="AM544" s="788" t="s">
        <v>480</v>
      </c>
      <c r="AN544" s="791">
        <v>140135</v>
      </c>
      <c r="AO544" s="805">
        <v>70844</v>
      </c>
      <c r="AP544" s="805">
        <v>80573</v>
      </c>
      <c r="AQ544" s="786" t="s">
        <v>317</v>
      </c>
      <c r="AR544" s="786" t="s">
        <v>317</v>
      </c>
      <c r="AS544" s="786" t="s">
        <v>317</v>
      </c>
      <c r="AT544" s="786" t="s">
        <v>317</v>
      </c>
      <c r="AU544" s="787" t="s">
        <v>317</v>
      </c>
      <c r="AV544" s="787" t="s">
        <v>317</v>
      </c>
      <c r="AW544" s="787" t="s">
        <v>317</v>
      </c>
      <c r="AX544" s="783">
        <v>140135</v>
      </c>
      <c r="AY544" s="1214"/>
    </row>
    <row r="545" spans="1:51" ht="18.75" customHeight="1" x14ac:dyDescent="0.25">
      <c r="A545" s="1195"/>
      <c r="B545" s="833"/>
      <c r="C545" s="809"/>
      <c r="D545" s="132" t="s">
        <v>3</v>
      </c>
      <c r="E545" s="142"/>
      <c r="F545" s="143"/>
      <c r="G545" s="445"/>
      <c r="H545" s="445"/>
      <c r="I545" s="445"/>
      <c r="J545" s="445"/>
      <c r="K545" s="445"/>
      <c r="L545" s="445"/>
      <c r="M545" s="445"/>
      <c r="N545" s="448"/>
      <c r="O545" s="445"/>
      <c r="P545" s="445"/>
      <c r="Q545" s="445">
        <f>+Q544*$Q$299/$Q$298</f>
        <v>153874.28571428571</v>
      </c>
      <c r="R545" s="445">
        <f>+R544*$R$299/$R$298</f>
        <v>152135.59322033898</v>
      </c>
      <c r="S545" s="446"/>
      <c r="T545" s="446"/>
      <c r="U545" s="446"/>
      <c r="V545" s="446"/>
      <c r="W545" s="446"/>
      <c r="X545" s="446"/>
      <c r="Y545" s="446"/>
      <c r="Z545" s="446"/>
      <c r="AA545" s="448"/>
      <c r="AB545" s="445"/>
      <c r="AC545" s="445"/>
      <c r="AD545" s="445">
        <f>+AD544*$AD$299/$AD$298</f>
        <v>151017.89019123997</v>
      </c>
      <c r="AE545" s="447">
        <f>+AE544*$AE$299/$AE$298</f>
        <v>152135.59322033898</v>
      </c>
      <c r="AF545" s="1217"/>
      <c r="AG545" s="1195"/>
      <c r="AH545" s="789"/>
      <c r="AI545" s="789"/>
      <c r="AJ545" s="793"/>
      <c r="AK545" s="789"/>
      <c r="AL545" s="789"/>
      <c r="AM545" s="789"/>
      <c r="AN545" s="791"/>
      <c r="AO545" s="805"/>
      <c r="AP545" s="805"/>
      <c r="AQ545" s="786"/>
      <c r="AR545" s="786"/>
      <c r="AS545" s="786"/>
      <c r="AT545" s="786"/>
      <c r="AU545" s="787"/>
      <c r="AV545" s="787"/>
      <c r="AW545" s="787"/>
      <c r="AX545" s="784"/>
      <c r="AY545" s="1214"/>
    </row>
    <row r="546" spans="1:51" ht="51.75" customHeight="1" x14ac:dyDescent="0.25">
      <c r="A546" s="1195"/>
      <c r="B546" s="833"/>
      <c r="C546" s="809"/>
      <c r="D546" s="136" t="s">
        <v>42</v>
      </c>
      <c r="E546" s="142"/>
      <c r="F546" s="143"/>
      <c r="G546" s="445"/>
      <c r="H546" s="445"/>
      <c r="I546" s="445"/>
      <c r="J546" s="445"/>
      <c r="K546" s="445"/>
      <c r="L546" s="445"/>
      <c r="M546" s="445"/>
      <c r="N546" s="448"/>
      <c r="O546" s="445"/>
      <c r="P546" s="445"/>
      <c r="Q546" s="445"/>
      <c r="R546" s="447"/>
      <c r="S546" s="446"/>
      <c r="T546" s="446"/>
      <c r="U546" s="446"/>
      <c r="V546" s="446"/>
      <c r="W546" s="446"/>
      <c r="X546" s="446"/>
      <c r="Y546" s="446"/>
      <c r="Z546" s="446"/>
      <c r="AA546" s="448"/>
      <c r="AB546" s="445"/>
      <c r="AC546" s="445"/>
      <c r="AD546" s="445"/>
      <c r="AE546" s="447"/>
      <c r="AF546" s="1217"/>
      <c r="AG546" s="1195"/>
      <c r="AH546" s="789"/>
      <c r="AI546" s="789"/>
      <c r="AJ546" s="793"/>
      <c r="AK546" s="789"/>
      <c r="AL546" s="789"/>
      <c r="AM546" s="789"/>
      <c r="AN546" s="791"/>
      <c r="AO546" s="805"/>
      <c r="AP546" s="805"/>
      <c r="AQ546" s="786"/>
      <c r="AR546" s="786"/>
      <c r="AS546" s="786"/>
      <c r="AT546" s="786"/>
      <c r="AU546" s="787"/>
      <c r="AV546" s="787"/>
      <c r="AW546" s="787"/>
      <c r="AX546" s="784"/>
      <c r="AY546" s="1214"/>
    </row>
    <row r="547" spans="1:51" ht="27.75" customHeight="1" x14ac:dyDescent="0.25">
      <c r="A547" s="1195"/>
      <c r="B547" s="833"/>
      <c r="C547" s="809"/>
      <c r="D547" s="132" t="s">
        <v>4</v>
      </c>
      <c r="E547" s="142"/>
      <c r="F547" s="143"/>
      <c r="G547" s="445"/>
      <c r="H547" s="445"/>
      <c r="I547" s="445"/>
      <c r="J547" s="445"/>
      <c r="K547" s="445"/>
      <c r="L547" s="445"/>
      <c r="M547" s="445"/>
      <c r="N547" s="448"/>
      <c r="O547" s="445"/>
      <c r="P547" s="445"/>
      <c r="Q547" s="445"/>
      <c r="R547" s="447"/>
      <c r="S547" s="446"/>
      <c r="T547" s="446"/>
      <c r="U547" s="446"/>
      <c r="V547" s="446"/>
      <c r="W547" s="446"/>
      <c r="X547" s="446"/>
      <c r="Y547" s="446"/>
      <c r="Z547" s="446"/>
      <c r="AA547" s="448"/>
      <c r="AB547" s="445"/>
      <c r="AC547" s="445"/>
      <c r="AD547" s="445"/>
      <c r="AE547" s="447"/>
      <c r="AF547" s="1217"/>
      <c r="AG547" s="1195"/>
      <c r="AH547" s="789"/>
      <c r="AI547" s="789"/>
      <c r="AJ547" s="793"/>
      <c r="AK547" s="789"/>
      <c r="AL547" s="789"/>
      <c r="AM547" s="789"/>
      <c r="AN547" s="791"/>
      <c r="AO547" s="805"/>
      <c r="AP547" s="805"/>
      <c r="AQ547" s="786"/>
      <c r="AR547" s="786"/>
      <c r="AS547" s="786"/>
      <c r="AT547" s="786"/>
      <c r="AU547" s="787"/>
      <c r="AV547" s="787"/>
      <c r="AW547" s="787"/>
      <c r="AX547" s="784"/>
      <c r="AY547" s="1214"/>
    </row>
    <row r="548" spans="1:51" ht="27.75" customHeight="1" x14ac:dyDescent="0.25">
      <c r="A548" s="1195"/>
      <c r="B548" s="833"/>
      <c r="C548" s="809"/>
      <c r="D548" s="136" t="s">
        <v>43</v>
      </c>
      <c r="E548" s="142"/>
      <c r="F548" s="143"/>
      <c r="G548" s="445"/>
      <c r="H548" s="445"/>
      <c r="I548" s="445"/>
      <c r="J548" s="445"/>
      <c r="K548" s="445"/>
      <c r="L548" s="445"/>
      <c r="M548" s="445"/>
      <c r="N548" s="448"/>
      <c r="O548" s="445"/>
      <c r="P548" s="445"/>
      <c r="Q548" s="445">
        <v>18</v>
      </c>
      <c r="R548" s="447">
        <v>18</v>
      </c>
      <c r="S548" s="446"/>
      <c r="T548" s="446"/>
      <c r="U548" s="446"/>
      <c r="V548" s="446"/>
      <c r="W548" s="446"/>
      <c r="X548" s="446"/>
      <c r="Y548" s="446"/>
      <c r="Z548" s="446"/>
      <c r="AA548" s="448"/>
      <c r="AB548" s="445"/>
      <c r="AC548" s="445"/>
      <c r="AD548" s="445">
        <v>18</v>
      </c>
      <c r="AE548" s="447">
        <v>18</v>
      </c>
      <c r="AF548" s="1217"/>
      <c r="AG548" s="1195"/>
      <c r="AH548" s="789"/>
      <c r="AI548" s="789"/>
      <c r="AJ548" s="793"/>
      <c r="AK548" s="789"/>
      <c r="AL548" s="789"/>
      <c r="AM548" s="789"/>
      <c r="AN548" s="791"/>
      <c r="AO548" s="805"/>
      <c r="AP548" s="805"/>
      <c r="AQ548" s="786"/>
      <c r="AR548" s="786"/>
      <c r="AS548" s="786"/>
      <c r="AT548" s="786"/>
      <c r="AU548" s="787"/>
      <c r="AV548" s="787"/>
      <c r="AW548" s="787"/>
      <c r="AX548" s="784"/>
      <c r="AY548" s="1214"/>
    </row>
    <row r="549" spans="1:51" ht="27.75" customHeight="1" thickBot="1" x14ac:dyDescent="0.3">
      <c r="A549" s="1195"/>
      <c r="B549" s="833"/>
      <c r="C549" s="809"/>
      <c r="D549" s="140" t="s">
        <v>45</v>
      </c>
      <c r="E549" s="142"/>
      <c r="F549" s="143"/>
      <c r="G549" s="445"/>
      <c r="H549" s="445"/>
      <c r="I549" s="445"/>
      <c r="J549" s="445"/>
      <c r="K549" s="445"/>
      <c r="L549" s="445"/>
      <c r="M549" s="445"/>
      <c r="N549" s="448"/>
      <c r="O549" s="445"/>
      <c r="P549" s="445"/>
      <c r="Q549" s="445">
        <f>+Q548*$Q$299/$Q$298</f>
        <v>153874.28571428571</v>
      </c>
      <c r="R549" s="445">
        <f>+R548*$R$299/$R$298</f>
        <v>152135.59322033898</v>
      </c>
      <c r="S549" s="446"/>
      <c r="T549" s="446"/>
      <c r="U549" s="446"/>
      <c r="V549" s="446"/>
      <c r="W549" s="446"/>
      <c r="X549" s="446"/>
      <c r="Y549" s="446"/>
      <c r="Z549" s="446"/>
      <c r="AA549" s="448"/>
      <c r="AB549" s="445"/>
      <c r="AC549" s="445"/>
      <c r="AD549" s="445">
        <f>+AD548*$AD$299/$AD$298</f>
        <v>151017.89019123997</v>
      </c>
      <c r="AE549" s="445">
        <f>+AE548*$AE$299/$AE$298</f>
        <v>152135.59322033898</v>
      </c>
      <c r="AF549" s="1217"/>
      <c r="AG549" s="1196"/>
      <c r="AH549" s="790"/>
      <c r="AI549" s="790"/>
      <c r="AJ549" s="794"/>
      <c r="AK549" s="790"/>
      <c r="AL549" s="790"/>
      <c r="AM549" s="790"/>
      <c r="AN549" s="791"/>
      <c r="AO549" s="805"/>
      <c r="AP549" s="805"/>
      <c r="AQ549" s="786"/>
      <c r="AR549" s="786"/>
      <c r="AS549" s="786"/>
      <c r="AT549" s="786"/>
      <c r="AU549" s="787"/>
      <c r="AV549" s="787"/>
      <c r="AW549" s="787"/>
      <c r="AX549" s="785"/>
      <c r="AY549" s="1214"/>
    </row>
    <row r="550" spans="1:51" ht="19.350000000000001" customHeight="1" x14ac:dyDescent="0.25">
      <c r="A550" s="1195"/>
      <c r="B550" s="833"/>
      <c r="C550" s="809" t="s">
        <v>987</v>
      </c>
      <c r="D550" s="141" t="s">
        <v>41</v>
      </c>
      <c r="E550" s="142"/>
      <c r="F550" s="143"/>
      <c r="G550" s="445"/>
      <c r="H550" s="445"/>
      <c r="I550" s="445"/>
      <c r="J550" s="445"/>
      <c r="K550" s="445"/>
      <c r="L550" s="445"/>
      <c r="M550" s="445"/>
      <c r="N550" s="448"/>
      <c r="O550" s="445"/>
      <c r="P550" s="445"/>
      <c r="Q550" s="445">
        <v>10</v>
      </c>
      <c r="R550" s="447">
        <v>10</v>
      </c>
      <c r="S550" s="446"/>
      <c r="T550" s="446"/>
      <c r="U550" s="446"/>
      <c r="V550" s="446"/>
      <c r="W550" s="446"/>
      <c r="X550" s="446"/>
      <c r="Y550" s="446"/>
      <c r="Z550" s="446"/>
      <c r="AA550" s="448"/>
      <c r="AB550" s="445"/>
      <c r="AC550" s="445"/>
      <c r="AD550" s="445">
        <v>10</v>
      </c>
      <c r="AE550" s="447">
        <v>10</v>
      </c>
      <c r="AF550" s="1217" t="s">
        <v>1288</v>
      </c>
      <c r="AG550" s="1194" t="s">
        <v>386</v>
      </c>
      <c r="AH550" s="788" t="s">
        <v>1024</v>
      </c>
      <c r="AI550" s="788" t="s">
        <v>1025</v>
      </c>
      <c r="AJ550" s="792" t="s">
        <v>839</v>
      </c>
      <c r="AK550" s="788" t="s">
        <v>315</v>
      </c>
      <c r="AL550" s="788" t="s">
        <v>70</v>
      </c>
      <c r="AM550" s="788" t="s">
        <v>480</v>
      </c>
      <c r="AN550" s="791">
        <v>140135</v>
      </c>
      <c r="AO550" s="805">
        <v>70844</v>
      </c>
      <c r="AP550" s="805">
        <v>80573</v>
      </c>
      <c r="AQ550" s="786" t="s">
        <v>317</v>
      </c>
      <c r="AR550" s="786" t="s">
        <v>317</v>
      </c>
      <c r="AS550" s="786" t="s">
        <v>317</v>
      </c>
      <c r="AT550" s="786" t="s">
        <v>317</v>
      </c>
      <c r="AU550" s="787" t="s">
        <v>317</v>
      </c>
      <c r="AV550" s="787" t="s">
        <v>317</v>
      </c>
      <c r="AW550" s="787" t="s">
        <v>317</v>
      </c>
      <c r="AX550" s="783">
        <v>140135</v>
      </c>
      <c r="AY550" s="1214"/>
    </row>
    <row r="551" spans="1:51" ht="18.75" customHeight="1" x14ac:dyDescent="0.25">
      <c r="A551" s="1195"/>
      <c r="B551" s="833"/>
      <c r="C551" s="809"/>
      <c r="D551" s="132" t="s">
        <v>3</v>
      </c>
      <c r="E551" s="142"/>
      <c r="F551" s="143"/>
      <c r="G551" s="445"/>
      <c r="H551" s="445"/>
      <c r="I551" s="445"/>
      <c r="J551" s="445"/>
      <c r="K551" s="445"/>
      <c r="L551" s="445"/>
      <c r="M551" s="445"/>
      <c r="N551" s="448"/>
      <c r="O551" s="445"/>
      <c r="P551" s="445"/>
      <c r="Q551" s="445">
        <f>+Q550*$Q$299/$Q$298</f>
        <v>85485.71428571429</v>
      </c>
      <c r="R551" s="445">
        <f>+R550*$R$299/$R$298</f>
        <v>84519.774011299436</v>
      </c>
      <c r="S551" s="446"/>
      <c r="T551" s="446"/>
      <c r="U551" s="446"/>
      <c r="V551" s="446"/>
      <c r="W551" s="446"/>
      <c r="X551" s="446"/>
      <c r="Y551" s="446"/>
      <c r="Z551" s="446"/>
      <c r="AA551" s="448"/>
      <c r="AB551" s="445"/>
      <c r="AC551" s="445"/>
      <c r="AD551" s="445">
        <f>+AD550*$AD$299/$AD$298</f>
        <v>83898.827884022205</v>
      </c>
      <c r="AE551" s="445">
        <f>+AE550*$AE$299/$AE$298</f>
        <v>84519.774011299436</v>
      </c>
      <c r="AF551" s="1217"/>
      <c r="AG551" s="1195"/>
      <c r="AH551" s="789"/>
      <c r="AI551" s="789"/>
      <c r="AJ551" s="793"/>
      <c r="AK551" s="789"/>
      <c r="AL551" s="789"/>
      <c r="AM551" s="789"/>
      <c r="AN551" s="791"/>
      <c r="AO551" s="805"/>
      <c r="AP551" s="805"/>
      <c r="AQ551" s="786"/>
      <c r="AR551" s="786"/>
      <c r="AS551" s="786"/>
      <c r="AT551" s="786"/>
      <c r="AU551" s="787"/>
      <c r="AV551" s="787"/>
      <c r="AW551" s="787"/>
      <c r="AX551" s="784"/>
      <c r="AY551" s="1214"/>
    </row>
    <row r="552" spans="1:51" ht="27.75" customHeight="1" x14ac:dyDescent="0.25">
      <c r="A552" s="1195"/>
      <c r="B552" s="833"/>
      <c r="C552" s="809"/>
      <c r="D552" s="136" t="s">
        <v>42</v>
      </c>
      <c r="E552" s="142"/>
      <c r="F552" s="143"/>
      <c r="G552" s="445"/>
      <c r="H552" s="445"/>
      <c r="I552" s="445"/>
      <c r="J552" s="445"/>
      <c r="K552" s="445"/>
      <c r="L552" s="445"/>
      <c r="M552" s="445"/>
      <c r="N552" s="448"/>
      <c r="O552" s="445"/>
      <c r="P552" s="445"/>
      <c r="Q552" s="445"/>
      <c r="R552" s="447"/>
      <c r="S552" s="446"/>
      <c r="T552" s="446"/>
      <c r="U552" s="446"/>
      <c r="V552" s="446"/>
      <c r="W552" s="446"/>
      <c r="X552" s="446"/>
      <c r="Y552" s="446"/>
      <c r="Z552" s="446"/>
      <c r="AA552" s="448"/>
      <c r="AB552" s="445"/>
      <c r="AC552" s="445"/>
      <c r="AD552" s="445"/>
      <c r="AE552" s="447"/>
      <c r="AF552" s="1217"/>
      <c r="AG552" s="1195"/>
      <c r="AH552" s="789"/>
      <c r="AI552" s="789"/>
      <c r="AJ552" s="793"/>
      <c r="AK552" s="789"/>
      <c r="AL552" s="789"/>
      <c r="AM552" s="789"/>
      <c r="AN552" s="791"/>
      <c r="AO552" s="805"/>
      <c r="AP552" s="805"/>
      <c r="AQ552" s="786"/>
      <c r="AR552" s="786"/>
      <c r="AS552" s="786"/>
      <c r="AT552" s="786"/>
      <c r="AU552" s="787"/>
      <c r="AV552" s="787"/>
      <c r="AW552" s="787"/>
      <c r="AX552" s="784"/>
      <c r="AY552" s="1214"/>
    </row>
    <row r="553" spans="1:51" ht="27.75" customHeight="1" x14ac:dyDescent="0.25">
      <c r="A553" s="1195"/>
      <c r="B553" s="833"/>
      <c r="C553" s="809"/>
      <c r="D553" s="132" t="s">
        <v>4</v>
      </c>
      <c r="E553" s="142"/>
      <c r="F553" s="143"/>
      <c r="G553" s="445"/>
      <c r="H553" s="445"/>
      <c r="I553" s="445"/>
      <c r="J553" s="445"/>
      <c r="K553" s="445"/>
      <c r="L553" s="445"/>
      <c r="M553" s="445"/>
      <c r="N553" s="448"/>
      <c r="O553" s="445"/>
      <c r="P553" s="445"/>
      <c r="Q553" s="445"/>
      <c r="R553" s="447"/>
      <c r="S553" s="446"/>
      <c r="T553" s="446"/>
      <c r="U553" s="446"/>
      <c r="V553" s="446"/>
      <c r="W553" s="446"/>
      <c r="X553" s="446"/>
      <c r="Y553" s="446"/>
      <c r="Z553" s="446"/>
      <c r="AA553" s="448"/>
      <c r="AB553" s="445"/>
      <c r="AC553" s="445"/>
      <c r="AD553" s="445"/>
      <c r="AE553" s="447"/>
      <c r="AF553" s="1217"/>
      <c r="AG553" s="1195"/>
      <c r="AH553" s="789"/>
      <c r="AI553" s="789"/>
      <c r="AJ553" s="793"/>
      <c r="AK553" s="789"/>
      <c r="AL553" s="789"/>
      <c r="AM553" s="789"/>
      <c r="AN553" s="791"/>
      <c r="AO553" s="805"/>
      <c r="AP553" s="805"/>
      <c r="AQ553" s="786"/>
      <c r="AR553" s="786"/>
      <c r="AS553" s="786"/>
      <c r="AT553" s="786"/>
      <c r="AU553" s="787"/>
      <c r="AV553" s="787"/>
      <c r="AW553" s="787"/>
      <c r="AX553" s="784"/>
      <c r="AY553" s="1214"/>
    </row>
    <row r="554" spans="1:51" ht="27.75" customHeight="1" x14ac:dyDescent="0.25">
      <c r="A554" s="1195"/>
      <c r="B554" s="833"/>
      <c r="C554" s="809"/>
      <c r="D554" s="136" t="s">
        <v>43</v>
      </c>
      <c r="E554" s="142"/>
      <c r="F554" s="143"/>
      <c r="G554" s="445"/>
      <c r="H554" s="445"/>
      <c r="I554" s="445"/>
      <c r="J554" s="445"/>
      <c r="K554" s="445"/>
      <c r="L554" s="445"/>
      <c r="M554" s="445"/>
      <c r="N554" s="448"/>
      <c r="O554" s="445"/>
      <c r="P554" s="445"/>
      <c r="Q554" s="445">
        <v>10</v>
      </c>
      <c r="R554" s="447">
        <v>10</v>
      </c>
      <c r="S554" s="446"/>
      <c r="T554" s="446"/>
      <c r="U554" s="446"/>
      <c r="V554" s="446"/>
      <c r="W554" s="446"/>
      <c r="X554" s="446"/>
      <c r="Y554" s="446"/>
      <c r="Z554" s="446"/>
      <c r="AA554" s="448"/>
      <c r="AB554" s="445"/>
      <c r="AC554" s="445"/>
      <c r="AD554" s="445">
        <v>10</v>
      </c>
      <c r="AE554" s="447">
        <v>10</v>
      </c>
      <c r="AF554" s="1217"/>
      <c r="AG554" s="1195"/>
      <c r="AH554" s="789"/>
      <c r="AI554" s="789"/>
      <c r="AJ554" s="793"/>
      <c r="AK554" s="789"/>
      <c r="AL554" s="789"/>
      <c r="AM554" s="789"/>
      <c r="AN554" s="791"/>
      <c r="AO554" s="805"/>
      <c r="AP554" s="805"/>
      <c r="AQ554" s="786"/>
      <c r="AR554" s="786"/>
      <c r="AS554" s="786"/>
      <c r="AT554" s="786"/>
      <c r="AU554" s="787"/>
      <c r="AV554" s="787"/>
      <c r="AW554" s="787"/>
      <c r="AX554" s="784"/>
      <c r="AY554" s="1214"/>
    </row>
    <row r="555" spans="1:51" ht="27.75" customHeight="1" thickBot="1" x14ac:dyDescent="0.3">
      <c r="A555" s="1195"/>
      <c r="B555" s="833"/>
      <c r="C555" s="809"/>
      <c r="D555" s="140" t="s">
        <v>45</v>
      </c>
      <c r="E555" s="142"/>
      <c r="F555" s="143"/>
      <c r="G555" s="445"/>
      <c r="H555" s="445"/>
      <c r="I555" s="445"/>
      <c r="J555" s="445"/>
      <c r="K555" s="445"/>
      <c r="L555" s="445"/>
      <c r="M555" s="445"/>
      <c r="N555" s="448"/>
      <c r="O555" s="445"/>
      <c r="P555" s="445"/>
      <c r="Q555" s="445">
        <f>+Q554*$Q$299/$Q$298</f>
        <v>85485.71428571429</v>
      </c>
      <c r="R555" s="445">
        <f>+R554*$R$299/$R$298</f>
        <v>84519.774011299436</v>
      </c>
      <c r="S555" s="446"/>
      <c r="T555" s="446"/>
      <c r="U555" s="446"/>
      <c r="V555" s="446"/>
      <c r="W555" s="446"/>
      <c r="X555" s="446"/>
      <c r="Y555" s="446"/>
      <c r="Z555" s="446"/>
      <c r="AA555" s="448"/>
      <c r="AB555" s="445"/>
      <c r="AC555" s="445"/>
      <c r="AD555" s="445">
        <f>+AD554*$AD$299/$AD$298</f>
        <v>83898.827884022205</v>
      </c>
      <c r="AE555" s="445">
        <f>+AE554*$AE$299/$AE$298</f>
        <v>84519.774011299436</v>
      </c>
      <c r="AF555" s="1217"/>
      <c r="AG555" s="1196"/>
      <c r="AH555" s="790"/>
      <c r="AI555" s="790"/>
      <c r="AJ555" s="794"/>
      <c r="AK555" s="790"/>
      <c r="AL555" s="790"/>
      <c r="AM555" s="790"/>
      <c r="AN555" s="791"/>
      <c r="AO555" s="805"/>
      <c r="AP555" s="805"/>
      <c r="AQ555" s="786"/>
      <c r="AR555" s="786"/>
      <c r="AS555" s="786"/>
      <c r="AT555" s="786"/>
      <c r="AU555" s="787"/>
      <c r="AV555" s="787"/>
      <c r="AW555" s="787"/>
      <c r="AX555" s="785"/>
      <c r="AY555" s="1214"/>
    </row>
    <row r="556" spans="1:51" ht="19.350000000000001" customHeight="1" x14ac:dyDescent="0.25">
      <c r="A556" s="1195"/>
      <c r="B556" s="833"/>
      <c r="C556" s="809" t="s">
        <v>848</v>
      </c>
      <c r="D556" s="141" t="s">
        <v>41</v>
      </c>
      <c r="E556" s="142"/>
      <c r="F556" s="143"/>
      <c r="G556" s="445"/>
      <c r="H556" s="445"/>
      <c r="I556" s="445"/>
      <c r="J556" s="445"/>
      <c r="K556" s="445"/>
      <c r="L556" s="445"/>
      <c r="M556" s="445">
        <v>22</v>
      </c>
      <c r="N556" s="448">
        <v>22</v>
      </c>
      <c r="O556" s="445">
        <v>22</v>
      </c>
      <c r="P556" s="445">
        <v>22</v>
      </c>
      <c r="Q556" s="445">
        <v>22</v>
      </c>
      <c r="R556" s="447">
        <v>22</v>
      </c>
      <c r="S556" s="446"/>
      <c r="T556" s="446"/>
      <c r="U556" s="446"/>
      <c r="V556" s="446"/>
      <c r="W556" s="446"/>
      <c r="X556" s="446"/>
      <c r="Y556" s="446"/>
      <c r="Z556" s="446">
        <v>22</v>
      </c>
      <c r="AA556" s="448">
        <v>22</v>
      </c>
      <c r="AB556" s="445">
        <v>22</v>
      </c>
      <c r="AC556" s="445">
        <v>22</v>
      </c>
      <c r="AD556" s="445">
        <v>22</v>
      </c>
      <c r="AE556" s="447">
        <v>22</v>
      </c>
      <c r="AF556" s="1218" t="s">
        <v>901</v>
      </c>
      <c r="AG556" s="1194" t="s">
        <v>378</v>
      </c>
      <c r="AH556" s="788" t="s">
        <v>849</v>
      </c>
      <c r="AI556" s="788" t="s">
        <v>850</v>
      </c>
      <c r="AJ556" s="792" t="s">
        <v>839</v>
      </c>
      <c r="AK556" s="788" t="s">
        <v>315</v>
      </c>
      <c r="AL556" s="788" t="s">
        <v>70</v>
      </c>
      <c r="AM556" s="788" t="s">
        <v>480</v>
      </c>
      <c r="AN556" s="791">
        <v>1215896</v>
      </c>
      <c r="AO556" s="805">
        <v>572451</v>
      </c>
      <c r="AP556" s="805">
        <v>643445</v>
      </c>
      <c r="AQ556" s="786" t="s">
        <v>317</v>
      </c>
      <c r="AR556" s="786" t="s">
        <v>317</v>
      </c>
      <c r="AS556" s="786" t="s">
        <v>317</v>
      </c>
      <c r="AT556" s="786" t="s">
        <v>317</v>
      </c>
      <c r="AU556" s="787" t="s">
        <v>317</v>
      </c>
      <c r="AV556" s="787" t="s">
        <v>317</v>
      </c>
      <c r="AW556" s="787" t="s">
        <v>317</v>
      </c>
      <c r="AX556" s="783">
        <v>1215896</v>
      </c>
      <c r="AY556" s="1214"/>
    </row>
    <row r="557" spans="1:51" ht="18" customHeight="1" x14ac:dyDescent="0.25">
      <c r="A557" s="1195"/>
      <c r="B557" s="833"/>
      <c r="C557" s="809"/>
      <c r="D557" s="132" t="s">
        <v>3</v>
      </c>
      <c r="E557" s="142"/>
      <c r="F557" s="143"/>
      <c r="G557" s="445"/>
      <c r="H557" s="445"/>
      <c r="I557" s="445"/>
      <c r="J557" s="445"/>
      <c r="K557" s="445"/>
      <c r="L557" s="445"/>
      <c r="M557" s="445"/>
      <c r="N557" s="445">
        <f>+N556*$N$299/$N$298</f>
        <v>188068.57142857142</v>
      </c>
      <c r="O557" s="445">
        <f>+O556*$O$299/$O$298</f>
        <v>188068.57142857142</v>
      </c>
      <c r="P557" s="445">
        <f>+P556*$P$299/$P$298</f>
        <v>188068.57142857142</v>
      </c>
      <c r="Q557" s="445">
        <f>+Q556*$Q$299/$Q$298</f>
        <v>188068.57142857142</v>
      </c>
      <c r="R557" s="445">
        <f>+R556*$R$299/$R$298</f>
        <v>185943.50282485876</v>
      </c>
      <c r="S557" s="446"/>
      <c r="T557" s="446"/>
      <c r="U557" s="446"/>
      <c r="V557" s="446"/>
      <c r="W557" s="446"/>
      <c r="X557" s="446"/>
      <c r="Y557" s="446"/>
      <c r="Z557" s="445">
        <f>+Z556*$Z$299/$Z$298</f>
        <v>291475.88894301024</v>
      </c>
      <c r="AA557" s="445">
        <f>+AA556*$AA$299/$AA$298</f>
        <v>253130.28764805416</v>
      </c>
      <c r="AB557" s="445">
        <f>+AB556*$AB$299/$AB$298</f>
        <v>225047.0101541933</v>
      </c>
      <c r="AC557" s="445">
        <f>+AC556*$AC$299/$AC$298</f>
        <v>202778.71907827855</v>
      </c>
      <c r="AD557" s="445">
        <f>+AD556*$AD$299/$AD$298</f>
        <v>184577.42134484884</v>
      </c>
      <c r="AE557" s="445">
        <f>+AE556*$AE$299/$AE$298</f>
        <v>185943.50282485876</v>
      </c>
      <c r="AF557" s="1218"/>
      <c r="AG557" s="1195"/>
      <c r="AH557" s="789"/>
      <c r="AI557" s="789"/>
      <c r="AJ557" s="793"/>
      <c r="AK557" s="789"/>
      <c r="AL557" s="789"/>
      <c r="AM557" s="789"/>
      <c r="AN557" s="791"/>
      <c r="AO557" s="805"/>
      <c r="AP557" s="805"/>
      <c r="AQ557" s="786"/>
      <c r="AR557" s="786"/>
      <c r="AS557" s="786"/>
      <c r="AT557" s="786"/>
      <c r="AU557" s="787"/>
      <c r="AV557" s="787"/>
      <c r="AW557" s="787"/>
      <c r="AX557" s="784"/>
      <c r="AY557" s="1214"/>
    </row>
    <row r="558" spans="1:51" ht="27" customHeight="1" x14ac:dyDescent="0.25">
      <c r="A558" s="1195"/>
      <c r="B558" s="833"/>
      <c r="C558" s="809"/>
      <c r="D558" s="136" t="s">
        <v>42</v>
      </c>
      <c r="E558" s="142"/>
      <c r="F558" s="143"/>
      <c r="G558" s="445"/>
      <c r="H558" s="445"/>
      <c r="I558" s="445"/>
      <c r="J558" s="445"/>
      <c r="K558" s="445"/>
      <c r="L558" s="445"/>
      <c r="M558" s="445"/>
      <c r="N558" s="448"/>
      <c r="O558" s="445"/>
      <c r="P558" s="445"/>
      <c r="Q558" s="445"/>
      <c r="R558" s="447"/>
      <c r="S558" s="446"/>
      <c r="T558" s="446"/>
      <c r="U558" s="446"/>
      <c r="V558" s="446"/>
      <c r="W558" s="446"/>
      <c r="X558" s="446"/>
      <c r="Y558" s="446"/>
      <c r="Z558" s="446"/>
      <c r="AA558" s="448"/>
      <c r="AB558" s="445"/>
      <c r="AC558" s="445"/>
      <c r="AD558" s="445"/>
      <c r="AE558" s="447"/>
      <c r="AF558" s="1218"/>
      <c r="AG558" s="1195"/>
      <c r="AH558" s="789"/>
      <c r="AI558" s="789"/>
      <c r="AJ558" s="793"/>
      <c r="AK558" s="789"/>
      <c r="AL558" s="789"/>
      <c r="AM558" s="789"/>
      <c r="AN558" s="791"/>
      <c r="AO558" s="805"/>
      <c r="AP558" s="805"/>
      <c r="AQ558" s="786"/>
      <c r="AR558" s="786"/>
      <c r="AS558" s="786"/>
      <c r="AT558" s="786"/>
      <c r="AU558" s="787"/>
      <c r="AV558" s="787"/>
      <c r="AW558" s="787"/>
      <c r="AX558" s="784"/>
      <c r="AY558" s="1214"/>
    </row>
    <row r="559" spans="1:51" ht="27" customHeight="1" x14ac:dyDescent="0.25">
      <c r="A559" s="1195"/>
      <c r="B559" s="833"/>
      <c r="C559" s="809"/>
      <c r="D559" s="132" t="s">
        <v>4</v>
      </c>
      <c r="E559" s="142"/>
      <c r="F559" s="143"/>
      <c r="G559" s="445"/>
      <c r="H559" s="445"/>
      <c r="I559" s="445"/>
      <c r="J559" s="445"/>
      <c r="K559" s="445"/>
      <c r="L559" s="445"/>
      <c r="M559" s="445"/>
      <c r="N559" s="448"/>
      <c r="O559" s="445"/>
      <c r="P559" s="445"/>
      <c r="Q559" s="445"/>
      <c r="R559" s="447"/>
      <c r="S559" s="446"/>
      <c r="T559" s="446"/>
      <c r="U559" s="446"/>
      <c r="V559" s="446"/>
      <c r="W559" s="446"/>
      <c r="X559" s="446"/>
      <c r="Y559" s="446"/>
      <c r="Z559" s="446"/>
      <c r="AA559" s="448"/>
      <c r="AB559" s="445"/>
      <c r="AC559" s="445"/>
      <c r="AD559" s="445"/>
      <c r="AE559" s="447"/>
      <c r="AF559" s="1218"/>
      <c r="AG559" s="1195"/>
      <c r="AH559" s="789"/>
      <c r="AI559" s="789"/>
      <c r="AJ559" s="793"/>
      <c r="AK559" s="789"/>
      <c r="AL559" s="789"/>
      <c r="AM559" s="789"/>
      <c r="AN559" s="791"/>
      <c r="AO559" s="805"/>
      <c r="AP559" s="805"/>
      <c r="AQ559" s="786"/>
      <c r="AR559" s="786"/>
      <c r="AS559" s="786"/>
      <c r="AT559" s="786"/>
      <c r="AU559" s="787"/>
      <c r="AV559" s="787"/>
      <c r="AW559" s="787"/>
      <c r="AX559" s="784"/>
      <c r="AY559" s="1214"/>
    </row>
    <row r="560" spans="1:51" ht="27" customHeight="1" x14ac:dyDescent="0.25">
      <c r="A560" s="1195"/>
      <c r="B560" s="833"/>
      <c r="C560" s="809"/>
      <c r="D560" s="136" t="s">
        <v>43</v>
      </c>
      <c r="E560" s="142"/>
      <c r="F560" s="143"/>
      <c r="G560" s="445"/>
      <c r="H560" s="445"/>
      <c r="I560" s="445"/>
      <c r="J560" s="445"/>
      <c r="K560" s="445"/>
      <c r="L560" s="445"/>
      <c r="M560" s="445">
        <v>22</v>
      </c>
      <c r="N560" s="448">
        <v>22</v>
      </c>
      <c r="O560" s="445">
        <v>22</v>
      </c>
      <c r="P560" s="445">
        <v>22</v>
      </c>
      <c r="Q560" s="445">
        <v>22</v>
      </c>
      <c r="R560" s="447">
        <v>22</v>
      </c>
      <c r="S560" s="446"/>
      <c r="T560" s="446"/>
      <c r="U560" s="446"/>
      <c r="V560" s="446"/>
      <c r="W560" s="446"/>
      <c r="X560" s="446"/>
      <c r="Y560" s="446"/>
      <c r="Z560" s="446">
        <v>22</v>
      </c>
      <c r="AA560" s="448">
        <v>22</v>
      </c>
      <c r="AB560" s="445">
        <v>22</v>
      </c>
      <c r="AC560" s="445">
        <v>22</v>
      </c>
      <c r="AD560" s="445">
        <v>22</v>
      </c>
      <c r="AE560" s="447">
        <v>22</v>
      </c>
      <c r="AF560" s="1218"/>
      <c r="AG560" s="1195"/>
      <c r="AH560" s="789"/>
      <c r="AI560" s="789"/>
      <c r="AJ560" s="793"/>
      <c r="AK560" s="789"/>
      <c r="AL560" s="789"/>
      <c r="AM560" s="789"/>
      <c r="AN560" s="791"/>
      <c r="AO560" s="805"/>
      <c r="AP560" s="805"/>
      <c r="AQ560" s="786"/>
      <c r="AR560" s="786"/>
      <c r="AS560" s="786"/>
      <c r="AT560" s="786"/>
      <c r="AU560" s="787"/>
      <c r="AV560" s="787"/>
      <c r="AW560" s="787"/>
      <c r="AX560" s="784"/>
      <c r="AY560" s="1214"/>
    </row>
    <row r="561" spans="1:51" ht="27.75" customHeight="1" thickBot="1" x14ac:dyDescent="0.3">
      <c r="A561" s="1195"/>
      <c r="B561" s="833"/>
      <c r="C561" s="809"/>
      <c r="D561" s="140" t="s">
        <v>45</v>
      </c>
      <c r="E561" s="142"/>
      <c r="F561" s="143"/>
      <c r="G561" s="445"/>
      <c r="H561" s="445"/>
      <c r="I561" s="445"/>
      <c r="J561" s="445"/>
      <c r="K561" s="445"/>
      <c r="L561" s="445"/>
      <c r="M561" s="445">
        <f>+M560*$M$299/$M$298</f>
        <v>170971.42857142858</v>
      </c>
      <c r="N561" s="445">
        <f>+N560*$N$299/$N$298</f>
        <v>188068.57142857142</v>
      </c>
      <c r="O561" s="445">
        <f>+O560*$O$299/$O$298</f>
        <v>188068.57142857142</v>
      </c>
      <c r="P561" s="445">
        <f>+P560*$P$299/$P$298</f>
        <v>188068.57142857142</v>
      </c>
      <c r="Q561" s="445">
        <f>+Q560*$Q$299/$Q$298</f>
        <v>188068.57142857142</v>
      </c>
      <c r="R561" s="445">
        <f>+R560*$R$299/$R$298</f>
        <v>185943.50282485876</v>
      </c>
      <c r="S561" s="446"/>
      <c r="T561" s="446"/>
      <c r="U561" s="446"/>
      <c r="V561" s="446"/>
      <c r="W561" s="446"/>
      <c r="X561" s="446"/>
      <c r="Y561" s="446"/>
      <c r="Z561" s="445">
        <f>+Z560*$Z$299/$Z$298</f>
        <v>291475.88894301024</v>
      </c>
      <c r="AA561" s="445">
        <f>+AA560*$AA$299/$AA$298</f>
        <v>253130.28764805416</v>
      </c>
      <c r="AB561" s="445">
        <f>+AB560*$AB$299/$AB$298</f>
        <v>225047.0101541933</v>
      </c>
      <c r="AC561" s="445">
        <f>+AC560*$AC$299/$AC$298</f>
        <v>202778.71907827855</v>
      </c>
      <c r="AD561" s="445">
        <f>+AD560*$AD$299/$AD$298</f>
        <v>184577.42134484884</v>
      </c>
      <c r="AE561" s="445">
        <f>+AE560*$AE$299/$AE$298</f>
        <v>185943.50282485876</v>
      </c>
      <c r="AF561" s="1218"/>
      <c r="AG561" s="1196"/>
      <c r="AH561" s="790"/>
      <c r="AI561" s="790"/>
      <c r="AJ561" s="794"/>
      <c r="AK561" s="790"/>
      <c r="AL561" s="790"/>
      <c r="AM561" s="790"/>
      <c r="AN561" s="791"/>
      <c r="AO561" s="805"/>
      <c r="AP561" s="805"/>
      <c r="AQ561" s="786"/>
      <c r="AR561" s="786"/>
      <c r="AS561" s="786"/>
      <c r="AT561" s="786"/>
      <c r="AU561" s="787"/>
      <c r="AV561" s="787"/>
      <c r="AW561" s="787"/>
      <c r="AX561" s="785"/>
      <c r="AY561" s="1214"/>
    </row>
    <row r="562" spans="1:51" ht="19.350000000000001" hidden="1" customHeight="1" x14ac:dyDescent="0.25">
      <c r="A562" s="1195"/>
      <c r="B562" s="833"/>
      <c r="C562" s="809" t="s">
        <v>383</v>
      </c>
      <c r="D562" s="141" t="s">
        <v>41</v>
      </c>
      <c r="E562" s="142"/>
      <c r="F562" s="143"/>
      <c r="G562" s="445"/>
      <c r="H562" s="445"/>
      <c r="I562" s="445"/>
      <c r="J562" s="445"/>
      <c r="K562" s="445"/>
      <c r="L562" s="445"/>
      <c r="M562" s="445"/>
      <c r="N562" s="448"/>
      <c r="O562" s="445"/>
      <c r="P562" s="445"/>
      <c r="Q562" s="445"/>
      <c r="R562" s="447"/>
      <c r="S562" s="446"/>
      <c r="T562" s="446"/>
      <c r="U562" s="446"/>
      <c r="V562" s="446"/>
      <c r="W562" s="446"/>
      <c r="X562" s="446"/>
      <c r="Y562" s="446"/>
      <c r="Z562" s="446"/>
      <c r="AA562" s="448"/>
      <c r="AB562" s="445"/>
      <c r="AC562" s="445"/>
      <c r="AD562" s="445"/>
      <c r="AE562" s="447"/>
      <c r="AF562" s="1223"/>
      <c r="AG562" s="1194" t="s">
        <v>383</v>
      </c>
      <c r="AH562" s="788" t="s">
        <v>526</v>
      </c>
      <c r="AI562" s="788" t="s">
        <v>527</v>
      </c>
      <c r="AJ562" s="792" t="s">
        <v>839</v>
      </c>
      <c r="AK562" s="788" t="s">
        <v>315</v>
      </c>
      <c r="AL562" s="788" t="s">
        <v>70</v>
      </c>
      <c r="AM562" s="788" t="s">
        <v>480</v>
      </c>
      <c r="AN562" s="791">
        <v>270280</v>
      </c>
      <c r="AO562" s="805">
        <v>64519</v>
      </c>
      <c r="AP562" s="805">
        <v>72507</v>
      </c>
      <c r="AQ562" s="786" t="s">
        <v>317</v>
      </c>
      <c r="AR562" s="786" t="s">
        <v>317</v>
      </c>
      <c r="AS562" s="786" t="s">
        <v>317</v>
      </c>
      <c r="AT562" s="786" t="s">
        <v>317</v>
      </c>
      <c r="AU562" s="787" t="s">
        <v>317</v>
      </c>
      <c r="AV562" s="787" t="s">
        <v>317</v>
      </c>
      <c r="AW562" s="787" t="s">
        <v>317</v>
      </c>
      <c r="AX562" s="783">
        <v>270280</v>
      </c>
      <c r="AY562" s="1214"/>
    </row>
    <row r="563" spans="1:51" ht="18.75" hidden="1" customHeight="1" x14ac:dyDescent="0.25">
      <c r="A563" s="1195"/>
      <c r="B563" s="833"/>
      <c r="C563" s="809"/>
      <c r="D563" s="132" t="s">
        <v>3</v>
      </c>
      <c r="E563" s="142"/>
      <c r="F563" s="143"/>
      <c r="G563" s="445"/>
      <c r="H563" s="445"/>
      <c r="I563" s="445"/>
      <c r="J563" s="445"/>
      <c r="K563" s="445"/>
      <c r="L563" s="445"/>
      <c r="M563" s="445"/>
      <c r="N563" s="448"/>
      <c r="O563" s="445"/>
      <c r="P563" s="445"/>
      <c r="Q563" s="445"/>
      <c r="R563" s="445"/>
      <c r="S563" s="446"/>
      <c r="T563" s="446"/>
      <c r="U563" s="446"/>
      <c r="V563" s="446"/>
      <c r="W563" s="446"/>
      <c r="X563" s="446"/>
      <c r="Y563" s="446"/>
      <c r="Z563" s="446"/>
      <c r="AA563" s="448"/>
      <c r="AB563" s="445"/>
      <c r="AC563" s="445"/>
      <c r="AD563" s="445"/>
      <c r="AE563" s="445"/>
      <c r="AF563" s="1223"/>
      <c r="AG563" s="1195"/>
      <c r="AH563" s="789"/>
      <c r="AI563" s="789"/>
      <c r="AJ563" s="793"/>
      <c r="AK563" s="789"/>
      <c r="AL563" s="789"/>
      <c r="AM563" s="789"/>
      <c r="AN563" s="791"/>
      <c r="AO563" s="805"/>
      <c r="AP563" s="805"/>
      <c r="AQ563" s="786"/>
      <c r="AR563" s="786"/>
      <c r="AS563" s="786"/>
      <c r="AT563" s="786"/>
      <c r="AU563" s="787"/>
      <c r="AV563" s="787"/>
      <c r="AW563" s="787"/>
      <c r="AX563" s="784"/>
      <c r="AY563" s="1214"/>
    </row>
    <row r="564" spans="1:51" ht="27.75" hidden="1" customHeight="1" x14ac:dyDescent="0.25">
      <c r="A564" s="1195"/>
      <c r="B564" s="833"/>
      <c r="C564" s="809"/>
      <c r="D564" s="136" t="s">
        <v>42</v>
      </c>
      <c r="E564" s="142"/>
      <c r="F564" s="143"/>
      <c r="G564" s="445"/>
      <c r="H564" s="445"/>
      <c r="I564" s="445"/>
      <c r="J564" s="445"/>
      <c r="K564" s="445"/>
      <c r="L564" s="445"/>
      <c r="M564" s="445"/>
      <c r="N564" s="448"/>
      <c r="O564" s="445"/>
      <c r="P564" s="445"/>
      <c r="Q564" s="445"/>
      <c r="R564" s="447"/>
      <c r="S564" s="446"/>
      <c r="T564" s="446"/>
      <c r="U564" s="446"/>
      <c r="V564" s="446"/>
      <c r="W564" s="446"/>
      <c r="X564" s="446"/>
      <c r="Y564" s="446"/>
      <c r="Z564" s="446"/>
      <c r="AA564" s="448"/>
      <c r="AB564" s="445"/>
      <c r="AC564" s="445"/>
      <c r="AD564" s="445"/>
      <c r="AE564" s="447"/>
      <c r="AF564" s="1223"/>
      <c r="AG564" s="1195"/>
      <c r="AH564" s="789"/>
      <c r="AI564" s="789"/>
      <c r="AJ564" s="793"/>
      <c r="AK564" s="789"/>
      <c r="AL564" s="789"/>
      <c r="AM564" s="789"/>
      <c r="AN564" s="791"/>
      <c r="AO564" s="805"/>
      <c r="AP564" s="805"/>
      <c r="AQ564" s="786"/>
      <c r="AR564" s="786"/>
      <c r="AS564" s="786"/>
      <c r="AT564" s="786"/>
      <c r="AU564" s="787"/>
      <c r="AV564" s="787"/>
      <c r="AW564" s="787"/>
      <c r="AX564" s="784"/>
      <c r="AY564" s="1214"/>
    </row>
    <row r="565" spans="1:51" ht="27.75" hidden="1" customHeight="1" x14ac:dyDescent="0.25">
      <c r="A565" s="1195"/>
      <c r="B565" s="833"/>
      <c r="C565" s="809"/>
      <c r="D565" s="132" t="s">
        <v>4</v>
      </c>
      <c r="E565" s="142"/>
      <c r="F565" s="143"/>
      <c r="G565" s="445"/>
      <c r="H565" s="445"/>
      <c r="I565" s="445"/>
      <c r="J565" s="445"/>
      <c r="K565" s="445"/>
      <c r="L565" s="445"/>
      <c r="M565" s="445"/>
      <c r="N565" s="448"/>
      <c r="O565" s="445"/>
      <c r="P565" s="445"/>
      <c r="Q565" s="445"/>
      <c r="R565" s="447"/>
      <c r="S565" s="446"/>
      <c r="T565" s="446"/>
      <c r="U565" s="446"/>
      <c r="V565" s="446"/>
      <c r="W565" s="446"/>
      <c r="X565" s="446"/>
      <c r="Y565" s="446"/>
      <c r="Z565" s="446"/>
      <c r="AA565" s="448"/>
      <c r="AB565" s="445"/>
      <c r="AC565" s="445"/>
      <c r="AD565" s="445"/>
      <c r="AE565" s="447"/>
      <c r="AF565" s="1223"/>
      <c r="AG565" s="1195"/>
      <c r="AH565" s="789"/>
      <c r="AI565" s="789"/>
      <c r="AJ565" s="793"/>
      <c r="AK565" s="789"/>
      <c r="AL565" s="789"/>
      <c r="AM565" s="789"/>
      <c r="AN565" s="791"/>
      <c r="AO565" s="805"/>
      <c r="AP565" s="805"/>
      <c r="AQ565" s="786"/>
      <c r="AR565" s="786"/>
      <c r="AS565" s="786"/>
      <c r="AT565" s="786"/>
      <c r="AU565" s="787"/>
      <c r="AV565" s="787"/>
      <c r="AW565" s="787"/>
      <c r="AX565" s="784"/>
      <c r="AY565" s="1214"/>
    </row>
    <row r="566" spans="1:51" ht="27.75" hidden="1" customHeight="1" x14ac:dyDescent="0.25">
      <c r="A566" s="1195"/>
      <c r="B566" s="833"/>
      <c r="C566" s="809"/>
      <c r="D566" s="136" t="s">
        <v>43</v>
      </c>
      <c r="E566" s="142"/>
      <c r="F566" s="143"/>
      <c r="G566" s="445"/>
      <c r="H566" s="445"/>
      <c r="I566" s="445"/>
      <c r="J566" s="445"/>
      <c r="K566" s="445"/>
      <c r="L566" s="445"/>
      <c r="M566" s="445"/>
      <c r="N566" s="448"/>
      <c r="O566" s="445"/>
      <c r="P566" s="445"/>
      <c r="Q566" s="445"/>
      <c r="R566" s="447"/>
      <c r="S566" s="446"/>
      <c r="T566" s="446"/>
      <c r="U566" s="446"/>
      <c r="V566" s="446"/>
      <c r="W566" s="446"/>
      <c r="X566" s="446"/>
      <c r="Y566" s="446"/>
      <c r="Z566" s="446"/>
      <c r="AA566" s="448"/>
      <c r="AB566" s="445"/>
      <c r="AC566" s="445"/>
      <c r="AD566" s="445"/>
      <c r="AE566" s="447"/>
      <c r="AF566" s="1223"/>
      <c r="AG566" s="1195"/>
      <c r="AH566" s="789"/>
      <c r="AI566" s="789"/>
      <c r="AJ566" s="793"/>
      <c r="AK566" s="789"/>
      <c r="AL566" s="789"/>
      <c r="AM566" s="789"/>
      <c r="AN566" s="791"/>
      <c r="AO566" s="805"/>
      <c r="AP566" s="805"/>
      <c r="AQ566" s="786"/>
      <c r="AR566" s="786"/>
      <c r="AS566" s="786"/>
      <c r="AT566" s="786"/>
      <c r="AU566" s="787"/>
      <c r="AV566" s="787"/>
      <c r="AW566" s="787"/>
      <c r="AX566" s="784"/>
      <c r="AY566" s="1214"/>
    </row>
    <row r="567" spans="1:51" ht="27.75" hidden="1" customHeight="1" thickBot="1" x14ac:dyDescent="0.3">
      <c r="A567" s="1195"/>
      <c r="B567" s="833"/>
      <c r="C567" s="809"/>
      <c r="D567" s="140" t="s">
        <v>45</v>
      </c>
      <c r="E567" s="142"/>
      <c r="F567" s="143"/>
      <c r="G567" s="445"/>
      <c r="H567" s="445"/>
      <c r="I567" s="445"/>
      <c r="J567" s="445"/>
      <c r="K567" s="445"/>
      <c r="L567" s="445"/>
      <c r="M567" s="445"/>
      <c r="N567" s="448"/>
      <c r="O567" s="445"/>
      <c r="P567" s="445"/>
      <c r="Q567" s="445"/>
      <c r="R567" s="445"/>
      <c r="S567" s="446"/>
      <c r="T567" s="446"/>
      <c r="U567" s="446"/>
      <c r="V567" s="446"/>
      <c r="W567" s="446"/>
      <c r="X567" s="446"/>
      <c r="Y567" s="446"/>
      <c r="Z567" s="446"/>
      <c r="AA567" s="448"/>
      <c r="AB567" s="445"/>
      <c r="AC567" s="445"/>
      <c r="AD567" s="445"/>
      <c r="AE567" s="445"/>
      <c r="AF567" s="1223"/>
      <c r="AG567" s="1196"/>
      <c r="AH567" s="790"/>
      <c r="AI567" s="790"/>
      <c r="AJ567" s="794"/>
      <c r="AK567" s="790"/>
      <c r="AL567" s="790"/>
      <c r="AM567" s="790"/>
      <c r="AN567" s="791"/>
      <c r="AO567" s="805"/>
      <c r="AP567" s="805"/>
      <c r="AQ567" s="786"/>
      <c r="AR567" s="786"/>
      <c r="AS567" s="786"/>
      <c r="AT567" s="786"/>
      <c r="AU567" s="787"/>
      <c r="AV567" s="787"/>
      <c r="AW567" s="787"/>
      <c r="AX567" s="785"/>
      <c r="AY567" s="1214"/>
    </row>
    <row r="568" spans="1:51" ht="19.350000000000001" customHeight="1" x14ac:dyDescent="0.25">
      <c r="A568" s="1195"/>
      <c r="B568" s="833"/>
      <c r="C568" s="809" t="s">
        <v>937</v>
      </c>
      <c r="D568" s="141" t="s">
        <v>41</v>
      </c>
      <c r="E568" s="142"/>
      <c r="F568" s="143"/>
      <c r="G568" s="445"/>
      <c r="H568" s="445"/>
      <c r="I568" s="445"/>
      <c r="J568" s="445"/>
      <c r="K568" s="445"/>
      <c r="L568" s="445"/>
      <c r="M568" s="445"/>
      <c r="N568" s="448"/>
      <c r="O568" s="445"/>
      <c r="P568" s="445">
        <v>10</v>
      </c>
      <c r="Q568" s="445">
        <v>10</v>
      </c>
      <c r="R568" s="447">
        <v>10</v>
      </c>
      <c r="S568" s="446"/>
      <c r="T568" s="446"/>
      <c r="U568" s="446"/>
      <c r="V568" s="446"/>
      <c r="W568" s="446"/>
      <c r="X568" s="446"/>
      <c r="Y568" s="446"/>
      <c r="Z568" s="446"/>
      <c r="AA568" s="448"/>
      <c r="AB568" s="445"/>
      <c r="AC568" s="445">
        <v>10</v>
      </c>
      <c r="AD568" s="445">
        <v>10</v>
      </c>
      <c r="AE568" s="447">
        <v>10</v>
      </c>
      <c r="AF568" s="1218" t="s">
        <v>1063</v>
      </c>
      <c r="AG568" s="1194" t="s">
        <v>386</v>
      </c>
      <c r="AH568" s="788" t="s">
        <v>943</v>
      </c>
      <c r="AI568" s="788" t="s">
        <v>944</v>
      </c>
      <c r="AJ568" s="792" t="s">
        <v>839</v>
      </c>
      <c r="AK568" s="788" t="s">
        <v>315</v>
      </c>
      <c r="AL568" s="788" t="s">
        <v>70</v>
      </c>
      <c r="AM568" s="788" t="s">
        <v>480</v>
      </c>
      <c r="AN568" s="791">
        <v>140135</v>
      </c>
      <c r="AO568" s="805">
        <v>70844</v>
      </c>
      <c r="AP568" s="805">
        <v>80573</v>
      </c>
      <c r="AQ568" s="786" t="s">
        <v>317</v>
      </c>
      <c r="AR568" s="786" t="s">
        <v>317</v>
      </c>
      <c r="AS568" s="786" t="s">
        <v>317</v>
      </c>
      <c r="AT568" s="786" t="s">
        <v>317</v>
      </c>
      <c r="AU568" s="787" t="s">
        <v>317</v>
      </c>
      <c r="AV568" s="787" t="s">
        <v>317</v>
      </c>
      <c r="AW568" s="787" t="s">
        <v>317</v>
      </c>
      <c r="AX568" s="783">
        <v>140135</v>
      </c>
      <c r="AY568" s="1214"/>
    </row>
    <row r="569" spans="1:51" ht="18.75" customHeight="1" x14ac:dyDescent="0.25">
      <c r="A569" s="1195"/>
      <c r="B569" s="833"/>
      <c r="C569" s="809"/>
      <c r="D569" s="132" t="s">
        <v>3</v>
      </c>
      <c r="E569" s="142"/>
      <c r="F569" s="143"/>
      <c r="G569" s="445"/>
      <c r="H569" s="445"/>
      <c r="I569" s="445"/>
      <c r="J569" s="445"/>
      <c r="K569" s="445"/>
      <c r="L569" s="445"/>
      <c r="M569" s="445"/>
      <c r="N569" s="445"/>
      <c r="O569" s="445"/>
      <c r="P569" s="445">
        <f>+P568*$P$299/$P$298</f>
        <v>85485.71428571429</v>
      </c>
      <c r="Q569" s="445">
        <f>+Q568*$Q$299/$Q$298</f>
        <v>85485.71428571429</v>
      </c>
      <c r="R569" s="445">
        <f>+R568*$R$299/$R$298</f>
        <v>84519.774011299436</v>
      </c>
      <c r="S569" s="446"/>
      <c r="T569" s="446"/>
      <c r="U569" s="446"/>
      <c r="V569" s="446"/>
      <c r="W569" s="446"/>
      <c r="X569" s="446"/>
      <c r="Y569" s="446"/>
      <c r="Z569" s="445"/>
      <c r="AA569" s="445"/>
      <c r="AB569" s="445"/>
      <c r="AC569" s="445">
        <f>+AC568*$AC$299/$AC$298</f>
        <v>92172.145035581154</v>
      </c>
      <c r="AD569" s="445">
        <f>+AD568*$AD$299/$AD$298</f>
        <v>83898.827884022205</v>
      </c>
      <c r="AE569" s="445">
        <f>+AE568*$AE$299/$AE$298</f>
        <v>84519.774011299436</v>
      </c>
      <c r="AF569" s="1218"/>
      <c r="AG569" s="1195"/>
      <c r="AH569" s="789"/>
      <c r="AI569" s="789"/>
      <c r="AJ569" s="793"/>
      <c r="AK569" s="789"/>
      <c r="AL569" s="789"/>
      <c r="AM569" s="789"/>
      <c r="AN569" s="791"/>
      <c r="AO569" s="805"/>
      <c r="AP569" s="805"/>
      <c r="AQ569" s="786"/>
      <c r="AR569" s="786"/>
      <c r="AS569" s="786"/>
      <c r="AT569" s="786"/>
      <c r="AU569" s="787"/>
      <c r="AV569" s="787"/>
      <c r="AW569" s="787"/>
      <c r="AX569" s="784"/>
      <c r="AY569" s="1214"/>
    </row>
    <row r="570" spans="1:51" ht="27.75" customHeight="1" x14ac:dyDescent="0.25">
      <c r="A570" s="1195"/>
      <c r="B570" s="833"/>
      <c r="C570" s="809"/>
      <c r="D570" s="136" t="s">
        <v>42</v>
      </c>
      <c r="E570" s="142"/>
      <c r="F570" s="143"/>
      <c r="G570" s="445"/>
      <c r="H570" s="445"/>
      <c r="I570" s="445"/>
      <c r="J570" s="445"/>
      <c r="K570" s="445"/>
      <c r="L570" s="445"/>
      <c r="M570" s="445"/>
      <c r="N570" s="448"/>
      <c r="O570" s="445"/>
      <c r="P570" s="445"/>
      <c r="Q570" s="445"/>
      <c r="R570" s="447"/>
      <c r="S570" s="446"/>
      <c r="T570" s="446"/>
      <c r="U570" s="446"/>
      <c r="V570" s="446"/>
      <c r="W570" s="446"/>
      <c r="X570" s="446"/>
      <c r="Y570" s="446"/>
      <c r="Z570" s="446"/>
      <c r="AA570" s="448"/>
      <c r="AB570" s="445"/>
      <c r="AC570" s="445"/>
      <c r="AD570" s="445"/>
      <c r="AE570" s="447"/>
      <c r="AF570" s="1218"/>
      <c r="AG570" s="1195"/>
      <c r="AH570" s="789"/>
      <c r="AI570" s="789"/>
      <c r="AJ570" s="793"/>
      <c r="AK570" s="789"/>
      <c r="AL570" s="789"/>
      <c r="AM570" s="789"/>
      <c r="AN570" s="791"/>
      <c r="AO570" s="805"/>
      <c r="AP570" s="805"/>
      <c r="AQ570" s="786"/>
      <c r="AR570" s="786"/>
      <c r="AS570" s="786"/>
      <c r="AT570" s="786"/>
      <c r="AU570" s="787"/>
      <c r="AV570" s="787"/>
      <c r="AW570" s="787"/>
      <c r="AX570" s="784"/>
      <c r="AY570" s="1214"/>
    </row>
    <row r="571" spans="1:51" ht="27.75" customHeight="1" x14ac:dyDescent="0.25">
      <c r="A571" s="1195"/>
      <c r="B571" s="833"/>
      <c r="C571" s="809"/>
      <c r="D571" s="132" t="s">
        <v>4</v>
      </c>
      <c r="E571" s="142"/>
      <c r="F571" s="143"/>
      <c r="G571" s="445"/>
      <c r="H571" s="445"/>
      <c r="I571" s="445"/>
      <c r="J571" s="445"/>
      <c r="K571" s="445"/>
      <c r="L571" s="445"/>
      <c r="M571" s="445"/>
      <c r="N571" s="448"/>
      <c r="O571" s="445"/>
      <c r="P571" s="445"/>
      <c r="Q571" s="445"/>
      <c r="R571" s="447"/>
      <c r="S571" s="446"/>
      <c r="T571" s="446"/>
      <c r="U571" s="446"/>
      <c r="V571" s="446"/>
      <c r="W571" s="446"/>
      <c r="X571" s="446"/>
      <c r="Y571" s="446"/>
      <c r="Z571" s="446"/>
      <c r="AA571" s="448"/>
      <c r="AB571" s="445"/>
      <c r="AC571" s="445"/>
      <c r="AD571" s="445"/>
      <c r="AE571" s="447"/>
      <c r="AF571" s="1218"/>
      <c r="AG571" s="1195"/>
      <c r="AH571" s="789"/>
      <c r="AI571" s="789"/>
      <c r="AJ571" s="793"/>
      <c r="AK571" s="789"/>
      <c r="AL571" s="789"/>
      <c r="AM571" s="789"/>
      <c r="AN571" s="791"/>
      <c r="AO571" s="805"/>
      <c r="AP571" s="805"/>
      <c r="AQ571" s="786"/>
      <c r="AR571" s="786"/>
      <c r="AS571" s="786"/>
      <c r="AT571" s="786"/>
      <c r="AU571" s="787"/>
      <c r="AV571" s="787"/>
      <c r="AW571" s="787"/>
      <c r="AX571" s="784"/>
      <c r="AY571" s="1214"/>
    </row>
    <row r="572" spans="1:51" ht="27.75" customHeight="1" x14ac:dyDescent="0.25">
      <c r="A572" s="1195"/>
      <c r="B572" s="833"/>
      <c r="C572" s="809"/>
      <c r="D572" s="136" t="s">
        <v>43</v>
      </c>
      <c r="E572" s="142"/>
      <c r="F572" s="143"/>
      <c r="G572" s="445"/>
      <c r="H572" s="445"/>
      <c r="I572" s="445"/>
      <c r="J572" s="445"/>
      <c r="K572" s="445"/>
      <c r="L572" s="445"/>
      <c r="M572" s="445"/>
      <c r="N572" s="448"/>
      <c r="O572" s="445"/>
      <c r="P572" s="445">
        <v>10</v>
      </c>
      <c r="Q572" s="445">
        <v>10</v>
      </c>
      <c r="R572" s="447">
        <v>10</v>
      </c>
      <c r="S572" s="446"/>
      <c r="T572" s="446"/>
      <c r="U572" s="446"/>
      <c r="V572" s="446"/>
      <c r="W572" s="446"/>
      <c r="X572" s="446"/>
      <c r="Y572" s="446"/>
      <c r="Z572" s="446"/>
      <c r="AA572" s="448"/>
      <c r="AB572" s="445"/>
      <c r="AC572" s="445">
        <v>10</v>
      </c>
      <c r="AD572" s="445">
        <v>10</v>
      </c>
      <c r="AE572" s="447">
        <v>10</v>
      </c>
      <c r="AF572" s="1218"/>
      <c r="AG572" s="1195"/>
      <c r="AH572" s="789"/>
      <c r="AI572" s="789"/>
      <c r="AJ572" s="793"/>
      <c r="AK572" s="789"/>
      <c r="AL572" s="789"/>
      <c r="AM572" s="789"/>
      <c r="AN572" s="791"/>
      <c r="AO572" s="805"/>
      <c r="AP572" s="805"/>
      <c r="AQ572" s="786"/>
      <c r="AR572" s="786"/>
      <c r="AS572" s="786"/>
      <c r="AT572" s="786"/>
      <c r="AU572" s="787"/>
      <c r="AV572" s="787"/>
      <c r="AW572" s="787"/>
      <c r="AX572" s="784"/>
      <c r="AY572" s="1214"/>
    </row>
    <row r="573" spans="1:51" ht="27.75" customHeight="1" thickBot="1" x14ac:dyDescent="0.3">
      <c r="A573" s="1195"/>
      <c r="B573" s="833"/>
      <c r="C573" s="809"/>
      <c r="D573" s="140" t="s">
        <v>45</v>
      </c>
      <c r="E573" s="142"/>
      <c r="F573" s="143"/>
      <c r="G573" s="445"/>
      <c r="H573" s="445"/>
      <c r="I573" s="445"/>
      <c r="J573" s="445"/>
      <c r="K573" s="445"/>
      <c r="L573" s="445"/>
      <c r="M573" s="445"/>
      <c r="N573" s="445"/>
      <c r="O573" s="445"/>
      <c r="P573" s="445">
        <f>+P572*$P$299/$P$298</f>
        <v>85485.71428571429</v>
      </c>
      <c r="Q573" s="445">
        <f>+Q572*$Q$299/$Q$298</f>
        <v>85485.71428571429</v>
      </c>
      <c r="R573" s="445">
        <f>+R572*$R$299/$R$298</f>
        <v>84519.774011299436</v>
      </c>
      <c r="S573" s="446"/>
      <c r="T573" s="446"/>
      <c r="U573" s="446"/>
      <c r="V573" s="446"/>
      <c r="W573" s="446"/>
      <c r="X573" s="446"/>
      <c r="Y573" s="446"/>
      <c r="Z573" s="445"/>
      <c r="AA573" s="445"/>
      <c r="AB573" s="445"/>
      <c r="AC573" s="445">
        <f>+AC572*$AC$299/$AC$298</f>
        <v>92172.145035581154</v>
      </c>
      <c r="AD573" s="445">
        <f>+AD572*$AD$299/$AD$298</f>
        <v>83898.827884022205</v>
      </c>
      <c r="AE573" s="445">
        <f>+AE572*$AE$299/$AE$298</f>
        <v>84519.774011299436</v>
      </c>
      <c r="AF573" s="1218"/>
      <c r="AG573" s="1196"/>
      <c r="AH573" s="790"/>
      <c r="AI573" s="790"/>
      <c r="AJ573" s="794"/>
      <c r="AK573" s="790"/>
      <c r="AL573" s="790"/>
      <c r="AM573" s="790"/>
      <c r="AN573" s="791"/>
      <c r="AO573" s="805"/>
      <c r="AP573" s="805"/>
      <c r="AQ573" s="786"/>
      <c r="AR573" s="786"/>
      <c r="AS573" s="786"/>
      <c r="AT573" s="786"/>
      <c r="AU573" s="787"/>
      <c r="AV573" s="787"/>
      <c r="AW573" s="787"/>
      <c r="AX573" s="785"/>
      <c r="AY573" s="1214"/>
    </row>
    <row r="574" spans="1:51" ht="19.350000000000001" customHeight="1" x14ac:dyDescent="0.25">
      <c r="A574" s="1195"/>
      <c r="B574" s="833"/>
      <c r="C574" s="809" t="s">
        <v>851</v>
      </c>
      <c r="D574" s="141" t="s">
        <v>41</v>
      </c>
      <c r="E574" s="142"/>
      <c r="F574" s="143"/>
      <c r="G574" s="445"/>
      <c r="H574" s="445"/>
      <c r="I574" s="445"/>
      <c r="J574" s="445"/>
      <c r="K574" s="445"/>
      <c r="L574" s="445"/>
      <c r="M574" s="445">
        <v>32</v>
      </c>
      <c r="N574" s="448">
        <v>32</v>
      </c>
      <c r="O574" s="445">
        <v>32</v>
      </c>
      <c r="P574" s="445">
        <v>32</v>
      </c>
      <c r="Q574" s="445">
        <v>32</v>
      </c>
      <c r="R574" s="447">
        <v>32</v>
      </c>
      <c r="S574" s="446"/>
      <c r="T574" s="446"/>
      <c r="U574" s="446"/>
      <c r="V574" s="446"/>
      <c r="W574" s="446"/>
      <c r="X574" s="446"/>
      <c r="Y574" s="446"/>
      <c r="Z574" s="446">
        <v>32</v>
      </c>
      <c r="AA574" s="448">
        <v>32</v>
      </c>
      <c r="AB574" s="445">
        <v>32</v>
      </c>
      <c r="AC574" s="445">
        <v>32</v>
      </c>
      <c r="AD574" s="445">
        <v>32</v>
      </c>
      <c r="AE574" s="447">
        <v>32</v>
      </c>
      <c r="AF574" s="1218" t="s">
        <v>902</v>
      </c>
      <c r="AG574" s="1194" t="s">
        <v>386</v>
      </c>
      <c r="AH574" s="788" t="s">
        <v>852</v>
      </c>
      <c r="AI574" s="788" t="s">
        <v>853</v>
      </c>
      <c r="AJ574" s="792" t="s">
        <v>839</v>
      </c>
      <c r="AK574" s="788" t="s">
        <v>315</v>
      </c>
      <c r="AL574" s="788" t="s">
        <v>70</v>
      </c>
      <c r="AM574" s="788" t="s">
        <v>480</v>
      </c>
      <c r="AN574" s="791">
        <v>140135</v>
      </c>
      <c r="AO574" s="805">
        <v>70844</v>
      </c>
      <c r="AP574" s="805">
        <v>80573</v>
      </c>
      <c r="AQ574" s="786" t="s">
        <v>317</v>
      </c>
      <c r="AR574" s="786" t="s">
        <v>317</v>
      </c>
      <c r="AS574" s="786" t="s">
        <v>317</v>
      </c>
      <c r="AT574" s="786" t="s">
        <v>317</v>
      </c>
      <c r="AU574" s="787" t="s">
        <v>317</v>
      </c>
      <c r="AV574" s="787" t="s">
        <v>317</v>
      </c>
      <c r="AW574" s="787" t="s">
        <v>317</v>
      </c>
      <c r="AX574" s="783">
        <v>140135</v>
      </c>
      <c r="AY574" s="1214"/>
    </row>
    <row r="575" spans="1:51" ht="18.75" customHeight="1" x14ac:dyDescent="0.25">
      <c r="A575" s="1195"/>
      <c r="B575" s="833"/>
      <c r="C575" s="809"/>
      <c r="D575" s="132" t="s">
        <v>3</v>
      </c>
      <c r="E575" s="142"/>
      <c r="F575" s="143"/>
      <c r="G575" s="445"/>
      <c r="H575" s="445"/>
      <c r="I575" s="445"/>
      <c r="J575" s="445"/>
      <c r="K575" s="445"/>
      <c r="L575" s="445"/>
      <c r="M575" s="445"/>
      <c r="N575" s="445">
        <f>+N574*$N$299/$N$298</f>
        <v>273554.28571428574</v>
      </c>
      <c r="O575" s="445">
        <f>+O574*$O$299/$O$298</f>
        <v>273554.28571428574</v>
      </c>
      <c r="P575" s="445">
        <f>+P574*$P$299/$P$298</f>
        <v>273554.28571428574</v>
      </c>
      <c r="Q575" s="445">
        <f>+Q574*$Q$299/$Q$298</f>
        <v>273554.28571428574</v>
      </c>
      <c r="R575" s="445">
        <f>+R574*$R$299/$R$298</f>
        <v>270463.27683615818</v>
      </c>
      <c r="S575" s="446"/>
      <c r="T575" s="446"/>
      <c r="U575" s="446"/>
      <c r="V575" s="446"/>
      <c r="W575" s="446"/>
      <c r="X575" s="446"/>
      <c r="Y575" s="446"/>
      <c r="Z575" s="445">
        <f>+Z574*$Z$299/$Z$298</f>
        <v>423964.92937165126</v>
      </c>
      <c r="AA575" s="445">
        <f>+AA574*$AA$299/$AA$298</f>
        <v>368189.50930626056</v>
      </c>
      <c r="AB575" s="445">
        <f>+AB574*$AB$299/$AB$298</f>
        <v>327341.10567882663</v>
      </c>
      <c r="AC575" s="445">
        <f>+AC574*$AC$299/$AC$298</f>
        <v>294950.86411385972</v>
      </c>
      <c r="AD575" s="445">
        <f>+AD574*$AD$299/$AD$298</f>
        <v>268476.24922887108</v>
      </c>
      <c r="AE575" s="445">
        <f>+AE574*$AE$299/$AE$298</f>
        <v>270463.27683615818</v>
      </c>
      <c r="AF575" s="1218"/>
      <c r="AG575" s="1195"/>
      <c r="AH575" s="789"/>
      <c r="AI575" s="789"/>
      <c r="AJ575" s="793"/>
      <c r="AK575" s="789"/>
      <c r="AL575" s="789"/>
      <c r="AM575" s="789"/>
      <c r="AN575" s="791"/>
      <c r="AO575" s="805"/>
      <c r="AP575" s="805"/>
      <c r="AQ575" s="786"/>
      <c r="AR575" s="786"/>
      <c r="AS575" s="786"/>
      <c r="AT575" s="786"/>
      <c r="AU575" s="787"/>
      <c r="AV575" s="787"/>
      <c r="AW575" s="787"/>
      <c r="AX575" s="784"/>
      <c r="AY575" s="1214"/>
    </row>
    <row r="576" spans="1:51" ht="27.75" customHeight="1" x14ac:dyDescent="0.25">
      <c r="A576" s="1195"/>
      <c r="B576" s="833"/>
      <c r="C576" s="809"/>
      <c r="D576" s="136" t="s">
        <v>42</v>
      </c>
      <c r="E576" s="142"/>
      <c r="F576" s="143"/>
      <c r="G576" s="445"/>
      <c r="H576" s="445"/>
      <c r="I576" s="445"/>
      <c r="J576" s="445"/>
      <c r="K576" s="445"/>
      <c r="L576" s="445"/>
      <c r="M576" s="445"/>
      <c r="N576" s="448"/>
      <c r="O576" s="445"/>
      <c r="P576" s="445"/>
      <c r="Q576" s="445"/>
      <c r="R576" s="447"/>
      <c r="S576" s="446"/>
      <c r="T576" s="446"/>
      <c r="U576" s="446"/>
      <c r="V576" s="446"/>
      <c r="W576" s="446"/>
      <c r="X576" s="446"/>
      <c r="Y576" s="446"/>
      <c r="Z576" s="446"/>
      <c r="AA576" s="448"/>
      <c r="AB576" s="445"/>
      <c r="AC576" s="445"/>
      <c r="AD576" s="445"/>
      <c r="AE576" s="447"/>
      <c r="AF576" s="1218"/>
      <c r="AG576" s="1195"/>
      <c r="AH576" s="789"/>
      <c r="AI576" s="789"/>
      <c r="AJ576" s="793"/>
      <c r="AK576" s="789"/>
      <c r="AL576" s="789"/>
      <c r="AM576" s="789"/>
      <c r="AN576" s="791"/>
      <c r="AO576" s="805"/>
      <c r="AP576" s="805"/>
      <c r="AQ576" s="786"/>
      <c r="AR576" s="786"/>
      <c r="AS576" s="786"/>
      <c r="AT576" s="786"/>
      <c r="AU576" s="787"/>
      <c r="AV576" s="787"/>
      <c r="AW576" s="787"/>
      <c r="AX576" s="784"/>
      <c r="AY576" s="1214"/>
    </row>
    <row r="577" spans="1:51" ht="27.75" customHeight="1" x14ac:dyDescent="0.25">
      <c r="A577" s="1195"/>
      <c r="B577" s="833"/>
      <c r="C577" s="809"/>
      <c r="D577" s="132" t="s">
        <v>4</v>
      </c>
      <c r="E577" s="142"/>
      <c r="F577" s="143"/>
      <c r="G577" s="445"/>
      <c r="H577" s="445"/>
      <c r="I577" s="445"/>
      <c r="J577" s="445"/>
      <c r="K577" s="445"/>
      <c r="L577" s="445"/>
      <c r="M577" s="445"/>
      <c r="N577" s="448"/>
      <c r="O577" s="445"/>
      <c r="P577" s="445"/>
      <c r="Q577" s="445"/>
      <c r="R577" s="447"/>
      <c r="S577" s="446"/>
      <c r="T577" s="446"/>
      <c r="U577" s="446"/>
      <c r="V577" s="446"/>
      <c r="W577" s="446"/>
      <c r="X577" s="446"/>
      <c r="Y577" s="446"/>
      <c r="Z577" s="446"/>
      <c r="AA577" s="448"/>
      <c r="AB577" s="445"/>
      <c r="AC577" s="445"/>
      <c r="AD577" s="445"/>
      <c r="AE577" s="447"/>
      <c r="AF577" s="1218"/>
      <c r="AG577" s="1195"/>
      <c r="AH577" s="789"/>
      <c r="AI577" s="789"/>
      <c r="AJ577" s="793"/>
      <c r="AK577" s="789"/>
      <c r="AL577" s="789"/>
      <c r="AM577" s="789"/>
      <c r="AN577" s="791"/>
      <c r="AO577" s="805"/>
      <c r="AP577" s="805"/>
      <c r="AQ577" s="786"/>
      <c r="AR577" s="786"/>
      <c r="AS577" s="786"/>
      <c r="AT577" s="786"/>
      <c r="AU577" s="787"/>
      <c r="AV577" s="787"/>
      <c r="AW577" s="787"/>
      <c r="AX577" s="784"/>
      <c r="AY577" s="1214"/>
    </row>
    <row r="578" spans="1:51" ht="27.75" customHeight="1" x14ac:dyDescent="0.25">
      <c r="A578" s="1195"/>
      <c r="B578" s="833"/>
      <c r="C578" s="809"/>
      <c r="D578" s="136" t="s">
        <v>43</v>
      </c>
      <c r="E578" s="142"/>
      <c r="F578" s="143"/>
      <c r="G578" s="445"/>
      <c r="H578" s="445"/>
      <c r="I578" s="445"/>
      <c r="J578" s="445"/>
      <c r="K578" s="445"/>
      <c r="L578" s="445"/>
      <c r="M578" s="445">
        <v>32</v>
      </c>
      <c r="N578" s="448">
        <v>32</v>
      </c>
      <c r="O578" s="445">
        <v>32</v>
      </c>
      <c r="P578" s="445">
        <v>32</v>
      </c>
      <c r="Q578" s="445">
        <v>32</v>
      </c>
      <c r="R578" s="447">
        <v>32</v>
      </c>
      <c r="S578" s="446"/>
      <c r="T578" s="446"/>
      <c r="U578" s="446"/>
      <c r="V578" s="446"/>
      <c r="W578" s="446"/>
      <c r="X578" s="446"/>
      <c r="Y578" s="446"/>
      <c r="Z578" s="446">
        <v>32</v>
      </c>
      <c r="AA578" s="448">
        <v>32</v>
      </c>
      <c r="AB578" s="445">
        <v>32</v>
      </c>
      <c r="AC578" s="445">
        <v>32</v>
      </c>
      <c r="AD578" s="445">
        <v>32</v>
      </c>
      <c r="AE578" s="447">
        <v>32</v>
      </c>
      <c r="AF578" s="1218"/>
      <c r="AG578" s="1195"/>
      <c r="AH578" s="789"/>
      <c r="AI578" s="789"/>
      <c r="AJ578" s="793"/>
      <c r="AK578" s="789"/>
      <c r="AL578" s="789"/>
      <c r="AM578" s="789"/>
      <c r="AN578" s="791"/>
      <c r="AO578" s="805"/>
      <c r="AP578" s="805"/>
      <c r="AQ578" s="786"/>
      <c r="AR578" s="786"/>
      <c r="AS578" s="786"/>
      <c r="AT578" s="786"/>
      <c r="AU578" s="787"/>
      <c r="AV578" s="787"/>
      <c r="AW578" s="787"/>
      <c r="AX578" s="784"/>
      <c r="AY578" s="1214"/>
    </row>
    <row r="579" spans="1:51" ht="27.75" customHeight="1" thickBot="1" x14ac:dyDescent="0.3">
      <c r="A579" s="1195"/>
      <c r="B579" s="833"/>
      <c r="C579" s="809"/>
      <c r="D579" s="140" t="s">
        <v>45</v>
      </c>
      <c r="E579" s="142"/>
      <c r="F579" s="143"/>
      <c r="G579" s="445"/>
      <c r="H579" s="445"/>
      <c r="I579" s="445"/>
      <c r="J579" s="445"/>
      <c r="K579" s="445"/>
      <c r="L579" s="445"/>
      <c r="M579" s="445">
        <f>+M578*$M$299/$M$298</f>
        <v>248685.71428571429</v>
      </c>
      <c r="N579" s="445">
        <f>+N578*$N$299/$N$298</f>
        <v>273554.28571428574</v>
      </c>
      <c r="O579" s="445">
        <f>+O578*$O$299/$O$298</f>
        <v>273554.28571428574</v>
      </c>
      <c r="P579" s="445">
        <f>+P578*$P$299/$P$298</f>
        <v>273554.28571428574</v>
      </c>
      <c r="Q579" s="445">
        <f>+Q578*$Q$299/$Q$298</f>
        <v>273554.28571428574</v>
      </c>
      <c r="R579" s="445">
        <f>+R578*$R$299/$R$298</f>
        <v>270463.27683615818</v>
      </c>
      <c r="S579" s="446"/>
      <c r="T579" s="446"/>
      <c r="U579" s="446"/>
      <c r="V579" s="446"/>
      <c r="W579" s="446"/>
      <c r="X579" s="446"/>
      <c r="Y579" s="446"/>
      <c r="Z579" s="445">
        <f>+Z578*$Z$299/$Z$298</f>
        <v>423964.92937165126</v>
      </c>
      <c r="AA579" s="445">
        <f>+AA578*$AA$299/$AA$298</f>
        <v>368189.50930626056</v>
      </c>
      <c r="AB579" s="445">
        <f>+AB578*$AB$299/$AB$298</f>
        <v>327341.10567882663</v>
      </c>
      <c r="AC579" s="445">
        <f>+AC578*$AC$299/$AC$298</f>
        <v>294950.86411385972</v>
      </c>
      <c r="AD579" s="445">
        <f>+AD578*$AD$299/$AD$298</f>
        <v>268476.24922887108</v>
      </c>
      <c r="AE579" s="445">
        <f>+AE578*$AE$299/$AE$298</f>
        <v>270463.27683615818</v>
      </c>
      <c r="AF579" s="1218"/>
      <c r="AG579" s="1196"/>
      <c r="AH579" s="790"/>
      <c r="AI579" s="790"/>
      <c r="AJ579" s="794"/>
      <c r="AK579" s="790"/>
      <c r="AL579" s="790"/>
      <c r="AM579" s="790"/>
      <c r="AN579" s="791"/>
      <c r="AO579" s="805"/>
      <c r="AP579" s="805"/>
      <c r="AQ579" s="786"/>
      <c r="AR579" s="786"/>
      <c r="AS579" s="786"/>
      <c r="AT579" s="786"/>
      <c r="AU579" s="787"/>
      <c r="AV579" s="787"/>
      <c r="AW579" s="787"/>
      <c r="AX579" s="785"/>
      <c r="AY579" s="1214"/>
    </row>
    <row r="580" spans="1:51" ht="19.350000000000001" customHeight="1" x14ac:dyDescent="0.25">
      <c r="A580" s="1195"/>
      <c r="B580" s="833"/>
      <c r="C580" s="809" t="s">
        <v>1322</v>
      </c>
      <c r="D580" s="141" t="s">
        <v>41</v>
      </c>
      <c r="E580" s="142"/>
      <c r="F580" s="143"/>
      <c r="G580" s="445"/>
      <c r="H580" s="445"/>
      <c r="I580" s="445">
        <v>102</v>
      </c>
      <c r="J580" s="445">
        <v>102</v>
      </c>
      <c r="K580" s="445">
        <v>102</v>
      </c>
      <c r="L580" s="445">
        <v>102</v>
      </c>
      <c r="M580" s="445">
        <v>102</v>
      </c>
      <c r="N580" s="448">
        <v>102</v>
      </c>
      <c r="O580" s="445">
        <v>102</v>
      </c>
      <c r="P580" s="445">
        <v>102</v>
      </c>
      <c r="Q580" s="445">
        <v>102</v>
      </c>
      <c r="R580" s="447">
        <v>102</v>
      </c>
      <c r="S580" s="446"/>
      <c r="T580" s="446"/>
      <c r="U580" s="446"/>
      <c r="V580" s="446">
        <v>102</v>
      </c>
      <c r="W580" s="446">
        <v>102</v>
      </c>
      <c r="X580" s="446">
        <v>102</v>
      </c>
      <c r="Y580" s="446">
        <v>102</v>
      </c>
      <c r="Z580" s="446">
        <v>102</v>
      </c>
      <c r="AA580" s="448">
        <v>102</v>
      </c>
      <c r="AB580" s="445">
        <v>102</v>
      </c>
      <c r="AC580" s="445">
        <v>102</v>
      </c>
      <c r="AD580" s="445">
        <v>102</v>
      </c>
      <c r="AE580" s="447">
        <v>102</v>
      </c>
      <c r="AF580" s="1218" t="s">
        <v>854</v>
      </c>
      <c r="AG580" s="1194" t="s">
        <v>389</v>
      </c>
      <c r="AH580" s="788" t="s">
        <v>530</v>
      </c>
      <c r="AI580" s="788" t="s">
        <v>531</v>
      </c>
      <c r="AJ580" s="792" t="s">
        <v>839</v>
      </c>
      <c r="AK580" s="788" t="s">
        <v>315</v>
      </c>
      <c r="AL580" s="788" t="s">
        <v>70</v>
      </c>
      <c r="AM580" s="788" t="s">
        <v>480</v>
      </c>
      <c r="AN580" s="791">
        <v>93248</v>
      </c>
      <c r="AO580" s="805">
        <v>37102</v>
      </c>
      <c r="AP580" s="805">
        <v>38674</v>
      </c>
      <c r="AQ580" s="786" t="s">
        <v>317</v>
      </c>
      <c r="AR580" s="786" t="s">
        <v>317</v>
      </c>
      <c r="AS580" s="786" t="s">
        <v>317</v>
      </c>
      <c r="AT580" s="786" t="s">
        <v>317</v>
      </c>
      <c r="AU580" s="787" t="s">
        <v>317</v>
      </c>
      <c r="AV580" s="787" t="s">
        <v>317</v>
      </c>
      <c r="AW580" s="787" t="s">
        <v>317</v>
      </c>
      <c r="AX580" s="783">
        <v>93248</v>
      </c>
      <c r="AY580" s="1214"/>
    </row>
    <row r="581" spans="1:51" ht="18.75" customHeight="1" x14ac:dyDescent="0.25">
      <c r="A581" s="1195"/>
      <c r="B581" s="833"/>
      <c r="C581" s="809"/>
      <c r="D581" s="132" t="s">
        <v>3</v>
      </c>
      <c r="E581" s="142"/>
      <c r="F581" s="143"/>
      <c r="G581" s="445"/>
      <c r="H581" s="445"/>
      <c r="I581" s="445">
        <v>999162.85714285716</v>
      </c>
      <c r="J581" s="445">
        <v>792685.71428571432</v>
      </c>
      <c r="K581" s="445">
        <f>+K580*$K$299/$K$298</f>
        <v>792685.71428571432</v>
      </c>
      <c r="L581" s="445">
        <f>+L580*$L$299/$L$298</f>
        <v>871954.28571428568</v>
      </c>
      <c r="M581" s="445"/>
      <c r="N581" s="445">
        <f>+N580*$N$299/$N$298</f>
        <v>871954.28571428568</v>
      </c>
      <c r="O581" s="445">
        <f>+O580*$O$299/$O$298</f>
        <v>871954.28571428568</v>
      </c>
      <c r="P581" s="445">
        <f>+P580*$P$299/$P$298</f>
        <v>871954.28571428568</v>
      </c>
      <c r="Q581" s="445">
        <f>+Q580*$Q$299/$Q$298</f>
        <v>871954.28571428568</v>
      </c>
      <c r="R581" s="445">
        <f>+R580*$R$299/$R$298</f>
        <v>862101.69491525425</v>
      </c>
      <c r="S581" s="446"/>
      <c r="T581" s="446"/>
      <c r="U581" s="446"/>
      <c r="V581" s="445">
        <v>3291103.2028469751</v>
      </c>
      <c r="W581" s="445">
        <v>2427296.5879265093</v>
      </c>
      <c r="X581" s="445">
        <f>+X580*$X$299/$X$298</f>
        <v>1896377.3069036226</v>
      </c>
      <c r="Y581" s="445">
        <f>+Y580*$Y$299/$Y$298</f>
        <v>1576363.6363636365</v>
      </c>
      <c r="Z581" s="445">
        <f>+Z580*$Z$299/$Z$298</f>
        <v>1351388.2123721384</v>
      </c>
      <c r="AA581" s="445">
        <f>+AA580*$AA$299/$AA$298</f>
        <v>1173604.0609137055</v>
      </c>
      <c r="AB581" s="445">
        <f>+AB580*$AB$299/$AB$298</f>
        <v>1043399.7743512599</v>
      </c>
      <c r="AC581" s="445">
        <f>+AC580*$AC$299/$AC$298</f>
        <v>940155.87936292787</v>
      </c>
      <c r="AD581" s="445">
        <f>+AD580*$AD$299/$AD$298</f>
        <v>855768.04441702657</v>
      </c>
      <c r="AE581" s="445">
        <f>+AE580*$AE$299/$AE$298</f>
        <v>862101.69491525425</v>
      </c>
      <c r="AF581" s="1218"/>
      <c r="AG581" s="1195"/>
      <c r="AH581" s="789"/>
      <c r="AI581" s="789"/>
      <c r="AJ581" s="793"/>
      <c r="AK581" s="789"/>
      <c r="AL581" s="789"/>
      <c r="AM581" s="789"/>
      <c r="AN581" s="791"/>
      <c r="AO581" s="805"/>
      <c r="AP581" s="805"/>
      <c r="AQ581" s="786"/>
      <c r="AR581" s="786"/>
      <c r="AS581" s="786"/>
      <c r="AT581" s="786"/>
      <c r="AU581" s="787"/>
      <c r="AV581" s="787"/>
      <c r="AW581" s="787"/>
      <c r="AX581" s="784"/>
      <c r="AY581" s="1214"/>
    </row>
    <row r="582" spans="1:51" ht="27.75" customHeight="1" x14ac:dyDescent="0.25">
      <c r="A582" s="1195"/>
      <c r="B582" s="833"/>
      <c r="C582" s="809"/>
      <c r="D582" s="136" t="s">
        <v>42</v>
      </c>
      <c r="E582" s="142"/>
      <c r="F582" s="143"/>
      <c r="G582" s="445"/>
      <c r="H582" s="445"/>
      <c r="I582" s="445"/>
      <c r="J582" s="445"/>
      <c r="K582" s="445"/>
      <c r="L582" s="445"/>
      <c r="M582" s="445"/>
      <c r="N582" s="448"/>
      <c r="O582" s="445"/>
      <c r="P582" s="445"/>
      <c r="Q582" s="445"/>
      <c r="R582" s="447"/>
      <c r="S582" s="446"/>
      <c r="T582" s="446"/>
      <c r="U582" s="446"/>
      <c r="V582" s="446"/>
      <c r="W582" s="446"/>
      <c r="X582" s="446"/>
      <c r="Y582" s="446"/>
      <c r="Z582" s="446"/>
      <c r="AA582" s="448"/>
      <c r="AB582" s="445"/>
      <c r="AC582" s="445"/>
      <c r="AD582" s="445"/>
      <c r="AE582" s="447"/>
      <c r="AF582" s="1218"/>
      <c r="AG582" s="1195"/>
      <c r="AH582" s="789"/>
      <c r="AI582" s="789"/>
      <c r="AJ582" s="793"/>
      <c r="AK582" s="789"/>
      <c r="AL582" s="789"/>
      <c r="AM582" s="789"/>
      <c r="AN582" s="791"/>
      <c r="AO582" s="805"/>
      <c r="AP582" s="805"/>
      <c r="AQ582" s="786"/>
      <c r="AR582" s="786"/>
      <c r="AS582" s="786"/>
      <c r="AT582" s="786"/>
      <c r="AU582" s="787"/>
      <c r="AV582" s="787"/>
      <c r="AW582" s="787"/>
      <c r="AX582" s="784"/>
      <c r="AY582" s="1214"/>
    </row>
    <row r="583" spans="1:51" ht="27.75" customHeight="1" x14ac:dyDescent="0.25">
      <c r="A583" s="1195"/>
      <c r="B583" s="833"/>
      <c r="C583" s="809"/>
      <c r="D583" s="132" t="s">
        <v>4</v>
      </c>
      <c r="E583" s="142"/>
      <c r="F583" s="143"/>
      <c r="G583" s="445"/>
      <c r="H583" s="445"/>
      <c r="I583" s="445"/>
      <c r="J583" s="445"/>
      <c r="K583" s="445"/>
      <c r="L583" s="445"/>
      <c r="M583" s="445"/>
      <c r="N583" s="448"/>
      <c r="O583" s="445"/>
      <c r="P583" s="445"/>
      <c r="Q583" s="445"/>
      <c r="R583" s="447"/>
      <c r="S583" s="446"/>
      <c r="T583" s="446"/>
      <c r="U583" s="446"/>
      <c r="V583" s="446"/>
      <c r="W583" s="446"/>
      <c r="X583" s="446"/>
      <c r="Y583" s="446"/>
      <c r="Z583" s="446"/>
      <c r="AA583" s="448"/>
      <c r="AB583" s="445"/>
      <c r="AC583" s="445"/>
      <c r="AD583" s="445"/>
      <c r="AE583" s="447"/>
      <c r="AF583" s="1218"/>
      <c r="AG583" s="1195"/>
      <c r="AH583" s="789"/>
      <c r="AI583" s="789"/>
      <c r="AJ583" s="793"/>
      <c r="AK583" s="789"/>
      <c r="AL583" s="789"/>
      <c r="AM583" s="789"/>
      <c r="AN583" s="791"/>
      <c r="AO583" s="805"/>
      <c r="AP583" s="805"/>
      <c r="AQ583" s="786"/>
      <c r="AR583" s="786"/>
      <c r="AS583" s="786"/>
      <c r="AT583" s="786"/>
      <c r="AU583" s="787"/>
      <c r="AV583" s="787"/>
      <c r="AW583" s="787"/>
      <c r="AX583" s="784"/>
      <c r="AY583" s="1214"/>
    </row>
    <row r="584" spans="1:51" ht="27.75" customHeight="1" x14ac:dyDescent="0.25">
      <c r="A584" s="1195"/>
      <c r="B584" s="833"/>
      <c r="C584" s="809"/>
      <c r="D584" s="136" t="s">
        <v>43</v>
      </c>
      <c r="E584" s="142"/>
      <c r="F584" s="143"/>
      <c r="G584" s="445"/>
      <c r="H584" s="445"/>
      <c r="I584" s="445">
        <v>102</v>
      </c>
      <c r="J584" s="445">
        <v>102</v>
      </c>
      <c r="K584" s="445">
        <v>102</v>
      </c>
      <c r="L584" s="445">
        <v>102</v>
      </c>
      <c r="M584" s="445">
        <v>102</v>
      </c>
      <c r="N584" s="448">
        <v>102</v>
      </c>
      <c r="O584" s="445">
        <v>102</v>
      </c>
      <c r="P584" s="445">
        <v>102</v>
      </c>
      <c r="Q584" s="445">
        <v>102</v>
      </c>
      <c r="R584" s="447">
        <v>102</v>
      </c>
      <c r="S584" s="446"/>
      <c r="T584" s="446"/>
      <c r="U584" s="446"/>
      <c r="V584" s="445">
        <v>102</v>
      </c>
      <c r="W584" s="445">
        <v>102</v>
      </c>
      <c r="X584" s="446">
        <v>102</v>
      </c>
      <c r="Y584" s="446">
        <v>102</v>
      </c>
      <c r="Z584" s="446">
        <v>102</v>
      </c>
      <c r="AA584" s="448">
        <v>102</v>
      </c>
      <c r="AB584" s="445">
        <v>102</v>
      </c>
      <c r="AC584" s="445">
        <v>102</v>
      </c>
      <c r="AD584" s="445">
        <v>102</v>
      </c>
      <c r="AE584" s="447">
        <v>102</v>
      </c>
      <c r="AF584" s="1218"/>
      <c r="AG584" s="1195"/>
      <c r="AH584" s="789"/>
      <c r="AI584" s="789"/>
      <c r="AJ584" s="793"/>
      <c r="AK584" s="789"/>
      <c r="AL584" s="789"/>
      <c r="AM584" s="789"/>
      <c r="AN584" s="791"/>
      <c r="AO584" s="805"/>
      <c r="AP584" s="805"/>
      <c r="AQ584" s="786"/>
      <c r="AR584" s="786"/>
      <c r="AS584" s="786"/>
      <c r="AT584" s="786"/>
      <c r="AU584" s="787"/>
      <c r="AV584" s="787"/>
      <c r="AW584" s="787"/>
      <c r="AX584" s="784"/>
      <c r="AY584" s="1214"/>
    </row>
    <row r="585" spans="1:51" ht="27.75" customHeight="1" thickBot="1" x14ac:dyDescent="0.3">
      <c r="A585" s="1195"/>
      <c r="B585" s="833"/>
      <c r="C585" s="809"/>
      <c r="D585" s="140" t="s">
        <v>45</v>
      </c>
      <c r="E585" s="142"/>
      <c r="F585" s="143"/>
      <c r="G585" s="445"/>
      <c r="H585" s="445"/>
      <c r="I585" s="445">
        <v>999162.85714285716</v>
      </c>
      <c r="J585" s="445">
        <v>792685.71428571432</v>
      </c>
      <c r="K585" s="445">
        <f>+K584*$K$299/$K$298</f>
        <v>792685.71428571432</v>
      </c>
      <c r="L585" s="445">
        <f>+L584*$L$299/$L$298</f>
        <v>871954.28571428568</v>
      </c>
      <c r="M585" s="445">
        <f>+M584*$M$299/$M$298</f>
        <v>792685.71428571432</v>
      </c>
      <c r="N585" s="445">
        <f>+N584*$N$299/$N$298</f>
        <v>871954.28571428568</v>
      </c>
      <c r="O585" s="445">
        <f>+O584*$O$299/$O$298</f>
        <v>871954.28571428568</v>
      </c>
      <c r="P585" s="445">
        <f>+P584*$P$299/$P$298</f>
        <v>871954.28571428568</v>
      </c>
      <c r="Q585" s="445">
        <f>+Q584*$Q$299/$Q$298</f>
        <v>871954.28571428568</v>
      </c>
      <c r="R585" s="445">
        <f>+R584*$R$299/$R$298</f>
        <v>862101.69491525425</v>
      </c>
      <c r="S585" s="446"/>
      <c r="T585" s="446"/>
      <c r="U585" s="446"/>
      <c r="V585" s="445">
        <v>3291103.2028469751</v>
      </c>
      <c r="W585" s="445">
        <v>2427296.5879265093</v>
      </c>
      <c r="X585" s="445">
        <f>+X584*$X$299/$X$298</f>
        <v>1896377.3069036226</v>
      </c>
      <c r="Y585" s="445">
        <f>+Y584*$Y$299/$Y$298</f>
        <v>1576363.6363636365</v>
      </c>
      <c r="Z585" s="445">
        <f>+Z584*$Z$299/$Z$298</f>
        <v>1351388.2123721384</v>
      </c>
      <c r="AA585" s="445">
        <f>+AA584*$AA$299/$AA$298</f>
        <v>1173604.0609137055</v>
      </c>
      <c r="AB585" s="445">
        <f>+AB584*$AB$299/$AB$298</f>
        <v>1043399.7743512599</v>
      </c>
      <c r="AC585" s="445">
        <f>+AC584*$AC$299/$AC$298</f>
        <v>940155.87936292787</v>
      </c>
      <c r="AD585" s="445">
        <f>+AD584*$AD$299/$AD$298</f>
        <v>855768.04441702657</v>
      </c>
      <c r="AE585" s="445">
        <f>+AE584*$AE$299/$AE$298</f>
        <v>862101.69491525425</v>
      </c>
      <c r="AF585" s="1218"/>
      <c r="AG585" s="1196"/>
      <c r="AH585" s="790"/>
      <c r="AI585" s="790"/>
      <c r="AJ585" s="794"/>
      <c r="AK585" s="790"/>
      <c r="AL585" s="790"/>
      <c r="AM585" s="790"/>
      <c r="AN585" s="791"/>
      <c r="AO585" s="805"/>
      <c r="AP585" s="805"/>
      <c r="AQ585" s="786"/>
      <c r="AR585" s="786"/>
      <c r="AS585" s="786"/>
      <c r="AT585" s="786"/>
      <c r="AU585" s="787"/>
      <c r="AV585" s="787"/>
      <c r="AW585" s="787"/>
      <c r="AX585" s="785"/>
      <c r="AY585" s="1214"/>
    </row>
    <row r="586" spans="1:51" ht="19.350000000000001" customHeight="1" x14ac:dyDescent="0.25">
      <c r="A586" s="1195"/>
      <c r="B586" s="833"/>
      <c r="C586" s="809" t="s">
        <v>1321</v>
      </c>
      <c r="D586" s="141" t="s">
        <v>41</v>
      </c>
      <c r="E586" s="142"/>
      <c r="F586" s="143"/>
      <c r="G586" s="445"/>
      <c r="H586" s="445"/>
      <c r="I586" s="445">
        <v>52</v>
      </c>
      <c r="J586" s="445">
        <v>52</v>
      </c>
      <c r="K586" s="445">
        <v>52</v>
      </c>
      <c r="L586" s="445">
        <v>52</v>
      </c>
      <c r="M586" s="445">
        <v>52</v>
      </c>
      <c r="N586" s="448">
        <v>52</v>
      </c>
      <c r="O586" s="445">
        <v>52</v>
      </c>
      <c r="P586" s="445">
        <v>52</v>
      </c>
      <c r="Q586" s="445">
        <v>52</v>
      </c>
      <c r="R586" s="447">
        <v>52</v>
      </c>
      <c r="S586" s="446"/>
      <c r="T586" s="446"/>
      <c r="U586" s="446"/>
      <c r="V586" s="446">
        <v>52</v>
      </c>
      <c r="W586" s="446">
        <v>52</v>
      </c>
      <c r="X586" s="446">
        <v>52</v>
      </c>
      <c r="Y586" s="446">
        <v>52</v>
      </c>
      <c r="Z586" s="446">
        <v>52</v>
      </c>
      <c r="AA586" s="448">
        <v>52</v>
      </c>
      <c r="AB586" s="445">
        <v>52</v>
      </c>
      <c r="AC586" s="445">
        <v>52</v>
      </c>
      <c r="AD586" s="445">
        <v>52</v>
      </c>
      <c r="AE586" s="447">
        <v>52</v>
      </c>
      <c r="AF586" s="1218" t="s">
        <v>855</v>
      </c>
      <c r="AG586" s="1194" t="s">
        <v>389</v>
      </c>
      <c r="AH586" s="788" t="s">
        <v>530</v>
      </c>
      <c r="AI586" s="788" t="s">
        <v>534</v>
      </c>
      <c r="AJ586" s="792" t="s">
        <v>839</v>
      </c>
      <c r="AK586" s="788" t="s">
        <v>315</v>
      </c>
      <c r="AL586" s="788" t="s">
        <v>70</v>
      </c>
      <c r="AM586" s="788" t="s">
        <v>480</v>
      </c>
      <c r="AN586" s="791">
        <v>93248</v>
      </c>
      <c r="AO586" s="805">
        <v>37102</v>
      </c>
      <c r="AP586" s="805">
        <v>38674</v>
      </c>
      <c r="AQ586" s="786" t="s">
        <v>317</v>
      </c>
      <c r="AR586" s="786" t="s">
        <v>317</v>
      </c>
      <c r="AS586" s="786" t="s">
        <v>317</v>
      </c>
      <c r="AT586" s="786" t="s">
        <v>317</v>
      </c>
      <c r="AU586" s="787" t="s">
        <v>317</v>
      </c>
      <c r="AV586" s="787" t="s">
        <v>317</v>
      </c>
      <c r="AW586" s="787" t="s">
        <v>317</v>
      </c>
      <c r="AX586" s="783">
        <v>93248</v>
      </c>
      <c r="AY586" s="1214"/>
    </row>
    <row r="587" spans="1:51" ht="18.75" customHeight="1" x14ac:dyDescent="0.25">
      <c r="A587" s="1195"/>
      <c r="B587" s="833"/>
      <c r="C587" s="809"/>
      <c r="D587" s="132" t="s">
        <v>3</v>
      </c>
      <c r="E587" s="142"/>
      <c r="F587" s="143"/>
      <c r="G587" s="445"/>
      <c r="H587" s="445"/>
      <c r="I587" s="445">
        <v>509377.14285714284</v>
      </c>
      <c r="J587" s="445">
        <v>404114.28571428574</v>
      </c>
      <c r="K587" s="445">
        <f>+K586*$K$299/$K$298</f>
        <v>404114.28571428574</v>
      </c>
      <c r="L587" s="445">
        <f>+L586*$L$299/$L$298</f>
        <v>444525.71428571426</v>
      </c>
      <c r="M587" s="445"/>
      <c r="N587" s="445">
        <f>+N586*$N$299/$N$298</f>
        <v>444525.71428571426</v>
      </c>
      <c r="O587" s="445">
        <f>+O586*$O$299/$O$298</f>
        <v>444525.71428571426</v>
      </c>
      <c r="P587" s="445">
        <f>+P586*$P$299/$P$298</f>
        <v>444525.71428571426</v>
      </c>
      <c r="Q587" s="445">
        <f>+Q586*$Q$299/$Q$298</f>
        <v>444525.71428571426</v>
      </c>
      <c r="R587" s="445">
        <f>+R586*$R$299/$R$298</f>
        <v>439502.82485875709</v>
      </c>
      <c r="S587" s="446"/>
      <c r="T587" s="446"/>
      <c r="U587" s="446"/>
      <c r="V587" s="445">
        <v>1677817.3190984579</v>
      </c>
      <c r="W587" s="445">
        <v>1237445.319335083</v>
      </c>
      <c r="X587" s="445">
        <f>+X586*$X$299/$X$298</f>
        <v>966780.58783321944</v>
      </c>
      <c r="Y587" s="445">
        <f>+Y586*$Y$299/$Y$298</f>
        <v>803636.36363636365</v>
      </c>
      <c r="Z587" s="445">
        <f>+Z586*$Z$299/$Z$298</f>
        <v>688943.0102289333</v>
      </c>
      <c r="AA587" s="445">
        <f>+AA586*$AA$299/$AA$298</f>
        <v>598307.95262267347</v>
      </c>
      <c r="AB587" s="445">
        <f>+AB586*$AB$299/$AB$298</f>
        <v>531929.29672809329</v>
      </c>
      <c r="AC587" s="445">
        <f>+AC586*$AC$299/$AC$298</f>
        <v>479295.15418502205</v>
      </c>
      <c r="AD587" s="445">
        <f>+AD586*$AD$299/$AD$298</f>
        <v>436273.90499691549</v>
      </c>
      <c r="AE587" s="445">
        <f>+AE586*$AE$299/$AE$298</f>
        <v>439502.82485875709</v>
      </c>
      <c r="AF587" s="1218"/>
      <c r="AG587" s="1195"/>
      <c r="AH587" s="789"/>
      <c r="AI587" s="789"/>
      <c r="AJ587" s="793"/>
      <c r="AK587" s="789"/>
      <c r="AL587" s="789"/>
      <c r="AM587" s="789"/>
      <c r="AN587" s="791"/>
      <c r="AO587" s="805"/>
      <c r="AP587" s="805"/>
      <c r="AQ587" s="786"/>
      <c r="AR587" s="786"/>
      <c r="AS587" s="786"/>
      <c r="AT587" s="786"/>
      <c r="AU587" s="787"/>
      <c r="AV587" s="787"/>
      <c r="AW587" s="787"/>
      <c r="AX587" s="784"/>
      <c r="AY587" s="1214"/>
    </row>
    <row r="588" spans="1:51" ht="27.75" customHeight="1" x14ac:dyDescent="0.25">
      <c r="A588" s="1195"/>
      <c r="B588" s="833"/>
      <c r="C588" s="809"/>
      <c r="D588" s="136" t="s">
        <v>42</v>
      </c>
      <c r="E588" s="142"/>
      <c r="F588" s="143"/>
      <c r="G588" s="445"/>
      <c r="H588" s="445"/>
      <c r="I588" s="445"/>
      <c r="J588" s="445"/>
      <c r="K588" s="445"/>
      <c r="L588" s="445"/>
      <c r="M588" s="445"/>
      <c r="N588" s="448"/>
      <c r="O588" s="445"/>
      <c r="P588" s="445"/>
      <c r="Q588" s="445"/>
      <c r="R588" s="447"/>
      <c r="S588" s="446"/>
      <c r="T588" s="446"/>
      <c r="U588" s="446"/>
      <c r="V588" s="446"/>
      <c r="W588" s="446"/>
      <c r="X588" s="446"/>
      <c r="Y588" s="446"/>
      <c r="Z588" s="446"/>
      <c r="AA588" s="448"/>
      <c r="AB588" s="1224"/>
      <c r="AC588" s="445"/>
      <c r="AD588" s="445"/>
      <c r="AE588" s="447"/>
      <c r="AF588" s="1218"/>
      <c r="AG588" s="1195"/>
      <c r="AH588" s="789"/>
      <c r="AI588" s="789"/>
      <c r="AJ588" s="793"/>
      <c r="AK588" s="789"/>
      <c r="AL588" s="789"/>
      <c r="AM588" s="789"/>
      <c r="AN588" s="791"/>
      <c r="AO588" s="805"/>
      <c r="AP588" s="805"/>
      <c r="AQ588" s="786"/>
      <c r="AR588" s="786"/>
      <c r="AS588" s="786"/>
      <c r="AT588" s="786"/>
      <c r="AU588" s="787"/>
      <c r="AV588" s="787"/>
      <c r="AW588" s="787"/>
      <c r="AX588" s="784"/>
      <c r="AY588" s="1214"/>
    </row>
    <row r="589" spans="1:51" ht="27.75" customHeight="1" x14ac:dyDescent="0.25">
      <c r="A589" s="1195"/>
      <c r="B589" s="833"/>
      <c r="C589" s="809"/>
      <c r="D589" s="132" t="s">
        <v>4</v>
      </c>
      <c r="E589" s="142"/>
      <c r="F589" s="143"/>
      <c r="G589" s="445"/>
      <c r="H589" s="445"/>
      <c r="I589" s="445"/>
      <c r="J589" s="445"/>
      <c r="K589" s="445"/>
      <c r="L589" s="445"/>
      <c r="M589" s="445"/>
      <c r="N589" s="448"/>
      <c r="O589" s="445"/>
      <c r="P589" s="445"/>
      <c r="Q589" s="445"/>
      <c r="R589" s="447"/>
      <c r="S589" s="446"/>
      <c r="T589" s="446"/>
      <c r="U589" s="446"/>
      <c r="V589" s="446"/>
      <c r="W589" s="446"/>
      <c r="X589" s="446"/>
      <c r="Y589" s="446"/>
      <c r="Z589" s="446"/>
      <c r="AA589" s="448"/>
      <c r="AB589" s="1224"/>
      <c r="AC589" s="445"/>
      <c r="AD589" s="445"/>
      <c r="AE589" s="447"/>
      <c r="AF589" s="1218"/>
      <c r="AG589" s="1195"/>
      <c r="AH589" s="789"/>
      <c r="AI589" s="789"/>
      <c r="AJ589" s="793"/>
      <c r="AK589" s="789"/>
      <c r="AL589" s="789"/>
      <c r="AM589" s="789"/>
      <c r="AN589" s="791"/>
      <c r="AO589" s="805"/>
      <c r="AP589" s="805"/>
      <c r="AQ589" s="786"/>
      <c r="AR589" s="786"/>
      <c r="AS589" s="786"/>
      <c r="AT589" s="786"/>
      <c r="AU589" s="787"/>
      <c r="AV589" s="787"/>
      <c r="AW589" s="787"/>
      <c r="AX589" s="784"/>
      <c r="AY589" s="1214"/>
    </row>
    <row r="590" spans="1:51" ht="27.75" customHeight="1" x14ac:dyDescent="0.25">
      <c r="A590" s="1195"/>
      <c r="B590" s="833"/>
      <c r="C590" s="809"/>
      <c r="D590" s="136" t="s">
        <v>43</v>
      </c>
      <c r="E590" s="142"/>
      <c r="F590" s="143"/>
      <c r="G590" s="445"/>
      <c r="H590" s="445"/>
      <c r="I590" s="445">
        <v>52</v>
      </c>
      <c r="J590" s="445">
        <v>52</v>
      </c>
      <c r="K590" s="445">
        <v>52</v>
      </c>
      <c r="L590" s="445">
        <v>52</v>
      </c>
      <c r="M590" s="445">
        <v>52</v>
      </c>
      <c r="N590" s="448">
        <v>52</v>
      </c>
      <c r="O590" s="445">
        <v>52</v>
      </c>
      <c r="P590" s="445">
        <v>52</v>
      </c>
      <c r="Q590" s="445">
        <v>52</v>
      </c>
      <c r="R590" s="447">
        <v>52</v>
      </c>
      <c r="S590" s="446"/>
      <c r="T590" s="446"/>
      <c r="U590" s="446"/>
      <c r="V590" s="445">
        <v>52</v>
      </c>
      <c r="W590" s="445">
        <v>52</v>
      </c>
      <c r="X590" s="446">
        <v>52</v>
      </c>
      <c r="Y590" s="446">
        <v>52</v>
      </c>
      <c r="Z590" s="446">
        <v>52</v>
      </c>
      <c r="AA590" s="448">
        <v>52</v>
      </c>
      <c r="AB590" s="1224">
        <v>52</v>
      </c>
      <c r="AC590" s="445">
        <v>52</v>
      </c>
      <c r="AD590" s="445">
        <v>52</v>
      </c>
      <c r="AE590" s="447">
        <v>52</v>
      </c>
      <c r="AF590" s="1218"/>
      <c r="AG590" s="1195"/>
      <c r="AH590" s="789"/>
      <c r="AI590" s="789"/>
      <c r="AJ590" s="793"/>
      <c r="AK590" s="789"/>
      <c r="AL590" s="789"/>
      <c r="AM590" s="789"/>
      <c r="AN590" s="791"/>
      <c r="AO590" s="805"/>
      <c r="AP590" s="805"/>
      <c r="AQ590" s="786"/>
      <c r="AR590" s="786"/>
      <c r="AS590" s="786"/>
      <c r="AT590" s="786"/>
      <c r="AU590" s="787"/>
      <c r="AV590" s="787"/>
      <c r="AW590" s="787"/>
      <c r="AX590" s="784"/>
      <c r="AY590" s="1214"/>
    </row>
    <row r="591" spans="1:51" ht="27.75" customHeight="1" thickBot="1" x14ac:dyDescent="0.3">
      <c r="A591" s="1195"/>
      <c r="B591" s="833"/>
      <c r="C591" s="809"/>
      <c r="D591" s="140" t="s">
        <v>45</v>
      </c>
      <c r="E591" s="142"/>
      <c r="F591" s="143"/>
      <c r="G591" s="445"/>
      <c r="H591" s="445"/>
      <c r="I591" s="445">
        <v>509377.14285714284</v>
      </c>
      <c r="J591" s="445">
        <v>404114.28571428574</v>
      </c>
      <c r="K591" s="445">
        <f>+K590*$K$299/$K$298</f>
        <v>404114.28571428574</v>
      </c>
      <c r="L591" s="445">
        <f>+L590*$L$299/$L$298</f>
        <v>444525.71428571426</v>
      </c>
      <c r="M591" s="445">
        <f>+M590*$M$299/$M$298</f>
        <v>404114.28571428574</v>
      </c>
      <c r="N591" s="445">
        <f>+N590*$N$299/$N$298</f>
        <v>444525.71428571426</v>
      </c>
      <c r="O591" s="445">
        <f>+O590*$O$299/$O$298</f>
        <v>444525.71428571426</v>
      </c>
      <c r="P591" s="445">
        <f>+P590*$P$299/$P$298</f>
        <v>444525.71428571426</v>
      </c>
      <c r="Q591" s="445">
        <f>+Q590*$Q$299/$Q$298</f>
        <v>444525.71428571426</v>
      </c>
      <c r="R591" s="445">
        <f>+R590*$R$299/$R$298</f>
        <v>439502.82485875709</v>
      </c>
      <c r="S591" s="446"/>
      <c r="T591" s="446"/>
      <c r="U591" s="446"/>
      <c r="V591" s="445">
        <v>1677817.3190984579</v>
      </c>
      <c r="W591" s="445">
        <v>1237445.319335083</v>
      </c>
      <c r="X591" s="445">
        <f>+X590*$X$299/$X$298</f>
        <v>966780.58783321944</v>
      </c>
      <c r="Y591" s="445">
        <f>+Y590*$Y$299/$Y$298</f>
        <v>803636.36363636365</v>
      </c>
      <c r="Z591" s="445">
        <f>+Z590*$Z$299/$Z$298</f>
        <v>688943.0102289333</v>
      </c>
      <c r="AA591" s="445">
        <f>+AA590*$AA$299/$AA$298</f>
        <v>598307.95262267347</v>
      </c>
      <c r="AB591" s="445">
        <f>+AB590*$AB$299/$AB$298</f>
        <v>531929.29672809329</v>
      </c>
      <c r="AC591" s="445">
        <f>+AC590*$AC$299/$AC$298</f>
        <v>479295.15418502205</v>
      </c>
      <c r="AD591" s="445">
        <f>+AD590*$AD$299/$AD$298</f>
        <v>436273.90499691549</v>
      </c>
      <c r="AE591" s="445">
        <f>+AE590*$AE$299/$AE$298</f>
        <v>439502.82485875709</v>
      </c>
      <c r="AF591" s="1218"/>
      <c r="AG591" s="1196"/>
      <c r="AH591" s="790"/>
      <c r="AI591" s="790"/>
      <c r="AJ591" s="794"/>
      <c r="AK591" s="790"/>
      <c r="AL591" s="790"/>
      <c r="AM591" s="790"/>
      <c r="AN591" s="791"/>
      <c r="AO591" s="805"/>
      <c r="AP591" s="805"/>
      <c r="AQ591" s="786"/>
      <c r="AR591" s="786"/>
      <c r="AS591" s="786"/>
      <c r="AT591" s="786"/>
      <c r="AU591" s="787"/>
      <c r="AV591" s="787"/>
      <c r="AW591" s="787"/>
      <c r="AX591" s="785"/>
      <c r="AY591" s="1214"/>
    </row>
    <row r="592" spans="1:51" ht="19.350000000000001" customHeight="1" x14ac:dyDescent="0.25">
      <c r="A592" s="1195"/>
      <c r="B592" s="833"/>
      <c r="C592" s="809" t="s">
        <v>995</v>
      </c>
      <c r="D592" s="141" t="s">
        <v>41</v>
      </c>
      <c r="E592" s="142"/>
      <c r="F592" s="143"/>
      <c r="G592" s="445"/>
      <c r="H592" s="445"/>
      <c r="I592" s="445"/>
      <c r="J592" s="445"/>
      <c r="K592" s="445"/>
      <c r="L592" s="445"/>
      <c r="M592" s="445"/>
      <c r="N592" s="448"/>
      <c r="O592" s="445"/>
      <c r="P592" s="445"/>
      <c r="Q592" s="445">
        <v>4</v>
      </c>
      <c r="R592" s="447">
        <v>4</v>
      </c>
      <c r="S592" s="446"/>
      <c r="T592" s="446"/>
      <c r="U592" s="446"/>
      <c r="V592" s="446"/>
      <c r="W592" s="446"/>
      <c r="X592" s="446"/>
      <c r="Y592" s="446"/>
      <c r="Z592" s="446"/>
      <c r="AA592" s="448"/>
      <c r="AB592" s="1224"/>
      <c r="AC592" s="1225"/>
      <c r="AD592" s="445">
        <v>4</v>
      </c>
      <c r="AE592" s="447">
        <v>4</v>
      </c>
      <c r="AF592" s="1213" t="s">
        <v>1289</v>
      </c>
      <c r="AG592" s="1194" t="s">
        <v>361</v>
      </c>
      <c r="AH592" s="788" t="s">
        <v>1019</v>
      </c>
      <c r="AI592" s="788" t="s">
        <v>1020</v>
      </c>
      <c r="AJ592" s="792" t="s">
        <v>839</v>
      </c>
      <c r="AK592" s="788" t="s">
        <v>315</v>
      </c>
      <c r="AL592" s="788" t="s">
        <v>70</v>
      </c>
      <c r="AM592" s="788" t="s">
        <v>480</v>
      </c>
      <c r="AN592" s="791">
        <v>1230539</v>
      </c>
      <c r="AO592" s="805">
        <v>511137</v>
      </c>
      <c r="AP592" s="805">
        <v>556761</v>
      </c>
      <c r="AQ592" s="786" t="s">
        <v>317</v>
      </c>
      <c r="AR592" s="786" t="s">
        <v>317</v>
      </c>
      <c r="AS592" s="786" t="s">
        <v>317</v>
      </c>
      <c r="AT592" s="786" t="s">
        <v>317</v>
      </c>
      <c r="AU592" s="787" t="s">
        <v>317</v>
      </c>
      <c r="AV592" s="787" t="s">
        <v>317</v>
      </c>
      <c r="AW592" s="787" t="s">
        <v>317</v>
      </c>
      <c r="AX592" s="783">
        <v>1230539</v>
      </c>
      <c r="AY592" s="1214"/>
    </row>
    <row r="593" spans="1:51" ht="18.75" customHeight="1" x14ac:dyDescent="0.25">
      <c r="A593" s="1195"/>
      <c r="B593" s="833"/>
      <c r="C593" s="809"/>
      <c r="D593" s="132" t="s">
        <v>3</v>
      </c>
      <c r="E593" s="142"/>
      <c r="F593" s="143"/>
      <c r="G593" s="445"/>
      <c r="H593" s="445"/>
      <c r="I593" s="445"/>
      <c r="J593" s="445"/>
      <c r="K593" s="445"/>
      <c r="L593" s="445"/>
      <c r="M593" s="445"/>
      <c r="N593" s="448"/>
      <c r="O593" s="445"/>
      <c r="P593" s="445"/>
      <c r="Q593" s="445">
        <f>+Q592*$Q$299/$Q$298</f>
        <v>34194.285714285717</v>
      </c>
      <c r="R593" s="445">
        <f>+R592*$R$299/$R$298</f>
        <v>33807.909604519773</v>
      </c>
      <c r="S593" s="446"/>
      <c r="T593" s="446"/>
      <c r="U593" s="446"/>
      <c r="V593" s="446"/>
      <c r="W593" s="446"/>
      <c r="X593" s="446"/>
      <c r="Y593" s="446"/>
      <c r="Z593" s="446"/>
      <c r="AA593" s="448"/>
      <c r="AB593" s="1224"/>
      <c r="AC593" s="1225"/>
      <c r="AD593" s="445">
        <f>+AD592*$AD$299/$AD$298</f>
        <v>33559.531153608885</v>
      </c>
      <c r="AE593" s="445">
        <f>+AE592*$AE$299/$AE$298</f>
        <v>33807.909604519773</v>
      </c>
      <c r="AF593" s="1217"/>
      <c r="AG593" s="1195"/>
      <c r="AH593" s="789"/>
      <c r="AI593" s="789"/>
      <c r="AJ593" s="793"/>
      <c r="AK593" s="789"/>
      <c r="AL593" s="789"/>
      <c r="AM593" s="789"/>
      <c r="AN593" s="791"/>
      <c r="AO593" s="805"/>
      <c r="AP593" s="805"/>
      <c r="AQ593" s="786"/>
      <c r="AR593" s="786"/>
      <c r="AS593" s="786"/>
      <c r="AT593" s="786"/>
      <c r="AU593" s="787"/>
      <c r="AV593" s="787"/>
      <c r="AW593" s="787"/>
      <c r="AX593" s="784"/>
      <c r="AY593" s="1214"/>
    </row>
    <row r="594" spans="1:51" ht="27.75" customHeight="1" x14ac:dyDescent="0.25">
      <c r="A594" s="1195"/>
      <c r="B594" s="833"/>
      <c r="C594" s="809"/>
      <c r="D594" s="136" t="s">
        <v>42</v>
      </c>
      <c r="E594" s="142"/>
      <c r="F594" s="143"/>
      <c r="G594" s="445"/>
      <c r="H594" s="445"/>
      <c r="I594" s="445"/>
      <c r="J594" s="445"/>
      <c r="K594" s="445"/>
      <c r="L594" s="445"/>
      <c r="M594" s="445"/>
      <c r="N594" s="448"/>
      <c r="O594" s="445"/>
      <c r="P594" s="445"/>
      <c r="Q594" s="445"/>
      <c r="R594" s="447"/>
      <c r="S594" s="446"/>
      <c r="T594" s="446"/>
      <c r="U594" s="446"/>
      <c r="V594" s="446"/>
      <c r="W594" s="446"/>
      <c r="X594" s="446"/>
      <c r="Y594" s="446"/>
      <c r="Z594" s="446"/>
      <c r="AA594" s="448"/>
      <c r="AB594" s="1224"/>
      <c r="AC594" s="1225"/>
      <c r="AD594" s="445"/>
      <c r="AE594" s="447"/>
      <c r="AF594" s="1217"/>
      <c r="AG594" s="1195"/>
      <c r="AH594" s="789"/>
      <c r="AI594" s="789"/>
      <c r="AJ594" s="793"/>
      <c r="AK594" s="789"/>
      <c r="AL594" s="789"/>
      <c r="AM594" s="789"/>
      <c r="AN594" s="791"/>
      <c r="AO594" s="805"/>
      <c r="AP594" s="805"/>
      <c r="AQ594" s="786"/>
      <c r="AR594" s="786"/>
      <c r="AS594" s="786"/>
      <c r="AT594" s="786"/>
      <c r="AU594" s="787"/>
      <c r="AV594" s="787"/>
      <c r="AW594" s="787"/>
      <c r="AX594" s="784"/>
      <c r="AY594" s="1214"/>
    </row>
    <row r="595" spans="1:51" ht="27.75" customHeight="1" x14ac:dyDescent="0.25">
      <c r="A595" s="1195"/>
      <c r="B595" s="833"/>
      <c r="C595" s="809"/>
      <c r="D595" s="132" t="s">
        <v>4</v>
      </c>
      <c r="E595" s="142"/>
      <c r="F595" s="143"/>
      <c r="G595" s="445"/>
      <c r="H595" s="445"/>
      <c r="I595" s="445"/>
      <c r="J595" s="445"/>
      <c r="K595" s="445"/>
      <c r="L595" s="445"/>
      <c r="M595" s="445"/>
      <c r="N595" s="448"/>
      <c r="O595" s="445"/>
      <c r="P595" s="445"/>
      <c r="Q595" s="445"/>
      <c r="R595" s="447"/>
      <c r="S595" s="446"/>
      <c r="T595" s="446"/>
      <c r="U595" s="446"/>
      <c r="V595" s="446"/>
      <c r="W595" s="446"/>
      <c r="X595" s="446"/>
      <c r="Y595" s="446"/>
      <c r="Z595" s="446"/>
      <c r="AA595" s="448"/>
      <c r="AB595" s="1224"/>
      <c r="AC595" s="1225"/>
      <c r="AD595" s="445"/>
      <c r="AE595" s="447"/>
      <c r="AF595" s="1217"/>
      <c r="AG595" s="1195"/>
      <c r="AH595" s="789"/>
      <c r="AI595" s="789"/>
      <c r="AJ595" s="793"/>
      <c r="AK595" s="789"/>
      <c r="AL595" s="789"/>
      <c r="AM595" s="789"/>
      <c r="AN595" s="791"/>
      <c r="AO595" s="805"/>
      <c r="AP595" s="805"/>
      <c r="AQ595" s="786"/>
      <c r="AR595" s="786"/>
      <c r="AS595" s="786"/>
      <c r="AT595" s="786"/>
      <c r="AU595" s="787"/>
      <c r="AV595" s="787"/>
      <c r="AW595" s="787"/>
      <c r="AX595" s="784"/>
      <c r="AY595" s="1214"/>
    </row>
    <row r="596" spans="1:51" ht="27.75" customHeight="1" x14ac:dyDescent="0.25">
      <c r="A596" s="1195"/>
      <c r="B596" s="833"/>
      <c r="C596" s="809"/>
      <c r="D596" s="136" t="s">
        <v>43</v>
      </c>
      <c r="E596" s="142"/>
      <c r="F596" s="143"/>
      <c r="G596" s="445"/>
      <c r="H596" s="445"/>
      <c r="I596" s="445"/>
      <c r="J596" s="445"/>
      <c r="K596" s="445"/>
      <c r="L596" s="445"/>
      <c r="M596" s="445"/>
      <c r="N596" s="448"/>
      <c r="O596" s="445"/>
      <c r="P596" s="445"/>
      <c r="Q596" s="445">
        <v>4</v>
      </c>
      <c r="R596" s="447">
        <v>4</v>
      </c>
      <c r="S596" s="446"/>
      <c r="T596" s="446"/>
      <c r="U596" s="446"/>
      <c r="V596" s="446"/>
      <c r="W596" s="446"/>
      <c r="X596" s="446"/>
      <c r="Y596" s="446"/>
      <c r="Z596" s="446"/>
      <c r="AA596" s="448"/>
      <c r="AB596" s="1224"/>
      <c r="AC596" s="1225"/>
      <c r="AD596" s="445">
        <v>4</v>
      </c>
      <c r="AE596" s="447">
        <v>4</v>
      </c>
      <c r="AF596" s="1217"/>
      <c r="AG596" s="1195"/>
      <c r="AH596" s="789"/>
      <c r="AI596" s="789"/>
      <c r="AJ596" s="793"/>
      <c r="AK596" s="789"/>
      <c r="AL596" s="789"/>
      <c r="AM596" s="789"/>
      <c r="AN596" s="791"/>
      <c r="AO596" s="805"/>
      <c r="AP596" s="805"/>
      <c r="AQ596" s="786"/>
      <c r="AR596" s="786"/>
      <c r="AS596" s="786"/>
      <c r="AT596" s="786"/>
      <c r="AU596" s="787"/>
      <c r="AV596" s="787"/>
      <c r="AW596" s="787"/>
      <c r="AX596" s="784"/>
      <c r="AY596" s="1214"/>
    </row>
    <row r="597" spans="1:51" ht="27.75" customHeight="1" thickBot="1" x14ac:dyDescent="0.3">
      <c r="A597" s="1195"/>
      <c r="B597" s="833"/>
      <c r="C597" s="809"/>
      <c r="D597" s="140" t="s">
        <v>45</v>
      </c>
      <c r="E597" s="142"/>
      <c r="F597" s="143"/>
      <c r="G597" s="445"/>
      <c r="H597" s="445"/>
      <c r="I597" s="445"/>
      <c r="J597" s="445"/>
      <c r="K597" s="445"/>
      <c r="L597" s="445"/>
      <c r="M597" s="445"/>
      <c r="N597" s="448"/>
      <c r="O597" s="445"/>
      <c r="P597" s="445"/>
      <c r="Q597" s="445">
        <f>+Q596*$Q$299/$Q$298</f>
        <v>34194.285714285717</v>
      </c>
      <c r="R597" s="445">
        <f>+R596*$R$299/$R$298</f>
        <v>33807.909604519773</v>
      </c>
      <c r="S597" s="446"/>
      <c r="T597" s="446"/>
      <c r="U597" s="446"/>
      <c r="V597" s="446"/>
      <c r="W597" s="446"/>
      <c r="X597" s="446"/>
      <c r="Y597" s="446"/>
      <c r="Z597" s="446"/>
      <c r="AA597" s="448"/>
      <c r="AB597" s="1224"/>
      <c r="AC597" s="1225"/>
      <c r="AD597" s="445">
        <f>+AD596*$AD$299/$AD$298</f>
        <v>33559.531153608885</v>
      </c>
      <c r="AE597" s="445">
        <f>+AE596*$AE$299/$AE$298</f>
        <v>33807.909604519773</v>
      </c>
      <c r="AF597" s="1217"/>
      <c r="AG597" s="1196"/>
      <c r="AH597" s="790"/>
      <c r="AI597" s="790"/>
      <c r="AJ597" s="794"/>
      <c r="AK597" s="790"/>
      <c r="AL597" s="790"/>
      <c r="AM597" s="790"/>
      <c r="AN597" s="791"/>
      <c r="AO597" s="805"/>
      <c r="AP597" s="805"/>
      <c r="AQ597" s="786"/>
      <c r="AR597" s="786"/>
      <c r="AS597" s="786"/>
      <c r="AT597" s="786"/>
      <c r="AU597" s="787"/>
      <c r="AV597" s="787"/>
      <c r="AW597" s="787"/>
      <c r="AX597" s="785"/>
      <c r="AY597" s="1214"/>
    </row>
    <row r="598" spans="1:51" ht="19.350000000000001" hidden="1" customHeight="1" x14ac:dyDescent="0.25">
      <c r="A598" s="1195"/>
      <c r="B598" s="833"/>
      <c r="C598" s="809" t="s">
        <v>394</v>
      </c>
      <c r="D598" s="141" t="s">
        <v>41</v>
      </c>
      <c r="E598" s="142"/>
      <c r="F598" s="143"/>
      <c r="G598" s="445"/>
      <c r="H598" s="445"/>
      <c r="I598" s="445"/>
      <c r="J598" s="445"/>
      <c r="K598" s="445"/>
      <c r="L598" s="445"/>
      <c r="M598" s="445"/>
      <c r="N598" s="448"/>
      <c r="O598" s="445"/>
      <c r="P598" s="445"/>
      <c r="Q598" s="445"/>
      <c r="R598" s="447"/>
      <c r="S598" s="446"/>
      <c r="T598" s="446"/>
      <c r="U598" s="446"/>
      <c r="V598" s="446"/>
      <c r="W598" s="446"/>
      <c r="X598" s="446"/>
      <c r="Y598" s="446"/>
      <c r="Z598" s="446"/>
      <c r="AA598" s="448"/>
      <c r="AB598" s="1224"/>
      <c r="AC598" s="1225"/>
      <c r="AD598" s="445"/>
      <c r="AE598" s="447"/>
      <c r="AF598" s="1223"/>
      <c r="AG598" s="1194" t="s">
        <v>454</v>
      </c>
      <c r="AH598" s="788" t="s">
        <v>350</v>
      </c>
      <c r="AI598" s="788" t="s">
        <v>350</v>
      </c>
      <c r="AJ598" s="788" t="s">
        <v>350</v>
      </c>
      <c r="AK598" s="788" t="s">
        <v>315</v>
      </c>
      <c r="AL598" s="788" t="s">
        <v>70</v>
      </c>
      <c r="AM598" s="788" t="s">
        <v>480</v>
      </c>
      <c r="AN598" s="791">
        <v>22438</v>
      </c>
      <c r="AO598" s="805">
        <v>118748</v>
      </c>
      <c r="AP598" s="805">
        <v>132822</v>
      </c>
      <c r="AQ598" s="786" t="s">
        <v>317</v>
      </c>
      <c r="AR598" s="786" t="s">
        <v>317</v>
      </c>
      <c r="AS598" s="786" t="s">
        <v>317</v>
      </c>
      <c r="AT598" s="786" t="s">
        <v>317</v>
      </c>
      <c r="AU598" s="787" t="s">
        <v>317</v>
      </c>
      <c r="AV598" s="787" t="s">
        <v>317</v>
      </c>
      <c r="AW598" s="787" t="s">
        <v>317</v>
      </c>
      <c r="AX598" s="783">
        <v>22438</v>
      </c>
      <c r="AY598" s="1214"/>
    </row>
    <row r="599" spans="1:51" ht="18.75" hidden="1" customHeight="1" x14ac:dyDescent="0.25">
      <c r="A599" s="1195"/>
      <c r="B599" s="833"/>
      <c r="C599" s="809"/>
      <c r="D599" s="132" t="s">
        <v>3</v>
      </c>
      <c r="E599" s="142"/>
      <c r="F599" s="143"/>
      <c r="G599" s="445"/>
      <c r="H599" s="445"/>
      <c r="I599" s="445"/>
      <c r="J599" s="445"/>
      <c r="K599" s="445"/>
      <c r="L599" s="445"/>
      <c r="M599" s="445"/>
      <c r="N599" s="448"/>
      <c r="O599" s="445"/>
      <c r="P599" s="445"/>
      <c r="Q599" s="445"/>
      <c r="R599" s="447"/>
      <c r="S599" s="446"/>
      <c r="T599" s="446"/>
      <c r="U599" s="446"/>
      <c r="V599" s="446"/>
      <c r="W599" s="446"/>
      <c r="X599" s="446"/>
      <c r="Y599" s="446"/>
      <c r="Z599" s="446"/>
      <c r="AA599" s="448"/>
      <c r="AB599" s="1224"/>
      <c r="AC599" s="1225"/>
      <c r="AD599" s="445"/>
      <c r="AE599" s="447"/>
      <c r="AF599" s="1223"/>
      <c r="AG599" s="1195"/>
      <c r="AH599" s="789"/>
      <c r="AI599" s="789"/>
      <c r="AJ599" s="789"/>
      <c r="AK599" s="789"/>
      <c r="AL599" s="789"/>
      <c r="AM599" s="789"/>
      <c r="AN599" s="791"/>
      <c r="AO599" s="805"/>
      <c r="AP599" s="805"/>
      <c r="AQ599" s="786"/>
      <c r="AR599" s="786"/>
      <c r="AS599" s="786"/>
      <c r="AT599" s="786"/>
      <c r="AU599" s="787"/>
      <c r="AV599" s="787"/>
      <c r="AW599" s="787"/>
      <c r="AX599" s="784"/>
      <c r="AY599" s="1214"/>
    </row>
    <row r="600" spans="1:51" ht="27.75" hidden="1" customHeight="1" x14ac:dyDescent="0.25">
      <c r="A600" s="1195"/>
      <c r="B600" s="833"/>
      <c r="C600" s="809"/>
      <c r="D600" s="136" t="s">
        <v>42</v>
      </c>
      <c r="E600" s="142"/>
      <c r="F600" s="143"/>
      <c r="G600" s="445"/>
      <c r="H600" s="445"/>
      <c r="I600" s="445"/>
      <c r="J600" s="445"/>
      <c r="K600" s="445"/>
      <c r="L600" s="445"/>
      <c r="M600" s="445"/>
      <c r="N600" s="448"/>
      <c r="O600" s="445"/>
      <c r="P600" s="445"/>
      <c r="Q600" s="445"/>
      <c r="R600" s="447"/>
      <c r="S600" s="446"/>
      <c r="T600" s="446"/>
      <c r="U600" s="446"/>
      <c r="V600" s="446"/>
      <c r="W600" s="446"/>
      <c r="X600" s="446"/>
      <c r="Y600" s="446"/>
      <c r="Z600" s="446"/>
      <c r="AA600" s="448"/>
      <c r="AB600" s="1224"/>
      <c r="AC600" s="1225"/>
      <c r="AD600" s="445"/>
      <c r="AE600" s="447"/>
      <c r="AF600" s="1223"/>
      <c r="AG600" s="1195"/>
      <c r="AH600" s="789"/>
      <c r="AI600" s="789"/>
      <c r="AJ600" s="789"/>
      <c r="AK600" s="789"/>
      <c r="AL600" s="789"/>
      <c r="AM600" s="789"/>
      <c r="AN600" s="791"/>
      <c r="AO600" s="805"/>
      <c r="AP600" s="805"/>
      <c r="AQ600" s="786"/>
      <c r="AR600" s="786"/>
      <c r="AS600" s="786"/>
      <c r="AT600" s="786"/>
      <c r="AU600" s="787"/>
      <c r="AV600" s="787"/>
      <c r="AW600" s="787"/>
      <c r="AX600" s="784"/>
      <c r="AY600" s="1214"/>
    </row>
    <row r="601" spans="1:51" ht="27.75" hidden="1" customHeight="1" x14ac:dyDescent="0.25">
      <c r="A601" s="1195"/>
      <c r="B601" s="833"/>
      <c r="C601" s="809"/>
      <c r="D601" s="132" t="s">
        <v>4</v>
      </c>
      <c r="E601" s="142"/>
      <c r="F601" s="143"/>
      <c r="G601" s="445"/>
      <c r="H601" s="445"/>
      <c r="I601" s="445"/>
      <c r="J601" s="445"/>
      <c r="K601" s="445"/>
      <c r="L601" s="445"/>
      <c r="M601" s="445"/>
      <c r="N601" s="448"/>
      <c r="O601" s="445"/>
      <c r="P601" s="445"/>
      <c r="Q601" s="445"/>
      <c r="R601" s="447"/>
      <c r="S601" s="446"/>
      <c r="T601" s="446"/>
      <c r="U601" s="446"/>
      <c r="V601" s="446"/>
      <c r="W601" s="446"/>
      <c r="X601" s="446"/>
      <c r="Y601" s="446"/>
      <c r="Z601" s="446"/>
      <c r="AA601" s="448"/>
      <c r="AB601" s="1224"/>
      <c r="AC601" s="1225"/>
      <c r="AD601" s="445"/>
      <c r="AE601" s="447"/>
      <c r="AF601" s="1223"/>
      <c r="AG601" s="1195"/>
      <c r="AH601" s="789"/>
      <c r="AI601" s="789"/>
      <c r="AJ601" s="789"/>
      <c r="AK601" s="789"/>
      <c r="AL601" s="789"/>
      <c r="AM601" s="789"/>
      <c r="AN601" s="791"/>
      <c r="AO601" s="805"/>
      <c r="AP601" s="805"/>
      <c r="AQ601" s="786"/>
      <c r="AR601" s="786"/>
      <c r="AS601" s="786"/>
      <c r="AT601" s="786"/>
      <c r="AU601" s="787"/>
      <c r="AV601" s="787"/>
      <c r="AW601" s="787"/>
      <c r="AX601" s="784"/>
      <c r="AY601" s="1214"/>
    </row>
    <row r="602" spans="1:51" ht="27.75" hidden="1" customHeight="1" x14ac:dyDescent="0.25">
      <c r="A602" s="1195"/>
      <c r="B602" s="833"/>
      <c r="C602" s="809"/>
      <c r="D602" s="136" t="s">
        <v>43</v>
      </c>
      <c r="E602" s="142"/>
      <c r="F602" s="143"/>
      <c r="G602" s="445"/>
      <c r="H602" s="445"/>
      <c r="I602" s="445"/>
      <c r="J602" s="445"/>
      <c r="K602" s="445"/>
      <c r="L602" s="445"/>
      <c r="M602" s="445"/>
      <c r="N602" s="448"/>
      <c r="O602" s="445"/>
      <c r="P602" s="445"/>
      <c r="Q602" s="445"/>
      <c r="R602" s="447"/>
      <c r="S602" s="446"/>
      <c r="T602" s="446"/>
      <c r="U602" s="446"/>
      <c r="V602" s="446"/>
      <c r="W602" s="446"/>
      <c r="X602" s="446"/>
      <c r="Y602" s="446"/>
      <c r="Z602" s="446"/>
      <c r="AA602" s="448"/>
      <c r="AB602" s="1224"/>
      <c r="AC602" s="1225"/>
      <c r="AD602" s="445"/>
      <c r="AE602" s="447"/>
      <c r="AF602" s="1223"/>
      <c r="AG602" s="1195"/>
      <c r="AH602" s="789"/>
      <c r="AI602" s="789"/>
      <c r="AJ602" s="789"/>
      <c r="AK602" s="789"/>
      <c r="AL602" s="789"/>
      <c r="AM602" s="789"/>
      <c r="AN602" s="791"/>
      <c r="AO602" s="805"/>
      <c r="AP602" s="805"/>
      <c r="AQ602" s="786"/>
      <c r="AR602" s="786"/>
      <c r="AS602" s="786"/>
      <c r="AT602" s="786"/>
      <c r="AU602" s="787"/>
      <c r="AV602" s="787"/>
      <c r="AW602" s="787"/>
      <c r="AX602" s="784"/>
      <c r="AY602" s="1214"/>
    </row>
    <row r="603" spans="1:51" ht="27.75" hidden="1" customHeight="1" thickBot="1" x14ac:dyDescent="0.3">
      <c r="A603" s="1195"/>
      <c r="B603" s="833"/>
      <c r="C603" s="809"/>
      <c r="D603" s="140" t="s">
        <v>45</v>
      </c>
      <c r="E603" s="142"/>
      <c r="F603" s="143"/>
      <c r="G603" s="445"/>
      <c r="H603" s="445"/>
      <c r="I603" s="445"/>
      <c r="J603" s="445"/>
      <c r="K603" s="445"/>
      <c r="L603" s="445"/>
      <c r="M603" s="445"/>
      <c r="N603" s="448"/>
      <c r="O603" s="445"/>
      <c r="P603" s="445"/>
      <c r="Q603" s="445"/>
      <c r="R603" s="447"/>
      <c r="S603" s="446"/>
      <c r="T603" s="446"/>
      <c r="U603" s="446"/>
      <c r="V603" s="446"/>
      <c r="W603" s="446"/>
      <c r="X603" s="446"/>
      <c r="Y603" s="446"/>
      <c r="Z603" s="446"/>
      <c r="AA603" s="448"/>
      <c r="AB603" s="1224"/>
      <c r="AC603" s="1225"/>
      <c r="AD603" s="445"/>
      <c r="AE603" s="447"/>
      <c r="AF603" s="1223"/>
      <c r="AG603" s="1196"/>
      <c r="AH603" s="790"/>
      <c r="AI603" s="790"/>
      <c r="AJ603" s="790"/>
      <c r="AK603" s="790"/>
      <c r="AL603" s="790"/>
      <c r="AM603" s="790"/>
      <c r="AN603" s="791"/>
      <c r="AO603" s="805"/>
      <c r="AP603" s="805"/>
      <c r="AQ603" s="786"/>
      <c r="AR603" s="786"/>
      <c r="AS603" s="786"/>
      <c r="AT603" s="786"/>
      <c r="AU603" s="787"/>
      <c r="AV603" s="787"/>
      <c r="AW603" s="787"/>
      <c r="AX603" s="785"/>
      <c r="AY603" s="1214"/>
    </row>
    <row r="604" spans="1:51" ht="19.350000000000001" hidden="1" customHeight="1" x14ac:dyDescent="0.25">
      <c r="A604" s="1195"/>
      <c r="B604" s="833"/>
      <c r="C604" s="809" t="s">
        <v>386</v>
      </c>
      <c r="D604" s="141" t="s">
        <v>41</v>
      </c>
      <c r="E604" s="142"/>
      <c r="F604" s="143"/>
      <c r="G604" s="445"/>
      <c r="H604" s="445"/>
      <c r="I604" s="445"/>
      <c r="J604" s="445"/>
      <c r="K604" s="445"/>
      <c r="L604" s="445"/>
      <c r="M604" s="445"/>
      <c r="N604" s="448"/>
      <c r="O604" s="445"/>
      <c r="P604" s="445"/>
      <c r="Q604" s="445"/>
      <c r="R604" s="447"/>
      <c r="S604" s="446"/>
      <c r="T604" s="446"/>
      <c r="U604" s="446"/>
      <c r="V604" s="446"/>
      <c r="W604" s="446"/>
      <c r="X604" s="446"/>
      <c r="Y604" s="446"/>
      <c r="Z604" s="446"/>
      <c r="AA604" s="448"/>
      <c r="AB604" s="1224"/>
      <c r="AC604" s="445"/>
      <c r="AD604" s="445"/>
      <c r="AE604" s="447"/>
      <c r="AF604" s="1223"/>
      <c r="AG604" s="1194" t="s">
        <v>386</v>
      </c>
      <c r="AH604" s="788" t="s">
        <v>535</v>
      </c>
      <c r="AI604" s="788" t="s">
        <v>536</v>
      </c>
      <c r="AJ604" s="792" t="s">
        <v>525</v>
      </c>
      <c r="AK604" s="788" t="s">
        <v>315</v>
      </c>
      <c r="AL604" s="788" t="s">
        <v>70</v>
      </c>
      <c r="AM604" s="788" t="s">
        <v>480</v>
      </c>
      <c r="AN604" s="791">
        <v>140135</v>
      </c>
      <c r="AO604" s="805">
        <v>70844</v>
      </c>
      <c r="AP604" s="805">
        <v>80573</v>
      </c>
      <c r="AQ604" s="786" t="s">
        <v>317</v>
      </c>
      <c r="AR604" s="786" t="s">
        <v>317</v>
      </c>
      <c r="AS604" s="786" t="s">
        <v>317</v>
      </c>
      <c r="AT604" s="786" t="s">
        <v>317</v>
      </c>
      <c r="AU604" s="787" t="s">
        <v>317</v>
      </c>
      <c r="AV604" s="787" t="s">
        <v>317</v>
      </c>
      <c r="AW604" s="787" t="s">
        <v>317</v>
      </c>
      <c r="AX604" s="783">
        <v>140135</v>
      </c>
      <c r="AY604" s="1214"/>
    </row>
    <row r="605" spans="1:51" ht="18.75" hidden="1" customHeight="1" x14ac:dyDescent="0.25">
      <c r="A605" s="1195"/>
      <c r="B605" s="833"/>
      <c r="C605" s="809"/>
      <c r="D605" s="132" t="s">
        <v>3</v>
      </c>
      <c r="E605" s="142"/>
      <c r="F605" s="143"/>
      <c r="G605" s="445"/>
      <c r="H605" s="445"/>
      <c r="I605" s="445"/>
      <c r="J605" s="445"/>
      <c r="K605" s="445"/>
      <c r="L605" s="445"/>
      <c r="M605" s="445"/>
      <c r="N605" s="448"/>
      <c r="O605" s="445"/>
      <c r="P605" s="445"/>
      <c r="Q605" s="445"/>
      <c r="R605" s="445"/>
      <c r="S605" s="446"/>
      <c r="T605" s="446"/>
      <c r="U605" s="446"/>
      <c r="V605" s="446"/>
      <c r="W605" s="446"/>
      <c r="X605" s="446"/>
      <c r="Y605" s="446"/>
      <c r="Z605" s="446"/>
      <c r="AA605" s="448"/>
      <c r="AB605" s="1224"/>
      <c r="AC605" s="445"/>
      <c r="AD605" s="445"/>
      <c r="AE605" s="445"/>
      <c r="AF605" s="1223"/>
      <c r="AG605" s="1195"/>
      <c r="AH605" s="789"/>
      <c r="AI605" s="789"/>
      <c r="AJ605" s="793"/>
      <c r="AK605" s="789"/>
      <c r="AL605" s="789"/>
      <c r="AM605" s="789"/>
      <c r="AN605" s="791"/>
      <c r="AO605" s="805"/>
      <c r="AP605" s="805"/>
      <c r="AQ605" s="786"/>
      <c r="AR605" s="786"/>
      <c r="AS605" s="786"/>
      <c r="AT605" s="786"/>
      <c r="AU605" s="787"/>
      <c r="AV605" s="787"/>
      <c r="AW605" s="787"/>
      <c r="AX605" s="784"/>
      <c r="AY605" s="1214"/>
    </row>
    <row r="606" spans="1:51" ht="27.75" hidden="1" customHeight="1" x14ac:dyDescent="0.25">
      <c r="A606" s="1195"/>
      <c r="B606" s="833"/>
      <c r="C606" s="809"/>
      <c r="D606" s="136" t="s">
        <v>42</v>
      </c>
      <c r="E606" s="142"/>
      <c r="F606" s="143"/>
      <c r="G606" s="445"/>
      <c r="H606" s="445"/>
      <c r="I606" s="445"/>
      <c r="J606" s="445"/>
      <c r="K606" s="445"/>
      <c r="L606" s="445"/>
      <c r="M606" s="445"/>
      <c r="N606" s="448"/>
      <c r="O606" s="445"/>
      <c r="P606" s="445"/>
      <c r="Q606" s="445"/>
      <c r="R606" s="447"/>
      <c r="S606" s="446"/>
      <c r="T606" s="446"/>
      <c r="U606" s="446"/>
      <c r="V606" s="446"/>
      <c r="W606" s="446"/>
      <c r="X606" s="446"/>
      <c r="Y606" s="446"/>
      <c r="Z606" s="446"/>
      <c r="AA606" s="448"/>
      <c r="AB606" s="1224"/>
      <c r="AC606" s="445"/>
      <c r="AD606" s="445"/>
      <c r="AE606" s="447"/>
      <c r="AF606" s="1223"/>
      <c r="AG606" s="1195"/>
      <c r="AH606" s="789"/>
      <c r="AI606" s="789"/>
      <c r="AJ606" s="793"/>
      <c r="AK606" s="789"/>
      <c r="AL606" s="789"/>
      <c r="AM606" s="789"/>
      <c r="AN606" s="791"/>
      <c r="AO606" s="805"/>
      <c r="AP606" s="805"/>
      <c r="AQ606" s="786"/>
      <c r="AR606" s="786"/>
      <c r="AS606" s="786"/>
      <c r="AT606" s="786"/>
      <c r="AU606" s="787"/>
      <c r="AV606" s="787"/>
      <c r="AW606" s="787"/>
      <c r="AX606" s="784"/>
      <c r="AY606" s="1214"/>
    </row>
    <row r="607" spans="1:51" ht="27.75" hidden="1" customHeight="1" x14ac:dyDescent="0.25">
      <c r="A607" s="1195"/>
      <c r="B607" s="833"/>
      <c r="C607" s="809"/>
      <c r="D607" s="132" t="s">
        <v>4</v>
      </c>
      <c r="E607" s="142"/>
      <c r="F607" s="143"/>
      <c r="G607" s="445"/>
      <c r="H607" s="445"/>
      <c r="I607" s="445"/>
      <c r="J607" s="445"/>
      <c r="K607" s="445"/>
      <c r="L607" s="445"/>
      <c r="M607" s="445"/>
      <c r="N607" s="448"/>
      <c r="O607" s="445"/>
      <c r="P607" s="445"/>
      <c r="Q607" s="445"/>
      <c r="R607" s="447"/>
      <c r="S607" s="446"/>
      <c r="T607" s="446"/>
      <c r="U607" s="446"/>
      <c r="V607" s="446"/>
      <c r="W607" s="446"/>
      <c r="X607" s="446"/>
      <c r="Y607" s="446"/>
      <c r="Z607" s="446"/>
      <c r="AA607" s="448"/>
      <c r="AB607" s="1224"/>
      <c r="AC607" s="445"/>
      <c r="AD607" s="445"/>
      <c r="AE607" s="447"/>
      <c r="AF607" s="1223"/>
      <c r="AG607" s="1195"/>
      <c r="AH607" s="789"/>
      <c r="AI607" s="789"/>
      <c r="AJ607" s="793"/>
      <c r="AK607" s="789"/>
      <c r="AL607" s="789"/>
      <c r="AM607" s="789"/>
      <c r="AN607" s="791"/>
      <c r="AO607" s="805"/>
      <c r="AP607" s="805"/>
      <c r="AQ607" s="786"/>
      <c r="AR607" s="786"/>
      <c r="AS607" s="786"/>
      <c r="AT607" s="786"/>
      <c r="AU607" s="787"/>
      <c r="AV607" s="787"/>
      <c r="AW607" s="787"/>
      <c r="AX607" s="784"/>
      <c r="AY607" s="1214"/>
    </row>
    <row r="608" spans="1:51" ht="27.75" hidden="1" customHeight="1" x14ac:dyDescent="0.25">
      <c r="A608" s="1195"/>
      <c r="B608" s="833"/>
      <c r="C608" s="809"/>
      <c r="D608" s="136" t="s">
        <v>43</v>
      </c>
      <c r="E608" s="142"/>
      <c r="F608" s="143"/>
      <c r="G608" s="445"/>
      <c r="H608" s="445"/>
      <c r="I608" s="445"/>
      <c r="J608" s="445"/>
      <c r="K608" s="445"/>
      <c r="L608" s="445"/>
      <c r="M608" s="445"/>
      <c r="N608" s="448"/>
      <c r="O608" s="445"/>
      <c r="P608" s="445"/>
      <c r="Q608" s="445"/>
      <c r="R608" s="447"/>
      <c r="S608" s="446"/>
      <c r="T608" s="446"/>
      <c r="U608" s="446"/>
      <c r="V608" s="446"/>
      <c r="W608" s="446"/>
      <c r="X608" s="446"/>
      <c r="Y608" s="446"/>
      <c r="Z608" s="446"/>
      <c r="AA608" s="448"/>
      <c r="AB608" s="1224"/>
      <c r="AC608" s="445"/>
      <c r="AD608" s="445"/>
      <c r="AE608" s="447"/>
      <c r="AF608" s="1223"/>
      <c r="AG608" s="1195"/>
      <c r="AH608" s="789"/>
      <c r="AI608" s="789"/>
      <c r="AJ608" s="793"/>
      <c r="AK608" s="789"/>
      <c r="AL608" s="789"/>
      <c r="AM608" s="789"/>
      <c r="AN608" s="791"/>
      <c r="AO608" s="805"/>
      <c r="AP608" s="805"/>
      <c r="AQ608" s="786"/>
      <c r="AR608" s="786"/>
      <c r="AS608" s="786"/>
      <c r="AT608" s="786"/>
      <c r="AU608" s="787"/>
      <c r="AV608" s="787"/>
      <c r="AW608" s="787"/>
      <c r="AX608" s="784"/>
      <c r="AY608" s="1214"/>
    </row>
    <row r="609" spans="1:51" ht="27.75" hidden="1" customHeight="1" thickBot="1" x14ac:dyDescent="0.3">
      <c r="A609" s="1195"/>
      <c r="B609" s="833"/>
      <c r="C609" s="809"/>
      <c r="D609" s="140" t="s">
        <v>45</v>
      </c>
      <c r="E609" s="142"/>
      <c r="F609" s="143"/>
      <c r="G609" s="445"/>
      <c r="H609" s="445"/>
      <c r="I609" s="445"/>
      <c r="J609" s="445"/>
      <c r="K609" s="445"/>
      <c r="L609" s="445"/>
      <c r="M609" s="445"/>
      <c r="N609" s="448"/>
      <c r="O609" s="445"/>
      <c r="P609" s="445"/>
      <c r="Q609" s="445"/>
      <c r="R609" s="445"/>
      <c r="S609" s="446"/>
      <c r="T609" s="446"/>
      <c r="U609" s="446"/>
      <c r="V609" s="446"/>
      <c r="W609" s="446"/>
      <c r="X609" s="446"/>
      <c r="Y609" s="446"/>
      <c r="Z609" s="446"/>
      <c r="AA609" s="448"/>
      <c r="AB609" s="1224"/>
      <c r="AC609" s="445"/>
      <c r="AD609" s="445"/>
      <c r="AE609" s="445"/>
      <c r="AF609" s="1223"/>
      <c r="AG609" s="1196"/>
      <c r="AH609" s="790"/>
      <c r="AI609" s="790"/>
      <c r="AJ609" s="794"/>
      <c r="AK609" s="790"/>
      <c r="AL609" s="790"/>
      <c r="AM609" s="790"/>
      <c r="AN609" s="791"/>
      <c r="AO609" s="805"/>
      <c r="AP609" s="805"/>
      <c r="AQ609" s="786"/>
      <c r="AR609" s="786"/>
      <c r="AS609" s="786"/>
      <c r="AT609" s="786"/>
      <c r="AU609" s="787"/>
      <c r="AV609" s="787"/>
      <c r="AW609" s="787"/>
      <c r="AX609" s="785"/>
      <c r="AY609" s="1214"/>
    </row>
    <row r="610" spans="1:51" ht="19.350000000000001" hidden="1" customHeight="1" x14ac:dyDescent="0.25">
      <c r="A610" s="1195"/>
      <c r="B610" s="833"/>
      <c r="C610" s="809" t="s">
        <v>389</v>
      </c>
      <c r="D610" s="141" t="s">
        <v>41</v>
      </c>
      <c r="E610" s="142"/>
      <c r="F610" s="143"/>
      <c r="G610" s="445"/>
      <c r="H610" s="445"/>
      <c r="I610" s="445"/>
      <c r="J610" s="445"/>
      <c r="K610" s="445"/>
      <c r="L610" s="445"/>
      <c r="M610" s="445"/>
      <c r="N610" s="448"/>
      <c r="O610" s="445"/>
      <c r="P610" s="445"/>
      <c r="Q610" s="445"/>
      <c r="R610" s="447"/>
      <c r="S610" s="446"/>
      <c r="T610" s="446"/>
      <c r="U610" s="446"/>
      <c r="V610" s="446"/>
      <c r="W610" s="446"/>
      <c r="X610" s="446"/>
      <c r="Y610" s="446"/>
      <c r="Z610" s="446"/>
      <c r="AA610" s="448"/>
      <c r="AB610" s="1224"/>
      <c r="AC610" s="445"/>
      <c r="AD610" s="445"/>
      <c r="AE610" s="447"/>
      <c r="AF610" s="1223"/>
      <c r="AG610" s="1194" t="s">
        <v>389</v>
      </c>
      <c r="AH610" s="788" t="s">
        <v>350</v>
      </c>
      <c r="AI610" s="788" t="s">
        <v>350</v>
      </c>
      <c r="AJ610" s="792" t="s">
        <v>525</v>
      </c>
      <c r="AK610" s="788" t="s">
        <v>315</v>
      </c>
      <c r="AL610" s="788" t="s">
        <v>70</v>
      </c>
      <c r="AM610" s="788" t="s">
        <v>480</v>
      </c>
      <c r="AN610" s="791">
        <v>93248</v>
      </c>
      <c r="AO610" s="805">
        <v>37102</v>
      </c>
      <c r="AP610" s="805">
        <v>38674</v>
      </c>
      <c r="AQ610" s="786" t="s">
        <v>317</v>
      </c>
      <c r="AR610" s="786" t="s">
        <v>317</v>
      </c>
      <c r="AS610" s="786" t="s">
        <v>317</v>
      </c>
      <c r="AT610" s="786" t="s">
        <v>317</v>
      </c>
      <c r="AU610" s="787" t="s">
        <v>317</v>
      </c>
      <c r="AV610" s="787" t="s">
        <v>317</v>
      </c>
      <c r="AW610" s="787" t="s">
        <v>317</v>
      </c>
      <c r="AX610" s="783">
        <v>93248</v>
      </c>
      <c r="AY610" s="1214"/>
    </row>
    <row r="611" spans="1:51" ht="18.75" hidden="1" customHeight="1" x14ac:dyDescent="0.25">
      <c r="A611" s="1195"/>
      <c r="B611" s="833"/>
      <c r="C611" s="809"/>
      <c r="D611" s="132" t="s">
        <v>3</v>
      </c>
      <c r="E611" s="142"/>
      <c r="F611" s="143"/>
      <c r="G611" s="445"/>
      <c r="H611" s="445"/>
      <c r="I611" s="445"/>
      <c r="J611" s="445"/>
      <c r="K611" s="445"/>
      <c r="L611" s="445"/>
      <c r="M611" s="445"/>
      <c r="N611" s="448"/>
      <c r="O611" s="445"/>
      <c r="P611" s="445"/>
      <c r="Q611" s="445"/>
      <c r="R611" s="447"/>
      <c r="S611" s="446"/>
      <c r="T611" s="446"/>
      <c r="U611" s="446"/>
      <c r="V611" s="446"/>
      <c r="W611" s="446"/>
      <c r="X611" s="446"/>
      <c r="Y611" s="446"/>
      <c r="Z611" s="446"/>
      <c r="AA611" s="448"/>
      <c r="AB611" s="1224"/>
      <c r="AC611" s="445"/>
      <c r="AD611" s="445"/>
      <c r="AE611" s="447"/>
      <c r="AF611" s="1223"/>
      <c r="AG611" s="1195"/>
      <c r="AH611" s="789"/>
      <c r="AI611" s="789"/>
      <c r="AJ611" s="793"/>
      <c r="AK611" s="789"/>
      <c r="AL611" s="789"/>
      <c r="AM611" s="789"/>
      <c r="AN611" s="791"/>
      <c r="AO611" s="805"/>
      <c r="AP611" s="805"/>
      <c r="AQ611" s="786"/>
      <c r="AR611" s="786"/>
      <c r="AS611" s="786"/>
      <c r="AT611" s="786"/>
      <c r="AU611" s="787"/>
      <c r="AV611" s="787"/>
      <c r="AW611" s="787"/>
      <c r="AX611" s="784"/>
      <c r="AY611" s="1214"/>
    </row>
    <row r="612" spans="1:51" ht="27.75" hidden="1" customHeight="1" x14ac:dyDescent="0.25">
      <c r="A612" s="1195"/>
      <c r="B612" s="833"/>
      <c r="C612" s="809"/>
      <c r="D612" s="136" t="s">
        <v>42</v>
      </c>
      <c r="E612" s="142"/>
      <c r="F612" s="143"/>
      <c r="G612" s="445"/>
      <c r="H612" s="445"/>
      <c r="I612" s="445"/>
      <c r="J612" s="445"/>
      <c r="K612" s="445"/>
      <c r="L612" s="445"/>
      <c r="M612" s="445"/>
      <c r="N612" s="448"/>
      <c r="O612" s="445"/>
      <c r="P612" s="445"/>
      <c r="Q612" s="445"/>
      <c r="R612" s="447"/>
      <c r="S612" s="446"/>
      <c r="T612" s="446"/>
      <c r="U612" s="446"/>
      <c r="V612" s="446"/>
      <c r="W612" s="446"/>
      <c r="X612" s="446"/>
      <c r="Y612" s="446"/>
      <c r="Z612" s="446"/>
      <c r="AA612" s="448"/>
      <c r="AB612" s="1224"/>
      <c r="AC612" s="445"/>
      <c r="AD612" s="445"/>
      <c r="AE612" s="447"/>
      <c r="AF612" s="1223"/>
      <c r="AG612" s="1195"/>
      <c r="AH612" s="789"/>
      <c r="AI612" s="789"/>
      <c r="AJ612" s="793"/>
      <c r="AK612" s="789"/>
      <c r="AL612" s="789"/>
      <c r="AM612" s="789"/>
      <c r="AN612" s="791"/>
      <c r="AO612" s="805"/>
      <c r="AP612" s="805"/>
      <c r="AQ612" s="786"/>
      <c r="AR612" s="786"/>
      <c r="AS612" s="786"/>
      <c r="AT612" s="786"/>
      <c r="AU612" s="787"/>
      <c r="AV612" s="787"/>
      <c r="AW612" s="787"/>
      <c r="AX612" s="784"/>
      <c r="AY612" s="1214"/>
    </row>
    <row r="613" spans="1:51" ht="27.75" hidden="1" customHeight="1" x14ac:dyDescent="0.25">
      <c r="A613" s="1195"/>
      <c r="B613" s="833"/>
      <c r="C613" s="809"/>
      <c r="D613" s="132" t="s">
        <v>4</v>
      </c>
      <c r="E613" s="142"/>
      <c r="F613" s="143"/>
      <c r="G613" s="445"/>
      <c r="H613" s="445"/>
      <c r="I613" s="445"/>
      <c r="J613" s="445"/>
      <c r="K613" s="445"/>
      <c r="L613" s="445"/>
      <c r="M613" s="445"/>
      <c r="N613" s="448"/>
      <c r="O613" s="445"/>
      <c r="P613" s="445"/>
      <c r="Q613" s="445"/>
      <c r="R613" s="447"/>
      <c r="S613" s="446"/>
      <c r="T613" s="446"/>
      <c r="U613" s="446"/>
      <c r="V613" s="446"/>
      <c r="W613" s="446"/>
      <c r="X613" s="446"/>
      <c r="Y613" s="446"/>
      <c r="Z613" s="446"/>
      <c r="AA613" s="448"/>
      <c r="AB613" s="1224"/>
      <c r="AC613" s="445"/>
      <c r="AD613" s="445"/>
      <c r="AE613" s="447"/>
      <c r="AF613" s="1223"/>
      <c r="AG613" s="1195"/>
      <c r="AH613" s="789"/>
      <c r="AI613" s="789"/>
      <c r="AJ613" s="793"/>
      <c r="AK613" s="789"/>
      <c r="AL613" s="789"/>
      <c r="AM613" s="789"/>
      <c r="AN613" s="791"/>
      <c r="AO613" s="805"/>
      <c r="AP613" s="805"/>
      <c r="AQ613" s="786"/>
      <c r="AR613" s="786"/>
      <c r="AS613" s="786"/>
      <c r="AT613" s="786"/>
      <c r="AU613" s="787"/>
      <c r="AV613" s="787"/>
      <c r="AW613" s="787"/>
      <c r="AX613" s="784"/>
      <c r="AY613" s="1214"/>
    </row>
    <row r="614" spans="1:51" ht="27.75" hidden="1" customHeight="1" x14ac:dyDescent="0.25">
      <c r="A614" s="1195"/>
      <c r="B614" s="833"/>
      <c r="C614" s="809"/>
      <c r="D614" s="136" t="s">
        <v>43</v>
      </c>
      <c r="E614" s="142"/>
      <c r="F614" s="143"/>
      <c r="G614" s="445"/>
      <c r="H614" s="445"/>
      <c r="I614" s="445"/>
      <c r="J614" s="445"/>
      <c r="K614" s="445"/>
      <c r="L614" s="445"/>
      <c r="M614" s="445"/>
      <c r="N614" s="448"/>
      <c r="O614" s="445"/>
      <c r="P614" s="445"/>
      <c r="Q614" s="445"/>
      <c r="R614" s="447"/>
      <c r="S614" s="446"/>
      <c r="T614" s="446"/>
      <c r="U614" s="446"/>
      <c r="V614" s="446"/>
      <c r="W614" s="446"/>
      <c r="X614" s="446"/>
      <c r="Y614" s="446"/>
      <c r="Z614" s="446"/>
      <c r="AA614" s="448"/>
      <c r="AB614" s="1224"/>
      <c r="AC614" s="445"/>
      <c r="AD614" s="445"/>
      <c r="AE614" s="447"/>
      <c r="AF614" s="1223"/>
      <c r="AG614" s="1195"/>
      <c r="AH614" s="789"/>
      <c r="AI614" s="789"/>
      <c r="AJ614" s="793"/>
      <c r="AK614" s="789"/>
      <c r="AL614" s="789"/>
      <c r="AM614" s="789"/>
      <c r="AN614" s="791"/>
      <c r="AO614" s="805"/>
      <c r="AP614" s="805"/>
      <c r="AQ614" s="786"/>
      <c r="AR614" s="786"/>
      <c r="AS614" s="786"/>
      <c r="AT614" s="786"/>
      <c r="AU614" s="787"/>
      <c r="AV614" s="787"/>
      <c r="AW614" s="787"/>
      <c r="AX614" s="784"/>
      <c r="AY614" s="1214"/>
    </row>
    <row r="615" spans="1:51" ht="27.75" hidden="1" customHeight="1" thickBot="1" x14ac:dyDescent="0.3">
      <c r="A615" s="1195"/>
      <c r="B615" s="833"/>
      <c r="C615" s="809"/>
      <c r="D615" s="140" t="s">
        <v>45</v>
      </c>
      <c r="E615" s="142"/>
      <c r="F615" s="143"/>
      <c r="G615" s="445"/>
      <c r="H615" s="445"/>
      <c r="I615" s="445"/>
      <c r="J615" s="445"/>
      <c r="K615" s="445"/>
      <c r="L615" s="445"/>
      <c r="M615" s="445"/>
      <c r="N615" s="448"/>
      <c r="O615" s="445"/>
      <c r="P615" s="445"/>
      <c r="Q615" s="445"/>
      <c r="R615" s="447"/>
      <c r="S615" s="446"/>
      <c r="T615" s="446"/>
      <c r="U615" s="446"/>
      <c r="V615" s="446"/>
      <c r="W615" s="446"/>
      <c r="X615" s="446"/>
      <c r="Y615" s="446"/>
      <c r="Z615" s="446"/>
      <c r="AA615" s="448"/>
      <c r="AB615" s="1224"/>
      <c r="AC615" s="445"/>
      <c r="AD615" s="445"/>
      <c r="AE615" s="447"/>
      <c r="AF615" s="1223"/>
      <c r="AG615" s="1196"/>
      <c r="AH615" s="790"/>
      <c r="AI615" s="790"/>
      <c r="AJ615" s="794"/>
      <c r="AK615" s="790"/>
      <c r="AL615" s="790"/>
      <c r="AM615" s="790"/>
      <c r="AN615" s="791"/>
      <c r="AO615" s="805"/>
      <c r="AP615" s="805"/>
      <c r="AQ615" s="786"/>
      <c r="AR615" s="786"/>
      <c r="AS615" s="786"/>
      <c r="AT615" s="786"/>
      <c r="AU615" s="787"/>
      <c r="AV615" s="787"/>
      <c r="AW615" s="787"/>
      <c r="AX615" s="785"/>
      <c r="AY615" s="1214"/>
    </row>
    <row r="616" spans="1:51" ht="19.350000000000001" hidden="1" customHeight="1" x14ac:dyDescent="0.25">
      <c r="A616" s="1195"/>
      <c r="B616" s="833"/>
      <c r="C616" s="809" t="s">
        <v>390</v>
      </c>
      <c r="D616" s="141" t="s">
        <v>41</v>
      </c>
      <c r="E616" s="142"/>
      <c r="F616" s="143"/>
      <c r="G616" s="445"/>
      <c r="H616" s="445"/>
      <c r="I616" s="445"/>
      <c r="J616" s="445"/>
      <c r="K616" s="445"/>
      <c r="L616" s="445"/>
      <c r="M616" s="445"/>
      <c r="N616" s="448"/>
      <c r="O616" s="445"/>
      <c r="P616" s="445"/>
      <c r="Q616" s="445"/>
      <c r="R616" s="447"/>
      <c r="S616" s="446"/>
      <c r="T616" s="446"/>
      <c r="U616" s="446"/>
      <c r="V616" s="446"/>
      <c r="W616" s="446"/>
      <c r="X616" s="446"/>
      <c r="Y616" s="446"/>
      <c r="Z616" s="446"/>
      <c r="AA616" s="448"/>
      <c r="AB616" s="1224"/>
      <c r="AC616" s="445"/>
      <c r="AD616" s="445"/>
      <c r="AE616" s="447"/>
      <c r="AF616" s="1223"/>
      <c r="AG616" s="1194" t="s">
        <v>390</v>
      </c>
      <c r="AH616" s="788" t="s">
        <v>350</v>
      </c>
      <c r="AI616" s="788" t="s">
        <v>350</v>
      </c>
      <c r="AJ616" s="792" t="s">
        <v>525</v>
      </c>
      <c r="AK616" s="788" t="s">
        <v>315</v>
      </c>
      <c r="AL616" s="788" t="s">
        <v>70</v>
      </c>
      <c r="AM616" s="788" t="s">
        <v>480</v>
      </c>
      <c r="AN616" s="791">
        <v>109254</v>
      </c>
      <c r="AO616" s="805">
        <v>39611</v>
      </c>
      <c r="AP616" s="805">
        <v>43209</v>
      </c>
      <c r="AQ616" s="786" t="s">
        <v>317</v>
      </c>
      <c r="AR616" s="786" t="s">
        <v>317</v>
      </c>
      <c r="AS616" s="786" t="s">
        <v>317</v>
      </c>
      <c r="AT616" s="786" t="s">
        <v>317</v>
      </c>
      <c r="AU616" s="787" t="s">
        <v>317</v>
      </c>
      <c r="AV616" s="787" t="s">
        <v>317</v>
      </c>
      <c r="AW616" s="787" t="s">
        <v>317</v>
      </c>
      <c r="AX616" s="783">
        <v>109254</v>
      </c>
      <c r="AY616" s="1214"/>
    </row>
    <row r="617" spans="1:51" ht="18.75" hidden="1" customHeight="1" x14ac:dyDescent="0.25">
      <c r="A617" s="1195"/>
      <c r="B617" s="833"/>
      <c r="C617" s="809"/>
      <c r="D617" s="132" t="s">
        <v>3</v>
      </c>
      <c r="E617" s="142"/>
      <c r="F617" s="143"/>
      <c r="G617" s="445"/>
      <c r="H617" s="445"/>
      <c r="I617" s="445"/>
      <c r="J617" s="445"/>
      <c r="K617" s="445"/>
      <c r="L617" s="445"/>
      <c r="M617" s="445"/>
      <c r="N617" s="448"/>
      <c r="O617" s="445"/>
      <c r="P617" s="445"/>
      <c r="Q617" s="445"/>
      <c r="R617" s="447"/>
      <c r="S617" s="446"/>
      <c r="T617" s="446"/>
      <c r="U617" s="446"/>
      <c r="V617" s="446"/>
      <c r="W617" s="446"/>
      <c r="X617" s="446"/>
      <c r="Y617" s="446"/>
      <c r="Z617" s="446"/>
      <c r="AA617" s="448"/>
      <c r="AB617" s="1224"/>
      <c r="AC617" s="445"/>
      <c r="AD617" s="445"/>
      <c r="AE617" s="447"/>
      <c r="AF617" s="1223"/>
      <c r="AG617" s="1195"/>
      <c r="AH617" s="789"/>
      <c r="AI617" s="789"/>
      <c r="AJ617" s="793"/>
      <c r="AK617" s="789"/>
      <c r="AL617" s="789"/>
      <c r="AM617" s="789"/>
      <c r="AN617" s="791"/>
      <c r="AO617" s="805"/>
      <c r="AP617" s="805"/>
      <c r="AQ617" s="786"/>
      <c r="AR617" s="786"/>
      <c r="AS617" s="786"/>
      <c r="AT617" s="786"/>
      <c r="AU617" s="787"/>
      <c r="AV617" s="787"/>
      <c r="AW617" s="787"/>
      <c r="AX617" s="784"/>
      <c r="AY617" s="1214"/>
    </row>
    <row r="618" spans="1:51" ht="27.75" hidden="1" customHeight="1" x14ac:dyDescent="0.25">
      <c r="A618" s="1195"/>
      <c r="B618" s="833"/>
      <c r="C618" s="809"/>
      <c r="D618" s="136" t="s">
        <v>42</v>
      </c>
      <c r="E618" s="142"/>
      <c r="F618" s="143"/>
      <c r="G618" s="445"/>
      <c r="H618" s="445"/>
      <c r="I618" s="445"/>
      <c r="J618" s="445"/>
      <c r="K618" s="445"/>
      <c r="L618" s="445"/>
      <c r="M618" s="445"/>
      <c r="N618" s="448"/>
      <c r="O618" s="445"/>
      <c r="P618" s="445"/>
      <c r="Q618" s="445"/>
      <c r="R618" s="447"/>
      <c r="S618" s="446"/>
      <c r="T618" s="446"/>
      <c r="U618" s="446"/>
      <c r="V618" s="446"/>
      <c r="W618" s="446"/>
      <c r="X618" s="446"/>
      <c r="Y618" s="446"/>
      <c r="Z618" s="446"/>
      <c r="AA618" s="448"/>
      <c r="AB618" s="1224"/>
      <c r="AC618" s="445"/>
      <c r="AD618" s="445"/>
      <c r="AE618" s="447"/>
      <c r="AF618" s="1223"/>
      <c r="AG618" s="1195"/>
      <c r="AH618" s="789"/>
      <c r="AI618" s="789"/>
      <c r="AJ618" s="793"/>
      <c r="AK618" s="789"/>
      <c r="AL618" s="789"/>
      <c r="AM618" s="789"/>
      <c r="AN618" s="791"/>
      <c r="AO618" s="805"/>
      <c r="AP618" s="805"/>
      <c r="AQ618" s="786"/>
      <c r="AR618" s="786"/>
      <c r="AS618" s="786"/>
      <c r="AT618" s="786"/>
      <c r="AU618" s="787"/>
      <c r="AV618" s="787"/>
      <c r="AW618" s="787"/>
      <c r="AX618" s="784"/>
      <c r="AY618" s="1214"/>
    </row>
    <row r="619" spans="1:51" ht="27.75" hidden="1" customHeight="1" x14ac:dyDescent="0.25">
      <c r="A619" s="1195"/>
      <c r="B619" s="833"/>
      <c r="C619" s="809"/>
      <c r="D619" s="132" t="s">
        <v>4</v>
      </c>
      <c r="E619" s="142"/>
      <c r="F619" s="143"/>
      <c r="G619" s="445"/>
      <c r="H619" s="445"/>
      <c r="I619" s="445"/>
      <c r="J619" s="445"/>
      <c r="K619" s="445"/>
      <c r="L619" s="445"/>
      <c r="M619" s="445"/>
      <c r="N619" s="448"/>
      <c r="O619" s="445"/>
      <c r="P619" s="445"/>
      <c r="Q619" s="445"/>
      <c r="R619" s="447"/>
      <c r="S619" s="446"/>
      <c r="T619" s="446"/>
      <c r="U619" s="446"/>
      <c r="V619" s="446"/>
      <c r="W619" s="446"/>
      <c r="X619" s="446"/>
      <c r="Y619" s="446"/>
      <c r="Z619" s="446"/>
      <c r="AA619" s="448"/>
      <c r="AB619" s="1224"/>
      <c r="AC619" s="445"/>
      <c r="AD619" s="445"/>
      <c r="AE619" s="447"/>
      <c r="AF619" s="1223"/>
      <c r="AG619" s="1195"/>
      <c r="AH619" s="789"/>
      <c r="AI619" s="789"/>
      <c r="AJ619" s="793"/>
      <c r="AK619" s="789"/>
      <c r="AL619" s="789"/>
      <c r="AM619" s="789"/>
      <c r="AN619" s="791"/>
      <c r="AO619" s="805"/>
      <c r="AP619" s="805"/>
      <c r="AQ619" s="786"/>
      <c r="AR619" s="786"/>
      <c r="AS619" s="786"/>
      <c r="AT619" s="786"/>
      <c r="AU619" s="787"/>
      <c r="AV619" s="787"/>
      <c r="AW619" s="787"/>
      <c r="AX619" s="784"/>
      <c r="AY619" s="1214"/>
    </row>
    <row r="620" spans="1:51" ht="27.75" hidden="1" customHeight="1" x14ac:dyDescent="0.25">
      <c r="A620" s="1195"/>
      <c r="B620" s="833"/>
      <c r="C620" s="809"/>
      <c r="D620" s="136" t="s">
        <v>43</v>
      </c>
      <c r="E620" s="142"/>
      <c r="F620" s="143"/>
      <c r="G620" s="445"/>
      <c r="H620" s="445"/>
      <c r="I620" s="445"/>
      <c r="J620" s="445"/>
      <c r="K620" s="445"/>
      <c r="L620" s="445"/>
      <c r="M620" s="445"/>
      <c r="N620" s="448"/>
      <c r="O620" s="445"/>
      <c r="P620" s="445"/>
      <c r="Q620" s="445"/>
      <c r="R620" s="447"/>
      <c r="S620" s="446"/>
      <c r="T620" s="446"/>
      <c r="U620" s="446"/>
      <c r="V620" s="446"/>
      <c r="W620" s="446"/>
      <c r="X620" s="446"/>
      <c r="Y620" s="446"/>
      <c r="Z620" s="446"/>
      <c r="AA620" s="448"/>
      <c r="AB620" s="1224"/>
      <c r="AC620" s="445"/>
      <c r="AD620" s="445"/>
      <c r="AE620" s="447"/>
      <c r="AF620" s="1223"/>
      <c r="AG620" s="1195"/>
      <c r="AH620" s="789"/>
      <c r="AI620" s="789"/>
      <c r="AJ620" s="793"/>
      <c r="AK620" s="789"/>
      <c r="AL620" s="789"/>
      <c r="AM620" s="789"/>
      <c r="AN620" s="791"/>
      <c r="AO620" s="805"/>
      <c r="AP620" s="805"/>
      <c r="AQ620" s="786"/>
      <c r="AR620" s="786"/>
      <c r="AS620" s="786"/>
      <c r="AT620" s="786"/>
      <c r="AU620" s="787"/>
      <c r="AV620" s="787"/>
      <c r="AW620" s="787"/>
      <c r="AX620" s="784"/>
      <c r="AY620" s="1214"/>
    </row>
    <row r="621" spans="1:51" ht="27.75" hidden="1" customHeight="1" thickBot="1" x14ac:dyDescent="0.3">
      <c r="A621" s="1195"/>
      <c r="B621" s="833"/>
      <c r="C621" s="809"/>
      <c r="D621" s="140" t="s">
        <v>45</v>
      </c>
      <c r="E621" s="142"/>
      <c r="F621" s="143"/>
      <c r="G621" s="445"/>
      <c r="H621" s="445"/>
      <c r="I621" s="445"/>
      <c r="J621" s="445"/>
      <c r="K621" s="445"/>
      <c r="L621" s="445"/>
      <c r="M621" s="445"/>
      <c r="N621" s="448"/>
      <c r="O621" s="445"/>
      <c r="P621" s="445"/>
      <c r="Q621" s="445"/>
      <c r="R621" s="447"/>
      <c r="S621" s="446"/>
      <c r="T621" s="446"/>
      <c r="U621" s="446"/>
      <c r="V621" s="446"/>
      <c r="W621" s="446"/>
      <c r="X621" s="446"/>
      <c r="Y621" s="446"/>
      <c r="Z621" s="446"/>
      <c r="AA621" s="448"/>
      <c r="AB621" s="1224"/>
      <c r="AC621" s="445"/>
      <c r="AD621" s="445"/>
      <c r="AE621" s="447"/>
      <c r="AF621" s="1223"/>
      <c r="AG621" s="1196"/>
      <c r="AH621" s="790"/>
      <c r="AI621" s="790"/>
      <c r="AJ621" s="794"/>
      <c r="AK621" s="790"/>
      <c r="AL621" s="790"/>
      <c r="AM621" s="790"/>
      <c r="AN621" s="791"/>
      <c r="AO621" s="805"/>
      <c r="AP621" s="805"/>
      <c r="AQ621" s="786"/>
      <c r="AR621" s="786"/>
      <c r="AS621" s="786"/>
      <c r="AT621" s="786"/>
      <c r="AU621" s="787"/>
      <c r="AV621" s="787"/>
      <c r="AW621" s="787"/>
      <c r="AX621" s="785"/>
      <c r="AY621" s="1214"/>
    </row>
    <row r="622" spans="1:51" ht="19.149999999999999" hidden="1" customHeight="1" x14ac:dyDescent="0.25">
      <c r="A622" s="1195"/>
      <c r="B622" s="833"/>
      <c r="C622" s="809" t="s">
        <v>394</v>
      </c>
      <c r="D622" s="141" t="s">
        <v>41</v>
      </c>
      <c r="E622" s="142"/>
      <c r="F622" s="143"/>
      <c r="G622" s="445"/>
      <c r="H622" s="445"/>
      <c r="I622" s="445"/>
      <c r="J622" s="445"/>
      <c r="K622" s="445"/>
      <c r="L622" s="445"/>
      <c r="M622" s="445"/>
      <c r="N622" s="448"/>
      <c r="O622" s="445"/>
      <c r="P622" s="445"/>
      <c r="Q622" s="445"/>
      <c r="R622" s="447"/>
      <c r="S622" s="446"/>
      <c r="T622" s="446"/>
      <c r="U622" s="446"/>
      <c r="V622" s="446"/>
      <c r="W622" s="446"/>
      <c r="X622" s="446"/>
      <c r="Y622" s="446"/>
      <c r="Z622" s="446"/>
      <c r="AA622" s="448"/>
      <c r="AB622" s="1224"/>
      <c r="AC622" s="445"/>
      <c r="AD622" s="445"/>
      <c r="AE622" s="447"/>
      <c r="AF622" s="1223"/>
      <c r="AG622" s="1194" t="s">
        <v>454</v>
      </c>
      <c r="AH622" s="788" t="s">
        <v>537</v>
      </c>
      <c r="AI622" s="788" t="s">
        <v>538</v>
      </c>
      <c r="AJ622" s="792" t="s">
        <v>525</v>
      </c>
      <c r="AK622" s="788" t="s">
        <v>315</v>
      </c>
      <c r="AL622" s="788" t="s">
        <v>70</v>
      </c>
      <c r="AM622" s="788" t="s">
        <v>480</v>
      </c>
      <c r="AN622" s="791">
        <v>22438</v>
      </c>
      <c r="AO622" s="805">
        <v>118748</v>
      </c>
      <c r="AP622" s="805">
        <v>132822</v>
      </c>
      <c r="AQ622" s="786" t="s">
        <v>317</v>
      </c>
      <c r="AR622" s="786" t="s">
        <v>317</v>
      </c>
      <c r="AS622" s="786" t="s">
        <v>317</v>
      </c>
      <c r="AT622" s="786" t="s">
        <v>317</v>
      </c>
      <c r="AU622" s="787" t="s">
        <v>317</v>
      </c>
      <c r="AV622" s="787" t="s">
        <v>317</v>
      </c>
      <c r="AW622" s="787" t="s">
        <v>317</v>
      </c>
      <c r="AX622" s="783">
        <v>22438</v>
      </c>
      <c r="AY622" s="1214"/>
    </row>
    <row r="623" spans="1:51" ht="18.75" hidden="1" customHeight="1" x14ac:dyDescent="0.25">
      <c r="A623" s="1195"/>
      <c r="B623" s="833"/>
      <c r="C623" s="809"/>
      <c r="D623" s="132" t="s">
        <v>3</v>
      </c>
      <c r="E623" s="142"/>
      <c r="F623" s="143"/>
      <c r="G623" s="445"/>
      <c r="H623" s="445"/>
      <c r="I623" s="445"/>
      <c r="J623" s="445"/>
      <c r="K623" s="445"/>
      <c r="L623" s="445"/>
      <c r="M623" s="445"/>
      <c r="N623" s="448"/>
      <c r="O623" s="445"/>
      <c r="P623" s="445"/>
      <c r="Q623" s="445"/>
      <c r="R623" s="445"/>
      <c r="S623" s="446"/>
      <c r="T623" s="446"/>
      <c r="U623" s="446"/>
      <c r="V623" s="446"/>
      <c r="W623" s="446"/>
      <c r="X623" s="446"/>
      <c r="Y623" s="446"/>
      <c r="Z623" s="446"/>
      <c r="AA623" s="448"/>
      <c r="AB623" s="1224"/>
      <c r="AC623" s="445"/>
      <c r="AD623" s="445"/>
      <c r="AE623" s="445"/>
      <c r="AF623" s="1223"/>
      <c r="AG623" s="1195"/>
      <c r="AH623" s="789"/>
      <c r="AI623" s="789"/>
      <c r="AJ623" s="793"/>
      <c r="AK623" s="789"/>
      <c r="AL623" s="789"/>
      <c r="AM623" s="789"/>
      <c r="AN623" s="791"/>
      <c r="AO623" s="805"/>
      <c r="AP623" s="805"/>
      <c r="AQ623" s="786"/>
      <c r="AR623" s="786"/>
      <c r="AS623" s="786"/>
      <c r="AT623" s="786"/>
      <c r="AU623" s="787"/>
      <c r="AV623" s="787"/>
      <c r="AW623" s="787"/>
      <c r="AX623" s="784"/>
      <c r="AY623" s="1214"/>
    </row>
    <row r="624" spans="1:51" ht="27.75" hidden="1" customHeight="1" x14ac:dyDescent="0.25">
      <c r="A624" s="1195"/>
      <c r="B624" s="833"/>
      <c r="C624" s="809"/>
      <c r="D624" s="136" t="s">
        <v>42</v>
      </c>
      <c r="E624" s="142"/>
      <c r="F624" s="143"/>
      <c r="G624" s="445"/>
      <c r="H624" s="445"/>
      <c r="I624" s="445"/>
      <c r="J624" s="445"/>
      <c r="K624" s="445"/>
      <c r="L624" s="445"/>
      <c r="M624" s="445"/>
      <c r="N624" s="448"/>
      <c r="O624" s="445"/>
      <c r="P624" s="445"/>
      <c r="Q624" s="445"/>
      <c r="R624" s="447"/>
      <c r="S624" s="446"/>
      <c r="T624" s="446"/>
      <c r="U624" s="446"/>
      <c r="V624" s="446"/>
      <c r="W624" s="446"/>
      <c r="X624" s="446"/>
      <c r="Y624" s="446"/>
      <c r="Z624" s="446"/>
      <c r="AA624" s="448"/>
      <c r="AB624" s="1224"/>
      <c r="AC624" s="445"/>
      <c r="AD624" s="445"/>
      <c r="AE624" s="447"/>
      <c r="AF624" s="1223"/>
      <c r="AG624" s="1195"/>
      <c r="AH624" s="789"/>
      <c r="AI624" s="789"/>
      <c r="AJ624" s="793"/>
      <c r="AK624" s="789"/>
      <c r="AL624" s="789"/>
      <c r="AM624" s="789"/>
      <c r="AN624" s="791"/>
      <c r="AO624" s="805"/>
      <c r="AP624" s="805"/>
      <c r="AQ624" s="786"/>
      <c r="AR624" s="786"/>
      <c r="AS624" s="786"/>
      <c r="AT624" s="786"/>
      <c r="AU624" s="787"/>
      <c r="AV624" s="787"/>
      <c r="AW624" s="787"/>
      <c r="AX624" s="784"/>
      <c r="AY624" s="1214"/>
    </row>
    <row r="625" spans="1:51" ht="27.75" hidden="1" customHeight="1" x14ac:dyDescent="0.25">
      <c r="A625" s="1195"/>
      <c r="B625" s="833"/>
      <c r="C625" s="809"/>
      <c r="D625" s="132" t="s">
        <v>4</v>
      </c>
      <c r="E625" s="142"/>
      <c r="F625" s="143"/>
      <c r="G625" s="445"/>
      <c r="H625" s="445"/>
      <c r="I625" s="445"/>
      <c r="J625" s="445"/>
      <c r="K625" s="445"/>
      <c r="L625" s="445"/>
      <c r="M625" s="445"/>
      <c r="N625" s="448"/>
      <c r="O625" s="445"/>
      <c r="P625" s="445"/>
      <c r="Q625" s="445"/>
      <c r="R625" s="447"/>
      <c r="S625" s="446"/>
      <c r="T625" s="446"/>
      <c r="U625" s="446"/>
      <c r="V625" s="446"/>
      <c r="W625" s="446"/>
      <c r="X625" s="446"/>
      <c r="Y625" s="446"/>
      <c r="Z625" s="446"/>
      <c r="AA625" s="448"/>
      <c r="AB625" s="1224"/>
      <c r="AC625" s="445"/>
      <c r="AD625" s="445"/>
      <c r="AE625" s="447"/>
      <c r="AF625" s="1223"/>
      <c r="AG625" s="1195"/>
      <c r="AH625" s="789"/>
      <c r="AI625" s="789"/>
      <c r="AJ625" s="793"/>
      <c r="AK625" s="789"/>
      <c r="AL625" s="789"/>
      <c r="AM625" s="789"/>
      <c r="AN625" s="791"/>
      <c r="AO625" s="805"/>
      <c r="AP625" s="805"/>
      <c r="AQ625" s="786"/>
      <c r="AR625" s="786"/>
      <c r="AS625" s="786"/>
      <c r="AT625" s="786"/>
      <c r="AU625" s="787"/>
      <c r="AV625" s="787"/>
      <c r="AW625" s="787"/>
      <c r="AX625" s="784"/>
      <c r="AY625" s="1214"/>
    </row>
    <row r="626" spans="1:51" ht="27.75" hidden="1" customHeight="1" x14ac:dyDescent="0.25">
      <c r="A626" s="1195"/>
      <c r="B626" s="833"/>
      <c r="C626" s="809"/>
      <c r="D626" s="136" t="s">
        <v>43</v>
      </c>
      <c r="E626" s="142"/>
      <c r="F626" s="143"/>
      <c r="G626" s="445"/>
      <c r="H626" s="445"/>
      <c r="I626" s="445"/>
      <c r="J626" s="445"/>
      <c r="K626" s="445"/>
      <c r="L626" s="445"/>
      <c r="M626" s="445"/>
      <c r="N626" s="448"/>
      <c r="O626" s="445"/>
      <c r="P626" s="445"/>
      <c r="Q626" s="445"/>
      <c r="R626" s="447"/>
      <c r="S626" s="446"/>
      <c r="T626" s="446"/>
      <c r="U626" s="446"/>
      <c r="V626" s="446"/>
      <c r="W626" s="446"/>
      <c r="X626" s="446"/>
      <c r="Y626" s="446"/>
      <c r="Z626" s="446"/>
      <c r="AA626" s="448"/>
      <c r="AB626" s="1224"/>
      <c r="AC626" s="445"/>
      <c r="AD626" s="445"/>
      <c r="AE626" s="447"/>
      <c r="AF626" s="1223"/>
      <c r="AG626" s="1195"/>
      <c r="AH626" s="789"/>
      <c r="AI626" s="789"/>
      <c r="AJ626" s="793"/>
      <c r="AK626" s="789"/>
      <c r="AL626" s="789"/>
      <c r="AM626" s="789"/>
      <c r="AN626" s="791"/>
      <c r="AO626" s="805"/>
      <c r="AP626" s="805"/>
      <c r="AQ626" s="786"/>
      <c r="AR626" s="786"/>
      <c r="AS626" s="786"/>
      <c r="AT626" s="786"/>
      <c r="AU626" s="787"/>
      <c r="AV626" s="787"/>
      <c r="AW626" s="787"/>
      <c r="AX626" s="784"/>
      <c r="AY626" s="1214"/>
    </row>
    <row r="627" spans="1:51" ht="27.75" hidden="1" customHeight="1" thickBot="1" x14ac:dyDescent="0.3">
      <c r="A627" s="1195"/>
      <c r="B627" s="833"/>
      <c r="C627" s="809"/>
      <c r="D627" s="140" t="s">
        <v>45</v>
      </c>
      <c r="E627" s="142"/>
      <c r="F627" s="143"/>
      <c r="G627" s="445"/>
      <c r="H627" s="445"/>
      <c r="I627" s="445"/>
      <c r="J627" s="445"/>
      <c r="K627" s="445"/>
      <c r="L627" s="445"/>
      <c r="M627" s="445"/>
      <c r="N627" s="448"/>
      <c r="O627" s="445"/>
      <c r="P627" s="445"/>
      <c r="Q627" s="445"/>
      <c r="R627" s="445"/>
      <c r="S627" s="446"/>
      <c r="T627" s="446"/>
      <c r="U627" s="446"/>
      <c r="V627" s="446"/>
      <c r="W627" s="446"/>
      <c r="X627" s="446"/>
      <c r="Y627" s="446"/>
      <c r="Z627" s="446"/>
      <c r="AA627" s="448"/>
      <c r="AB627" s="1224"/>
      <c r="AC627" s="445"/>
      <c r="AD627" s="445"/>
      <c r="AE627" s="445"/>
      <c r="AF627" s="1223"/>
      <c r="AG627" s="1196"/>
      <c r="AH627" s="790"/>
      <c r="AI627" s="790"/>
      <c r="AJ627" s="794"/>
      <c r="AK627" s="790"/>
      <c r="AL627" s="790"/>
      <c r="AM627" s="790"/>
      <c r="AN627" s="791"/>
      <c r="AO627" s="805"/>
      <c r="AP627" s="805"/>
      <c r="AQ627" s="786"/>
      <c r="AR627" s="786"/>
      <c r="AS627" s="786"/>
      <c r="AT627" s="786"/>
      <c r="AU627" s="787"/>
      <c r="AV627" s="787"/>
      <c r="AW627" s="787"/>
      <c r="AX627" s="785"/>
      <c r="AY627" s="1214"/>
    </row>
    <row r="628" spans="1:51" ht="19.350000000000001" customHeight="1" x14ac:dyDescent="0.25">
      <c r="A628" s="1195"/>
      <c r="B628" s="833"/>
      <c r="C628" s="809" t="s">
        <v>988</v>
      </c>
      <c r="D628" s="141" t="s">
        <v>41</v>
      </c>
      <c r="E628" s="142"/>
      <c r="F628" s="143"/>
      <c r="G628" s="445"/>
      <c r="H628" s="445"/>
      <c r="I628" s="445"/>
      <c r="J628" s="445"/>
      <c r="K628" s="445"/>
      <c r="L628" s="445"/>
      <c r="M628" s="445"/>
      <c r="N628" s="448"/>
      <c r="O628" s="445"/>
      <c r="P628" s="445"/>
      <c r="Q628" s="445">
        <v>30</v>
      </c>
      <c r="R628" s="447">
        <v>30</v>
      </c>
      <c r="S628" s="446"/>
      <c r="T628" s="446"/>
      <c r="U628" s="446"/>
      <c r="V628" s="446"/>
      <c r="W628" s="446"/>
      <c r="X628" s="446"/>
      <c r="Y628" s="446"/>
      <c r="Z628" s="446"/>
      <c r="AA628" s="448"/>
      <c r="AB628" s="1224"/>
      <c r="AC628" s="1225"/>
      <c r="AD628" s="445">
        <v>30</v>
      </c>
      <c r="AE628" s="447">
        <v>30</v>
      </c>
      <c r="AF628" s="1217" t="s">
        <v>1290</v>
      </c>
      <c r="AG628" s="1194" t="s">
        <v>330</v>
      </c>
      <c r="AH628" s="788" t="s">
        <v>331</v>
      </c>
      <c r="AI628" s="788" t="s">
        <v>539</v>
      </c>
      <c r="AJ628" s="792" t="s">
        <v>525</v>
      </c>
      <c r="AK628" s="788" t="s">
        <v>315</v>
      </c>
      <c r="AL628" s="788" t="s">
        <v>70</v>
      </c>
      <c r="AM628" s="788" t="s">
        <v>480</v>
      </c>
      <c r="AN628" s="791">
        <v>18703</v>
      </c>
      <c r="AO628" s="805">
        <v>9562</v>
      </c>
      <c r="AP628" s="805">
        <v>9141</v>
      </c>
      <c r="AQ628" s="786" t="s">
        <v>317</v>
      </c>
      <c r="AR628" s="786" t="s">
        <v>317</v>
      </c>
      <c r="AS628" s="786" t="s">
        <v>317</v>
      </c>
      <c r="AT628" s="786" t="s">
        <v>317</v>
      </c>
      <c r="AU628" s="787" t="s">
        <v>317</v>
      </c>
      <c r="AV628" s="787" t="s">
        <v>317</v>
      </c>
      <c r="AW628" s="787" t="s">
        <v>317</v>
      </c>
      <c r="AX628" s="783">
        <v>18703</v>
      </c>
      <c r="AY628" s="1214"/>
    </row>
    <row r="629" spans="1:51" ht="18" customHeight="1" x14ac:dyDescent="0.25">
      <c r="A629" s="1195"/>
      <c r="B629" s="833"/>
      <c r="C629" s="809"/>
      <c r="D629" s="132" t="s">
        <v>3</v>
      </c>
      <c r="E629" s="142"/>
      <c r="F629" s="143"/>
      <c r="G629" s="445"/>
      <c r="H629" s="445"/>
      <c r="I629" s="445"/>
      <c r="J629" s="445"/>
      <c r="K629" s="445"/>
      <c r="L629" s="445"/>
      <c r="M629" s="445"/>
      <c r="N629" s="445"/>
      <c r="O629" s="445"/>
      <c r="P629" s="445"/>
      <c r="Q629" s="445">
        <f>+Q628*$Q$299/$Q$298</f>
        <v>256457.14285714287</v>
      </c>
      <c r="R629" s="445">
        <f>+R628*$R$299/$R$298</f>
        <v>253559.32203389829</v>
      </c>
      <c r="S629" s="446"/>
      <c r="T629" s="446"/>
      <c r="U629" s="446"/>
      <c r="V629" s="446"/>
      <c r="W629" s="446"/>
      <c r="X629" s="446"/>
      <c r="Y629" s="446"/>
      <c r="Z629" s="446"/>
      <c r="AA629" s="445"/>
      <c r="AB629" s="445"/>
      <c r="AC629" s="445"/>
      <c r="AD629" s="445">
        <f>+AD628*$AD$299/$AD$298</f>
        <v>251696.48365206661</v>
      </c>
      <c r="AE629" s="445">
        <f>+AE628*$AE$299/$AE$298</f>
        <v>253559.32203389829</v>
      </c>
      <c r="AF629" s="1217"/>
      <c r="AG629" s="1195"/>
      <c r="AH629" s="789"/>
      <c r="AI629" s="789"/>
      <c r="AJ629" s="793"/>
      <c r="AK629" s="789"/>
      <c r="AL629" s="789"/>
      <c r="AM629" s="789"/>
      <c r="AN629" s="791"/>
      <c r="AO629" s="805"/>
      <c r="AP629" s="805"/>
      <c r="AQ629" s="786"/>
      <c r="AR629" s="786"/>
      <c r="AS629" s="786"/>
      <c r="AT629" s="786"/>
      <c r="AU629" s="787"/>
      <c r="AV629" s="787"/>
      <c r="AW629" s="787"/>
      <c r="AX629" s="784"/>
      <c r="AY629" s="1214"/>
    </row>
    <row r="630" spans="1:51" ht="27" customHeight="1" x14ac:dyDescent="0.25">
      <c r="A630" s="1195"/>
      <c r="B630" s="833"/>
      <c r="C630" s="809"/>
      <c r="D630" s="136" t="s">
        <v>42</v>
      </c>
      <c r="E630" s="142"/>
      <c r="F630" s="143"/>
      <c r="G630" s="445"/>
      <c r="H630" s="445"/>
      <c r="I630" s="445"/>
      <c r="J630" s="445"/>
      <c r="K630" s="445"/>
      <c r="L630" s="445"/>
      <c r="M630" s="445"/>
      <c r="N630" s="448"/>
      <c r="O630" s="445"/>
      <c r="P630" s="445"/>
      <c r="Q630" s="445"/>
      <c r="R630" s="447"/>
      <c r="S630" s="446"/>
      <c r="T630" s="446"/>
      <c r="U630" s="446"/>
      <c r="V630" s="446"/>
      <c r="W630" s="446"/>
      <c r="X630" s="446"/>
      <c r="Y630" s="446"/>
      <c r="Z630" s="446"/>
      <c r="AA630" s="448"/>
      <c r="AB630" s="1224"/>
      <c r="AC630" s="1225"/>
      <c r="AD630" s="445"/>
      <c r="AE630" s="447"/>
      <c r="AF630" s="1217"/>
      <c r="AG630" s="1195"/>
      <c r="AH630" s="789"/>
      <c r="AI630" s="789"/>
      <c r="AJ630" s="793"/>
      <c r="AK630" s="789"/>
      <c r="AL630" s="789"/>
      <c r="AM630" s="789"/>
      <c r="AN630" s="791"/>
      <c r="AO630" s="805"/>
      <c r="AP630" s="805"/>
      <c r="AQ630" s="786"/>
      <c r="AR630" s="786"/>
      <c r="AS630" s="786"/>
      <c r="AT630" s="786"/>
      <c r="AU630" s="787"/>
      <c r="AV630" s="787"/>
      <c r="AW630" s="787"/>
      <c r="AX630" s="784"/>
      <c r="AY630" s="1214"/>
    </row>
    <row r="631" spans="1:51" ht="27" customHeight="1" x14ac:dyDescent="0.25">
      <c r="A631" s="1195"/>
      <c r="B631" s="833"/>
      <c r="C631" s="809"/>
      <c r="D631" s="132" t="s">
        <v>4</v>
      </c>
      <c r="E631" s="142"/>
      <c r="F631" s="143"/>
      <c r="G631" s="445"/>
      <c r="H631" s="445"/>
      <c r="I631" s="445"/>
      <c r="J631" s="445"/>
      <c r="K631" s="445"/>
      <c r="L631" s="445"/>
      <c r="M631" s="445"/>
      <c r="N631" s="448"/>
      <c r="O631" s="445"/>
      <c r="P631" s="445"/>
      <c r="Q631" s="445"/>
      <c r="R631" s="447"/>
      <c r="S631" s="446"/>
      <c r="T631" s="446"/>
      <c r="U631" s="446"/>
      <c r="V631" s="446"/>
      <c r="W631" s="446"/>
      <c r="X631" s="446"/>
      <c r="Y631" s="446"/>
      <c r="Z631" s="446"/>
      <c r="AA631" s="448"/>
      <c r="AB631" s="1224"/>
      <c r="AC631" s="1225"/>
      <c r="AD631" s="445"/>
      <c r="AE631" s="447"/>
      <c r="AF631" s="1217"/>
      <c r="AG631" s="1195"/>
      <c r="AH631" s="789"/>
      <c r="AI631" s="789"/>
      <c r="AJ631" s="793"/>
      <c r="AK631" s="789"/>
      <c r="AL631" s="789"/>
      <c r="AM631" s="789"/>
      <c r="AN631" s="791"/>
      <c r="AO631" s="805"/>
      <c r="AP631" s="805"/>
      <c r="AQ631" s="786"/>
      <c r="AR631" s="786"/>
      <c r="AS631" s="786"/>
      <c r="AT631" s="786"/>
      <c r="AU631" s="787"/>
      <c r="AV631" s="787"/>
      <c r="AW631" s="787"/>
      <c r="AX631" s="784"/>
      <c r="AY631" s="1214"/>
    </row>
    <row r="632" spans="1:51" ht="27" customHeight="1" x14ac:dyDescent="0.25">
      <c r="A632" s="1195"/>
      <c r="B632" s="833"/>
      <c r="C632" s="809"/>
      <c r="D632" s="136" t="s">
        <v>43</v>
      </c>
      <c r="E632" s="142"/>
      <c r="F632" s="143"/>
      <c r="G632" s="445"/>
      <c r="H632" s="445"/>
      <c r="I632" s="445"/>
      <c r="J632" s="445"/>
      <c r="K632" s="445"/>
      <c r="L632" s="445"/>
      <c r="M632" s="445"/>
      <c r="N632" s="448"/>
      <c r="O632" s="445"/>
      <c r="P632" s="445"/>
      <c r="Q632" s="445">
        <v>30</v>
      </c>
      <c r="R632" s="447">
        <v>30</v>
      </c>
      <c r="S632" s="446"/>
      <c r="T632" s="446"/>
      <c r="U632" s="446"/>
      <c r="V632" s="446"/>
      <c r="W632" s="446"/>
      <c r="X632" s="446"/>
      <c r="Y632" s="446"/>
      <c r="Z632" s="446"/>
      <c r="AA632" s="448"/>
      <c r="AB632" s="445"/>
      <c r="AC632" s="1225"/>
      <c r="AD632" s="445">
        <v>30</v>
      </c>
      <c r="AE632" s="447">
        <v>30</v>
      </c>
      <c r="AF632" s="1217"/>
      <c r="AG632" s="1195"/>
      <c r="AH632" s="789"/>
      <c r="AI632" s="789"/>
      <c r="AJ632" s="793"/>
      <c r="AK632" s="789"/>
      <c r="AL632" s="789"/>
      <c r="AM632" s="789"/>
      <c r="AN632" s="791"/>
      <c r="AO632" s="805"/>
      <c r="AP632" s="805"/>
      <c r="AQ632" s="786"/>
      <c r="AR632" s="786"/>
      <c r="AS632" s="786"/>
      <c r="AT632" s="786"/>
      <c r="AU632" s="787"/>
      <c r="AV632" s="787"/>
      <c r="AW632" s="787"/>
      <c r="AX632" s="784"/>
      <c r="AY632" s="1214"/>
    </row>
    <row r="633" spans="1:51" ht="27.75" customHeight="1" thickBot="1" x14ac:dyDescent="0.3">
      <c r="A633" s="1195"/>
      <c r="B633" s="833"/>
      <c r="C633" s="809"/>
      <c r="D633" s="140" t="s">
        <v>45</v>
      </c>
      <c r="E633" s="142"/>
      <c r="F633" s="143"/>
      <c r="G633" s="445"/>
      <c r="H633" s="445"/>
      <c r="I633" s="445"/>
      <c r="J633" s="445"/>
      <c r="K633" s="445"/>
      <c r="L633" s="445"/>
      <c r="M633" s="445"/>
      <c r="N633" s="448"/>
      <c r="O633" s="445"/>
      <c r="P633" s="445"/>
      <c r="Q633" s="445">
        <f>+Q632*$Q$299/$Q$298</f>
        <v>256457.14285714287</v>
      </c>
      <c r="R633" s="445">
        <f>+R632*$R$299/$R$298</f>
        <v>253559.32203389829</v>
      </c>
      <c r="S633" s="446"/>
      <c r="T633" s="446"/>
      <c r="U633" s="446"/>
      <c r="V633" s="446"/>
      <c r="W633" s="446"/>
      <c r="X633" s="446"/>
      <c r="Y633" s="446"/>
      <c r="Z633" s="446"/>
      <c r="AA633" s="448"/>
      <c r="AB633" s="445"/>
      <c r="AC633" s="445"/>
      <c r="AD633" s="445">
        <f>+AD632*$AD$299/$AD$298</f>
        <v>251696.48365206661</v>
      </c>
      <c r="AE633" s="445">
        <f>+AE632*$AE$299/$AE$298</f>
        <v>253559.32203389829</v>
      </c>
      <c r="AF633" s="1222"/>
      <c r="AG633" s="1196"/>
      <c r="AH633" s="790"/>
      <c r="AI633" s="790"/>
      <c r="AJ633" s="794"/>
      <c r="AK633" s="790"/>
      <c r="AL633" s="790"/>
      <c r="AM633" s="790"/>
      <c r="AN633" s="791"/>
      <c r="AO633" s="805"/>
      <c r="AP633" s="805"/>
      <c r="AQ633" s="786"/>
      <c r="AR633" s="786"/>
      <c r="AS633" s="786"/>
      <c r="AT633" s="786"/>
      <c r="AU633" s="787"/>
      <c r="AV633" s="787"/>
      <c r="AW633" s="787"/>
      <c r="AX633" s="785"/>
      <c r="AY633" s="1214"/>
    </row>
    <row r="634" spans="1:51" ht="19.350000000000001" hidden="1" customHeight="1" x14ac:dyDescent="0.25">
      <c r="A634" s="1195"/>
      <c r="B634" s="833"/>
      <c r="C634" s="809" t="s">
        <v>398</v>
      </c>
      <c r="D634" s="141" t="s">
        <v>41</v>
      </c>
      <c r="E634" s="142"/>
      <c r="F634" s="143"/>
      <c r="G634" s="445"/>
      <c r="H634" s="445"/>
      <c r="I634" s="445"/>
      <c r="J634" s="445"/>
      <c r="K634" s="445"/>
      <c r="L634" s="445"/>
      <c r="M634" s="445"/>
      <c r="N634" s="448"/>
      <c r="O634" s="445"/>
      <c r="P634" s="445"/>
      <c r="Q634" s="445"/>
      <c r="R634" s="447"/>
      <c r="S634" s="446"/>
      <c r="T634" s="446"/>
      <c r="U634" s="446"/>
      <c r="V634" s="446"/>
      <c r="W634" s="446"/>
      <c r="X634" s="446"/>
      <c r="Y634" s="446"/>
      <c r="Z634" s="446"/>
      <c r="AA634" s="448"/>
      <c r="AB634" s="1224"/>
      <c r="AC634" s="1225"/>
      <c r="AD634" s="1226"/>
      <c r="AE634" s="447"/>
      <c r="AF634" s="1252"/>
      <c r="AG634" s="1194" t="s">
        <v>398</v>
      </c>
      <c r="AH634" s="788" t="s">
        <v>350</v>
      </c>
      <c r="AI634" s="788" t="s">
        <v>350</v>
      </c>
      <c r="AJ634" s="792" t="s">
        <v>525</v>
      </c>
      <c r="AK634" s="788" t="s">
        <v>315</v>
      </c>
      <c r="AL634" s="788" t="s">
        <v>70</v>
      </c>
      <c r="AM634" s="788" t="s">
        <v>480</v>
      </c>
      <c r="AN634" s="791">
        <v>348023</v>
      </c>
      <c r="AO634" s="805">
        <v>179866</v>
      </c>
      <c r="AP634" s="805">
        <v>192751</v>
      </c>
      <c r="AQ634" s="786" t="s">
        <v>317</v>
      </c>
      <c r="AR634" s="786" t="s">
        <v>317</v>
      </c>
      <c r="AS634" s="786" t="s">
        <v>317</v>
      </c>
      <c r="AT634" s="786" t="s">
        <v>317</v>
      </c>
      <c r="AU634" s="787" t="s">
        <v>317</v>
      </c>
      <c r="AV634" s="787" t="s">
        <v>317</v>
      </c>
      <c r="AW634" s="787" t="s">
        <v>317</v>
      </c>
      <c r="AX634" s="783">
        <v>348023</v>
      </c>
      <c r="AY634" s="1214"/>
    </row>
    <row r="635" spans="1:51" ht="18.75" hidden="1" customHeight="1" x14ac:dyDescent="0.25">
      <c r="A635" s="1195"/>
      <c r="B635" s="833"/>
      <c r="C635" s="809"/>
      <c r="D635" s="132" t="s">
        <v>3</v>
      </c>
      <c r="E635" s="142"/>
      <c r="F635" s="143"/>
      <c r="G635" s="445"/>
      <c r="H635" s="445"/>
      <c r="I635" s="445"/>
      <c r="J635" s="445"/>
      <c r="K635" s="445"/>
      <c r="L635" s="445"/>
      <c r="M635" s="445"/>
      <c r="N635" s="448"/>
      <c r="O635" s="445"/>
      <c r="P635" s="445"/>
      <c r="Q635" s="445"/>
      <c r="R635" s="447"/>
      <c r="S635" s="446"/>
      <c r="T635" s="446"/>
      <c r="U635" s="446"/>
      <c r="V635" s="446"/>
      <c r="W635" s="446"/>
      <c r="X635" s="446"/>
      <c r="Y635" s="446"/>
      <c r="Z635" s="446"/>
      <c r="AA635" s="448"/>
      <c r="AB635" s="1224"/>
      <c r="AC635" s="1225"/>
      <c r="AD635" s="1226"/>
      <c r="AE635" s="447"/>
      <c r="AF635" s="1252"/>
      <c r="AG635" s="1195"/>
      <c r="AH635" s="789"/>
      <c r="AI635" s="789"/>
      <c r="AJ635" s="793"/>
      <c r="AK635" s="789"/>
      <c r="AL635" s="789"/>
      <c r="AM635" s="789"/>
      <c r="AN635" s="791"/>
      <c r="AO635" s="805"/>
      <c r="AP635" s="805"/>
      <c r="AQ635" s="786"/>
      <c r="AR635" s="786"/>
      <c r="AS635" s="786"/>
      <c r="AT635" s="786"/>
      <c r="AU635" s="787"/>
      <c r="AV635" s="787"/>
      <c r="AW635" s="787"/>
      <c r="AX635" s="784"/>
      <c r="AY635" s="1214"/>
    </row>
    <row r="636" spans="1:51" ht="27.75" hidden="1" customHeight="1" x14ac:dyDescent="0.25">
      <c r="A636" s="1195"/>
      <c r="B636" s="833"/>
      <c r="C636" s="809"/>
      <c r="D636" s="136" t="s">
        <v>42</v>
      </c>
      <c r="E636" s="142"/>
      <c r="F636" s="143"/>
      <c r="G636" s="445"/>
      <c r="H636" s="445"/>
      <c r="I636" s="445"/>
      <c r="J636" s="445"/>
      <c r="K636" s="445"/>
      <c r="L636" s="445"/>
      <c r="M636" s="445"/>
      <c r="N636" s="448"/>
      <c r="O636" s="445"/>
      <c r="P636" s="445"/>
      <c r="Q636" s="445"/>
      <c r="R636" s="447"/>
      <c r="S636" s="446"/>
      <c r="T636" s="446"/>
      <c r="U636" s="446"/>
      <c r="V636" s="446"/>
      <c r="W636" s="446"/>
      <c r="X636" s="446"/>
      <c r="Y636" s="446"/>
      <c r="Z636" s="446"/>
      <c r="AA636" s="448"/>
      <c r="AB636" s="1224"/>
      <c r="AC636" s="1225"/>
      <c r="AD636" s="1226"/>
      <c r="AE636" s="447"/>
      <c r="AF636" s="1252"/>
      <c r="AG636" s="1195"/>
      <c r="AH636" s="789"/>
      <c r="AI636" s="789"/>
      <c r="AJ636" s="793"/>
      <c r="AK636" s="789"/>
      <c r="AL636" s="789"/>
      <c r="AM636" s="789"/>
      <c r="AN636" s="791"/>
      <c r="AO636" s="805"/>
      <c r="AP636" s="805"/>
      <c r="AQ636" s="786"/>
      <c r="AR636" s="786"/>
      <c r="AS636" s="786"/>
      <c r="AT636" s="786"/>
      <c r="AU636" s="787"/>
      <c r="AV636" s="787"/>
      <c r="AW636" s="787"/>
      <c r="AX636" s="784"/>
      <c r="AY636" s="1214"/>
    </row>
    <row r="637" spans="1:51" ht="27.75" hidden="1" customHeight="1" x14ac:dyDescent="0.25">
      <c r="A637" s="1195"/>
      <c r="B637" s="833"/>
      <c r="C637" s="809"/>
      <c r="D637" s="132" t="s">
        <v>4</v>
      </c>
      <c r="E637" s="142"/>
      <c r="F637" s="143"/>
      <c r="G637" s="445"/>
      <c r="H637" s="445"/>
      <c r="I637" s="445"/>
      <c r="J637" s="445"/>
      <c r="K637" s="445"/>
      <c r="L637" s="445"/>
      <c r="M637" s="445"/>
      <c r="N637" s="448"/>
      <c r="O637" s="445"/>
      <c r="P637" s="445"/>
      <c r="Q637" s="445"/>
      <c r="R637" s="447"/>
      <c r="S637" s="446"/>
      <c r="T637" s="446"/>
      <c r="U637" s="446"/>
      <c r="V637" s="446"/>
      <c r="W637" s="446"/>
      <c r="X637" s="446"/>
      <c r="Y637" s="446"/>
      <c r="Z637" s="446"/>
      <c r="AA637" s="448"/>
      <c r="AB637" s="1224"/>
      <c r="AC637" s="1225"/>
      <c r="AD637" s="1226"/>
      <c r="AE637" s="447"/>
      <c r="AF637" s="1252"/>
      <c r="AG637" s="1195"/>
      <c r="AH637" s="789"/>
      <c r="AI637" s="789"/>
      <c r="AJ637" s="793"/>
      <c r="AK637" s="789"/>
      <c r="AL637" s="789"/>
      <c r="AM637" s="789"/>
      <c r="AN637" s="791"/>
      <c r="AO637" s="805"/>
      <c r="AP637" s="805"/>
      <c r="AQ637" s="786"/>
      <c r="AR637" s="786"/>
      <c r="AS637" s="786"/>
      <c r="AT637" s="786"/>
      <c r="AU637" s="787"/>
      <c r="AV637" s="787"/>
      <c r="AW637" s="787"/>
      <c r="AX637" s="784"/>
      <c r="AY637" s="1214"/>
    </row>
    <row r="638" spans="1:51" ht="27.75" hidden="1" customHeight="1" x14ac:dyDescent="0.25">
      <c r="A638" s="1195"/>
      <c r="B638" s="833"/>
      <c r="C638" s="809"/>
      <c r="D638" s="136" t="s">
        <v>43</v>
      </c>
      <c r="E638" s="142"/>
      <c r="F638" s="143"/>
      <c r="G638" s="445"/>
      <c r="H638" s="445"/>
      <c r="I638" s="445"/>
      <c r="J638" s="445"/>
      <c r="K638" s="445"/>
      <c r="L638" s="445"/>
      <c r="M638" s="445"/>
      <c r="N638" s="448"/>
      <c r="O638" s="445"/>
      <c r="P638" s="445"/>
      <c r="Q638" s="445"/>
      <c r="R638" s="447"/>
      <c r="S638" s="446"/>
      <c r="T638" s="446"/>
      <c r="U638" s="446"/>
      <c r="V638" s="446"/>
      <c r="W638" s="446"/>
      <c r="X638" s="446"/>
      <c r="Y638" s="446"/>
      <c r="Z638" s="446"/>
      <c r="AA638" s="448"/>
      <c r="AB638" s="1224"/>
      <c r="AC638" s="1225"/>
      <c r="AD638" s="1226"/>
      <c r="AE638" s="447"/>
      <c r="AF638" s="1252"/>
      <c r="AG638" s="1195"/>
      <c r="AH638" s="789"/>
      <c r="AI638" s="789"/>
      <c r="AJ638" s="793"/>
      <c r="AK638" s="789"/>
      <c r="AL638" s="789"/>
      <c r="AM638" s="789"/>
      <c r="AN638" s="791"/>
      <c r="AO638" s="805"/>
      <c r="AP638" s="805"/>
      <c r="AQ638" s="786"/>
      <c r="AR638" s="786"/>
      <c r="AS638" s="786"/>
      <c r="AT638" s="786"/>
      <c r="AU638" s="787"/>
      <c r="AV638" s="787"/>
      <c r="AW638" s="787"/>
      <c r="AX638" s="784"/>
      <c r="AY638" s="1214"/>
    </row>
    <row r="639" spans="1:51" ht="27.75" hidden="1" customHeight="1" thickBot="1" x14ac:dyDescent="0.3">
      <c r="A639" s="1195"/>
      <c r="B639" s="833"/>
      <c r="C639" s="809"/>
      <c r="D639" s="140" t="s">
        <v>45</v>
      </c>
      <c r="E639" s="142"/>
      <c r="F639" s="143"/>
      <c r="G639" s="445"/>
      <c r="H639" s="445"/>
      <c r="I639" s="445"/>
      <c r="J639" s="445"/>
      <c r="K639" s="445"/>
      <c r="L639" s="445"/>
      <c r="M639" s="445"/>
      <c r="N639" s="448"/>
      <c r="O639" s="445"/>
      <c r="P639" s="445"/>
      <c r="Q639" s="445"/>
      <c r="R639" s="447"/>
      <c r="S639" s="446"/>
      <c r="T639" s="446"/>
      <c r="U639" s="446"/>
      <c r="V639" s="446"/>
      <c r="W639" s="446"/>
      <c r="X639" s="446"/>
      <c r="Y639" s="446"/>
      <c r="Z639" s="446"/>
      <c r="AA639" s="448"/>
      <c r="AB639" s="1224"/>
      <c r="AC639" s="1225"/>
      <c r="AD639" s="1226"/>
      <c r="AE639" s="447"/>
      <c r="AF639" s="1252"/>
      <c r="AG639" s="1196"/>
      <c r="AH639" s="790"/>
      <c r="AI639" s="790"/>
      <c r="AJ639" s="794"/>
      <c r="AK639" s="790"/>
      <c r="AL639" s="790"/>
      <c r="AM639" s="790"/>
      <c r="AN639" s="791"/>
      <c r="AO639" s="805"/>
      <c r="AP639" s="805"/>
      <c r="AQ639" s="786"/>
      <c r="AR639" s="786"/>
      <c r="AS639" s="786"/>
      <c r="AT639" s="786"/>
      <c r="AU639" s="787"/>
      <c r="AV639" s="787"/>
      <c r="AW639" s="787"/>
      <c r="AX639" s="785"/>
      <c r="AY639" s="1214"/>
    </row>
    <row r="640" spans="1:51" ht="19.350000000000001" hidden="1" customHeight="1" x14ac:dyDescent="0.25">
      <c r="A640" s="1195"/>
      <c r="B640" s="833"/>
      <c r="C640" s="809" t="s">
        <v>404</v>
      </c>
      <c r="D640" s="141" t="s">
        <v>41</v>
      </c>
      <c r="E640" s="142"/>
      <c r="F640" s="143"/>
      <c r="G640" s="445"/>
      <c r="H640" s="445"/>
      <c r="I640" s="445"/>
      <c r="J640" s="445"/>
      <c r="K640" s="445"/>
      <c r="L640" s="445"/>
      <c r="M640" s="445"/>
      <c r="N640" s="448"/>
      <c r="O640" s="445"/>
      <c r="P640" s="445"/>
      <c r="Q640" s="445"/>
      <c r="R640" s="447"/>
      <c r="S640" s="446"/>
      <c r="T640" s="446"/>
      <c r="U640" s="446"/>
      <c r="V640" s="446"/>
      <c r="W640" s="446"/>
      <c r="X640" s="446"/>
      <c r="Y640" s="446"/>
      <c r="Z640" s="446"/>
      <c r="AA640" s="448"/>
      <c r="AB640" s="1224"/>
      <c r="AC640" s="1225"/>
      <c r="AD640" s="1226"/>
      <c r="AE640" s="447"/>
      <c r="AF640" s="1252"/>
      <c r="AG640" s="1194" t="s">
        <v>404</v>
      </c>
      <c r="AH640" s="788" t="s">
        <v>350</v>
      </c>
      <c r="AI640" s="788" t="s">
        <v>350</v>
      </c>
      <c r="AJ640" s="792" t="s">
        <v>525</v>
      </c>
      <c r="AK640" s="788" t="s">
        <v>315</v>
      </c>
      <c r="AL640" s="788" t="s">
        <v>70</v>
      </c>
      <c r="AM640" s="788" t="s">
        <v>480</v>
      </c>
      <c r="AN640" s="791">
        <v>392220</v>
      </c>
      <c r="AO640" s="805">
        <v>303282</v>
      </c>
      <c r="AP640" s="805">
        <v>318086</v>
      </c>
      <c r="AQ640" s="786" t="s">
        <v>317</v>
      </c>
      <c r="AR640" s="786" t="s">
        <v>317</v>
      </c>
      <c r="AS640" s="786" t="s">
        <v>317</v>
      </c>
      <c r="AT640" s="786" t="s">
        <v>317</v>
      </c>
      <c r="AU640" s="787" t="s">
        <v>317</v>
      </c>
      <c r="AV640" s="787" t="s">
        <v>317</v>
      </c>
      <c r="AW640" s="787" t="s">
        <v>317</v>
      </c>
      <c r="AX640" s="783">
        <v>392220</v>
      </c>
      <c r="AY640" s="1214"/>
    </row>
    <row r="641" spans="1:51" ht="18.75" hidden="1" customHeight="1" x14ac:dyDescent="0.25">
      <c r="A641" s="1195"/>
      <c r="B641" s="833"/>
      <c r="C641" s="809"/>
      <c r="D641" s="132" t="s">
        <v>3</v>
      </c>
      <c r="E641" s="142"/>
      <c r="F641" s="143"/>
      <c r="G641" s="445"/>
      <c r="H641" s="445"/>
      <c r="I641" s="445"/>
      <c r="J641" s="445"/>
      <c r="K641" s="445"/>
      <c r="L641" s="445"/>
      <c r="M641" s="445"/>
      <c r="N641" s="448"/>
      <c r="O641" s="445"/>
      <c r="P641" s="445"/>
      <c r="Q641" s="445"/>
      <c r="R641" s="447"/>
      <c r="S641" s="446"/>
      <c r="T641" s="446"/>
      <c r="U641" s="446"/>
      <c r="V641" s="446"/>
      <c r="W641" s="446"/>
      <c r="X641" s="446"/>
      <c r="Y641" s="446"/>
      <c r="Z641" s="446"/>
      <c r="AA641" s="448"/>
      <c r="AB641" s="1224"/>
      <c r="AC641" s="1225"/>
      <c r="AD641" s="1226"/>
      <c r="AE641" s="447"/>
      <c r="AF641" s="1252"/>
      <c r="AG641" s="1195"/>
      <c r="AH641" s="789"/>
      <c r="AI641" s="789"/>
      <c r="AJ641" s="793"/>
      <c r="AK641" s="789"/>
      <c r="AL641" s="789"/>
      <c r="AM641" s="789"/>
      <c r="AN641" s="791"/>
      <c r="AO641" s="805"/>
      <c r="AP641" s="805"/>
      <c r="AQ641" s="786"/>
      <c r="AR641" s="786"/>
      <c r="AS641" s="786"/>
      <c r="AT641" s="786"/>
      <c r="AU641" s="787"/>
      <c r="AV641" s="787"/>
      <c r="AW641" s="787"/>
      <c r="AX641" s="784"/>
      <c r="AY641" s="1214"/>
    </row>
    <row r="642" spans="1:51" ht="27.75" hidden="1" customHeight="1" x14ac:dyDescent="0.25">
      <c r="A642" s="1195"/>
      <c r="B642" s="833"/>
      <c r="C642" s="809"/>
      <c r="D642" s="136" t="s">
        <v>42</v>
      </c>
      <c r="E642" s="142"/>
      <c r="F642" s="143"/>
      <c r="G642" s="445"/>
      <c r="H642" s="445"/>
      <c r="I642" s="445"/>
      <c r="J642" s="445"/>
      <c r="K642" s="445"/>
      <c r="L642" s="445"/>
      <c r="M642" s="445"/>
      <c r="N642" s="448"/>
      <c r="O642" s="445"/>
      <c r="P642" s="445"/>
      <c r="Q642" s="445"/>
      <c r="R642" s="447"/>
      <c r="S642" s="446"/>
      <c r="T642" s="446"/>
      <c r="U642" s="446"/>
      <c r="V642" s="446"/>
      <c r="W642" s="446"/>
      <c r="X642" s="446"/>
      <c r="Y642" s="446"/>
      <c r="Z642" s="446"/>
      <c r="AA642" s="448"/>
      <c r="AB642" s="1224"/>
      <c r="AC642" s="1225"/>
      <c r="AD642" s="1226"/>
      <c r="AE642" s="447"/>
      <c r="AF642" s="1252"/>
      <c r="AG642" s="1195"/>
      <c r="AH642" s="789"/>
      <c r="AI642" s="789"/>
      <c r="AJ642" s="793"/>
      <c r="AK642" s="789"/>
      <c r="AL642" s="789"/>
      <c r="AM642" s="789"/>
      <c r="AN642" s="791"/>
      <c r="AO642" s="805"/>
      <c r="AP642" s="805"/>
      <c r="AQ642" s="786"/>
      <c r="AR642" s="786"/>
      <c r="AS642" s="786"/>
      <c r="AT642" s="786"/>
      <c r="AU642" s="787"/>
      <c r="AV642" s="787"/>
      <c r="AW642" s="787"/>
      <c r="AX642" s="784"/>
      <c r="AY642" s="1214"/>
    </row>
    <row r="643" spans="1:51" ht="27.75" hidden="1" customHeight="1" x14ac:dyDescent="0.25">
      <c r="A643" s="1195"/>
      <c r="B643" s="833"/>
      <c r="C643" s="809"/>
      <c r="D643" s="132" t="s">
        <v>4</v>
      </c>
      <c r="E643" s="142"/>
      <c r="F643" s="143"/>
      <c r="G643" s="445"/>
      <c r="H643" s="445"/>
      <c r="I643" s="445"/>
      <c r="J643" s="445"/>
      <c r="K643" s="445"/>
      <c r="L643" s="445"/>
      <c r="M643" s="445"/>
      <c r="N643" s="448"/>
      <c r="O643" s="445"/>
      <c r="P643" s="445"/>
      <c r="Q643" s="445"/>
      <c r="R643" s="447"/>
      <c r="S643" s="446"/>
      <c r="T643" s="446"/>
      <c r="U643" s="446"/>
      <c r="V643" s="446"/>
      <c r="W643" s="446"/>
      <c r="X643" s="446"/>
      <c r="Y643" s="446"/>
      <c r="Z643" s="446"/>
      <c r="AA643" s="448"/>
      <c r="AB643" s="1224"/>
      <c r="AC643" s="1225"/>
      <c r="AD643" s="1226"/>
      <c r="AE643" s="447"/>
      <c r="AF643" s="1252"/>
      <c r="AG643" s="1195"/>
      <c r="AH643" s="789"/>
      <c r="AI643" s="789"/>
      <c r="AJ643" s="793"/>
      <c r="AK643" s="789"/>
      <c r="AL643" s="789"/>
      <c r="AM643" s="789"/>
      <c r="AN643" s="791"/>
      <c r="AO643" s="805"/>
      <c r="AP643" s="805"/>
      <c r="AQ643" s="786"/>
      <c r="AR643" s="786"/>
      <c r="AS643" s="786"/>
      <c r="AT643" s="786"/>
      <c r="AU643" s="787"/>
      <c r="AV643" s="787"/>
      <c r="AW643" s="787"/>
      <c r="AX643" s="784"/>
      <c r="AY643" s="1214"/>
    </row>
    <row r="644" spans="1:51" ht="27.75" hidden="1" customHeight="1" x14ac:dyDescent="0.25">
      <c r="A644" s="1195"/>
      <c r="B644" s="833"/>
      <c r="C644" s="809"/>
      <c r="D644" s="136" t="s">
        <v>43</v>
      </c>
      <c r="E644" s="142"/>
      <c r="F644" s="143"/>
      <c r="G644" s="445"/>
      <c r="H644" s="445"/>
      <c r="I644" s="445"/>
      <c r="J644" s="445"/>
      <c r="K644" s="445"/>
      <c r="L644" s="445"/>
      <c r="M644" s="445"/>
      <c r="N644" s="448"/>
      <c r="O644" s="445"/>
      <c r="P644" s="445"/>
      <c r="Q644" s="445"/>
      <c r="R644" s="447"/>
      <c r="S644" s="446"/>
      <c r="T644" s="446"/>
      <c r="U644" s="446"/>
      <c r="V644" s="446"/>
      <c r="W644" s="446"/>
      <c r="X644" s="446"/>
      <c r="Y644" s="446"/>
      <c r="Z644" s="446"/>
      <c r="AA644" s="448"/>
      <c r="AB644" s="1224"/>
      <c r="AC644" s="1225"/>
      <c r="AD644" s="1226"/>
      <c r="AE644" s="447"/>
      <c r="AF644" s="1252"/>
      <c r="AG644" s="1195"/>
      <c r="AH644" s="789"/>
      <c r="AI644" s="789"/>
      <c r="AJ644" s="793"/>
      <c r="AK644" s="789"/>
      <c r="AL644" s="789"/>
      <c r="AM644" s="789"/>
      <c r="AN644" s="791"/>
      <c r="AO644" s="805"/>
      <c r="AP644" s="805"/>
      <c r="AQ644" s="786"/>
      <c r="AR644" s="786"/>
      <c r="AS644" s="786"/>
      <c r="AT644" s="786"/>
      <c r="AU644" s="787"/>
      <c r="AV644" s="787"/>
      <c r="AW644" s="787"/>
      <c r="AX644" s="784"/>
      <c r="AY644" s="1214"/>
    </row>
    <row r="645" spans="1:51" ht="27.6" hidden="1" customHeight="1" thickBot="1" x14ac:dyDescent="0.3">
      <c r="A645" s="1195"/>
      <c r="B645" s="833"/>
      <c r="C645" s="809"/>
      <c r="D645" s="140" t="s">
        <v>45</v>
      </c>
      <c r="E645" s="142"/>
      <c r="F645" s="143"/>
      <c r="G645" s="445"/>
      <c r="H645" s="445"/>
      <c r="I645" s="445"/>
      <c r="J645" s="445"/>
      <c r="K645" s="445"/>
      <c r="L645" s="445"/>
      <c r="M645" s="445"/>
      <c r="N645" s="448"/>
      <c r="O645" s="445"/>
      <c r="P645" s="445"/>
      <c r="Q645" s="445"/>
      <c r="R645" s="447"/>
      <c r="S645" s="450"/>
      <c r="T645" s="446"/>
      <c r="U645" s="446"/>
      <c r="V645" s="446"/>
      <c r="W645" s="446"/>
      <c r="X645" s="446"/>
      <c r="Y645" s="446"/>
      <c r="Z645" s="446"/>
      <c r="AA645" s="448"/>
      <c r="AB645" s="1224"/>
      <c r="AC645" s="1225"/>
      <c r="AD645" s="1226"/>
      <c r="AE645" s="447"/>
      <c r="AF645" s="1252"/>
      <c r="AG645" s="1196"/>
      <c r="AH645" s="790"/>
      <c r="AI645" s="790"/>
      <c r="AJ645" s="794"/>
      <c r="AK645" s="790"/>
      <c r="AL645" s="790"/>
      <c r="AM645" s="790"/>
      <c r="AN645" s="791"/>
      <c r="AO645" s="805"/>
      <c r="AP645" s="805"/>
      <c r="AQ645" s="786"/>
      <c r="AR645" s="786"/>
      <c r="AS645" s="786"/>
      <c r="AT645" s="786"/>
      <c r="AU645" s="787"/>
      <c r="AV645" s="787"/>
      <c r="AW645" s="787"/>
      <c r="AX645" s="785"/>
      <c r="AY645" s="1214"/>
    </row>
    <row r="646" spans="1:51" ht="19.149999999999999" customHeight="1" x14ac:dyDescent="0.25">
      <c r="A646" s="1195"/>
      <c r="B646" s="833"/>
      <c r="C646" s="809" t="s">
        <v>409</v>
      </c>
      <c r="D646" s="141" t="s">
        <v>41</v>
      </c>
      <c r="E646" s="142"/>
      <c r="F646" s="143"/>
      <c r="G646" s="445">
        <v>3254</v>
      </c>
      <c r="H646" s="449">
        <v>2953</v>
      </c>
      <c r="I646" s="445">
        <v>2657</v>
      </c>
      <c r="J646" s="445">
        <v>2357</v>
      </c>
      <c r="K646" s="445">
        <v>2037</v>
      </c>
      <c r="L646" s="445">
        <v>1740</v>
      </c>
      <c r="M646" s="445">
        <v>1447</v>
      </c>
      <c r="N646" s="448">
        <v>1136</v>
      </c>
      <c r="O646" s="445">
        <v>841</v>
      </c>
      <c r="P646" s="445">
        <v>549</v>
      </c>
      <c r="Q646" s="445">
        <v>258</v>
      </c>
      <c r="R646" s="447">
        <v>0</v>
      </c>
      <c r="S646" s="446"/>
      <c r="T646" s="446"/>
      <c r="U646" s="446"/>
      <c r="V646" s="446"/>
      <c r="W646" s="446"/>
      <c r="X646" s="446"/>
      <c r="Y646" s="446"/>
      <c r="Z646" s="446"/>
      <c r="AA646" s="448"/>
      <c r="AB646" s="1243"/>
      <c r="AC646" s="1225"/>
      <c r="AD646" s="1226"/>
      <c r="AE646" s="447">
        <v>0</v>
      </c>
      <c r="AF646" s="1252"/>
      <c r="AG646" s="1194"/>
      <c r="AH646" s="788"/>
      <c r="AI646" s="788"/>
      <c r="AJ646" s="792"/>
      <c r="AK646" s="788"/>
      <c r="AL646" s="788"/>
      <c r="AM646" s="788"/>
      <c r="AN646" s="805">
        <v>7804660</v>
      </c>
      <c r="AO646" s="783">
        <v>3721767</v>
      </c>
      <c r="AP646" s="783">
        <v>4082893</v>
      </c>
      <c r="AQ646" s="786" t="s">
        <v>317</v>
      </c>
      <c r="AR646" s="786" t="s">
        <v>317</v>
      </c>
      <c r="AS646" s="786" t="s">
        <v>317</v>
      </c>
      <c r="AT646" s="786" t="s">
        <v>317</v>
      </c>
      <c r="AU646" s="787" t="s">
        <v>317</v>
      </c>
      <c r="AV646" s="787" t="s">
        <v>317</v>
      </c>
      <c r="AW646" s="787" t="s">
        <v>317</v>
      </c>
      <c r="AX646" s="783">
        <v>7804660</v>
      </c>
      <c r="AY646" s="1214"/>
    </row>
    <row r="647" spans="1:51" ht="18" x14ac:dyDescent="0.25">
      <c r="A647" s="1195"/>
      <c r="B647" s="833"/>
      <c r="C647" s="809"/>
      <c r="D647" s="132" t="s">
        <v>3</v>
      </c>
      <c r="E647" s="142"/>
      <c r="F647" s="143"/>
      <c r="G647" s="445">
        <v>31875254.285714287</v>
      </c>
      <c r="H647" s="445">
        <v>28926744.285714287</v>
      </c>
      <c r="I647" s="445">
        <v>26027212.857142858</v>
      </c>
      <c r="J647" s="445">
        <v>18317257.142857142</v>
      </c>
      <c r="K647" s="445">
        <f>+K646*$K$299/$K$298</f>
        <v>15830400</v>
      </c>
      <c r="L647" s="445">
        <f>+L646*$L$299/$L$298</f>
        <v>14874514.285714285</v>
      </c>
      <c r="M647" s="445"/>
      <c r="N647" s="445">
        <f>+N646*$N$299/$N$298</f>
        <v>9711177.1428571437</v>
      </c>
      <c r="O647" s="445">
        <f>+O646*$O$299/$O$298</f>
        <v>7189348.5714285718</v>
      </c>
      <c r="P647" s="445">
        <f>+P646*$P$299/$P$298</f>
        <v>4693165.7142857146</v>
      </c>
      <c r="Q647" s="445">
        <f>+Q646*$Q$299/$Q$298</f>
        <v>2205531.4285714286</v>
      </c>
      <c r="R647" s="445">
        <f>+R646*$R$299/$R$298</f>
        <v>0</v>
      </c>
      <c r="S647" s="446"/>
      <c r="T647" s="446"/>
      <c r="U647" s="445"/>
      <c r="V647" s="446"/>
      <c r="W647" s="446"/>
      <c r="X647" s="446"/>
      <c r="Y647" s="446"/>
      <c r="Z647" s="446"/>
      <c r="AA647" s="448"/>
      <c r="AB647" s="1224"/>
      <c r="AC647" s="445"/>
      <c r="AD647" s="1226"/>
      <c r="AE647" s="445">
        <f>+AE646*$AE$299/$AE$298</f>
        <v>0</v>
      </c>
      <c r="AF647" s="1252"/>
      <c r="AG647" s="1195"/>
      <c r="AH647" s="789"/>
      <c r="AI647" s="789"/>
      <c r="AJ647" s="793"/>
      <c r="AK647" s="789"/>
      <c r="AL647" s="789"/>
      <c r="AM647" s="789"/>
      <c r="AN647" s="805"/>
      <c r="AO647" s="784"/>
      <c r="AP647" s="784"/>
      <c r="AQ647" s="786"/>
      <c r="AR647" s="786"/>
      <c r="AS647" s="786"/>
      <c r="AT647" s="786"/>
      <c r="AU647" s="787"/>
      <c r="AV647" s="787"/>
      <c r="AW647" s="787"/>
      <c r="AX647" s="784"/>
      <c r="AY647" s="1214"/>
    </row>
    <row r="648" spans="1:51" ht="27" x14ac:dyDescent="0.25">
      <c r="A648" s="1195"/>
      <c r="B648" s="833"/>
      <c r="C648" s="809"/>
      <c r="D648" s="136" t="s">
        <v>42</v>
      </c>
      <c r="E648" s="142"/>
      <c r="F648" s="143"/>
      <c r="G648" s="445"/>
      <c r="H648" s="445"/>
      <c r="I648" s="445"/>
      <c r="J648" s="445"/>
      <c r="K648" s="445"/>
      <c r="L648" s="445"/>
      <c r="M648" s="445"/>
      <c r="N648" s="448"/>
      <c r="O648" s="445"/>
      <c r="P648" s="445"/>
      <c r="Q648" s="445"/>
      <c r="R648" s="447">
        <f>R310+R328+R334+R376+R382+R388+R394+R400+R412+R460+R466+R508+R520+R544+R550+R568+R592+R628</f>
        <v>881</v>
      </c>
      <c r="S648" s="446"/>
      <c r="T648" s="446"/>
      <c r="U648" s="446"/>
      <c r="V648" s="446"/>
      <c r="W648" s="446"/>
      <c r="X648" s="446"/>
      <c r="Y648" s="446"/>
      <c r="Z648" s="446"/>
      <c r="AA648" s="448"/>
      <c r="AB648" s="1224"/>
      <c r="AC648" s="1225"/>
      <c r="AD648" s="1226"/>
      <c r="AE648" s="447">
        <f>AE310+AE328+AE334+AE376+AE382+AE388+AE394+AE400+AE412+AE460+AE466+AE508+AE520+AE544+AE550+AE568+AE592+AE628</f>
        <v>881</v>
      </c>
      <c r="AF648" s="1252"/>
      <c r="AG648" s="1195"/>
      <c r="AH648" s="789"/>
      <c r="AI648" s="789"/>
      <c r="AJ648" s="793"/>
      <c r="AK648" s="789"/>
      <c r="AL648" s="789"/>
      <c r="AM648" s="789"/>
      <c r="AN648" s="805"/>
      <c r="AO648" s="784"/>
      <c r="AP648" s="784"/>
      <c r="AQ648" s="786"/>
      <c r="AR648" s="786"/>
      <c r="AS648" s="786"/>
      <c r="AT648" s="786"/>
      <c r="AU648" s="787"/>
      <c r="AV648" s="787"/>
      <c r="AW648" s="787"/>
      <c r="AX648" s="784"/>
      <c r="AY648" s="1214"/>
    </row>
    <row r="649" spans="1:51" ht="27" x14ac:dyDescent="0.25">
      <c r="A649" s="1195"/>
      <c r="B649" s="833"/>
      <c r="C649" s="809"/>
      <c r="D649" s="132" t="s">
        <v>4</v>
      </c>
      <c r="E649" s="142"/>
      <c r="F649" s="143"/>
      <c r="G649" s="445"/>
      <c r="H649" s="445"/>
      <c r="I649" s="445"/>
      <c r="J649" s="445"/>
      <c r="K649" s="445"/>
      <c r="L649" s="445"/>
      <c r="M649" s="445"/>
      <c r="N649" s="448"/>
      <c r="O649" s="445"/>
      <c r="P649" s="445"/>
      <c r="Q649" s="445"/>
      <c r="R649" s="447">
        <f>R311+R329+R335+R377+R383+R389+R395+R401+R413+R461+R467+R509+R521+R545+R551+R569+R593+R629</f>
        <v>7446192.0903954795</v>
      </c>
      <c r="S649" s="446"/>
      <c r="T649" s="446"/>
      <c r="U649" s="446"/>
      <c r="V649" s="446"/>
      <c r="W649" s="446"/>
      <c r="X649" s="446"/>
      <c r="Y649" s="446"/>
      <c r="Z649" s="446"/>
      <c r="AA649" s="448"/>
      <c r="AB649" s="1224"/>
      <c r="AC649" s="1225"/>
      <c r="AD649" s="1226"/>
      <c r="AE649" s="447">
        <f>AE311+AE329+AE335+AE377+AE383+AE389+AE395+AE401+AE413+AE461+AE467+AE509+AE521+AE545+AE551+AE569+AE593+AE629</f>
        <v>7446192.0903954795</v>
      </c>
      <c r="AF649" s="1252"/>
      <c r="AG649" s="1195"/>
      <c r="AH649" s="789"/>
      <c r="AI649" s="789"/>
      <c r="AJ649" s="793"/>
      <c r="AK649" s="789"/>
      <c r="AL649" s="789"/>
      <c r="AM649" s="789"/>
      <c r="AN649" s="805"/>
      <c r="AO649" s="784"/>
      <c r="AP649" s="784"/>
      <c r="AQ649" s="786"/>
      <c r="AR649" s="786"/>
      <c r="AS649" s="786"/>
      <c r="AT649" s="786"/>
      <c r="AU649" s="787"/>
      <c r="AV649" s="787"/>
      <c r="AW649" s="787"/>
      <c r="AX649" s="784"/>
      <c r="AY649" s="1214"/>
    </row>
    <row r="650" spans="1:51" ht="27" x14ac:dyDescent="0.25">
      <c r="A650" s="1195"/>
      <c r="B650" s="833"/>
      <c r="C650" s="809"/>
      <c r="D650" s="136" t="s">
        <v>43</v>
      </c>
      <c r="E650" s="142"/>
      <c r="F650" s="143"/>
      <c r="G650" s="445">
        <v>3254</v>
      </c>
      <c r="H650" s="449">
        <v>2953</v>
      </c>
      <c r="I650" s="445">
        <v>2657</v>
      </c>
      <c r="J650" s="445">
        <v>2357</v>
      </c>
      <c r="K650" s="445">
        <v>2037</v>
      </c>
      <c r="L650" s="445">
        <v>1740</v>
      </c>
      <c r="M650" s="445">
        <v>1447</v>
      </c>
      <c r="N650" s="448">
        <v>1136</v>
      </c>
      <c r="O650" s="445">
        <v>841</v>
      </c>
      <c r="P650" s="445">
        <v>549</v>
      </c>
      <c r="Q650" s="445">
        <v>258</v>
      </c>
      <c r="R650" s="447">
        <v>0</v>
      </c>
      <c r="S650" s="446"/>
      <c r="T650" s="446"/>
      <c r="U650" s="446"/>
      <c r="V650" s="446"/>
      <c r="W650" s="446"/>
      <c r="X650" s="446"/>
      <c r="Y650" s="446"/>
      <c r="Z650" s="446"/>
      <c r="AA650" s="448"/>
      <c r="AB650" s="1224"/>
      <c r="AC650" s="1225"/>
      <c r="AD650" s="1226"/>
      <c r="AE650" s="447">
        <v>0</v>
      </c>
      <c r="AF650" s="1252"/>
      <c r="AG650" s="1195"/>
      <c r="AH650" s="789"/>
      <c r="AI650" s="789"/>
      <c r="AJ650" s="793"/>
      <c r="AK650" s="789"/>
      <c r="AL650" s="789"/>
      <c r="AM650" s="789"/>
      <c r="AN650" s="805"/>
      <c r="AO650" s="784"/>
      <c r="AP650" s="784"/>
      <c r="AQ650" s="786"/>
      <c r="AR650" s="786"/>
      <c r="AS650" s="786"/>
      <c r="AT650" s="786"/>
      <c r="AU650" s="787"/>
      <c r="AV650" s="787"/>
      <c r="AW650" s="787"/>
      <c r="AX650" s="784"/>
      <c r="AY650" s="1214"/>
    </row>
    <row r="651" spans="1:51" ht="27.75" thickBot="1" x14ac:dyDescent="0.3">
      <c r="A651" s="1195"/>
      <c r="B651" s="833"/>
      <c r="C651" s="809"/>
      <c r="D651" s="140" t="s">
        <v>45</v>
      </c>
      <c r="E651" s="142"/>
      <c r="F651" s="143"/>
      <c r="G651" s="445">
        <v>31875254.285714287</v>
      </c>
      <c r="H651" s="445">
        <v>28926744.285714287</v>
      </c>
      <c r="I651" s="445">
        <v>26027212.857142858</v>
      </c>
      <c r="J651" s="445">
        <v>18317257.142857142</v>
      </c>
      <c r="K651" s="445">
        <f>+K650*$K$299/$K$298</f>
        <v>15830400</v>
      </c>
      <c r="L651" s="445">
        <f>+L650*$L$299/$L$298</f>
        <v>14874514.285714285</v>
      </c>
      <c r="M651" s="445">
        <f>+M650*$M$299/$M$298</f>
        <v>11245257.142857144</v>
      </c>
      <c r="N651" s="445">
        <f>+N650*$N$299/$N$298</f>
        <v>9711177.1428571437</v>
      </c>
      <c r="O651" s="445">
        <f>+O650*$O$299/$O$298</f>
        <v>7189348.5714285718</v>
      </c>
      <c r="P651" s="445">
        <f>+P650*$P$299/$P$298</f>
        <v>4693165.7142857146</v>
      </c>
      <c r="Q651" s="445">
        <f>+Q650*$Q$299/$Q$298</f>
        <v>2205531.4285714286</v>
      </c>
      <c r="R651" s="445">
        <f>+R650*$R$299/$R$298</f>
        <v>0</v>
      </c>
      <c r="S651" s="446"/>
      <c r="T651" s="446"/>
      <c r="U651" s="446"/>
      <c r="V651" s="446"/>
      <c r="W651" s="446"/>
      <c r="X651" s="446"/>
      <c r="Y651" s="446"/>
      <c r="Z651" s="446"/>
      <c r="AA651" s="448"/>
      <c r="AB651" s="1224"/>
      <c r="AC651" s="1225"/>
      <c r="AD651" s="1226"/>
      <c r="AE651" s="445">
        <f>+AE650*$AE$299/$AE$298</f>
        <v>0</v>
      </c>
      <c r="AF651" s="1252"/>
      <c r="AG651" s="1196"/>
      <c r="AH651" s="790"/>
      <c r="AI651" s="790"/>
      <c r="AJ651" s="794"/>
      <c r="AK651" s="790"/>
      <c r="AL651" s="790"/>
      <c r="AM651" s="790"/>
      <c r="AN651" s="805"/>
      <c r="AO651" s="785"/>
      <c r="AP651" s="785"/>
      <c r="AQ651" s="786"/>
      <c r="AR651" s="786"/>
      <c r="AS651" s="786"/>
      <c r="AT651" s="786"/>
      <c r="AU651" s="787"/>
      <c r="AV651" s="787"/>
      <c r="AW651" s="787"/>
      <c r="AX651" s="785"/>
      <c r="AY651" s="1214"/>
    </row>
    <row r="652" spans="1:51" ht="25.15" customHeight="1" x14ac:dyDescent="0.25">
      <c r="A652" s="1195"/>
      <c r="B652" s="833"/>
      <c r="C652" s="809" t="s">
        <v>410</v>
      </c>
      <c r="D652" s="141" t="s">
        <v>41</v>
      </c>
      <c r="E652" s="142"/>
      <c r="F652" s="143"/>
      <c r="G652" s="445">
        <v>3500</v>
      </c>
      <c r="H652" s="445">
        <v>3500</v>
      </c>
      <c r="I652" s="445">
        <v>3500</v>
      </c>
      <c r="J652" s="445">
        <v>3500</v>
      </c>
      <c r="K652" s="445">
        <f t="shared" ref="K652:K657" si="15">+K646+K586+K580+K526+K478+K448+K442+K436+K370+K364+K358+K352</f>
        <v>3500</v>
      </c>
      <c r="L652" s="445">
        <f>+L646+L586+L580+L526+L478+L448+L442+L436+L370+L364+L358+L352+L346</f>
        <v>3500</v>
      </c>
      <c r="M652" s="445">
        <v>3500</v>
      </c>
      <c r="N652" s="445">
        <f t="shared" ref="N652:N657" si="16">+N646+N586+N580+N514+N526+N556+N574+N478+N472+N454+N448+N442+N436+N406+N370+N364+N358+N352+N346+N322+N316</f>
        <v>3500</v>
      </c>
      <c r="O652" s="445">
        <f t="shared" ref="O652:O657" si="17">+O646+O586+O580+O514+O526+O556+O574+O478+O472+O454+O448+O442+O436+O406+O418+O424+O430+O370+O364+O358+O352+O346+O322+O340+O316</f>
        <v>3500</v>
      </c>
      <c r="P652" s="445">
        <v>3500</v>
      </c>
      <c r="Q652" s="445">
        <f t="shared" ref="Q652:Q657" si="18">Q310+Q646+Q586+Q580+Q508+Q514+Q526+Q556+Q574+Q478+Q472+Q454+Q448+Q442+Q436+Q406+Q412+Q418+Q424+Q430+Q568+Q370+Q364+Q358+Q352+Q346+Q322+Q334+Q340+Q316+Q592+Q628+Q544+Q550+Q520+Q460+Q466+Q376+Q382+Q388+Q394+Q400</f>
        <v>3500</v>
      </c>
      <c r="R652" s="445">
        <f>R310+R646+R586+R580+R508+R514+R526+R556+R574+R478+R472+R454+R448+R442+R436+R406+R412+R418+R424+R430+R568+R370+R364+R358+R352+R346+R322+R334+R340+R316+R592+R628+R544+R550+R520+R460+R466+R376+R382+R388+R394+R400+R328</f>
        <v>3540</v>
      </c>
      <c r="S652" s="446"/>
      <c r="T652" s="445">
        <v>246</v>
      </c>
      <c r="U652" s="445">
        <v>547</v>
      </c>
      <c r="V652" s="445">
        <v>843</v>
      </c>
      <c r="W652" s="445">
        <v>1143</v>
      </c>
      <c r="X652" s="445">
        <f t="shared" ref="X652:X657" si="19">+X646+X586+X580+X526+X478+X448+X442+X436+X370+X364+X358+X352</f>
        <v>1463</v>
      </c>
      <c r="Y652" s="445">
        <f t="shared" ref="Y652:Y657" si="20">+Y646+Y586+Y580+Y526+Y478+Y448+Y442+Y436+Y370+Y364+Y358+Y352+Y346</f>
        <v>1760</v>
      </c>
      <c r="Z652" s="445">
        <f t="shared" ref="Z652:Z657" si="21">Z316+Z322+Z646+Z586+Z580+Z526+Z478+Z448+Z442+Z436+Z370+Z406+Z364+Z358+Z352+Z346+Z454+Z514+Z556+Z574</f>
        <v>2053</v>
      </c>
      <c r="AA652" s="445">
        <f t="shared" ref="AA652:AA657" si="22">+AA646+AA586+AA580+AA514+AA526+AA556+AA574+AA478+AA472+AA454+AA448+AA442+AA436+AA406+AA370+AA364+AA358+AA352+AA346+AA322+AA316</f>
        <v>2364</v>
      </c>
      <c r="AB652" s="445">
        <f t="shared" ref="AB652:AB657" si="23">+AB646+AB586+AB580+AB514+AB526+AB556+AB574+AB478+AB472+AB454+AB448+AB442+AB436+AB406+AB418+AB424+AB430+AB370+AB364+AB358+AB352+AB346+AB322+AB340+AB316</f>
        <v>2659</v>
      </c>
      <c r="AC652" s="445">
        <f t="shared" ref="AC652:AC657" si="24">+AC646+AC586+AC580+AC508+AC514+AC526+AC556+AC574+AC478+AC472+AC454+AC448+AC442+AC436+AC406+AC412+AC418+AC424+AC430+AC568+AC370+AC364+AC358+AC352+AC346+AC322+AC334+AC340+AC316</f>
        <v>2951</v>
      </c>
      <c r="AD652" s="445">
        <f t="shared" ref="AD652:AD657" si="25">AD310+AD646+AD586+AD580+AD508+AD514+AD526+AD556+AD574+AD478+AD472+AD454+AD448+AD442+AD436+AD406+AD412+AD418+AD424+AD430+AD568+AD370+AD364+AD358+AD352+AD346+AD322+AD334+AD340+AD316+AD592+AD628+AD544+AD550+AD520+AD460+AD466+AD376+AD382+AD388+AD394+AD400</f>
        <v>3242</v>
      </c>
      <c r="AE652" s="445">
        <f>AE310+AE646+AE586+AE580+AE508+AE514+AE526+AE556+AE574+AE478+AE472+AE454+AE448+AE442+AE436+AE406+AE412+AE418+AE424+AE430+AE568+AE370+AE364+AE358+AE352+AE346+AE322+AE334+AE340+AE316+AE592+AE628+AE544+AE550+AE520+AE460+AE466+AE376+AE382+AE388+AE394+AE400+AE328</f>
        <v>3540</v>
      </c>
      <c r="AF652" s="1252"/>
      <c r="AG652" s="1230"/>
      <c r="AH652" s="809"/>
      <c r="AI652" s="809"/>
      <c r="AJ652" s="792"/>
      <c r="AK652" s="872"/>
      <c r="AL652" s="788" t="s">
        <v>70</v>
      </c>
      <c r="AM652" s="810" t="s">
        <v>480</v>
      </c>
      <c r="AN652" s="805">
        <v>7804660</v>
      </c>
      <c r="AO652" s="783">
        <v>3721767</v>
      </c>
      <c r="AP652" s="783">
        <v>4082893</v>
      </c>
      <c r="AQ652" s="787" t="s">
        <v>317</v>
      </c>
      <c r="AR652" s="787" t="s">
        <v>317</v>
      </c>
      <c r="AS652" s="787" t="s">
        <v>317</v>
      </c>
      <c r="AT652" s="787" t="s">
        <v>317</v>
      </c>
      <c r="AU652" s="787" t="s">
        <v>317</v>
      </c>
      <c r="AV652" s="787" t="s">
        <v>317</v>
      </c>
      <c r="AW652" s="787" t="s">
        <v>317</v>
      </c>
      <c r="AX652" s="783">
        <v>7804660</v>
      </c>
      <c r="AY652" s="1214"/>
    </row>
    <row r="653" spans="1:51" ht="28.15" customHeight="1" x14ac:dyDescent="0.25">
      <c r="A653" s="1195"/>
      <c r="B653" s="833"/>
      <c r="C653" s="809"/>
      <c r="D653" s="132" t="s">
        <v>3</v>
      </c>
      <c r="E653" s="142"/>
      <c r="F653" s="143"/>
      <c r="G653" s="445">
        <v>34285000</v>
      </c>
      <c r="H653" s="445">
        <v>31336490</v>
      </c>
      <c r="I653" s="445">
        <v>34285000</v>
      </c>
      <c r="J653" s="445">
        <v>27200000</v>
      </c>
      <c r="K653" s="445">
        <f t="shared" si="15"/>
        <v>27200000</v>
      </c>
      <c r="L653" s="445">
        <f>L347+L647+L587+L581+L527+L479+L449+L443+L437+L371+L365+L359+L353</f>
        <v>29920000</v>
      </c>
      <c r="M653" s="445">
        <v>27200000</v>
      </c>
      <c r="N653" s="445">
        <f t="shared" si="16"/>
        <v>29920000</v>
      </c>
      <c r="O653" s="445">
        <f t="shared" si="17"/>
        <v>29920000.000000004</v>
      </c>
      <c r="P653" s="445">
        <v>29920000.000000004</v>
      </c>
      <c r="Q653" s="445">
        <f t="shared" si="18"/>
        <v>29920000</v>
      </c>
      <c r="R653" s="445">
        <f t="shared" ref="R653:R657" si="26">R311+R647+R587+R581+R509+R515+R527+R557+R575+R479+R473+R455+R449+R443+R437+R407+R413+R419+R425+R431+R569+R371+R365+R359+R353+R347+R323+R335+R341+R317+R593+R629+R545+R551+R521+R461+R467+R377+R383+R389+R395+R401+R329</f>
        <v>29919999.999999981</v>
      </c>
      <c r="S653" s="446"/>
      <c r="T653" s="445">
        <v>0</v>
      </c>
      <c r="U653" s="445">
        <v>27200000</v>
      </c>
      <c r="V653" s="445">
        <v>27200000</v>
      </c>
      <c r="W653" s="445">
        <v>27200000</v>
      </c>
      <c r="X653" s="445">
        <f t="shared" si="19"/>
        <v>27200000</v>
      </c>
      <c r="Y653" s="445">
        <f t="shared" si="20"/>
        <v>27200000</v>
      </c>
      <c r="Z653" s="445">
        <f t="shared" si="21"/>
        <v>27199999.999999996</v>
      </c>
      <c r="AA653" s="445">
        <f t="shared" si="22"/>
        <v>27200000</v>
      </c>
      <c r="AB653" s="445">
        <f t="shared" si="23"/>
        <v>27200000</v>
      </c>
      <c r="AC653" s="445">
        <f t="shared" si="24"/>
        <v>27200000</v>
      </c>
      <c r="AD653" s="445">
        <f t="shared" si="25"/>
        <v>27200000.000000004</v>
      </c>
      <c r="AE653" s="445">
        <f t="shared" ref="AE653:AE657" si="27">AE311+AE647+AE587+AE581+AE509+AE515+AE527+AE557+AE575+AE479+AE473+AE455+AE449+AE443+AE437+AE407+AE413+AE419+AE425+AE431+AE569+AE371+AE365+AE359+AE353+AE347+AE323+AE335+AE341+AE317+AE593+AE629+AE545+AE551+AE521+AE461+AE467+AE377+AE383+AE389+AE395+AE401+AE329</f>
        <v>29919999.999999981</v>
      </c>
      <c r="AF653" s="1252"/>
      <c r="AG653" s="1230"/>
      <c r="AH653" s="809"/>
      <c r="AI653" s="809"/>
      <c r="AJ653" s="793"/>
      <c r="AK653" s="873"/>
      <c r="AL653" s="789"/>
      <c r="AM653" s="810"/>
      <c r="AN653" s="805"/>
      <c r="AO653" s="784"/>
      <c r="AP653" s="784"/>
      <c r="AQ653" s="787"/>
      <c r="AR653" s="787"/>
      <c r="AS653" s="787"/>
      <c r="AT653" s="787"/>
      <c r="AU653" s="787"/>
      <c r="AV653" s="787"/>
      <c r="AW653" s="787"/>
      <c r="AX653" s="784"/>
      <c r="AY653" s="1214"/>
    </row>
    <row r="654" spans="1:51" ht="27" x14ac:dyDescent="0.25">
      <c r="A654" s="1195"/>
      <c r="B654" s="833"/>
      <c r="C654" s="809"/>
      <c r="D654" s="136" t="s">
        <v>42</v>
      </c>
      <c r="E654" s="142"/>
      <c r="F654" s="143"/>
      <c r="G654" s="445">
        <v>0</v>
      </c>
      <c r="H654" s="445">
        <v>0</v>
      </c>
      <c r="I654" s="445">
        <v>0</v>
      </c>
      <c r="J654" s="445">
        <v>0</v>
      </c>
      <c r="K654" s="445">
        <f t="shared" si="15"/>
        <v>0</v>
      </c>
      <c r="L654" s="445">
        <f>L348+L648+L588+L582+L528+L480+L450+L444+L438+L372+L366+L360+L354</f>
        <v>0</v>
      </c>
      <c r="M654" s="445">
        <v>0</v>
      </c>
      <c r="N654" s="445">
        <f t="shared" si="16"/>
        <v>0</v>
      </c>
      <c r="O654" s="445">
        <f t="shared" si="17"/>
        <v>0</v>
      </c>
      <c r="P654" s="445">
        <v>0</v>
      </c>
      <c r="Q654" s="445">
        <f t="shared" si="18"/>
        <v>0</v>
      </c>
      <c r="R654" s="445">
        <f t="shared" si="26"/>
        <v>881</v>
      </c>
      <c r="S654" s="446"/>
      <c r="T654" s="445">
        <v>0</v>
      </c>
      <c r="U654" s="445">
        <v>0</v>
      </c>
      <c r="V654" s="445">
        <v>0</v>
      </c>
      <c r="W654" s="445">
        <v>0</v>
      </c>
      <c r="X654" s="445">
        <f t="shared" si="19"/>
        <v>0</v>
      </c>
      <c r="Y654" s="445">
        <f t="shared" si="20"/>
        <v>0</v>
      </c>
      <c r="Z654" s="445">
        <f t="shared" si="21"/>
        <v>0</v>
      </c>
      <c r="AA654" s="445">
        <f t="shared" si="22"/>
        <v>0</v>
      </c>
      <c r="AB654" s="445">
        <f t="shared" si="23"/>
        <v>0</v>
      </c>
      <c r="AC654" s="445">
        <f t="shared" si="24"/>
        <v>0</v>
      </c>
      <c r="AD654" s="445">
        <f t="shared" si="25"/>
        <v>0</v>
      </c>
      <c r="AE654" s="445">
        <f t="shared" si="27"/>
        <v>881</v>
      </c>
      <c r="AF654" s="1252"/>
      <c r="AG654" s="1230"/>
      <c r="AH654" s="809"/>
      <c r="AI654" s="809"/>
      <c r="AJ654" s="793"/>
      <c r="AK654" s="873"/>
      <c r="AL654" s="789"/>
      <c r="AM654" s="810"/>
      <c r="AN654" s="805"/>
      <c r="AO654" s="784"/>
      <c r="AP654" s="784"/>
      <c r="AQ654" s="787"/>
      <c r="AR654" s="787"/>
      <c r="AS654" s="787"/>
      <c r="AT654" s="787"/>
      <c r="AU654" s="787"/>
      <c r="AV654" s="787"/>
      <c r="AW654" s="787"/>
      <c r="AX654" s="784"/>
      <c r="AY654" s="1214"/>
    </row>
    <row r="655" spans="1:51" ht="27" x14ac:dyDescent="0.25">
      <c r="A655" s="1195"/>
      <c r="B655" s="833"/>
      <c r="C655" s="809"/>
      <c r="D655" s="132" t="s">
        <v>4</v>
      </c>
      <c r="E655" s="142"/>
      <c r="F655" s="143"/>
      <c r="G655" s="445">
        <v>0</v>
      </c>
      <c r="H655" s="445">
        <v>0</v>
      </c>
      <c r="I655" s="445">
        <v>0</v>
      </c>
      <c r="J655" s="445">
        <v>0</v>
      </c>
      <c r="K655" s="445">
        <f t="shared" si="15"/>
        <v>0</v>
      </c>
      <c r="L655" s="445">
        <f>L349+L649+L589+L583+L529+L481+L451+L445+L439+L373+L367+L361+L355</f>
        <v>0</v>
      </c>
      <c r="M655" s="445">
        <v>0</v>
      </c>
      <c r="N655" s="445">
        <f t="shared" si="16"/>
        <v>0</v>
      </c>
      <c r="O655" s="445">
        <f t="shared" si="17"/>
        <v>0</v>
      </c>
      <c r="P655" s="445">
        <v>0</v>
      </c>
      <c r="Q655" s="445">
        <f t="shared" si="18"/>
        <v>0</v>
      </c>
      <c r="R655" s="445">
        <f t="shared" si="26"/>
        <v>7446192.0903954795</v>
      </c>
      <c r="S655" s="446"/>
      <c r="T655" s="445">
        <v>3718400</v>
      </c>
      <c r="U655" s="445">
        <v>3718400</v>
      </c>
      <c r="V655" s="445">
        <v>0</v>
      </c>
      <c r="W655" s="445">
        <v>0</v>
      </c>
      <c r="X655" s="445">
        <f t="shared" si="19"/>
        <v>0</v>
      </c>
      <c r="Y655" s="445">
        <f t="shared" si="20"/>
        <v>0</v>
      </c>
      <c r="Z655" s="445">
        <f t="shared" si="21"/>
        <v>0</v>
      </c>
      <c r="AA655" s="445">
        <f t="shared" si="22"/>
        <v>0</v>
      </c>
      <c r="AB655" s="445">
        <f t="shared" si="23"/>
        <v>0</v>
      </c>
      <c r="AC655" s="445">
        <f t="shared" si="24"/>
        <v>0</v>
      </c>
      <c r="AD655" s="445">
        <f t="shared" si="25"/>
        <v>0</v>
      </c>
      <c r="AE655" s="445">
        <f t="shared" si="27"/>
        <v>7446192.0903954795</v>
      </c>
      <c r="AF655" s="1252"/>
      <c r="AG655" s="1230"/>
      <c r="AH655" s="809"/>
      <c r="AI655" s="809"/>
      <c r="AJ655" s="793"/>
      <c r="AK655" s="873"/>
      <c r="AL655" s="789"/>
      <c r="AM655" s="810"/>
      <c r="AN655" s="805"/>
      <c r="AO655" s="784"/>
      <c r="AP655" s="784"/>
      <c r="AQ655" s="787"/>
      <c r="AR655" s="787"/>
      <c r="AS655" s="787"/>
      <c r="AT655" s="787"/>
      <c r="AU655" s="787"/>
      <c r="AV655" s="787"/>
      <c r="AW655" s="787"/>
      <c r="AX655" s="784"/>
      <c r="AY655" s="1214"/>
    </row>
    <row r="656" spans="1:51" ht="27" x14ac:dyDescent="0.25">
      <c r="A656" s="1195"/>
      <c r="B656" s="833"/>
      <c r="C656" s="809"/>
      <c r="D656" s="136" t="s">
        <v>43</v>
      </c>
      <c r="E656" s="142"/>
      <c r="F656" s="143"/>
      <c r="G656" s="445">
        <v>3500</v>
      </c>
      <c r="H656" s="445">
        <v>3199</v>
      </c>
      <c r="I656" s="445">
        <v>3500</v>
      </c>
      <c r="J656" s="445">
        <v>3500</v>
      </c>
      <c r="K656" s="445">
        <f t="shared" si="15"/>
        <v>3500</v>
      </c>
      <c r="L656" s="445">
        <f>L350+L650+L590+L584+L530+L482+L452+L446+L440+L374+L368+L362+L356</f>
        <v>3500</v>
      </c>
      <c r="M656" s="445">
        <v>3500</v>
      </c>
      <c r="N656" s="445">
        <f t="shared" si="16"/>
        <v>3500</v>
      </c>
      <c r="O656" s="445">
        <f t="shared" si="17"/>
        <v>3500</v>
      </c>
      <c r="P656" s="445">
        <v>3500</v>
      </c>
      <c r="Q656" s="445">
        <f t="shared" si="18"/>
        <v>3510</v>
      </c>
      <c r="R656" s="445">
        <f t="shared" si="26"/>
        <v>3540</v>
      </c>
      <c r="S656" s="446"/>
      <c r="T656" s="445">
        <v>246</v>
      </c>
      <c r="U656" s="445">
        <v>547</v>
      </c>
      <c r="V656" s="445">
        <v>843</v>
      </c>
      <c r="W656" s="445">
        <v>1143</v>
      </c>
      <c r="X656" s="445">
        <f t="shared" si="19"/>
        <v>1463</v>
      </c>
      <c r="Y656" s="445">
        <f t="shared" si="20"/>
        <v>1760</v>
      </c>
      <c r="Z656" s="445">
        <f t="shared" si="21"/>
        <v>2053</v>
      </c>
      <c r="AA656" s="445">
        <f t="shared" si="22"/>
        <v>2364</v>
      </c>
      <c r="AB656" s="445">
        <f t="shared" si="23"/>
        <v>2659</v>
      </c>
      <c r="AC656" s="445">
        <f t="shared" si="24"/>
        <v>2951</v>
      </c>
      <c r="AD656" s="445">
        <f t="shared" si="25"/>
        <v>3252</v>
      </c>
      <c r="AE656" s="445">
        <f t="shared" si="27"/>
        <v>3540</v>
      </c>
      <c r="AF656" s="1252"/>
      <c r="AG656" s="1230"/>
      <c r="AH656" s="809"/>
      <c r="AI656" s="809"/>
      <c r="AJ656" s="793"/>
      <c r="AK656" s="873"/>
      <c r="AL656" s="789"/>
      <c r="AM656" s="810"/>
      <c r="AN656" s="805"/>
      <c r="AO656" s="784"/>
      <c r="AP656" s="784"/>
      <c r="AQ656" s="787"/>
      <c r="AR656" s="787"/>
      <c r="AS656" s="787"/>
      <c r="AT656" s="787"/>
      <c r="AU656" s="787"/>
      <c r="AV656" s="787"/>
      <c r="AW656" s="787"/>
      <c r="AX656" s="784"/>
      <c r="AY656" s="1214"/>
    </row>
    <row r="657" spans="1:51" ht="27.75" thickBot="1" x14ac:dyDescent="0.3">
      <c r="A657" s="1196"/>
      <c r="B657" s="1193"/>
      <c r="C657" s="809"/>
      <c r="D657" s="140" t="s">
        <v>45</v>
      </c>
      <c r="E657" s="204"/>
      <c r="F657" s="205"/>
      <c r="G657" s="445">
        <v>34285000</v>
      </c>
      <c r="H657" s="445">
        <v>31336490</v>
      </c>
      <c r="I657" s="445">
        <v>34285000</v>
      </c>
      <c r="J657" s="445">
        <v>27200000</v>
      </c>
      <c r="K657" s="445">
        <f t="shared" si="15"/>
        <v>27200000</v>
      </c>
      <c r="L657" s="445">
        <f>L351+L651+L591+L585+L531+L483+L453+L447+L441+L375+L369+L363+L357</f>
        <v>29920000</v>
      </c>
      <c r="M657" s="445">
        <v>27200000</v>
      </c>
      <c r="N657" s="445">
        <f t="shared" si="16"/>
        <v>29920000</v>
      </c>
      <c r="O657" s="445">
        <f t="shared" si="17"/>
        <v>29920000.000000004</v>
      </c>
      <c r="P657" s="445">
        <v>29920000.000000004</v>
      </c>
      <c r="Q657" s="445">
        <f t="shared" si="18"/>
        <v>30005485.714285716</v>
      </c>
      <c r="R657" s="445">
        <f t="shared" si="26"/>
        <v>29919999.999999981</v>
      </c>
      <c r="S657" s="446"/>
      <c r="T657" s="445">
        <v>0</v>
      </c>
      <c r="U657" s="445">
        <v>27200000</v>
      </c>
      <c r="V657" s="445">
        <v>27200000</v>
      </c>
      <c r="W657" s="445">
        <v>27200000</v>
      </c>
      <c r="X657" s="445">
        <f t="shared" si="19"/>
        <v>27200000</v>
      </c>
      <c r="Y657" s="445">
        <f t="shared" si="20"/>
        <v>27200000</v>
      </c>
      <c r="Z657" s="445">
        <f t="shared" si="21"/>
        <v>27199999.999999996</v>
      </c>
      <c r="AA657" s="445">
        <f t="shared" si="22"/>
        <v>27200000</v>
      </c>
      <c r="AB657" s="445">
        <f t="shared" si="23"/>
        <v>27200000</v>
      </c>
      <c r="AC657" s="445">
        <f t="shared" si="24"/>
        <v>27200000</v>
      </c>
      <c r="AD657" s="445">
        <f t="shared" si="25"/>
        <v>27283898.827884026</v>
      </c>
      <c r="AE657" s="445">
        <f t="shared" si="27"/>
        <v>29919999.999999981</v>
      </c>
      <c r="AF657" s="1252"/>
      <c r="AG657" s="1230"/>
      <c r="AH657" s="809"/>
      <c r="AI657" s="809"/>
      <c r="AJ657" s="794"/>
      <c r="AK657" s="874"/>
      <c r="AL657" s="790"/>
      <c r="AM657" s="810"/>
      <c r="AN657" s="805"/>
      <c r="AO657" s="785"/>
      <c r="AP657" s="785"/>
      <c r="AQ657" s="787"/>
      <c r="AR657" s="787"/>
      <c r="AS657" s="787"/>
      <c r="AT657" s="787"/>
      <c r="AU657" s="787"/>
      <c r="AV657" s="787"/>
      <c r="AW657" s="787"/>
      <c r="AX657" s="785"/>
      <c r="AY657" s="1214"/>
    </row>
    <row r="658" spans="1:51" ht="18" customHeight="1" x14ac:dyDescent="0.25">
      <c r="A658" s="1194">
        <v>4</v>
      </c>
      <c r="B658" s="1190" t="s">
        <v>291</v>
      </c>
      <c r="C658" s="871" t="s">
        <v>540</v>
      </c>
      <c r="D658" s="141" t="s">
        <v>41</v>
      </c>
      <c r="E658" s="204">
        <v>0.2</v>
      </c>
      <c r="F658" s="206">
        <v>0.2</v>
      </c>
      <c r="G658" s="459">
        <v>0.2</v>
      </c>
      <c r="H658" s="445">
        <v>0.2</v>
      </c>
      <c r="I658" s="445">
        <v>0.2</v>
      </c>
      <c r="J658" s="445">
        <v>0.19</v>
      </c>
      <c r="K658" s="445">
        <v>0.19</v>
      </c>
      <c r="L658" s="445">
        <f>+INVERSIÓN!BD31</f>
        <v>0.2</v>
      </c>
      <c r="M658" s="459">
        <v>0.19</v>
      </c>
      <c r="N658" s="455">
        <v>0.2</v>
      </c>
      <c r="O658" s="445">
        <v>0.2</v>
      </c>
      <c r="P658" s="445">
        <v>0.2</v>
      </c>
      <c r="Q658" s="445">
        <v>0.2</v>
      </c>
      <c r="R658" s="447">
        <v>0.2</v>
      </c>
      <c r="S658" s="1253" t="s">
        <v>309</v>
      </c>
      <c r="T658" s="454">
        <v>0.06</v>
      </c>
      <c r="U658" s="454">
        <v>0.09</v>
      </c>
      <c r="V658" s="454">
        <v>0.1</v>
      </c>
      <c r="W658" s="454">
        <v>0.11</v>
      </c>
      <c r="X658" s="454">
        <v>0.11999999999999998</v>
      </c>
      <c r="Y658" s="454">
        <v>0.13</v>
      </c>
      <c r="Z658" s="454">
        <v>0.15000000000000002</v>
      </c>
      <c r="AA658" s="455">
        <v>0.16</v>
      </c>
      <c r="AB658" s="1254">
        <v>0.17</v>
      </c>
      <c r="AC658" s="1255">
        <v>0.18</v>
      </c>
      <c r="AD658" s="445">
        <v>0.19</v>
      </c>
      <c r="AE658" s="1235">
        <v>0.2</v>
      </c>
      <c r="AF658" s="1256" t="s">
        <v>1027</v>
      </c>
      <c r="AG658" s="1257" t="s">
        <v>541</v>
      </c>
      <c r="AH658" s="810" t="s">
        <v>70</v>
      </c>
      <c r="AI658" s="810" t="s">
        <v>70</v>
      </c>
      <c r="AJ658" s="810" t="s">
        <v>70</v>
      </c>
      <c r="AK658" s="809" t="s">
        <v>315</v>
      </c>
      <c r="AL658" s="788" t="s">
        <v>70</v>
      </c>
      <c r="AM658" s="810" t="s">
        <v>480</v>
      </c>
      <c r="AN658" s="805">
        <v>7804660</v>
      </c>
      <c r="AO658" s="783">
        <v>3721767</v>
      </c>
      <c r="AP658" s="783">
        <v>4082893</v>
      </c>
      <c r="AQ658" s="787" t="s">
        <v>317</v>
      </c>
      <c r="AR658" s="1258" t="s">
        <v>542</v>
      </c>
      <c r="AS658" s="1258">
        <v>58</v>
      </c>
      <c r="AT658" s="786" t="s">
        <v>543</v>
      </c>
      <c r="AU658" s="802" t="s">
        <v>1148</v>
      </c>
      <c r="AV658" s="787" t="s">
        <v>317</v>
      </c>
      <c r="AW658" s="787" t="s">
        <v>317</v>
      </c>
      <c r="AX658" s="783">
        <v>7804660</v>
      </c>
      <c r="AY658" s="1259" t="s">
        <v>1149</v>
      </c>
    </row>
    <row r="659" spans="1:51" ht="18" x14ac:dyDescent="0.25">
      <c r="A659" s="1195"/>
      <c r="B659" s="833"/>
      <c r="C659" s="871"/>
      <c r="D659" s="132" t="s">
        <v>3</v>
      </c>
      <c r="E659" s="204">
        <v>68299000</v>
      </c>
      <c r="F659" s="206">
        <v>68299000</v>
      </c>
      <c r="G659" s="459">
        <v>68299000</v>
      </c>
      <c r="H659" s="445">
        <v>68299000</v>
      </c>
      <c r="I659" s="445">
        <v>68299000</v>
      </c>
      <c r="J659" s="445">
        <v>67897116</v>
      </c>
      <c r="K659" s="456">
        <v>64664000</v>
      </c>
      <c r="L659" s="445">
        <f>+INVERSIÓN!BD32</f>
        <v>76788500</v>
      </c>
      <c r="M659" s="459">
        <v>64664000</v>
      </c>
      <c r="N659" s="455">
        <v>76788500</v>
      </c>
      <c r="O659" s="455">
        <v>76788500</v>
      </c>
      <c r="P659" s="445">
        <v>76788500</v>
      </c>
      <c r="Q659" s="456">
        <v>76788500</v>
      </c>
      <c r="R659" s="447">
        <v>76788500</v>
      </c>
      <c r="S659" s="1260"/>
      <c r="T659" s="454">
        <v>0</v>
      </c>
      <c r="U659" s="454">
        <v>0</v>
      </c>
      <c r="V659" s="454">
        <v>64664000</v>
      </c>
      <c r="W659" s="454">
        <v>64664000</v>
      </c>
      <c r="X659" s="457">
        <v>64664000</v>
      </c>
      <c r="Y659" s="454">
        <v>64664000</v>
      </c>
      <c r="Z659" s="454">
        <v>64664000</v>
      </c>
      <c r="AA659" s="455">
        <v>64664000</v>
      </c>
      <c r="AB659" s="1254">
        <v>64664000</v>
      </c>
      <c r="AC659" s="1225">
        <v>64664000</v>
      </c>
      <c r="AD659" s="456">
        <v>76788500</v>
      </c>
      <c r="AE659" s="1238">
        <v>76788500</v>
      </c>
      <c r="AF659" s="1261"/>
      <c r="AG659" s="1257"/>
      <c r="AH659" s="810"/>
      <c r="AI659" s="810"/>
      <c r="AJ659" s="810"/>
      <c r="AK659" s="809"/>
      <c r="AL659" s="789"/>
      <c r="AM659" s="810"/>
      <c r="AN659" s="805"/>
      <c r="AO659" s="784"/>
      <c r="AP659" s="784"/>
      <c r="AQ659" s="787"/>
      <c r="AR659" s="1262"/>
      <c r="AS659" s="1262"/>
      <c r="AT659" s="786"/>
      <c r="AU659" s="803"/>
      <c r="AV659" s="787"/>
      <c r="AW659" s="787"/>
      <c r="AX659" s="784"/>
      <c r="AY659" s="1263"/>
    </row>
    <row r="660" spans="1:51" ht="27" x14ac:dyDescent="0.25">
      <c r="A660" s="1195"/>
      <c r="B660" s="833"/>
      <c r="C660" s="871"/>
      <c r="D660" s="136" t="s">
        <v>42</v>
      </c>
      <c r="E660" s="204" t="e">
        <v>#REF!</v>
      </c>
      <c r="F660" s="206" t="e">
        <v>#REF!</v>
      </c>
      <c r="G660" s="459">
        <v>0</v>
      </c>
      <c r="H660" s="445">
        <v>0</v>
      </c>
      <c r="I660" s="445">
        <v>0</v>
      </c>
      <c r="J660" s="445">
        <v>0</v>
      </c>
      <c r="K660" s="456">
        <v>0</v>
      </c>
      <c r="L660" s="456"/>
      <c r="M660" s="459"/>
      <c r="N660" s="455"/>
      <c r="O660" s="455"/>
      <c r="P660" s="445"/>
      <c r="Q660" s="456"/>
      <c r="R660" s="447"/>
      <c r="S660" s="1260"/>
      <c r="T660" s="454">
        <v>0</v>
      </c>
      <c r="U660" s="454">
        <v>0</v>
      </c>
      <c r="V660" s="454">
        <v>0</v>
      </c>
      <c r="W660" s="454">
        <v>0</v>
      </c>
      <c r="X660" s="457">
        <v>0</v>
      </c>
      <c r="Y660" s="457"/>
      <c r="Z660" s="454">
        <v>0</v>
      </c>
      <c r="AA660" s="455">
        <v>0</v>
      </c>
      <c r="AB660" s="455">
        <v>0</v>
      </c>
      <c r="AC660" s="1225">
        <v>0</v>
      </c>
      <c r="AD660" s="456"/>
      <c r="AE660" s="1238"/>
      <c r="AF660" s="1261"/>
      <c r="AG660" s="1257"/>
      <c r="AH660" s="810"/>
      <c r="AI660" s="810"/>
      <c r="AJ660" s="810"/>
      <c r="AK660" s="809"/>
      <c r="AL660" s="789"/>
      <c r="AM660" s="810"/>
      <c r="AN660" s="805"/>
      <c r="AO660" s="784"/>
      <c r="AP660" s="784"/>
      <c r="AQ660" s="787"/>
      <c r="AR660" s="1262"/>
      <c r="AS660" s="1262"/>
      <c r="AT660" s="786"/>
      <c r="AU660" s="803"/>
      <c r="AV660" s="787"/>
      <c r="AW660" s="787"/>
      <c r="AX660" s="784"/>
      <c r="AY660" s="1263"/>
    </row>
    <row r="661" spans="1:51" ht="19.149999999999999" customHeight="1" x14ac:dyDescent="0.25">
      <c r="A661" s="1195"/>
      <c r="B661" s="833"/>
      <c r="C661" s="871"/>
      <c r="D661" s="132" t="s">
        <v>4</v>
      </c>
      <c r="E661" s="204">
        <v>25242234</v>
      </c>
      <c r="F661" s="206">
        <v>25242234</v>
      </c>
      <c r="G661" s="459">
        <v>25242234</v>
      </c>
      <c r="H661" s="445">
        <v>25242234</v>
      </c>
      <c r="I661" s="445">
        <v>25242234</v>
      </c>
      <c r="J661" s="445">
        <v>25242234</v>
      </c>
      <c r="K661" s="456">
        <v>25242234</v>
      </c>
      <c r="L661" s="456">
        <f>+INVERSIÓN!BD35</f>
        <v>25242234</v>
      </c>
      <c r="M661" s="459">
        <v>25242234</v>
      </c>
      <c r="N661" s="455">
        <v>25242234</v>
      </c>
      <c r="O661" s="455">
        <v>25242234</v>
      </c>
      <c r="P661" s="445">
        <v>25242234</v>
      </c>
      <c r="Q661" s="456">
        <v>25242234</v>
      </c>
      <c r="R661" s="447">
        <v>25242234</v>
      </c>
      <c r="S661" s="1260"/>
      <c r="T661" s="454">
        <v>7079600</v>
      </c>
      <c r="U661" s="454">
        <v>16193367</v>
      </c>
      <c r="V661" s="454">
        <v>25242234</v>
      </c>
      <c r="W661" s="454">
        <v>25242234</v>
      </c>
      <c r="X661" s="457">
        <v>25242234</v>
      </c>
      <c r="Y661" s="457">
        <v>25242234</v>
      </c>
      <c r="Z661" s="454">
        <v>25242234</v>
      </c>
      <c r="AA661" s="455">
        <v>25242234</v>
      </c>
      <c r="AB661" s="455">
        <v>25242234</v>
      </c>
      <c r="AC661" s="1225">
        <v>25242234</v>
      </c>
      <c r="AD661" s="456">
        <v>25242234</v>
      </c>
      <c r="AE661" s="1238">
        <v>25242234</v>
      </c>
      <c r="AF661" s="1261"/>
      <c r="AG661" s="1257"/>
      <c r="AH661" s="810"/>
      <c r="AI661" s="810"/>
      <c r="AJ661" s="810"/>
      <c r="AK661" s="809"/>
      <c r="AL661" s="789"/>
      <c r="AM661" s="810"/>
      <c r="AN661" s="805"/>
      <c r="AO661" s="784"/>
      <c r="AP661" s="784"/>
      <c r="AQ661" s="787"/>
      <c r="AR661" s="1262"/>
      <c r="AS661" s="1262"/>
      <c r="AT661" s="786"/>
      <c r="AU661" s="803"/>
      <c r="AV661" s="787"/>
      <c r="AW661" s="787"/>
      <c r="AX661" s="784"/>
      <c r="AY661" s="1263"/>
    </row>
    <row r="662" spans="1:51" ht="27" x14ac:dyDescent="0.25">
      <c r="A662" s="1195"/>
      <c r="B662" s="833"/>
      <c r="C662" s="871"/>
      <c r="D662" s="136" t="s">
        <v>43</v>
      </c>
      <c r="E662" s="204">
        <v>0.2</v>
      </c>
      <c r="F662" s="206">
        <v>0.2</v>
      </c>
      <c r="G662" s="459">
        <v>0.2</v>
      </c>
      <c r="H662" s="445">
        <v>0.2</v>
      </c>
      <c r="I662" s="445">
        <v>0.2</v>
      </c>
      <c r="J662" s="445">
        <v>0.2</v>
      </c>
      <c r="K662" s="445">
        <v>0.19</v>
      </c>
      <c r="L662" s="1264">
        <f>+INVERSIÓN!BD36</f>
        <v>0.2</v>
      </c>
      <c r="M662" s="459">
        <v>0.19</v>
      </c>
      <c r="N662" s="455">
        <v>0.2</v>
      </c>
      <c r="O662" s="455">
        <v>0.2</v>
      </c>
      <c r="P662" s="445">
        <v>0.2</v>
      </c>
      <c r="Q662" s="445">
        <v>0.2</v>
      </c>
      <c r="R662" s="447">
        <v>0.2</v>
      </c>
      <c r="S662" s="1260"/>
      <c r="T662" s="454">
        <v>0.06</v>
      </c>
      <c r="U662" s="454">
        <v>0.09</v>
      </c>
      <c r="V662" s="454">
        <v>0.1</v>
      </c>
      <c r="W662" s="454">
        <v>0.11</v>
      </c>
      <c r="X662" s="447">
        <v>0.12</v>
      </c>
      <c r="Y662" s="457">
        <v>0.13</v>
      </c>
      <c r="Z662" s="454">
        <v>0.15000000000000002</v>
      </c>
      <c r="AA662" s="455">
        <v>0.16</v>
      </c>
      <c r="AB662" s="1254">
        <v>0.17</v>
      </c>
      <c r="AC662" s="1265">
        <v>0.18</v>
      </c>
      <c r="AD662" s="445">
        <v>0.19</v>
      </c>
      <c r="AE662" s="1266">
        <v>0.2</v>
      </c>
      <c r="AF662" s="1261"/>
      <c r="AG662" s="1257"/>
      <c r="AH662" s="810"/>
      <c r="AI662" s="810"/>
      <c r="AJ662" s="810"/>
      <c r="AK662" s="809"/>
      <c r="AL662" s="789"/>
      <c r="AM662" s="810"/>
      <c r="AN662" s="805"/>
      <c r="AO662" s="784"/>
      <c r="AP662" s="784"/>
      <c r="AQ662" s="787"/>
      <c r="AR662" s="1262"/>
      <c r="AS662" s="1262"/>
      <c r="AT662" s="786"/>
      <c r="AU662" s="803"/>
      <c r="AV662" s="787"/>
      <c r="AW662" s="787"/>
      <c r="AX662" s="784"/>
      <c r="AY662" s="1263"/>
    </row>
    <row r="663" spans="1:51" ht="27.75" thickBot="1" x14ac:dyDescent="0.3">
      <c r="A663" s="1195"/>
      <c r="B663" s="833"/>
      <c r="C663" s="871"/>
      <c r="D663" s="140" t="s">
        <v>45</v>
      </c>
      <c r="E663" s="204">
        <v>93541234</v>
      </c>
      <c r="F663" s="206">
        <v>93541234</v>
      </c>
      <c r="G663" s="459">
        <v>93541234</v>
      </c>
      <c r="H663" s="445">
        <v>93541234</v>
      </c>
      <c r="I663" s="445">
        <v>93541234</v>
      </c>
      <c r="J663" s="445">
        <v>93139350</v>
      </c>
      <c r="K663" s="458">
        <v>89906234</v>
      </c>
      <c r="L663" s="456">
        <f>+INVERSIÓN!BD37</f>
        <v>102030734</v>
      </c>
      <c r="M663" s="459">
        <v>89906234</v>
      </c>
      <c r="N663" s="455">
        <f>+N659+N661</f>
        <v>102030734</v>
      </c>
      <c r="O663" s="455">
        <f>+O659+O661</f>
        <v>102030734</v>
      </c>
      <c r="P663" s="455">
        <f>+P659+P661</f>
        <v>102030734</v>
      </c>
      <c r="Q663" s="458">
        <v>102030734</v>
      </c>
      <c r="R663" s="447">
        <v>102030734</v>
      </c>
      <c r="S663" s="1267"/>
      <c r="T663" s="454">
        <v>7079600</v>
      </c>
      <c r="U663" s="454">
        <v>16193367</v>
      </c>
      <c r="V663" s="454">
        <v>89906234</v>
      </c>
      <c r="W663" s="454">
        <v>89906234</v>
      </c>
      <c r="X663" s="454">
        <v>89906234</v>
      </c>
      <c r="Y663" s="457">
        <v>89906234</v>
      </c>
      <c r="Z663" s="454">
        <v>89906234</v>
      </c>
      <c r="AA663" s="455">
        <f>+AA659+AA661</f>
        <v>89906234</v>
      </c>
      <c r="AB663" s="455">
        <f>+AB659+AB661</f>
        <v>89906234</v>
      </c>
      <c r="AC663" s="455">
        <f>+AC659+AC661</f>
        <v>89906234</v>
      </c>
      <c r="AD663" s="458">
        <f>+AD659+AD661</f>
        <v>102030734</v>
      </c>
      <c r="AE663" s="1238">
        <v>102030734</v>
      </c>
      <c r="AF663" s="1261"/>
      <c r="AG663" s="1257"/>
      <c r="AH663" s="810"/>
      <c r="AI663" s="810"/>
      <c r="AJ663" s="810"/>
      <c r="AK663" s="809"/>
      <c r="AL663" s="790"/>
      <c r="AM663" s="810"/>
      <c r="AN663" s="805"/>
      <c r="AO663" s="785"/>
      <c r="AP663" s="785"/>
      <c r="AQ663" s="787"/>
      <c r="AR663" s="1268"/>
      <c r="AS663" s="1268"/>
      <c r="AT663" s="786"/>
      <c r="AU663" s="804"/>
      <c r="AV663" s="787"/>
      <c r="AW663" s="787"/>
      <c r="AX663" s="785"/>
      <c r="AY663" s="1269"/>
    </row>
    <row r="664" spans="1:51" ht="18" customHeight="1" x14ac:dyDescent="0.25">
      <c r="A664" s="1195"/>
      <c r="B664" s="833"/>
      <c r="C664" s="809" t="s">
        <v>410</v>
      </c>
      <c r="D664" s="141" t="s">
        <v>41</v>
      </c>
      <c r="E664" s="204">
        <v>0.2</v>
      </c>
      <c r="F664" s="206">
        <v>0.2</v>
      </c>
      <c r="G664" s="459">
        <v>0.2</v>
      </c>
      <c r="H664" s="459">
        <v>0.2</v>
      </c>
      <c r="I664" s="459">
        <v>0.2</v>
      </c>
      <c r="J664" s="459">
        <v>0.19</v>
      </c>
      <c r="K664" s="459">
        <f t="shared" ref="K664:N664" si="28">+K658</f>
        <v>0.19</v>
      </c>
      <c r="L664" s="459">
        <f t="shared" si="28"/>
        <v>0.2</v>
      </c>
      <c r="M664" s="459">
        <f t="shared" si="28"/>
        <v>0.19</v>
      </c>
      <c r="N664" s="459">
        <f t="shared" si="28"/>
        <v>0.2</v>
      </c>
      <c r="O664" s="445">
        <f>+O658</f>
        <v>0.2</v>
      </c>
      <c r="P664" s="445">
        <v>0.2</v>
      </c>
      <c r="Q664" s="445">
        <f>+Q658</f>
        <v>0.2</v>
      </c>
      <c r="R664" s="445">
        <f>+R658</f>
        <v>0.2</v>
      </c>
      <c r="S664" s="450"/>
      <c r="T664" s="450">
        <v>0.06</v>
      </c>
      <c r="U664" s="450">
        <v>0.09</v>
      </c>
      <c r="V664" s="450">
        <v>0.1</v>
      </c>
      <c r="W664" s="446">
        <v>0.11</v>
      </c>
      <c r="X664" s="450">
        <f t="shared" ref="X664:AA664" si="29">+X658</f>
        <v>0.11999999999999998</v>
      </c>
      <c r="Y664" s="450">
        <f t="shared" si="29"/>
        <v>0.13</v>
      </c>
      <c r="Z664" s="450">
        <f t="shared" si="29"/>
        <v>0.15000000000000002</v>
      </c>
      <c r="AA664" s="450">
        <f t="shared" si="29"/>
        <v>0.16</v>
      </c>
      <c r="AB664" s="1265">
        <f>+AB658</f>
        <v>0.17</v>
      </c>
      <c r="AC664" s="1265">
        <v>0.18</v>
      </c>
      <c r="AD664" s="445">
        <f>+AD658</f>
        <v>0.19</v>
      </c>
      <c r="AE664" s="445">
        <f>+AE658</f>
        <v>0.2</v>
      </c>
      <c r="AF664" s="1261"/>
      <c r="AG664" s="1257" t="s">
        <v>541</v>
      </c>
      <c r="AH664" s="810" t="s">
        <v>70</v>
      </c>
      <c r="AI664" s="810" t="s">
        <v>70</v>
      </c>
      <c r="AJ664" s="810" t="s">
        <v>70</v>
      </c>
      <c r="AK664" s="809" t="s">
        <v>315</v>
      </c>
      <c r="AL664" s="810"/>
      <c r="AM664" s="810" t="s">
        <v>480</v>
      </c>
      <c r="AN664" s="805">
        <v>7804660</v>
      </c>
      <c r="AO664" s="783">
        <v>3721767</v>
      </c>
      <c r="AP664" s="783">
        <v>4082893</v>
      </c>
      <c r="AQ664" s="787" t="s">
        <v>317</v>
      </c>
      <c r="AR664" s="787" t="s">
        <v>317</v>
      </c>
      <c r="AS664" s="787" t="s">
        <v>317</v>
      </c>
      <c r="AT664" s="787" t="s">
        <v>317</v>
      </c>
      <c r="AU664" s="787" t="s">
        <v>317</v>
      </c>
      <c r="AV664" s="787" t="s">
        <v>317</v>
      </c>
      <c r="AW664" s="787" t="s">
        <v>317</v>
      </c>
      <c r="AX664" s="783">
        <v>7804660</v>
      </c>
      <c r="AY664" s="1214"/>
    </row>
    <row r="665" spans="1:51" ht="18" x14ac:dyDescent="0.25">
      <c r="A665" s="1195"/>
      <c r="B665" s="833"/>
      <c r="C665" s="809"/>
      <c r="D665" s="132" t="s">
        <v>3</v>
      </c>
      <c r="E665" s="204">
        <v>68299000</v>
      </c>
      <c r="F665" s="206">
        <v>68299000</v>
      </c>
      <c r="G665" s="459">
        <v>68299000</v>
      </c>
      <c r="H665" s="459">
        <v>68299000</v>
      </c>
      <c r="I665" s="459">
        <v>68299000</v>
      </c>
      <c r="J665" s="459">
        <v>67897116</v>
      </c>
      <c r="K665" s="459">
        <f t="shared" ref="K665:O669" si="30">+K659</f>
        <v>64664000</v>
      </c>
      <c r="L665" s="459">
        <f t="shared" si="30"/>
        <v>76788500</v>
      </c>
      <c r="M665" s="459">
        <f t="shared" si="30"/>
        <v>64664000</v>
      </c>
      <c r="N665" s="459">
        <f t="shared" si="30"/>
        <v>76788500</v>
      </c>
      <c r="O665" s="445">
        <f t="shared" si="30"/>
        <v>76788500</v>
      </c>
      <c r="P665" s="445"/>
      <c r="Q665" s="445">
        <f t="shared" ref="Q665:R669" si="31">+Q659</f>
        <v>76788500</v>
      </c>
      <c r="R665" s="445">
        <f t="shared" si="31"/>
        <v>76788500</v>
      </c>
      <c r="S665" s="450"/>
      <c r="T665" s="450">
        <v>0</v>
      </c>
      <c r="U665" s="450">
        <v>0</v>
      </c>
      <c r="V665" s="450">
        <v>64664000</v>
      </c>
      <c r="W665" s="450">
        <v>0.11</v>
      </c>
      <c r="X665" s="450">
        <f t="shared" ref="X665:AB669" si="32">+X659</f>
        <v>64664000</v>
      </c>
      <c r="Y665" s="450">
        <f t="shared" si="32"/>
        <v>64664000</v>
      </c>
      <c r="Z665" s="450">
        <f t="shared" si="32"/>
        <v>64664000</v>
      </c>
      <c r="AA665" s="450">
        <f t="shared" si="32"/>
        <v>64664000</v>
      </c>
      <c r="AB665" s="1265">
        <f t="shared" si="32"/>
        <v>64664000</v>
      </c>
      <c r="AC665" s="1225"/>
      <c r="AD665" s="445">
        <f t="shared" ref="AD665:AE669" si="33">+AD659</f>
        <v>76788500</v>
      </c>
      <c r="AE665" s="445">
        <f t="shared" si="33"/>
        <v>76788500</v>
      </c>
      <c r="AF665" s="1261"/>
      <c r="AG665" s="1257"/>
      <c r="AH665" s="810"/>
      <c r="AI665" s="810"/>
      <c r="AJ665" s="810"/>
      <c r="AK665" s="809"/>
      <c r="AL665" s="810"/>
      <c r="AM665" s="810"/>
      <c r="AN665" s="805"/>
      <c r="AO665" s="784"/>
      <c r="AP665" s="784"/>
      <c r="AQ665" s="787"/>
      <c r="AR665" s="787"/>
      <c r="AS665" s="787"/>
      <c r="AT665" s="787"/>
      <c r="AU665" s="787"/>
      <c r="AV665" s="787"/>
      <c r="AW665" s="787"/>
      <c r="AX665" s="784"/>
      <c r="AY665" s="1214"/>
    </row>
    <row r="666" spans="1:51" ht="27" x14ac:dyDescent="0.25">
      <c r="A666" s="1195"/>
      <c r="B666" s="833"/>
      <c r="C666" s="809"/>
      <c r="D666" s="136" t="s">
        <v>42</v>
      </c>
      <c r="E666" s="204" t="e">
        <v>#REF!</v>
      </c>
      <c r="F666" s="206" t="e">
        <v>#REF!</v>
      </c>
      <c r="G666" s="459">
        <v>0</v>
      </c>
      <c r="H666" s="459">
        <v>0</v>
      </c>
      <c r="I666" s="459">
        <v>0</v>
      </c>
      <c r="J666" s="459">
        <v>0</v>
      </c>
      <c r="K666" s="459">
        <f t="shared" si="30"/>
        <v>0</v>
      </c>
      <c r="L666" s="459">
        <f t="shared" si="30"/>
        <v>0</v>
      </c>
      <c r="M666" s="459">
        <f t="shared" si="30"/>
        <v>0</v>
      </c>
      <c r="N666" s="459">
        <f t="shared" si="30"/>
        <v>0</v>
      </c>
      <c r="O666" s="445">
        <f t="shared" si="30"/>
        <v>0</v>
      </c>
      <c r="P666" s="445"/>
      <c r="Q666" s="445">
        <f t="shared" si="31"/>
        <v>0</v>
      </c>
      <c r="R666" s="445">
        <f t="shared" si="31"/>
        <v>0</v>
      </c>
      <c r="S666" s="450"/>
      <c r="T666" s="450">
        <v>0</v>
      </c>
      <c r="U666" s="450">
        <v>0</v>
      </c>
      <c r="V666" s="450">
        <v>0</v>
      </c>
      <c r="W666" s="450">
        <v>64664000</v>
      </c>
      <c r="X666" s="450">
        <f t="shared" si="32"/>
        <v>0</v>
      </c>
      <c r="Y666" s="450">
        <f t="shared" si="32"/>
        <v>0</v>
      </c>
      <c r="Z666" s="450">
        <f t="shared" si="32"/>
        <v>0</v>
      </c>
      <c r="AA666" s="450">
        <f t="shared" si="32"/>
        <v>0</v>
      </c>
      <c r="AB666" s="1265">
        <f t="shared" si="32"/>
        <v>0</v>
      </c>
      <c r="AC666" s="1225"/>
      <c r="AD666" s="445">
        <f t="shared" si="33"/>
        <v>0</v>
      </c>
      <c r="AE666" s="445">
        <f t="shared" si="33"/>
        <v>0</v>
      </c>
      <c r="AF666" s="1261"/>
      <c r="AG666" s="1257"/>
      <c r="AH666" s="810"/>
      <c r="AI666" s="810"/>
      <c r="AJ666" s="810"/>
      <c r="AK666" s="809"/>
      <c r="AL666" s="810"/>
      <c r="AM666" s="810"/>
      <c r="AN666" s="805"/>
      <c r="AO666" s="784"/>
      <c r="AP666" s="784"/>
      <c r="AQ666" s="787"/>
      <c r="AR666" s="787"/>
      <c r="AS666" s="787"/>
      <c r="AT666" s="787"/>
      <c r="AU666" s="787"/>
      <c r="AV666" s="787"/>
      <c r="AW666" s="787"/>
      <c r="AX666" s="784"/>
      <c r="AY666" s="1214"/>
    </row>
    <row r="667" spans="1:51" ht="19.149999999999999" customHeight="1" x14ac:dyDescent="0.25">
      <c r="A667" s="1195"/>
      <c r="B667" s="833"/>
      <c r="C667" s="809"/>
      <c r="D667" s="132" t="s">
        <v>4</v>
      </c>
      <c r="E667" s="204">
        <v>25242234</v>
      </c>
      <c r="F667" s="206">
        <v>25242234</v>
      </c>
      <c r="G667" s="459">
        <v>25242234</v>
      </c>
      <c r="H667" s="459">
        <v>25242234</v>
      </c>
      <c r="I667" s="459">
        <v>25242234</v>
      </c>
      <c r="J667" s="459">
        <v>25242234</v>
      </c>
      <c r="K667" s="459">
        <f t="shared" si="30"/>
        <v>25242234</v>
      </c>
      <c r="L667" s="459">
        <f t="shared" si="30"/>
        <v>25242234</v>
      </c>
      <c r="M667" s="459">
        <f t="shared" si="30"/>
        <v>25242234</v>
      </c>
      <c r="N667" s="459">
        <f t="shared" si="30"/>
        <v>25242234</v>
      </c>
      <c r="O667" s="445">
        <f t="shared" si="30"/>
        <v>25242234</v>
      </c>
      <c r="P667" s="445"/>
      <c r="Q667" s="445">
        <f t="shared" si="31"/>
        <v>25242234</v>
      </c>
      <c r="R667" s="445">
        <f t="shared" si="31"/>
        <v>25242234</v>
      </c>
      <c r="S667" s="450"/>
      <c r="T667" s="450">
        <v>7079600</v>
      </c>
      <c r="U667" s="450">
        <v>16193367</v>
      </c>
      <c r="V667" s="450">
        <v>25242234</v>
      </c>
      <c r="W667" s="450">
        <v>0</v>
      </c>
      <c r="X667" s="450">
        <f t="shared" si="32"/>
        <v>25242234</v>
      </c>
      <c r="Y667" s="450">
        <f t="shared" si="32"/>
        <v>25242234</v>
      </c>
      <c r="Z667" s="450">
        <f t="shared" si="32"/>
        <v>25242234</v>
      </c>
      <c r="AA667" s="450">
        <f t="shared" si="32"/>
        <v>25242234</v>
      </c>
      <c r="AB667" s="1265">
        <f t="shared" si="32"/>
        <v>25242234</v>
      </c>
      <c r="AC667" s="1225"/>
      <c r="AD667" s="445">
        <f t="shared" si="33"/>
        <v>25242234</v>
      </c>
      <c r="AE667" s="445">
        <f t="shared" si="33"/>
        <v>25242234</v>
      </c>
      <c r="AF667" s="1261"/>
      <c r="AG667" s="1257"/>
      <c r="AH667" s="810"/>
      <c r="AI667" s="810"/>
      <c r="AJ667" s="810"/>
      <c r="AK667" s="809"/>
      <c r="AL667" s="810"/>
      <c r="AM667" s="810"/>
      <c r="AN667" s="805"/>
      <c r="AO667" s="784"/>
      <c r="AP667" s="784"/>
      <c r="AQ667" s="787"/>
      <c r="AR667" s="787"/>
      <c r="AS667" s="787"/>
      <c r="AT667" s="787"/>
      <c r="AU667" s="787"/>
      <c r="AV667" s="787"/>
      <c r="AW667" s="787"/>
      <c r="AX667" s="784"/>
      <c r="AY667" s="1214"/>
    </row>
    <row r="668" spans="1:51" ht="27" x14ac:dyDescent="0.25">
      <c r="A668" s="1195"/>
      <c r="B668" s="833"/>
      <c r="C668" s="809"/>
      <c r="D668" s="136" t="s">
        <v>43</v>
      </c>
      <c r="E668" s="204">
        <v>0.2</v>
      </c>
      <c r="F668" s="206">
        <v>0.2</v>
      </c>
      <c r="G668" s="459">
        <v>0.2</v>
      </c>
      <c r="H668" s="459">
        <v>0.2</v>
      </c>
      <c r="I668" s="459">
        <v>0.2</v>
      </c>
      <c r="J668" s="459">
        <v>0.2</v>
      </c>
      <c r="K668" s="459">
        <f t="shared" si="30"/>
        <v>0.19</v>
      </c>
      <c r="L668" s="459">
        <f t="shared" si="30"/>
        <v>0.2</v>
      </c>
      <c r="M668" s="459">
        <f t="shared" si="30"/>
        <v>0.19</v>
      </c>
      <c r="N668" s="459">
        <f t="shared" si="30"/>
        <v>0.2</v>
      </c>
      <c r="O668" s="445">
        <f t="shared" si="30"/>
        <v>0.2</v>
      </c>
      <c r="P668" s="445">
        <v>0.2</v>
      </c>
      <c r="Q668" s="445">
        <f t="shared" si="31"/>
        <v>0.2</v>
      </c>
      <c r="R668" s="445">
        <f t="shared" si="31"/>
        <v>0.2</v>
      </c>
      <c r="S668" s="450"/>
      <c r="T668" s="450">
        <v>0.06</v>
      </c>
      <c r="U668" s="450">
        <v>0.09</v>
      </c>
      <c r="V668" s="450">
        <v>0.1</v>
      </c>
      <c r="W668" s="450">
        <v>25242234</v>
      </c>
      <c r="X668" s="450">
        <f t="shared" si="32"/>
        <v>0.12</v>
      </c>
      <c r="Y668" s="450">
        <f t="shared" si="32"/>
        <v>0.13</v>
      </c>
      <c r="Z668" s="450">
        <f t="shared" si="32"/>
        <v>0.15000000000000002</v>
      </c>
      <c r="AA668" s="450">
        <f t="shared" si="32"/>
        <v>0.16</v>
      </c>
      <c r="AB668" s="1265">
        <f t="shared" si="32"/>
        <v>0.17</v>
      </c>
      <c r="AC668" s="1265">
        <v>0.18</v>
      </c>
      <c r="AD668" s="445">
        <f t="shared" si="33"/>
        <v>0.19</v>
      </c>
      <c r="AE668" s="445">
        <f t="shared" si="33"/>
        <v>0.2</v>
      </c>
      <c r="AF668" s="1261"/>
      <c r="AG668" s="1257"/>
      <c r="AH668" s="810"/>
      <c r="AI668" s="810"/>
      <c r="AJ668" s="810"/>
      <c r="AK668" s="809"/>
      <c r="AL668" s="810"/>
      <c r="AM668" s="810"/>
      <c r="AN668" s="805"/>
      <c r="AO668" s="784"/>
      <c r="AP668" s="784"/>
      <c r="AQ668" s="787"/>
      <c r="AR668" s="787"/>
      <c r="AS668" s="787"/>
      <c r="AT668" s="787"/>
      <c r="AU668" s="787"/>
      <c r="AV668" s="787"/>
      <c r="AW668" s="787"/>
      <c r="AX668" s="784"/>
      <c r="AY668" s="1214"/>
    </row>
    <row r="669" spans="1:51" ht="27.75" thickBot="1" x14ac:dyDescent="0.3">
      <c r="A669" s="1196"/>
      <c r="B669" s="1193"/>
      <c r="C669" s="809"/>
      <c r="D669" s="140" t="s">
        <v>45</v>
      </c>
      <c r="E669" s="204">
        <v>93541234</v>
      </c>
      <c r="F669" s="206">
        <v>93541234</v>
      </c>
      <c r="G669" s="459">
        <v>93541234</v>
      </c>
      <c r="H669" s="459">
        <v>93541234</v>
      </c>
      <c r="I669" s="459">
        <v>93541234</v>
      </c>
      <c r="J669" s="459">
        <v>93139350</v>
      </c>
      <c r="K669" s="459">
        <f t="shared" si="30"/>
        <v>89906234</v>
      </c>
      <c r="L669" s="459">
        <f t="shared" si="30"/>
        <v>102030734</v>
      </c>
      <c r="M669" s="459">
        <f t="shared" si="30"/>
        <v>89906234</v>
      </c>
      <c r="N669" s="459">
        <f t="shared" si="30"/>
        <v>102030734</v>
      </c>
      <c r="O669" s="445">
        <f t="shared" si="30"/>
        <v>102030734</v>
      </c>
      <c r="P669" s="445"/>
      <c r="Q669" s="445">
        <f t="shared" si="31"/>
        <v>102030734</v>
      </c>
      <c r="R669" s="445">
        <f t="shared" si="31"/>
        <v>102030734</v>
      </c>
      <c r="S669" s="450"/>
      <c r="T669" s="450">
        <v>7079600</v>
      </c>
      <c r="U669" s="450">
        <v>16193367</v>
      </c>
      <c r="V669" s="450">
        <v>89906234</v>
      </c>
      <c r="W669" s="450">
        <v>0.11</v>
      </c>
      <c r="X669" s="450">
        <f t="shared" si="32"/>
        <v>89906234</v>
      </c>
      <c r="Y669" s="450">
        <f t="shared" si="32"/>
        <v>89906234</v>
      </c>
      <c r="Z669" s="450">
        <f t="shared" si="32"/>
        <v>89906234</v>
      </c>
      <c r="AA669" s="450">
        <f t="shared" si="32"/>
        <v>89906234</v>
      </c>
      <c r="AB669" s="1265">
        <f t="shared" si="32"/>
        <v>89906234</v>
      </c>
      <c r="AC669" s="1225"/>
      <c r="AD669" s="445">
        <f t="shared" si="33"/>
        <v>102030734</v>
      </c>
      <c r="AE669" s="445">
        <f t="shared" si="33"/>
        <v>102030734</v>
      </c>
      <c r="AF669" s="1270"/>
      <c r="AG669" s="1257"/>
      <c r="AH669" s="810"/>
      <c r="AI669" s="810"/>
      <c r="AJ669" s="810"/>
      <c r="AK669" s="809"/>
      <c r="AL669" s="810"/>
      <c r="AM669" s="810"/>
      <c r="AN669" s="805"/>
      <c r="AO669" s="785"/>
      <c r="AP669" s="785"/>
      <c r="AQ669" s="787"/>
      <c r="AR669" s="787"/>
      <c r="AS669" s="787"/>
      <c r="AT669" s="787"/>
      <c r="AU669" s="787"/>
      <c r="AV669" s="787"/>
      <c r="AW669" s="787"/>
      <c r="AX669" s="785"/>
      <c r="AY669" s="1214"/>
    </row>
    <row r="670" spans="1:51" ht="26.45" customHeight="1" x14ac:dyDescent="0.25">
      <c r="A670" s="1194">
        <v>5</v>
      </c>
      <c r="B670" s="1190" t="s">
        <v>293</v>
      </c>
      <c r="C670" s="809" t="s">
        <v>544</v>
      </c>
      <c r="D670" s="141" t="s">
        <v>41</v>
      </c>
      <c r="E670" s="213">
        <v>160</v>
      </c>
      <c r="F670" s="214">
        <v>160</v>
      </c>
      <c r="G670" s="452">
        <v>160</v>
      </c>
      <c r="H670" s="452">
        <v>160</v>
      </c>
      <c r="I670" s="452">
        <v>160</v>
      </c>
      <c r="J670" s="452">
        <v>96</v>
      </c>
      <c r="K670" s="452">
        <v>96</v>
      </c>
      <c r="L670" s="452">
        <f>+INVERSIÓN!BD38</f>
        <v>160</v>
      </c>
      <c r="M670" s="452">
        <v>96</v>
      </c>
      <c r="N670" s="455">
        <v>160</v>
      </c>
      <c r="O670" s="453">
        <v>160</v>
      </c>
      <c r="P670" s="453">
        <v>160</v>
      </c>
      <c r="Q670" s="452">
        <v>160</v>
      </c>
      <c r="R670" s="1271">
        <v>160</v>
      </c>
      <c r="S670" s="454" t="s">
        <v>309</v>
      </c>
      <c r="T670" s="454">
        <v>20</v>
      </c>
      <c r="U670" s="454">
        <v>40</v>
      </c>
      <c r="V670" s="454">
        <v>45</v>
      </c>
      <c r="W670" s="454">
        <v>50</v>
      </c>
      <c r="X670" s="454">
        <v>55</v>
      </c>
      <c r="Y670" s="454">
        <v>57</v>
      </c>
      <c r="Z670" s="454">
        <v>59</v>
      </c>
      <c r="AA670" s="455">
        <v>61</v>
      </c>
      <c r="AB670" s="1254">
        <v>76</v>
      </c>
      <c r="AC670" s="1254">
        <v>106</v>
      </c>
      <c r="AD670" s="454">
        <v>140</v>
      </c>
      <c r="AE670" s="1235">
        <v>160</v>
      </c>
      <c r="AF670" s="1256" t="s">
        <v>1150</v>
      </c>
      <c r="AG670" s="1194" t="s">
        <v>541</v>
      </c>
      <c r="AH670" s="788" t="s">
        <v>70</v>
      </c>
      <c r="AI670" s="788" t="s">
        <v>70</v>
      </c>
      <c r="AJ670" s="788" t="s">
        <v>70</v>
      </c>
      <c r="AK670" s="792" t="s">
        <v>315</v>
      </c>
      <c r="AL670" s="788"/>
      <c r="AM670" s="788" t="s">
        <v>480</v>
      </c>
      <c r="AN670" s="783">
        <v>7804660</v>
      </c>
      <c r="AO670" s="783">
        <v>3721767</v>
      </c>
      <c r="AP670" s="783">
        <v>4082893</v>
      </c>
      <c r="AQ670" s="1272" t="s">
        <v>317</v>
      </c>
      <c r="AR670" s="1272" t="s">
        <v>317</v>
      </c>
      <c r="AS670" s="1272" t="s">
        <v>317</v>
      </c>
      <c r="AT670" s="1272" t="s">
        <v>317</v>
      </c>
      <c r="AU670" s="1272" t="s">
        <v>317</v>
      </c>
      <c r="AV670" s="1272" t="s">
        <v>317</v>
      </c>
      <c r="AW670" s="1272" t="s">
        <v>317</v>
      </c>
      <c r="AX670" s="783">
        <v>7804660</v>
      </c>
      <c r="AY670" s="1273"/>
    </row>
    <row r="671" spans="1:51" ht="26.45" customHeight="1" x14ac:dyDescent="0.25">
      <c r="A671" s="1195"/>
      <c r="B671" s="833"/>
      <c r="C671" s="809"/>
      <c r="D671" s="132" t="s">
        <v>3</v>
      </c>
      <c r="E671" s="213">
        <v>699388000</v>
      </c>
      <c r="F671" s="214">
        <v>699388000</v>
      </c>
      <c r="G671" s="452">
        <v>699388000</v>
      </c>
      <c r="H671" s="452">
        <v>699388000</v>
      </c>
      <c r="I671" s="452">
        <v>699388000</v>
      </c>
      <c r="J671" s="452">
        <v>375068706</v>
      </c>
      <c r="K671" s="456">
        <v>347087822</v>
      </c>
      <c r="L671" s="452">
        <f>+INVERSIÓN!BD39</f>
        <v>709813189</v>
      </c>
      <c r="M671" s="452">
        <v>347087822</v>
      </c>
      <c r="N671" s="455">
        <v>734844689</v>
      </c>
      <c r="O671" s="453">
        <v>734844689</v>
      </c>
      <c r="P671" s="453">
        <v>734844689</v>
      </c>
      <c r="Q671" s="452">
        <v>734844689</v>
      </c>
      <c r="R671" s="1271">
        <v>709813189</v>
      </c>
      <c r="S671" s="457"/>
      <c r="T671" s="454">
        <v>0</v>
      </c>
      <c r="U671" s="454">
        <v>61356000</v>
      </c>
      <c r="V671" s="454">
        <v>346784000</v>
      </c>
      <c r="W671" s="454">
        <v>346784000</v>
      </c>
      <c r="X671" s="457">
        <v>346784000</v>
      </c>
      <c r="Y671" s="454">
        <v>346784000</v>
      </c>
      <c r="Z671" s="454">
        <v>346784000</v>
      </c>
      <c r="AA671" s="455">
        <v>346784000</v>
      </c>
      <c r="AB671" s="1254">
        <v>554984000</v>
      </c>
      <c r="AC671" s="1238">
        <v>568852300</v>
      </c>
      <c r="AD671" s="454">
        <v>618108400</v>
      </c>
      <c r="AE671" s="1235">
        <v>635898900</v>
      </c>
      <c r="AF671" s="1261"/>
      <c r="AG671" s="1195"/>
      <c r="AH671" s="789"/>
      <c r="AI671" s="789"/>
      <c r="AJ671" s="789"/>
      <c r="AK671" s="793"/>
      <c r="AL671" s="789"/>
      <c r="AM671" s="789"/>
      <c r="AN671" s="784"/>
      <c r="AO671" s="784"/>
      <c r="AP671" s="784"/>
      <c r="AQ671" s="1274"/>
      <c r="AR671" s="1274"/>
      <c r="AS671" s="1274"/>
      <c r="AT671" s="1274"/>
      <c r="AU671" s="1274"/>
      <c r="AV671" s="1274"/>
      <c r="AW671" s="1274"/>
      <c r="AX671" s="784"/>
      <c r="AY671" s="1275"/>
    </row>
    <row r="672" spans="1:51" ht="26.45" customHeight="1" x14ac:dyDescent="0.25">
      <c r="A672" s="1195"/>
      <c r="B672" s="833"/>
      <c r="C672" s="809"/>
      <c r="D672" s="136" t="s">
        <v>42</v>
      </c>
      <c r="E672" s="213" t="e">
        <v>#REF!</v>
      </c>
      <c r="F672" s="214" t="e">
        <v>#REF!</v>
      </c>
      <c r="G672" s="452">
        <v>0</v>
      </c>
      <c r="H672" s="452">
        <v>0</v>
      </c>
      <c r="I672" s="452">
        <v>0</v>
      </c>
      <c r="J672" s="452">
        <v>0</v>
      </c>
      <c r="K672" s="445">
        <v>0</v>
      </c>
      <c r="L672" s="445">
        <v>0</v>
      </c>
      <c r="M672" s="452">
        <v>0</v>
      </c>
      <c r="N672" s="455">
        <v>0</v>
      </c>
      <c r="O672" s="453">
        <v>0</v>
      </c>
      <c r="P672" s="453">
        <v>0</v>
      </c>
      <c r="Q672" s="452">
        <v>0</v>
      </c>
      <c r="R672" s="1271">
        <v>0</v>
      </c>
      <c r="S672" s="447"/>
      <c r="T672" s="454">
        <v>0</v>
      </c>
      <c r="U672" s="454">
        <v>0</v>
      </c>
      <c r="V672" s="454">
        <v>0</v>
      </c>
      <c r="W672" s="454">
        <v>0</v>
      </c>
      <c r="X672" s="447">
        <v>0</v>
      </c>
      <c r="Y672" s="447">
        <v>0</v>
      </c>
      <c r="Z672" s="454">
        <v>0</v>
      </c>
      <c r="AA672" s="455">
        <v>0</v>
      </c>
      <c r="AB672" s="1254">
        <v>0</v>
      </c>
      <c r="AC672" s="1238">
        <v>0</v>
      </c>
      <c r="AD672" s="454">
        <v>0</v>
      </c>
      <c r="AE672" s="1235">
        <v>0</v>
      </c>
      <c r="AF672" s="1261"/>
      <c r="AG672" s="1195"/>
      <c r="AH672" s="789"/>
      <c r="AI672" s="789"/>
      <c r="AJ672" s="789"/>
      <c r="AK672" s="793"/>
      <c r="AL672" s="789"/>
      <c r="AM672" s="789"/>
      <c r="AN672" s="784"/>
      <c r="AO672" s="784"/>
      <c r="AP672" s="784"/>
      <c r="AQ672" s="1274"/>
      <c r="AR672" s="1274"/>
      <c r="AS672" s="1274"/>
      <c r="AT672" s="1274"/>
      <c r="AU672" s="1274"/>
      <c r="AV672" s="1274"/>
      <c r="AW672" s="1274"/>
      <c r="AX672" s="784"/>
      <c r="AY672" s="1275"/>
    </row>
    <row r="673" spans="1:51" ht="26.45" customHeight="1" x14ac:dyDescent="0.25">
      <c r="A673" s="1195"/>
      <c r="B673" s="833"/>
      <c r="C673" s="809"/>
      <c r="D673" s="132" t="s">
        <v>4</v>
      </c>
      <c r="E673" s="213">
        <v>249150644</v>
      </c>
      <c r="F673" s="214">
        <v>249150644</v>
      </c>
      <c r="G673" s="452">
        <v>249150644</v>
      </c>
      <c r="H673" s="452">
        <v>249150644</v>
      </c>
      <c r="I673" s="452">
        <v>249150644</v>
      </c>
      <c r="J673" s="452">
        <v>249150644</v>
      </c>
      <c r="K673" s="445">
        <v>249150644</v>
      </c>
      <c r="L673" s="445">
        <f>+INVERSIÓN!BD42</f>
        <v>249089777</v>
      </c>
      <c r="M673" s="452">
        <v>249150644</v>
      </c>
      <c r="N673" s="455">
        <v>249150644</v>
      </c>
      <c r="O673" s="453">
        <v>249150644</v>
      </c>
      <c r="P673" s="453">
        <v>249150644</v>
      </c>
      <c r="Q673" s="452">
        <v>249150644</v>
      </c>
      <c r="R673" s="1271" t="s">
        <v>1328</v>
      </c>
      <c r="S673" s="447"/>
      <c r="T673" s="454">
        <v>35177075</v>
      </c>
      <c r="U673" s="454">
        <v>84962626</v>
      </c>
      <c r="V673" s="454">
        <v>130802560</v>
      </c>
      <c r="W673" s="454">
        <v>195030200</v>
      </c>
      <c r="X673" s="454">
        <v>195030200</v>
      </c>
      <c r="Y673" s="447">
        <v>217078777</v>
      </c>
      <c r="Z673" s="454">
        <v>217078777</v>
      </c>
      <c r="AA673" s="455">
        <v>217078777</v>
      </c>
      <c r="AB673" s="1254">
        <v>217078777</v>
      </c>
      <c r="AC673" s="1238">
        <v>217078777</v>
      </c>
      <c r="AD673" s="454">
        <v>217078777</v>
      </c>
      <c r="AE673" s="1271">
        <v>249089777</v>
      </c>
      <c r="AF673" s="1261"/>
      <c r="AG673" s="1195"/>
      <c r="AH673" s="789"/>
      <c r="AI673" s="789"/>
      <c r="AJ673" s="789"/>
      <c r="AK673" s="793"/>
      <c r="AL673" s="789"/>
      <c r="AM673" s="789"/>
      <c r="AN673" s="784"/>
      <c r="AO673" s="784"/>
      <c r="AP673" s="784"/>
      <c r="AQ673" s="1274"/>
      <c r="AR673" s="1274"/>
      <c r="AS673" s="1274"/>
      <c r="AT673" s="1274"/>
      <c r="AU673" s="1274"/>
      <c r="AV673" s="1274"/>
      <c r="AW673" s="1274"/>
      <c r="AX673" s="784"/>
      <c r="AY673" s="1275"/>
    </row>
    <row r="674" spans="1:51" ht="26.45" customHeight="1" x14ac:dyDescent="0.25">
      <c r="A674" s="1195"/>
      <c r="B674" s="833"/>
      <c r="C674" s="809"/>
      <c r="D674" s="136" t="s">
        <v>43</v>
      </c>
      <c r="E674" s="213">
        <v>160</v>
      </c>
      <c r="F674" s="214">
        <v>160</v>
      </c>
      <c r="G674" s="452">
        <v>160</v>
      </c>
      <c r="H674" s="452">
        <v>160</v>
      </c>
      <c r="I674" s="452">
        <v>160</v>
      </c>
      <c r="J674" s="452">
        <v>160</v>
      </c>
      <c r="K674" s="445">
        <v>96</v>
      </c>
      <c r="L674" s="445">
        <f>+INVERSIÓN!BD43</f>
        <v>160</v>
      </c>
      <c r="M674" s="452">
        <v>96</v>
      </c>
      <c r="N674" s="455">
        <v>160</v>
      </c>
      <c r="O674" s="453">
        <v>160</v>
      </c>
      <c r="P674" s="453">
        <v>160</v>
      </c>
      <c r="Q674" s="452">
        <v>160</v>
      </c>
      <c r="R674" s="1271">
        <v>160</v>
      </c>
      <c r="S674" s="447"/>
      <c r="T674" s="454">
        <v>20</v>
      </c>
      <c r="U674" s="454">
        <v>40</v>
      </c>
      <c r="V674" s="454">
        <v>45</v>
      </c>
      <c r="W674" s="454">
        <v>50</v>
      </c>
      <c r="X674" s="447">
        <v>55</v>
      </c>
      <c r="Y674" s="447">
        <v>57</v>
      </c>
      <c r="Z674" s="454">
        <v>59</v>
      </c>
      <c r="AA674" s="455">
        <v>61</v>
      </c>
      <c r="AB674" s="1254">
        <v>76</v>
      </c>
      <c r="AC674" s="1254">
        <v>106</v>
      </c>
      <c r="AD674" s="454">
        <v>140</v>
      </c>
      <c r="AE674" s="1235">
        <v>160</v>
      </c>
      <c r="AF674" s="1261"/>
      <c r="AG674" s="1195"/>
      <c r="AH674" s="789"/>
      <c r="AI674" s="789"/>
      <c r="AJ674" s="789"/>
      <c r="AK674" s="793"/>
      <c r="AL674" s="789"/>
      <c r="AM674" s="789"/>
      <c r="AN674" s="784"/>
      <c r="AO674" s="784"/>
      <c r="AP674" s="784"/>
      <c r="AQ674" s="1274"/>
      <c r="AR674" s="1274"/>
      <c r="AS674" s="1274"/>
      <c r="AT674" s="1274"/>
      <c r="AU674" s="1274"/>
      <c r="AV674" s="1274"/>
      <c r="AW674" s="1274"/>
      <c r="AX674" s="784"/>
      <c r="AY674" s="1275"/>
    </row>
    <row r="675" spans="1:51" ht="26.45" customHeight="1" thickBot="1" x14ac:dyDescent="0.3">
      <c r="A675" s="1195"/>
      <c r="B675" s="833"/>
      <c r="C675" s="809"/>
      <c r="D675" s="140" t="s">
        <v>45</v>
      </c>
      <c r="E675" s="213">
        <v>948538644</v>
      </c>
      <c r="F675" s="214">
        <v>948538644</v>
      </c>
      <c r="G675" s="452">
        <v>948538644</v>
      </c>
      <c r="H675" s="452">
        <v>948538644</v>
      </c>
      <c r="I675" s="452">
        <v>948538644</v>
      </c>
      <c r="J675" s="452">
        <v>624219350</v>
      </c>
      <c r="K675" s="458">
        <f>+K671+K673</f>
        <v>596238466</v>
      </c>
      <c r="L675" s="445">
        <f>+INVERSIÓN!BD44</f>
        <v>958902966</v>
      </c>
      <c r="M675" s="452">
        <v>596238466</v>
      </c>
      <c r="N675" s="455">
        <f>+N671+N673</f>
        <v>983995333</v>
      </c>
      <c r="O675" s="453">
        <v>983995333</v>
      </c>
      <c r="P675" s="453">
        <v>983995333</v>
      </c>
      <c r="Q675" s="453">
        <v>983995333</v>
      </c>
      <c r="R675" s="1271" t="e">
        <f>+R671+R673</f>
        <v>#VALUE!</v>
      </c>
      <c r="S675" s="454"/>
      <c r="T675" s="454">
        <v>35177075</v>
      </c>
      <c r="U675" s="454">
        <v>146318626</v>
      </c>
      <c r="V675" s="454">
        <v>477586560</v>
      </c>
      <c r="W675" s="454">
        <v>541814200</v>
      </c>
      <c r="X675" s="454">
        <v>541814200</v>
      </c>
      <c r="Y675" s="447">
        <v>541814200</v>
      </c>
      <c r="Z675" s="454">
        <v>563862777</v>
      </c>
      <c r="AA675" s="455">
        <f>+AA671+AA673</f>
        <v>563862777</v>
      </c>
      <c r="AB675" s="1254">
        <f>+AB671+AB673</f>
        <v>772062777</v>
      </c>
      <c r="AC675" s="1238">
        <f>+AC671+AC673</f>
        <v>785931077</v>
      </c>
      <c r="AD675" s="454">
        <f>+AD671+AD673</f>
        <v>835187177</v>
      </c>
      <c r="AE675" s="1235">
        <f>+AE671+AE673</f>
        <v>884988677</v>
      </c>
      <c r="AF675" s="1270"/>
      <c r="AG675" s="1196"/>
      <c r="AH675" s="790"/>
      <c r="AI675" s="790"/>
      <c r="AJ675" s="790"/>
      <c r="AK675" s="794"/>
      <c r="AL675" s="790"/>
      <c r="AM675" s="790"/>
      <c r="AN675" s="785"/>
      <c r="AO675" s="785"/>
      <c r="AP675" s="785"/>
      <c r="AQ675" s="1276"/>
      <c r="AR675" s="1276"/>
      <c r="AS675" s="1276"/>
      <c r="AT675" s="1276"/>
      <c r="AU675" s="1276"/>
      <c r="AV675" s="1276"/>
      <c r="AW675" s="1276"/>
      <c r="AX675" s="785"/>
      <c r="AY675" s="1277"/>
    </row>
    <row r="676" spans="1:51" ht="18" customHeight="1" x14ac:dyDescent="0.25">
      <c r="A676" s="1195"/>
      <c r="B676" s="833"/>
      <c r="C676" s="1197" t="s">
        <v>1028</v>
      </c>
      <c r="D676" s="141" t="s">
        <v>41</v>
      </c>
      <c r="E676" s="223"/>
      <c r="F676" s="224"/>
      <c r="G676" s="445"/>
      <c r="H676" s="445"/>
      <c r="I676" s="445"/>
      <c r="J676" s="445"/>
      <c r="K676" s="445"/>
      <c r="L676" s="445"/>
      <c r="M676" s="445"/>
      <c r="N676" s="455"/>
      <c r="O676" s="445"/>
      <c r="P676" s="445"/>
      <c r="Q676" s="445">
        <v>1</v>
      </c>
      <c r="R676" s="447">
        <v>2</v>
      </c>
      <c r="S676" s="445"/>
      <c r="T676" s="454"/>
      <c r="U676" s="454"/>
      <c r="V676" s="454"/>
      <c r="W676" s="454"/>
      <c r="X676" s="454"/>
      <c r="Y676" s="454"/>
      <c r="Z676" s="454"/>
      <c r="AA676" s="455"/>
      <c r="AB676" s="454"/>
      <c r="AC676" s="447"/>
      <c r="AD676" s="445">
        <v>1</v>
      </c>
      <c r="AE676" s="1235">
        <v>2</v>
      </c>
      <c r="AF676" s="1278" t="s">
        <v>1151</v>
      </c>
      <c r="AG676" s="1279" t="s">
        <v>1028</v>
      </c>
      <c r="AH676" s="1280" t="s">
        <v>1152</v>
      </c>
      <c r="AI676" s="1280" t="s">
        <v>1153</v>
      </c>
      <c r="AJ676" s="788" t="s">
        <v>1154</v>
      </c>
      <c r="AK676" s="788" t="s">
        <v>315</v>
      </c>
      <c r="AL676" s="788" t="s">
        <v>70</v>
      </c>
      <c r="AM676" s="788" t="s">
        <v>547</v>
      </c>
      <c r="AN676" s="878">
        <v>563173</v>
      </c>
      <c r="AO676" s="783">
        <v>258860.18234553499</v>
      </c>
      <c r="AP676" s="783">
        <v>304312.60417935997</v>
      </c>
      <c r="AQ676" s="1272" t="s">
        <v>317</v>
      </c>
      <c r="AR676" s="1272" t="s">
        <v>317</v>
      </c>
      <c r="AS676" s="1272" t="s">
        <v>317</v>
      </c>
      <c r="AT676" s="1272" t="s">
        <v>317</v>
      </c>
      <c r="AU676" s="1272" t="s">
        <v>317</v>
      </c>
      <c r="AV676" s="1272" t="s">
        <v>317</v>
      </c>
      <c r="AW676" s="1272" t="s">
        <v>317</v>
      </c>
      <c r="AX676" s="878">
        <v>563173</v>
      </c>
      <c r="AY676" s="1281" t="s">
        <v>1155</v>
      </c>
    </row>
    <row r="677" spans="1:51" ht="18.75" customHeight="1" x14ac:dyDescent="0.25">
      <c r="A677" s="1195"/>
      <c r="B677" s="833"/>
      <c r="C677" s="1198"/>
      <c r="D677" s="132" t="s">
        <v>3</v>
      </c>
      <c r="E677" s="226"/>
      <c r="F677" s="224"/>
      <c r="G677" s="456"/>
      <c r="H677" s="456"/>
      <c r="I677" s="456"/>
      <c r="J677" s="456"/>
      <c r="K677" s="456"/>
      <c r="L677" s="456"/>
      <c r="M677" s="456"/>
      <c r="N677" s="1282"/>
      <c r="O677" s="456"/>
      <c r="P677" s="456"/>
      <c r="Q677" s="456">
        <f>+Q676*$Q$671/$Q$670</f>
        <v>4592779.3062500004</v>
      </c>
      <c r="R677" s="456">
        <f>+R676*$R$671/$R$670</f>
        <v>8872664.8625000007</v>
      </c>
      <c r="S677" s="456"/>
      <c r="T677" s="457"/>
      <c r="U677" s="457"/>
      <c r="V677" s="457"/>
      <c r="W677" s="457"/>
      <c r="X677" s="457"/>
      <c r="Y677" s="457"/>
      <c r="Z677" s="457"/>
      <c r="AA677" s="1282"/>
      <c r="AB677" s="456"/>
      <c r="AC677" s="456"/>
      <c r="AD677" s="456">
        <f>+AD676*$AD$671/$AD$670</f>
        <v>4415060</v>
      </c>
      <c r="AE677" s="456">
        <f>+AE676*$AE$671/$AE$670</f>
        <v>7948736.25</v>
      </c>
      <c r="AF677" s="1283"/>
      <c r="AG677" s="1284"/>
      <c r="AH677" s="1285"/>
      <c r="AI677" s="1285"/>
      <c r="AJ677" s="789"/>
      <c r="AK677" s="789"/>
      <c r="AL677" s="789"/>
      <c r="AM677" s="789"/>
      <c r="AN677" s="879"/>
      <c r="AO677" s="784"/>
      <c r="AP677" s="784"/>
      <c r="AQ677" s="1274"/>
      <c r="AR677" s="1274"/>
      <c r="AS677" s="1274"/>
      <c r="AT677" s="1274"/>
      <c r="AU677" s="1274"/>
      <c r="AV677" s="1274"/>
      <c r="AW677" s="1274"/>
      <c r="AX677" s="879"/>
      <c r="AY677" s="1286"/>
    </row>
    <row r="678" spans="1:51" ht="27.75" customHeight="1" x14ac:dyDescent="0.25">
      <c r="A678" s="1195"/>
      <c r="B678" s="833"/>
      <c r="C678" s="1198"/>
      <c r="D678" s="136" t="s">
        <v>42</v>
      </c>
      <c r="E678" s="226"/>
      <c r="F678" s="224"/>
      <c r="G678" s="456"/>
      <c r="H678" s="456"/>
      <c r="I678" s="456"/>
      <c r="J678" s="456"/>
      <c r="K678" s="456"/>
      <c r="L678" s="456"/>
      <c r="M678" s="456"/>
      <c r="N678" s="1282"/>
      <c r="O678" s="456"/>
      <c r="P678" s="456"/>
      <c r="Q678" s="456"/>
      <c r="R678" s="1287"/>
      <c r="S678" s="456"/>
      <c r="T678" s="457"/>
      <c r="U678" s="457"/>
      <c r="V678" s="457"/>
      <c r="W678" s="457"/>
      <c r="X678" s="457"/>
      <c r="Y678" s="457"/>
      <c r="Z678" s="457"/>
      <c r="AA678" s="1282"/>
      <c r="AB678" s="457"/>
      <c r="AC678" s="1287"/>
      <c r="AD678" s="456"/>
      <c r="AE678" s="1226"/>
      <c r="AF678" s="1283"/>
      <c r="AG678" s="1284"/>
      <c r="AH678" s="1285"/>
      <c r="AI678" s="1285"/>
      <c r="AJ678" s="789"/>
      <c r="AK678" s="789"/>
      <c r="AL678" s="789"/>
      <c r="AM678" s="789"/>
      <c r="AN678" s="879"/>
      <c r="AO678" s="784"/>
      <c r="AP678" s="784"/>
      <c r="AQ678" s="1274"/>
      <c r="AR678" s="1274"/>
      <c r="AS678" s="1274"/>
      <c r="AT678" s="1274"/>
      <c r="AU678" s="1274"/>
      <c r="AV678" s="1274"/>
      <c r="AW678" s="1274"/>
      <c r="AX678" s="879"/>
      <c r="AY678" s="1286"/>
    </row>
    <row r="679" spans="1:51" ht="27.75" customHeight="1" x14ac:dyDescent="0.25">
      <c r="A679" s="1195"/>
      <c r="B679" s="833"/>
      <c r="C679" s="1198"/>
      <c r="D679" s="132" t="s">
        <v>4</v>
      </c>
      <c r="E679" s="226"/>
      <c r="F679" s="224"/>
      <c r="G679" s="456"/>
      <c r="H679" s="456"/>
      <c r="I679" s="456"/>
      <c r="J679" s="456"/>
      <c r="K679" s="456"/>
      <c r="L679" s="456"/>
      <c r="M679" s="456"/>
      <c r="N679" s="1282"/>
      <c r="O679" s="456"/>
      <c r="P679" s="456"/>
      <c r="Q679" s="456"/>
      <c r="R679" s="1287"/>
      <c r="S679" s="456"/>
      <c r="T679" s="457"/>
      <c r="U679" s="457"/>
      <c r="V679" s="457"/>
      <c r="W679" s="457"/>
      <c r="X679" s="457"/>
      <c r="Y679" s="457"/>
      <c r="Z679" s="457"/>
      <c r="AA679" s="1282"/>
      <c r="AB679" s="457"/>
      <c r="AC679" s="1287"/>
      <c r="AD679" s="456"/>
      <c r="AE679" s="1226"/>
      <c r="AF679" s="1283"/>
      <c r="AG679" s="1284"/>
      <c r="AH679" s="1285"/>
      <c r="AI679" s="1285"/>
      <c r="AJ679" s="789"/>
      <c r="AK679" s="789"/>
      <c r="AL679" s="789"/>
      <c r="AM679" s="789"/>
      <c r="AN679" s="879"/>
      <c r="AO679" s="784"/>
      <c r="AP679" s="784"/>
      <c r="AQ679" s="1274"/>
      <c r="AR679" s="1274"/>
      <c r="AS679" s="1274"/>
      <c r="AT679" s="1274"/>
      <c r="AU679" s="1274"/>
      <c r="AV679" s="1274"/>
      <c r="AW679" s="1274"/>
      <c r="AX679" s="879"/>
      <c r="AY679" s="1286"/>
    </row>
    <row r="680" spans="1:51" ht="27.75" customHeight="1" x14ac:dyDescent="0.25">
      <c r="A680" s="1195"/>
      <c r="B680" s="833"/>
      <c r="C680" s="1198"/>
      <c r="D680" s="136" t="s">
        <v>43</v>
      </c>
      <c r="E680" s="223"/>
      <c r="F680" s="224"/>
      <c r="G680" s="445"/>
      <c r="H680" s="445"/>
      <c r="I680" s="445"/>
      <c r="J680" s="445"/>
      <c r="K680" s="445"/>
      <c r="L680" s="445"/>
      <c r="M680" s="445"/>
      <c r="N680" s="447"/>
      <c r="O680" s="445"/>
      <c r="P680" s="445"/>
      <c r="Q680" s="445">
        <v>1</v>
      </c>
      <c r="R680" s="447">
        <v>2</v>
      </c>
      <c r="S680" s="445"/>
      <c r="T680" s="447"/>
      <c r="U680" s="447"/>
      <c r="V680" s="447"/>
      <c r="W680" s="447"/>
      <c r="X680" s="447"/>
      <c r="Y680" s="447"/>
      <c r="Z680" s="447"/>
      <c r="AA680" s="447"/>
      <c r="AB680" s="447"/>
      <c r="AC680" s="447"/>
      <c r="AD680" s="445">
        <v>1</v>
      </c>
      <c r="AE680" s="1225">
        <v>2</v>
      </c>
      <c r="AF680" s="1283"/>
      <c r="AG680" s="1284"/>
      <c r="AH680" s="1285"/>
      <c r="AI680" s="1285"/>
      <c r="AJ680" s="789"/>
      <c r="AK680" s="789"/>
      <c r="AL680" s="789"/>
      <c r="AM680" s="789"/>
      <c r="AN680" s="879"/>
      <c r="AO680" s="784"/>
      <c r="AP680" s="784"/>
      <c r="AQ680" s="1274"/>
      <c r="AR680" s="1274"/>
      <c r="AS680" s="1274"/>
      <c r="AT680" s="1274"/>
      <c r="AU680" s="1274"/>
      <c r="AV680" s="1274"/>
      <c r="AW680" s="1274"/>
      <c r="AX680" s="879"/>
      <c r="AY680" s="1286"/>
    </row>
    <row r="681" spans="1:51" ht="27.75" customHeight="1" thickBot="1" x14ac:dyDescent="0.3">
      <c r="A681" s="1195"/>
      <c r="B681" s="833"/>
      <c r="C681" s="1199"/>
      <c r="D681" s="140" t="s">
        <v>45</v>
      </c>
      <c r="E681" s="236"/>
      <c r="F681" s="224"/>
      <c r="G681" s="458"/>
      <c r="H681" s="458"/>
      <c r="I681" s="458"/>
      <c r="J681" s="458"/>
      <c r="K681" s="458"/>
      <c r="L681" s="458"/>
      <c r="M681" s="458"/>
      <c r="N681" s="455"/>
      <c r="O681" s="445"/>
      <c r="P681" s="456"/>
      <c r="Q681" s="456">
        <f>+Q680*$Q$671/$Q$670</f>
        <v>4592779.3062500004</v>
      </c>
      <c r="R681" s="456">
        <f>+R680*$R$671/$R$670</f>
        <v>8872664.8625000007</v>
      </c>
      <c r="S681" s="456"/>
      <c r="T681" s="454"/>
      <c r="U681" s="454"/>
      <c r="V681" s="454"/>
      <c r="W681" s="454"/>
      <c r="X681" s="454"/>
      <c r="Y681" s="454"/>
      <c r="Z681" s="454"/>
      <c r="AA681" s="455"/>
      <c r="AB681" s="447"/>
      <c r="AC681" s="456"/>
      <c r="AD681" s="456">
        <f>+AD680*$AD$671/$AD$670</f>
        <v>4415060</v>
      </c>
      <c r="AE681" s="456">
        <f>+AE680*$AE$671/$AE$670</f>
        <v>7948736.25</v>
      </c>
      <c r="AF681" s="1288"/>
      <c r="AG681" s="1289"/>
      <c r="AH681" s="1290"/>
      <c r="AI681" s="1290"/>
      <c r="AJ681" s="790"/>
      <c r="AK681" s="790"/>
      <c r="AL681" s="790"/>
      <c r="AM681" s="790"/>
      <c r="AN681" s="880"/>
      <c r="AO681" s="785"/>
      <c r="AP681" s="785"/>
      <c r="AQ681" s="1276"/>
      <c r="AR681" s="1276"/>
      <c r="AS681" s="1276"/>
      <c r="AT681" s="1276"/>
      <c r="AU681" s="1276"/>
      <c r="AV681" s="1276"/>
      <c r="AW681" s="1276"/>
      <c r="AX681" s="880"/>
      <c r="AY681" s="1286"/>
    </row>
    <row r="682" spans="1:51" ht="18" customHeight="1" x14ac:dyDescent="0.25">
      <c r="A682" s="1195"/>
      <c r="B682" s="833"/>
      <c r="C682" s="1197" t="s">
        <v>1318</v>
      </c>
      <c r="D682" s="141" t="s">
        <v>41</v>
      </c>
      <c r="E682" s="142"/>
      <c r="F682" s="143"/>
      <c r="G682" s="445"/>
      <c r="H682" s="459">
        <v>1</v>
      </c>
      <c r="I682" s="459">
        <v>2</v>
      </c>
      <c r="J682" s="445">
        <v>2</v>
      </c>
      <c r="K682" s="445">
        <v>2</v>
      </c>
      <c r="L682" s="445">
        <v>2</v>
      </c>
      <c r="M682" s="445">
        <v>2</v>
      </c>
      <c r="N682" s="455">
        <v>2</v>
      </c>
      <c r="O682" s="445">
        <v>3</v>
      </c>
      <c r="P682" s="445">
        <v>6</v>
      </c>
      <c r="Q682" s="445">
        <v>11</v>
      </c>
      <c r="R682" s="447">
        <v>11</v>
      </c>
      <c r="S682" s="445"/>
      <c r="T682" s="454"/>
      <c r="U682" s="459">
        <v>1</v>
      </c>
      <c r="V682" s="459">
        <v>2</v>
      </c>
      <c r="W682" s="454">
        <v>2</v>
      </c>
      <c r="X682" s="454">
        <v>2</v>
      </c>
      <c r="Y682" s="445">
        <v>2</v>
      </c>
      <c r="Z682" s="454">
        <v>2</v>
      </c>
      <c r="AA682" s="455">
        <v>2</v>
      </c>
      <c r="AB682" s="1254">
        <v>3</v>
      </c>
      <c r="AC682" s="450">
        <v>6</v>
      </c>
      <c r="AD682" s="445">
        <v>11</v>
      </c>
      <c r="AE682" s="1235">
        <v>11</v>
      </c>
      <c r="AF682" s="1278" t="s">
        <v>1291</v>
      </c>
      <c r="AG682" s="1230" t="str">
        <f>+C682</f>
        <v>2-CHAPINERO</v>
      </c>
      <c r="AH682" s="1291" t="s">
        <v>1029</v>
      </c>
      <c r="AI682" s="1291" t="s">
        <v>1030</v>
      </c>
      <c r="AJ682" s="788" t="s">
        <v>1154</v>
      </c>
      <c r="AK682" s="788" t="s">
        <v>315</v>
      </c>
      <c r="AL682" s="810" t="s">
        <v>70</v>
      </c>
      <c r="AM682" s="810" t="s">
        <v>547</v>
      </c>
      <c r="AN682" s="791">
        <v>163231</v>
      </c>
      <c r="AO682" s="805">
        <v>77499</v>
      </c>
      <c r="AP682" s="805">
        <v>85731</v>
      </c>
      <c r="AQ682" s="787" t="s">
        <v>317</v>
      </c>
      <c r="AR682" s="787" t="s">
        <v>317</v>
      </c>
      <c r="AS682" s="787" t="s">
        <v>317</v>
      </c>
      <c r="AT682" s="787" t="s">
        <v>317</v>
      </c>
      <c r="AU682" s="787" t="s">
        <v>317</v>
      </c>
      <c r="AV682" s="787" t="s">
        <v>317</v>
      </c>
      <c r="AW682" s="787" t="s">
        <v>317</v>
      </c>
      <c r="AX682" s="783">
        <v>163231</v>
      </c>
      <c r="AY682" s="1281" t="s">
        <v>1031</v>
      </c>
    </row>
    <row r="683" spans="1:51" ht="14.45" customHeight="1" x14ac:dyDescent="0.25">
      <c r="A683" s="1195"/>
      <c r="B683" s="833"/>
      <c r="C683" s="1198"/>
      <c r="D683" s="132" t="s">
        <v>3</v>
      </c>
      <c r="E683" s="239"/>
      <c r="F683" s="240"/>
      <c r="G683" s="456"/>
      <c r="H683" s="456">
        <v>4371175</v>
      </c>
      <c r="I683" s="456">
        <v>8742350</v>
      </c>
      <c r="J683" s="456">
        <v>7813931.375</v>
      </c>
      <c r="K683" s="456">
        <f>+K682*$K$671/$K$670</f>
        <v>7230996.291666667</v>
      </c>
      <c r="L683" s="456">
        <f>+L682*$L$671/$L$670</f>
        <v>8872664.8625000007</v>
      </c>
      <c r="M683" s="456">
        <f>+M682*$M$671/$M$670</f>
        <v>7230996.291666667</v>
      </c>
      <c r="N683" s="456">
        <f>+N682*$N$671/$N$670</f>
        <v>9185558.6125000007</v>
      </c>
      <c r="O683" s="456">
        <f>+O682*$O$671/$O$670</f>
        <v>13778337.918749999</v>
      </c>
      <c r="P683" s="456">
        <f>+P682*$P$671/$P$670</f>
        <v>27556675.837499999</v>
      </c>
      <c r="Q683" s="456">
        <f>+Q682*$Q$671/$Q$670</f>
        <v>50520572.368749999</v>
      </c>
      <c r="R683" s="456">
        <f>+R682*$R$671/$R$670</f>
        <v>48799656.743749999</v>
      </c>
      <c r="S683" s="456"/>
      <c r="T683" s="457"/>
      <c r="U683" s="456">
        <v>1533900</v>
      </c>
      <c r="V683" s="456">
        <v>15412622.222222222</v>
      </c>
      <c r="W683" s="456">
        <v>13871360</v>
      </c>
      <c r="X683" s="456">
        <f>+X682*$X$671/$X$670</f>
        <v>12610327.272727273</v>
      </c>
      <c r="Y683" s="456">
        <f>+Y682*$Y$671/$Y$670</f>
        <v>12167859.649122806</v>
      </c>
      <c r="Z683" s="456">
        <f>+Z682*$Z$671/$Z$670</f>
        <v>11755389.830508474</v>
      </c>
      <c r="AA683" s="456">
        <f>+AA682*$AA$671/$AA$670</f>
        <v>11369967.213114753</v>
      </c>
      <c r="AB683" s="456">
        <f>+AB682*$AB$671/$AB$670</f>
        <v>21907263.157894738</v>
      </c>
      <c r="AC683" s="456">
        <f>+AC682*$AC$671/$AC$670</f>
        <v>32199186.792452831</v>
      </c>
      <c r="AD683" s="456">
        <f>+AD682*$AD$671/$AD$670</f>
        <v>48565660</v>
      </c>
      <c r="AE683" s="456">
        <f>+AE682*$AE$671/$AE$670</f>
        <v>43718049.375</v>
      </c>
      <c r="AF683" s="1283"/>
      <c r="AG683" s="1230"/>
      <c r="AH683" s="1292"/>
      <c r="AI683" s="1292"/>
      <c r="AJ683" s="789"/>
      <c r="AK683" s="789"/>
      <c r="AL683" s="810"/>
      <c r="AM683" s="810"/>
      <c r="AN683" s="791"/>
      <c r="AO683" s="805"/>
      <c r="AP683" s="805"/>
      <c r="AQ683" s="787"/>
      <c r="AR683" s="787"/>
      <c r="AS683" s="787"/>
      <c r="AT683" s="787"/>
      <c r="AU683" s="787"/>
      <c r="AV683" s="787"/>
      <c r="AW683" s="787"/>
      <c r="AX683" s="784"/>
      <c r="AY683" s="1286"/>
    </row>
    <row r="684" spans="1:51" ht="14.45" customHeight="1" x14ac:dyDescent="0.25">
      <c r="A684" s="1195"/>
      <c r="B684" s="833"/>
      <c r="C684" s="1198"/>
      <c r="D684" s="136" t="s">
        <v>42</v>
      </c>
      <c r="E684" s="239"/>
      <c r="F684" s="240"/>
      <c r="G684" s="456"/>
      <c r="H684" s="456"/>
      <c r="I684" s="456"/>
      <c r="J684" s="456"/>
      <c r="K684" s="456"/>
      <c r="L684" s="456"/>
      <c r="M684" s="456"/>
      <c r="N684" s="1282"/>
      <c r="O684" s="456"/>
      <c r="P684" s="456"/>
      <c r="Q684" s="456"/>
      <c r="R684" s="1287"/>
      <c r="S684" s="456"/>
      <c r="T684" s="457"/>
      <c r="U684" s="456"/>
      <c r="V684" s="456"/>
      <c r="W684" s="457"/>
      <c r="X684" s="457"/>
      <c r="Y684" s="456"/>
      <c r="Z684" s="457"/>
      <c r="AA684" s="1282"/>
      <c r="AB684" s="1293"/>
      <c r="AC684" s="1287"/>
      <c r="AD684" s="456"/>
      <c r="AE684" s="1226"/>
      <c r="AF684" s="1283"/>
      <c r="AG684" s="1230"/>
      <c r="AH684" s="1292"/>
      <c r="AI684" s="1292"/>
      <c r="AJ684" s="789"/>
      <c r="AK684" s="789"/>
      <c r="AL684" s="810"/>
      <c r="AM684" s="810"/>
      <c r="AN684" s="791"/>
      <c r="AO684" s="805"/>
      <c r="AP684" s="805"/>
      <c r="AQ684" s="787"/>
      <c r="AR684" s="787"/>
      <c r="AS684" s="787"/>
      <c r="AT684" s="787"/>
      <c r="AU684" s="787"/>
      <c r="AV684" s="787"/>
      <c r="AW684" s="787"/>
      <c r="AX684" s="784"/>
      <c r="AY684" s="1286"/>
    </row>
    <row r="685" spans="1:51" ht="19.149999999999999" customHeight="1" x14ac:dyDescent="0.25">
      <c r="A685" s="1195"/>
      <c r="B685" s="833"/>
      <c r="C685" s="1198"/>
      <c r="D685" s="132" t="s">
        <v>4</v>
      </c>
      <c r="E685" s="239"/>
      <c r="F685" s="240"/>
      <c r="G685" s="456"/>
      <c r="H685" s="456">
        <v>7723875.0909090908</v>
      </c>
      <c r="I685" s="456"/>
      <c r="J685" s="456"/>
      <c r="K685" s="456"/>
      <c r="L685" s="456"/>
      <c r="M685" s="456"/>
      <c r="N685" s="1282"/>
      <c r="O685" s="456"/>
      <c r="P685" s="456"/>
      <c r="Q685" s="456"/>
      <c r="R685" s="1287"/>
      <c r="S685" s="456"/>
      <c r="T685" s="457"/>
      <c r="U685" s="456">
        <v>7723875.0909090908</v>
      </c>
      <c r="V685" s="456"/>
      <c r="W685" s="457"/>
      <c r="X685" s="457"/>
      <c r="Y685" s="456"/>
      <c r="Z685" s="457"/>
      <c r="AA685" s="1282"/>
      <c r="AB685" s="1293"/>
      <c r="AC685" s="1287"/>
      <c r="AD685" s="456"/>
      <c r="AE685" s="1226"/>
      <c r="AF685" s="1283"/>
      <c r="AG685" s="1230"/>
      <c r="AH685" s="1292"/>
      <c r="AI685" s="1292"/>
      <c r="AJ685" s="789"/>
      <c r="AK685" s="789"/>
      <c r="AL685" s="810"/>
      <c r="AM685" s="810"/>
      <c r="AN685" s="791"/>
      <c r="AO685" s="805"/>
      <c r="AP685" s="805"/>
      <c r="AQ685" s="787"/>
      <c r="AR685" s="787"/>
      <c r="AS685" s="787"/>
      <c r="AT685" s="787"/>
      <c r="AU685" s="787"/>
      <c r="AV685" s="787"/>
      <c r="AW685" s="787"/>
      <c r="AX685" s="784"/>
      <c r="AY685" s="1286"/>
    </row>
    <row r="686" spans="1:51" ht="27" x14ac:dyDescent="0.25">
      <c r="A686" s="1195"/>
      <c r="B686" s="833"/>
      <c r="C686" s="1198"/>
      <c r="D686" s="136" t="s">
        <v>43</v>
      </c>
      <c r="E686" s="142"/>
      <c r="F686" s="143"/>
      <c r="G686" s="445"/>
      <c r="H686" s="459">
        <v>1</v>
      </c>
      <c r="I686" s="459">
        <v>2</v>
      </c>
      <c r="J686" s="445">
        <v>2</v>
      </c>
      <c r="K686" s="445">
        <v>2</v>
      </c>
      <c r="L686" s="445">
        <v>2</v>
      </c>
      <c r="M686" s="445">
        <v>2</v>
      </c>
      <c r="N686" s="447">
        <v>2</v>
      </c>
      <c r="O686" s="445">
        <v>3</v>
      </c>
      <c r="P686" s="445">
        <v>6</v>
      </c>
      <c r="Q686" s="445">
        <v>11</v>
      </c>
      <c r="R686" s="447">
        <v>11</v>
      </c>
      <c r="S686" s="445"/>
      <c r="T686" s="447"/>
      <c r="U686" s="459">
        <v>1</v>
      </c>
      <c r="V686" s="459">
        <v>2</v>
      </c>
      <c r="W686" s="447">
        <v>2</v>
      </c>
      <c r="X686" s="450">
        <v>2</v>
      </c>
      <c r="Y686" s="445">
        <v>2</v>
      </c>
      <c r="Z686" s="447">
        <v>2</v>
      </c>
      <c r="AA686" s="447">
        <v>2</v>
      </c>
      <c r="AB686" s="1255">
        <v>3</v>
      </c>
      <c r="AC686" s="450">
        <v>6</v>
      </c>
      <c r="AD686" s="445">
        <v>11</v>
      </c>
      <c r="AE686" s="1225">
        <v>11</v>
      </c>
      <c r="AF686" s="1283"/>
      <c r="AG686" s="1230"/>
      <c r="AH686" s="1292"/>
      <c r="AI686" s="1292"/>
      <c r="AJ686" s="789"/>
      <c r="AK686" s="789"/>
      <c r="AL686" s="810"/>
      <c r="AM686" s="810"/>
      <c r="AN686" s="791"/>
      <c r="AO686" s="805"/>
      <c r="AP686" s="805"/>
      <c r="AQ686" s="787"/>
      <c r="AR686" s="787"/>
      <c r="AS686" s="787"/>
      <c r="AT686" s="787"/>
      <c r="AU686" s="787"/>
      <c r="AV686" s="787"/>
      <c r="AW686" s="787"/>
      <c r="AX686" s="784"/>
      <c r="AY686" s="1286"/>
    </row>
    <row r="687" spans="1:51" ht="27.75" thickBot="1" x14ac:dyDescent="0.3">
      <c r="A687" s="1195"/>
      <c r="B687" s="833"/>
      <c r="C687" s="1199"/>
      <c r="D687" s="140" t="s">
        <v>45</v>
      </c>
      <c r="E687" s="244"/>
      <c r="F687" s="245"/>
      <c r="G687" s="458"/>
      <c r="H687" s="456">
        <v>4371175</v>
      </c>
      <c r="I687" s="456">
        <v>8742350</v>
      </c>
      <c r="J687" s="456">
        <v>7813931.375</v>
      </c>
      <c r="K687" s="456">
        <f>+K686*$K$671/$K$670</f>
        <v>7230996.291666667</v>
      </c>
      <c r="L687" s="456">
        <f>+L686*$L$671/$L$670</f>
        <v>8872664.8625000007</v>
      </c>
      <c r="M687" s="456">
        <f>+M686*$M$671/$M$670</f>
        <v>7230996.291666667</v>
      </c>
      <c r="N687" s="456">
        <f>+N686*$N$671/$N$670</f>
        <v>9185558.6125000007</v>
      </c>
      <c r="O687" s="456">
        <f>+O686*$O$671/$O$670</f>
        <v>13778337.918749999</v>
      </c>
      <c r="P687" s="456">
        <f>+P686*$P$671/$P$670</f>
        <v>27556675.837499999</v>
      </c>
      <c r="Q687" s="456">
        <f>+Q686*$Q$671/$Q$670</f>
        <v>50520572.368749999</v>
      </c>
      <c r="R687" s="456">
        <f>+R686*$R$671/$R$670</f>
        <v>48799656.743749999</v>
      </c>
      <c r="S687" s="456"/>
      <c r="T687" s="454"/>
      <c r="U687" s="456">
        <v>1533900</v>
      </c>
      <c r="V687" s="456">
        <v>15412622.222222222</v>
      </c>
      <c r="W687" s="456">
        <v>13871360</v>
      </c>
      <c r="X687" s="456">
        <f>+X686*$X$671/$X$670</f>
        <v>12610327.272727273</v>
      </c>
      <c r="Y687" s="456">
        <f>+Y686*$Y$671/$Y$670</f>
        <v>12167859.649122806</v>
      </c>
      <c r="Z687" s="456">
        <f>+Z686*$Z$671/$Z$670</f>
        <v>11755389.830508474</v>
      </c>
      <c r="AA687" s="456">
        <f>+AA686*$AA$671/$AA$670</f>
        <v>11369967.213114753</v>
      </c>
      <c r="AB687" s="456">
        <f>+AB686*$AB$671/$AB$670</f>
        <v>21907263.157894738</v>
      </c>
      <c r="AC687" s="456">
        <f>+AC686*$AC$671/$AC$670</f>
        <v>32199186.792452831</v>
      </c>
      <c r="AD687" s="456">
        <f>+AD686*$AD$671/$AD$670</f>
        <v>48565660</v>
      </c>
      <c r="AE687" s="456">
        <f>+AE686*$AE$671/$AE$670</f>
        <v>43718049.375</v>
      </c>
      <c r="AF687" s="1288"/>
      <c r="AG687" s="1230"/>
      <c r="AH687" s="1294"/>
      <c r="AI687" s="1294"/>
      <c r="AJ687" s="790"/>
      <c r="AK687" s="790"/>
      <c r="AL687" s="810"/>
      <c r="AM687" s="810"/>
      <c r="AN687" s="791"/>
      <c r="AO687" s="805"/>
      <c r="AP687" s="805"/>
      <c r="AQ687" s="787"/>
      <c r="AR687" s="787"/>
      <c r="AS687" s="787"/>
      <c r="AT687" s="787"/>
      <c r="AU687" s="787"/>
      <c r="AV687" s="787"/>
      <c r="AW687" s="787"/>
      <c r="AX687" s="785"/>
      <c r="AY687" s="1286"/>
    </row>
    <row r="688" spans="1:51" ht="18" customHeight="1" x14ac:dyDescent="0.25">
      <c r="A688" s="1195"/>
      <c r="B688" s="833"/>
      <c r="C688" s="810" t="s">
        <v>1304</v>
      </c>
      <c r="D688" s="141" t="s">
        <v>41</v>
      </c>
      <c r="E688" s="142"/>
      <c r="F688" s="143"/>
      <c r="G688" s="445"/>
      <c r="H688" s="445"/>
      <c r="I688" s="459">
        <v>1</v>
      </c>
      <c r="J688" s="445">
        <v>1</v>
      </c>
      <c r="K688" s="445">
        <v>1</v>
      </c>
      <c r="L688" s="445">
        <v>1</v>
      </c>
      <c r="M688" s="445">
        <v>1</v>
      </c>
      <c r="N688" s="455">
        <v>1</v>
      </c>
      <c r="O688" s="445">
        <v>1</v>
      </c>
      <c r="P688" s="445">
        <v>1</v>
      </c>
      <c r="Q688" s="445">
        <v>2</v>
      </c>
      <c r="R688" s="447">
        <v>2</v>
      </c>
      <c r="S688" s="445"/>
      <c r="T688" s="454"/>
      <c r="U688" s="454"/>
      <c r="V688" s="459">
        <v>1</v>
      </c>
      <c r="W688" s="454">
        <v>1</v>
      </c>
      <c r="X688" s="454">
        <v>1</v>
      </c>
      <c r="Y688" s="445">
        <v>1</v>
      </c>
      <c r="Z688" s="454">
        <v>1</v>
      </c>
      <c r="AA688" s="455">
        <v>1</v>
      </c>
      <c r="AB688" s="1254">
        <v>1</v>
      </c>
      <c r="AC688" s="447">
        <v>1</v>
      </c>
      <c r="AD688" s="445">
        <v>2</v>
      </c>
      <c r="AE688" s="1225">
        <v>2</v>
      </c>
      <c r="AF688" s="1278" t="s">
        <v>1292</v>
      </c>
      <c r="AG688" s="1230" t="str">
        <f>+C688</f>
        <v>3-SANTA FE</v>
      </c>
      <c r="AH688" s="1291" t="s">
        <v>554</v>
      </c>
      <c r="AI688" s="1291" t="s">
        <v>1032</v>
      </c>
      <c r="AJ688" s="788" t="s">
        <v>1154</v>
      </c>
      <c r="AK688" s="788" t="s">
        <v>315</v>
      </c>
      <c r="AL688" s="810" t="s">
        <v>70</v>
      </c>
      <c r="AM688" s="810" t="s">
        <v>547</v>
      </c>
      <c r="AN688" s="791">
        <v>107788</v>
      </c>
      <c r="AO688" s="805">
        <v>53687</v>
      </c>
      <c r="AP688" s="805">
        <v>54100</v>
      </c>
      <c r="AQ688" s="787" t="s">
        <v>317</v>
      </c>
      <c r="AR688" s="787" t="s">
        <v>317</v>
      </c>
      <c r="AS688" s="787" t="s">
        <v>317</v>
      </c>
      <c r="AT688" s="787" t="s">
        <v>317</v>
      </c>
      <c r="AU688" s="787" t="s">
        <v>317</v>
      </c>
      <c r="AV688" s="787" t="s">
        <v>317</v>
      </c>
      <c r="AW688" s="787" t="s">
        <v>317</v>
      </c>
      <c r="AX688" s="805">
        <v>107788</v>
      </c>
      <c r="AY688" s="1281" t="s">
        <v>1033</v>
      </c>
    </row>
    <row r="689" spans="1:51" ht="18" customHeight="1" x14ac:dyDescent="0.25">
      <c r="A689" s="1195"/>
      <c r="B689" s="833"/>
      <c r="C689" s="810"/>
      <c r="D689" s="132" t="s">
        <v>3</v>
      </c>
      <c r="E689" s="239"/>
      <c r="F689" s="240"/>
      <c r="G689" s="456"/>
      <c r="H689" s="456"/>
      <c r="I689" s="456">
        <v>4371175</v>
      </c>
      <c r="J689" s="456">
        <v>3906965.6875</v>
      </c>
      <c r="K689" s="456">
        <f>+K688*$K$671/$K$670</f>
        <v>3615498.1458333335</v>
      </c>
      <c r="L689" s="456">
        <f>+L688*$L$671/$L$670</f>
        <v>4436332.4312500004</v>
      </c>
      <c r="M689" s="456">
        <f>+M688*$M$671/$M$670</f>
        <v>3615498.1458333335</v>
      </c>
      <c r="N689" s="456">
        <f>+N688*$N$671/$N$670</f>
        <v>4592779.3062500004</v>
      </c>
      <c r="O689" s="456">
        <f>+O688*$O$671/$O$670</f>
        <v>4592779.3062500004</v>
      </c>
      <c r="P689" s="456">
        <f>+P688*$P$671/$P$670</f>
        <v>4592779.3062500004</v>
      </c>
      <c r="Q689" s="456">
        <f>+Q688*$Q$671/$Q$670</f>
        <v>9185558.6125000007</v>
      </c>
      <c r="R689" s="456">
        <f>+R688*$R$671/$R$670</f>
        <v>8872664.8625000007</v>
      </c>
      <c r="S689" s="456"/>
      <c r="T689" s="457"/>
      <c r="U689" s="457"/>
      <c r="V689" s="456">
        <v>7706311.111111111</v>
      </c>
      <c r="W689" s="456">
        <v>6935680</v>
      </c>
      <c r="X689" s="456">
        <f>+X688*$X$671/$X$670</f>
        <v>6305163.6363636367</v>
      </c>
      <c r="Y689" s="456">
        <f>+Y688*$Y$671/$Y$670</f>
        <v>6083929.8245614031</v>
      </c>
      <c r="Z689" s="456">
        <f>+Z688*$Z$671/$Z$670</f>
        <v>5877694.9152542371</v>
      </c>
      <c r="AA689" s="456">
        <f>+AA688*$AA$671/$AA$670</f>
        <v>5684983.6065573767</v>
      </c>
      <c r="AB689" s="456">
        <f>+AB688*$AB$671/$AB$670</f>
        <v>7302421.0526315793</v>
      </c>
      <c r="AC689" s="456">
        <f>+AC688*$AC$671/$AC$670</f>
        <v>5366531.1320754718</v>
      </c>
      <c r="AD689" s="456">
        <f>+AD688*$AD$671/$AD$670</f>
        <v>8830120</v>
      </c>
      <c r="AE689" s="456">
        <f>+AE688*$AE$671/$AE$670</f>
        <v>7948736.25</v>
      </c>
      <c r="AF689" s="1283"/>
      <c r="AG689" s="1230"/>
      <c r="AH689" s="1292"/>
      <c r="AI689" s="1292"/>
      <c r="AJ689" s="789"/>
      <c r="AK689" s="789"/>
      <c r="AL689" s="810"/>
      <c r="AM689" s="810"/>
      <c r="AN689" s="791"/>
      <c r="AO689" s="805"/>
      <c r="AP689" s="805"/>
      <c r="AQ689" s="787"/>
      <c r="AR689" s="787"/>
      <c r="AS689" s="787"/>
      <c r="AT689" s="787"/>
      <c r="AU689" s="787"/>
      <c r="AV689" s="787"/>
      <c r="AW689" s="787"/>
      <c r="AX689" s="805"/>
      <c r="AY689" s="1286"/>
    </row>
    <row r="690" spans="1:51" ht="27" customHeight="1" x14ac:dyDescent="0.25">
      <c r="A690" s="1195"/>
      <c r="B690" s="833"/>
      <c r="C690" s="810"/>
      <c r="D690" s="136" t="s">
        <v>42</v>
      </c>
      <c r="E690" s="239"/>
      <c r="F690" s="240"/>
      <c r="G690" s="456"/>
      <c r="H690" s="456"/>
      <c r="I690" s="456"/>
      <c r="J690" s="456"/>
      <c r="K690" s="456"/>
      <c r="L690" s="456"/>
      <c r="M690" s="456"/>
      <c r="N690" s="1282"/>
      <c r="O690" s="456"/>
      <c r="P690" s="456"/>
      <c r="Q690" s="456"/>
      <c r="R690" s="1287"/>
      <c r="S690" s="456"/>
      <c r="T690" s="457"/>
      <c r="U690" s="457"/>
      <c r="V690" s="456"/>
      <c r="W690" s="457"/>
      <c r="X690" s="457"/>
      <c r="Y690" s="456"/>
      <c r="Z690" s="457"/>
      <c r="AA690" s="1282"/>
      <c r="AB690" s="1293"/>
      <c r="AC690" s="1287"/>
      <c r="AD690" s="456"/>
      <c r="AE690" s="1226"/>
      <c r="AF690" s="1283"/>
      <c r="AG690" s="1230"/>
      <c r="AH690" s="1292"/>
      <c r="AI690" s="1292"/>
      <c r="AJ690" s="789"/>
      <c r="AK690" s="789"/>
      <c r="AL690" s="810"/>
      <c r="AM690" s="810"/>
      <c r="AN690" s="791"/>
      <c r="AO690" s="805"/>
      <c r="AP690" s="805"/>
      <c r="AQ690" s="787"/>
      <c r="AR690" s="787"/>
      <c r="AS690" s="787"/>
      <c r="AT690" s="787"/>
      <c r="AU690" s="787"/>
      <c r="AV690" s="787"/>
      <c r="AW690" s="787"/>
      <c r="AX690" s="805"/>
      <c r="AY690" s="1286"/>
    </row>
    <row r="691" spans="1:51" ht="27" customHeight="1" x14ac:dyDescent="0.25">
      <c r="A691" s="1195"/>
      <c r="B691" s="833"/>
      <c r="C691" s="810"/>
      <c r="D691" s="132" t="s">
        <v>4</v>
      </c>
      <c r="E691" s="239"/>
      <c r="F691" s="240"/>
      <c r="G691" s="456"/>
      <c r="H691" s="456"/>
      <c r="I691" s="456"/>
      <c r="J691" s="456"/>
      <c r="K691" s="456"/>
      <c r="L691" s="456"/>
      <c r="M691" s="456"/>
      <c r="N691" s="1282"/>
      <c r="O691" s="456"/>
      <c r="P691" s="456"/>
      <c r="Q691" s="456"/>
      <c r="R691" s="1287"/>
      <c r="S691" s="456"/>
      <c r="T691" s="457"/>
      <c r="U691" s="457"/>
      <c r="V691" s="456"/>
      <c r="W691" s="457"/>
      <c r="X691" s="457"/>
      <c r="Y691" s="456"/>
      <c r="Z691" s="457"/>
      <c r="AA691" s="1282"/>
      <c r="AB691" s="1293"/>
      <c r="AC691" s="1287"/>
      <c r="AD691" s="456"/>
      <c r="AE691" s="1226"/>
      <c r="AF691" s="1283"/>
      <c r="AG691" s="1230"/>
      <c r="AH691" s="1292"/>
      <c r="AI691" s="1292"/>
      <c r="AJ691" s="789"/>
      <c r="AK691" s="789"/>
      <c r="AL691" s="810"/>
      <c r="AM691" s="810"/>
      <c r="AN691" s="791"/>
      <c r="AO691" s="805"/>
      <c r="AP691" s="805"/>
      <c r="AQ691" s="787"/>
      <c r="AR691" s="787"/>
      <c r="AS691" s="787"/>
      <c r="AT691" s="787"/>
      <c r="AU691" s="787"/>
      <c r="AV691" s="787"/>
      <c r="AW691" s="787"/>
      <c r="AX691" s="805"/>
      <c r="AY691" s="1286"/>
    </row>
    <row r="692" spans="1:51" ht="27" customHeight="1" x14ac:dyDescent="0.25">
      <c r="A692" s="1195"/>
      <c r="B692" s="833"/>
      <c r="C692" s="810"/>
      <c r="D692" s="136" t="s">
        <v>43</v>
      </c>
      <c r="E692" s="142"/>
      <c r="F692" s="143"/>
      <c r="G692" s="445"/>
      <c r="H692" s="445"/>
      <c r="I692" s="459">
        <v>1</v>
      </c>
      <c r="J692" s="445">
        <v>1</v>
      </c>
      <c r="K692" s="445">
        <v>1</v>
      </c>
      <c r="L692" s="445">
        <v>1</v>
      </c>
      <c r="M692" s="445">
        <v>1</v>
      </c>
      <c r="N692" s="447">
        <v>1</v>
      </c>
      <c r="O692" s="445">
        <v>1</v>
      </c>
      <c r="P692" s="445">
        <v>1</v>
      </c>
      <c r="Q692" s="445">
        <v>2</v>
      </c>
      <c r="R692" s="447">
        <v>2</v>
      </c>
      <c r="S692" s="445"/>
      <c r="T692" s="447"/>
      <c r="U692" s="447"/>
      <c r="V692" s="459">
        <v>1</v>
      </c>
      <c r="W692" s="447">
        <v>1</v>
      </c>
      <c r="X692" s="450">
        <v>1</v>
      </c>
      <c r="Y692" s="445">
        <v>1</v>
      </c>
      <c r="Z692" s="447">
        <v>1</v>
      </c>
      <c r="AA692" s="447">
        <v>1</v>
      </c>
      <c r="AB692" s="1255">
        <v>1</v>
      </c>
      <c r="AC692" s="447">
        <v>1</v>
      </c>
      <c r="AD692" s="445">
        <v>2</v>
      </c>
      <c r="AE692" s="1225">
        <v>2</v>
      </c>
      <c r="AF692" s="1283"/>
      <c r="AG692" s="1230"/>
      <c r="AH692" s="1292"/>
      <c r="AI692" s="1292"/>
      <c r="AJ692" s="789"/>
      <c r="AK692" s="789"/>
      <c r="AL692" s="810"/>
      <c r="AM692" s="810"/>
      <c r="AN692" s="791"/>
      <c r="AO692" s="805"/>
      <c r="AP692" s="805"/>
      <c r="AQ692" s="787"/>
      <c r="AR692" s="787"/>
      <c r="AS692" s="787"/>
      <c r="AT692" s="787"/>
      <c r="AU692" s="787"/>
      <c r="AV692" s="787"/>
      <c r="AW692" s="787"/>
      <c r="AX692" s="805"/>
      <c r="AY692" s="1286"/>
    </row>
    <row r="693" spans="1:51" ht="27.75" customHeight="1" thickBot="1" x14ac:dyDescent="0.3">
      <c r="A693" s="1195"/>
      <c r="B693" s="833"/>
      <c r="C693" s="810"/>
      <c r="D693" s="140" t="s">
        <v>45</v>
      </c>
      <c r="E693" s="244"/>
      <c r="F693" s="245"/>
      <c r="G693" s="458"/>
      <c r="H693" s="458"/>
      <c r="I693" s="456">
        <v>4371175</v>
      </c>
      <c r="J693" s="456">
        <v>3906965.6875</v>
      </c>
      <c r="K693" s="456">
        <f>+K692*$K$671/$K$670</f>
        <v>3615498.1458333335</v>
      </c>
      <c r="L693" s="456">
        <f>+L692*$L$671/$L$670</f>
        <v>4436332.4312500004</v>
      </c>
      <c r="M693" s="456">
        <f>+M692*$M$671/$M$670</f>
        <v>3615498.1458333335</v>
      </c>
      <c r="N693" s="456">
        <f>+N692*$N$671/$N$670</f>
        <v>4592779.3062500004</v>
      </c>
      <c r="O693" s="456">
        <f>+O692*$O$671/$O$670</f>
        <v>4592779.3062500004</v>
      </c>
      <c r="P693" s="456">
        <f>+P692*$P$671/$P$670</f>
        <v>4592779.3062500004</v>
      </c>
      <c r="Q693" s="456">
        <f>+Q692*$Q$671/$Q$670</f>
        <v>9185558.6125000007</v>
      </c>
      <c r="R693" s="456">
        <f>+R692*$R$671/$R$670</f>
        <v>8872664.8625000007</v>
      </c>
      <c r="S693" s="456"/>
      <c r="T693" s="454"/>
      <c r="U693" s="454"/>
      <c r="V693" s="456">
        <v>7706311.111111111</v>
      </c>
      <c r="W693" s="456">
        <v>6935680</v>
      </c>
      <c r="X693" s="456">
        <f>+X692*$X$671/$X$670</f>
        <v>6305163.6363636367</v>
      </c>
      <c r="Y693" s="456">
        <f>+Y692*$Y$671/$Y$670</f>
        <v>6083929.8245614031</v>
      </c>
      <c r="Z693" s="456">
        <f>+Z692*$Z$671/$Z$670</f>
        <v>5877694.9152542371</v>
      </c>
      <c r="AA693" s="456">
        <f>+AA692*$AA$671/$AA$670</f>
        <v>5684983.6065573767</v>
      </c>
      <c r="AB693" s="456">
        <f>+AB692*$AB$671/$AB$670</f>
        <v>7302421.0526315793</v>
      </c>
      <c r="AC693" s="456">
        <f>+AC692*$AC$671/$AC$670</f>
        <v>5366531.1320754718</v>
      </c>
      <c r="AD693" s="456">
        <f>+AD692*$AD$671/$AD$670</f>
        <v>8830120</v>
      </c>
      <c r="AE693" s="456">
        <f>+AE692*$AE$671/$AE$670</f>
        <v>7948736.25</v>
      </c>
      <c r="AF693" s="1288"/>
      <c r="AG693" s="1230"/>
      <c r="AH693" s="1294"/>
      <c r="AI693" s="1294"/>
      <c r="AJ693" s="790"/>
      <c r="AK693" s="790"/>
      <c r="AL693" s="810"/>
      <c r="AM693" s="810"/>
      <c r="AN693" s="791"/>
      <c r="AO693" s="805"/>
      <c r="AP693" s="805"/>
      <c r="AQ693" s="787"/>
      <c r="AR693" s="787"/>
      <c r="AS693" s="787"/>
      <c r="AT693" s="787"/>
      <c r="AU693" s="787"/>
      <c r="AV693" s="787"/>
      <c r="AW693" s="787"/>
      <c r="AX693" s="805"/>
      <c r="AY693" s="1286"/>
    </row>
    <row r="694" spans="1:51" ht="18" customHeight="1" x14ac:dyDescent="0.25">
      <c r="A694" s="1195"/>
      <c r="B694" s="833"/>
      <c r="C694" s="1197" t="s">
        <v>1305</v>
      </c>
      <c r="D694" s="141" t="s">
        <v>41</v>
      </c>
      <c r="E694" s="142"/>
      <c r="F694" s="143"/>
      <c r="G694" s="445"/>
      <c r="H694" s="445"/>
      <c r="I694" s="445"/>
      <c r="J694" s="445"/>
      <c r="K694" s="445"/>
      <c r="L694" s="445"/>
      <c r="M694" s="445"/>
      <c r="N694" s="455"/>
      <c r="O694" s="445"/>
      <c r="P694" s="445"/>
      <c r="Q694" s="445"/>
      <c r="R694" s="447">
        <v>1</v>
      </c>
      <c r="S694" s="454"/>
      <c r="T694" s="454"/>
      <c r="U694" s="454"/>
      <c r="V694" s="454"/>
      <c r="W694" s="454"/>
      <c r="X694" s="454"/>
      <c r="Y694" s="445"/>
      <c r="Z694" s="454"/>
      <c r="AA694" s="455"/>
      <c r="AB694" s="1254"/>
      <c r="AC694" s="447"/>
      <c r="AD694" s="445"/>
      <c r="AE694" s="1235">
        <v>1</v>
      </c>
      <c r="AF694" s="1278" t="s">
        <v>1156</v>
      </c>
      <c r="AG694" s="1230" t="str">
        <f>+C694</f>
        <v>4-SAN CRISTOBAL</v>
      </c>
      <c r="AH694" s="1280" t="s">
        <v>1017</v>
      </c>
      <c r="AI694" s="1280" t="s">
        <v>1157</v>
      </c>
      <c r="AJ694" s="788" t="s">
        <v>1154</v>
      </c>
      <c r="AK694" s="788" t="s">
        <v>315</v>
      </c>
      <c r="AL694" s="810" t="s">
        <v>1158</v>
      </c>
      <c r="AM694" s="810" t="s">
        <v>547</v>
      </c>
      <c r="AN694" s="791">
        <v>406574</v>
      </c>
      <c r="AO694" s="805">
        <v>196556.91202693101</v>
      </c>
      <c r="AP694" s="805">
        <v>210017.40080502801</v>
      </c>
      <c r="AQ694" s="787" t="s">
        <v>317</v>
      </c>
      <c r="AR694" s="787" t="s">
        <v>317</v>
      </c>
      <c r="AS694" s="787" t="s">
        <v>317</v>
      </c>
      <c r="AT694" s="787" t="s">
        <v>317</v>
      </c>
      <c r="AU694" s="787" t="s">
        <v>317</v>
      </c>
      <c r="AV694" s="787" t="s">
        <v>317</v>
      </c>
      <c r="AW694" s="787" t="s">
        <v>317</v>
      </c>
      <c r="AX694" s="791">
        <v>406574</v>
      </c>
      <c r="AY694" s="1281" t="s">
        <v>1159</v>
      </c>
    </row>
    <row r="695" spans="1:51" ht="18" customHeight="1" x14ac:dyDescent="0.25">
      <c r="A695" s="1195"/>
      <c r="B695" s="833"/>
      <c r="C695" s="1198"/>
      <c r="D695" s="132" t="s">
        <v>3</v>
      </c>
      <c r="E695" s="239"/>
      <c r="F695" s="240"/>
      <c r="G695" s="456"/>
      <c r="H695" s="456"/>
      <c r="I695" s="456"/>
      <c r="J695" s="456"/>
      <c r="K695" s="456"/>
      <c r="L695" s="456"/>
      <c r="M695" s="456"/>
      <c r="N695" s="1282"/>
      <c r="O695" s="456"/>
      <c r="P695" s="456"/>
      <c r="Q695" s="456"/>
      <c r="R695" s="456">
        <f>+R694*$R$671/$R$670</f>
        <v>4436332.4312500004</v>
      </c>
      <c r="S695" s="457"/>
      <c r="T695" s="457"/>
      <c r="U695" s="457"/>
      <c r="V695" s="457"/>
      <c r="W695" s="457"/>
      <c r="X695" s="457"/>
      <c r="Y695" s="456"/>
      <c r="Z695" s="457"/>
      <c r="AA695" s="1282"/>
      <c r="AB695" s="1293"/>
      <c r="AC695" s="1287"/>
      <c r="AD695" s="456"/>
      <c r="AE695" s="456">
        <f>+AE694*$AE$671/$AE$670</f>
        <v>3974368.125</v>
      </c>
      <c r="AF695" s="1283"/>
      <c r="AG695" s="1230"/>
      <c r="AH695" s="1285"/>
      <c r="AI695" s="1285"/>
      <c r="AJ695" s="789"/>
      <c r="AK695" s="789"/>
      <c r="AL695" s="810"/>
      <c r="AM695" s="810"/>
      <c r="AN695" s="791"/>
      <c r="AO695" s="805"/>
      <c r="AP695" s="805"/>
      <c r="AQ695" s="787"/>
      <c r="AR695" s="787"/>
      <c r="AS695" s="787"/>
      <c r="AT695" s="787"/>
      <c r="AU695" s="787"/>
      <c r="AV695" s="787"/>
      <c r="AW695" s="787"/>
      <c r="AX695" s="791"/>
      <c r="AY695" s="1286"/>
    </row>
    <row r="696" spans="1:51" ht="27" customHeight="1" x14ac:dyDescent="0.25">
      <c r="A696" s="1195"/>
      <c r="B696" s="833"/>
      <c r="C696" s="1198"/>
      <c r="D696" s="136" t="s">
        <v>42</v>
      </c>
      <c r="E696" s="239"/>
      <c r="F696" s="240"/>
      <c r="G696" s="456"/>
      <c r="H696" s="456"/>
      <c r="I696" s="456"/>
      <c r="J696" s="456"/>
      <c r="K696" s="456"/>
      <c r="L696" s="456"/>
      <c r="M696" s="456"/>
      <c r="N696" s="1282"/>
      <c r="O696" s="456"/>
      <c r="P696" s="456"/>
      <c r="Q696" s="456"/>
      <c r="R696" s="1287"/>
      <c r="S696" s="457"/>
      <c r="T696" s="457"/>
      <c r="U696" s="457"/>
      <c r="V696" s="457"/>
      <c r="W696" s="457"/>
      <c r="X696" s="457"/>
      <c r="Y696" s="456"/>
      <c r="Z696" s="457"/>
      <c r="AA696" s="1282"/>
      <c r="AB696" s="1293"/>
      <c r="AC696" s="1287"/>
      <c r="AD696" s="456"/>
      <c r="AE696" s="1226"/>
      <c r="AF696" s="1283"/>
      <c r="AG696" s="1230"/>
      <c r="AH696" s="1285"/>
      <c r="AI696" s="1285"/>
      <c r="AJ696" s="789"/>
      <c r="AK696" s="789"/>
      <c r="AL696" s="810"/>
      <c r="AM696" s="810"/>
      <c r="AN696" s="791"/>
      <c r="AO696" s="805"/>
      <c r="AP696" s="805"/>
      <c r="AQ696" s="787"/>
      <c r="AR696" s="787"/>
      <c r="AS696" s="787"/>
      <c r="AT696" s="787"/>
      <c r="AU696" s="787"/>
      <c r="AV696" s="787"/>
      <c r="AW696" s="787"/>
      <c r="AX696" s="791"/>
      <c r="AY696" s="1286"/>
    </row>
    <row r="697" spans="1:51" ht="27" customHeight="1" x14ac:dyDescent="0.25">
      <c r="A697" s="1195"/>
      <c r="B697" s="833"/>
      <c r="C697" s="1198"/>
      <c r="D697" s="132" t="s">
        <v>4</v>
      </c>
      <c r="E697" s="239"/>
      <c r="F697" s="240"/>
      <c r="G697" s="456"/>
      <c r="H697" s="456"/>
      <c r="I697" s="456"/>
      <c r="J697" s="456"/>
      <c r="K697" s="456"/>
      <c r="L697" s="456"/>
      <c r="M697" s="456"/>
      <c r="N697" s="1282"/>
      <c r="O697" s="456"/>
      <c r="P697" s="456"/>
      <c r="Q697" s="456"/>
      <c r="R697" s="1287"/>
      <c r="S697" s="457"/>
      <c r="T697" s="457"/>
      <c r="U697" s="457"/>
      <c r="V697" s="457"/>
      <c r="W697" s="457"/>
      <c r="X697" s="457"/>
      <c r="Y697" s="456"/>
      <c r="Z697" s="457"/>
      <c r="AA697" s="1282"/>
      <c r="AB697" s="1293"/>
      <c r="AC697" s="1287"/>
      <c r="AD697" s="456"/>
      <c r="AE697" s="1226"/>
      <c r="AF697" s="1283"/>
      <c r="AG697" s="1230"/>
      <c r="AH697" s="1285"/>
      <c r="AI697" s="1285"/>
      <c r="AJ697" s="789"/>
      <c r="AK697" s="789"/>
      <c r="AL697" s="810"/>
      <c r="AM697" s="810"/>
      <c r="AN697" s="791"/>
      <c r="AO697" s="805"/>
      <c r="AP697" s="805"/>
      <c r="AQ697" s="787"/>
      <c r="AR697" s="787"/>
      <c r="AS697" s="787"/>
      <c r="AT697" s="787"/>
      <c r="AU697" s="787"/>
      <c r="AV697" s="787"/>
      <c r="AW697" s="787"/>
      <c r="AX697" s="791"/>
      <c r="AY697" s="1286"/>
    </row>
    <row r="698" spans="1:51" ht="27" customHeight="1" x14ac:dyDescent="0.25">
      <c r="A698" s="1195"/>
      <c r="B698" s="833"/>
      <c r="C698" s="1198"/>
      <c r="D698" s="136" t="s">
        <v>43</v>
      </c>
      <c r="E698" s="142"/>
      <c r="F698" s="143"/>
      <c r="G698" s="445"/>
      <c r="H698" s="445"/>
      <c r="I698" s="445"/>
      <c r="J698" s="445"/>
      <c r="K698" s="445"/>
      <c r="L698" s="445"/>
      <c r="M698" s="445"/>
      <c r="N698" s="447"/>
      <c r="O698" s="445"/>
      <c r="P698" s="445"/>
      <c r="Q698" s="445"/>
      <c r="R698" s="447">
        <v>1</v>
      </c>
      <c r="S698" s="447"/>
      <c r="T698" s="447"/>
      <c r="U698" s="447"/>
      <c r="V698" s="447"/>
      <c r="W698" s="447"/>
      <c r="X698" s="447"/>
      <c r="Y698" s="445"/>
      <c r="Z698" s="447"/>
      <c r="AA698" s="447"/>
      <c r="AB698" s="1255"/>
      <c r="AC698" s="447"/>
      <c r="AD698" s="445"/>
      <c r="AE698" s="1225">
        <v>1</v>
      </c>
      <c r="AF698" s="1283"/>
      <c r="AG698" s="1230"/>
      <c r="AH698" s="1285"/>
      <c r="AI698" s="1285"/>
      <c r="AJ698" s="789"/>
      <c r="AK698" s="789"/>
      <c r="AL698" s="810"/>
      <c r="AM698" s="810"/>
      <c r="AN698" s="791"/>
      <c r="AO698" s="805"/>
      <c r="AP698" s="805"/>
      <c r="AQ698" s="787"/>
      <c r="AR698" s="787"/>
      <c r="AS698" s="787"/>
      <c r="AT698" s="787"/>
      <c r="AU698" s="787"/>
      <c r="AV698" s="787"/>
      <c r="AW698" s="787"/>
      <c r="AX698" s="791"/>
      <c r="AY698" s="1286"/>
    </row>
    <row r="699" spans="1:51" ht="27.75" customHeight="1" thickBot="1" x14ac:dyDescent="0.3">
      <c r="A699" s="1195"/>
      <c r="B699" s="833"/>
      <c r="C699" s="1199"/>
      <c r="D699" s="140" t="s">
        <v>45</v>
      </c>
      <c r="E699" s="244"/>
      <c r="F699" s="245"/>
      <c r="G699" s="458"/>
      <c r="H699" s="458"/>
      <c r="I699" s="458"/>
      <c r="J699" s="458"/>
      <c r="K699" s="458"/>
      <c r="L699" s="458"/>
      <c r="M699" s="458"/>
      <c r="N699" s="455"/>
      <c r="O699" s="458"/>
      <c r="P699" s="458"/>
      <c r="Q699" s="458"/>
      <c r="R699" s="456">
        <f>+R698*$R$671/$R$670</f>
        <v>4436332.4312500004</v>
      </c>
      <c r="S699" s="454"/>
      <c r="T699" s="454"/>
      <c r="U699" s="454"/>
      <c r="V699" s="454"/>
      <c r="W699" s="454"/>
      <c r="X699" s="454"/>
      <c r="Y699" s="458"/>
      <c r="Z699" s="454"/>
      <c r="AA699" s="455"/>
      <c r="AB699" s="1254"/>
      <c r="AC699" s="1287"/>
      <c r="AD699" s="458"/>
      <c r="AE699" s="456">
        <f>+AE698*$AE$671/$AE$670</f>
        <v>3974368.125</v>
      </c>
      <c r="AF699" s="1288"/>
      <c r="AG699" s="1230"/>
      <c r="AH699" s="1290"/>
      <c r="AI699" s="1290"/>
      <c r="AJ699" s="790"/>
      <c r="AK699" s="790"/>
      <c r="AL699" s="810"/>
      <c r="AM699" s="810"/>
      <c r="AN699" s="791"/>
      <c r="AO699" s="805"/>
      <c r="AP699" s="805"/>
      <c r="AQ699" s="787"/>
      <c r="AR699" s="787"/>
      <c r="AS699" s="787"/>
      <c r="AT699" s="787"/>
      <c r="AU699" s="787"/>
      <c r="AV699" s="787"/>
      <c r="AW699" s="787"/>
      <c r="AX699" s="791"/>
      <c r="AY699" s="1286"/>
    </row>
    <row r="700" spans="1:51" ht="18" hidden="1" customHeight="1" x14ac:dyDescent="0.25">
      <c r="A700" s="1195"/>
      <c r="B700" s="833"/>
      <c r="C700" s="810" t="s">
        <v>324</v>
      </c>
      <c r="D700" s="141" t="s">
        <v>41</v>
      </c>
      <c r="E700" s="142"/>
      <c r="F700" s="143"/>
      <c r="G700" s="445"/>
      <c r="H700" s="445"/>
      <c r="I700" s="445"/>
      <c r="J700" s="445"/>
      <c r="K700" s="445"/>
      <c r="L700" s="445"/>
      <c r="M700" s="445"/>
      <c r="N700" s="455"/>
      <c r="O700" s="445"/>
      <c r="P700" s="458"/>
      <c r="Q700" s="445"/>
      <c r="R700" s="447"/>
      <c r="S700" s="454"/>
      <c r="T700" s="454"/>
      <c r="U700" s="454"/>
      <c r="V700" s="454"/>
      <c r="W700" s="454"/>
      <c r="X700" s="454"/>
      <c r="Y700" s="445"/>
      <c r="Z700" s="454"/>
      <c r="AA700" s="455"/>
      <c r="AB700" s="1254"/>
      <c r="AC700" s="447"/>
      <c r="AD700" s="445">
        <v>1</v>
      </c>
      <c r="AE700" s="1235"/>
      <c r="AF700" s="1295"/>
      <c r="AG700" s="1230" t="str">
        <f>+C700</f>
        <v>USME</v>
      </c>
      <c r="AH700" s="788" t="s">
        <v>350</v>
      </c>
      <c r="AI700" s="788" t="s">
        <v>350</v>
      </c>
      <c r="AJ700" s="788" t="s">
        <v>350</v>
      </c>
      <c r="AK700" s="788" t="s">
        <v>315</v>
      </c>
      <c r="AL700" s="810" t="s">
        <v>557</v>
      </c>
      <c r="AM700" s="810" t="s">
        <v>547</v>
      </c>
      <c r="AN700" s="823">
        <v>372602.406877751</v>
      </c>
      <c r="AO700" s="805">
        <v>181364.039519977</v>
      </c>
      <c r="AP700" s="805">
        <v>191238.36735777499</v>
      </c>
      <c r="AQ700" s="787" t="s">
        <v>317</v>
      </c>
      <c r="AR700" s="787" t="s">
        <v>317</v>
      </c>
      <c r="AS700" s="787" t="s">
        <v>317</v>
      </c>
      <c r="AT700" s="787" t="s">
        <v>317</v>
      </c>
      <c r="AU700" s="787" t="s">
        <v>317</v>
      </c>
      <c r="AV700" s="787" t="s">
        <v>317</v>
      </c>
      <c r="AW700" s="787" t="s">
        <v>317</v>
      </c>
      <c r="AX700" s="783">
        <v>8185614</v>
      </c>
      <c r="AY700" s="1281" t="s">
        <v>548</v>
      </c>
    </row>
    <row r="701" spans="1:51" ht="18" hidden="1" customHeight="1" x14ac:dyDescent="0.25">
      <c r="A701" s="1195"/>
      <c r="B701" s="833"/>
      <c r="C701" s="810"/>
      <c r="D701" s="132" t="s">
        <v>3</v>
      </c>
      <c r="E701" s="239"/>
      <c r="F701" s="240"/>
      <c r="G701" s="456"/>
      <c r="H701" s="456"/>
      <c r="I701" s="456"/>
      <c r="J701" s="456"/>
      <c r="K701" s="456"/>
      <c r="L701" s="456"/>
      <c r="M701" s="456"/>
      <c r="N701" s="1282"/>
      <c r="O701" s="456"/>
      <c r="P701" s="456"/>
      <c r="Q701" s="456"/>
      <c r="R701" s="456"/>
      <c r="S701" s="457"/>
      <c r="T701" s="457"/>
      <c r="U701" s="457"/>
      <c r="V701" s="457"/>
      <c r="W701" s="457"/>
      <c r="X701" s="457"/>
      <c r="Y701" s="456"/>
      <c r="Z701" s="457"/>
      <c r="AA701" s="1282"/>
      <c r="AB701" s="1293"/>
      <c r="AC701" s="456"/>
      <c r="AD701" s="456">
        <f>+AD700*$AD$677/$AD$676</f>
        <v>4415060</v>
      </c>
      <c r="AE701" s="456"/>
      <c r="AF701" s="1296"/>
      <c r="AG701" s="1230"/>
      <c r="AH701" s="789"/>
      <c r="AI701" s="789"/>
      <c r="AJ701" s="789"/>
      <c r="AK701" s="789"/>
      <c r="AL701" s="810"/>
      <c r="AM701" s="810"/>
      <c r="AN701" s="823"/>
      <c r="AO701" s="805"/>
      <c r="AP701" s="805"/>
      <c r="AQ701" s="787"/>
      <c r="AR701" s="787"/>
      <c r="AS701" s="787"/>
      <c r="AT701" s="787"/>
      <c r="AU701" s="787"/>
      <c r="AV701" s="787"/>
      <c r="AW701" s="787"/>
      <c r="AX701" s="784"/>
      <c r="AY701" s="1286"/>
    </row>
    <row r="702" spans="1:51" ht="27" hidden="1" customHeight="1" x14ac:dyDescent="0.25">
      <c r="A702" s="1195"/>
      <c r="B702" s="833"/>
      <c r="C702" s="810"/>
      <c r="D702" s="136" t="s">
        <v>42</v>
      </c>
      <c r="E702" s="239"/>
      <c r="F702" s="240"/>
      <c r="G702" s="456"/>
      <c r="H702" s="456"/>
      <c r="I702" s="456"/>
      <c r="J702" s="456"/>
      <c r="K702" s="456"/>
      <c r="L702" s="456"/>
      <c r="M702" s="456"/>
      <c r="N702" s="1282"/>
      <c r="O702" s="456"/>
      <c r="P702" s="458"/>
      <c r="Q702" s="456"/>
      <c r="R702" s="1287"/>
      <c r="S702" s="457"/>
      <c r="T702" s="457"/>
      <c r="U702" s="457"/>
      <c r="V702" s="457"/>
      <c r="W702" s="457"/>
      <c r="X702" s="457"/>
      <c r="Y702" s="456"/>
      <c r="Z702" s="457"/>
      <c r="AA702" s="1282"/>
      <c r="AB702" s="1293"/>
      <c r="AC702" s="1287"/>
      <c r="AD702" s="456"/>
      <c r="AE702" s="1226"/>
      <c r="AF702" s="1296"/>
      <c r="AG702" s="1230"/>
      <c r="AH702" s="789"/>
      <c r="AI702" s="789"/>
      <c r="AJ702" s="789"/>
      <c r="AK702" s="789"/>
      <c r="AL702" s="810"/>
      <c r="AM702" s="810"/>
      <c r="AN702" s="823"/>
      <c r="AO702" s="805"/>
      <c r="AP702" s="805"/>
      <c r="AQ702" s="787"/>
      <c r="AR702" s="787"/>
      <c r="AS702" s="787"/>
      <c r="AT702" s="787"/>
      <c r="AU702" s="787"/>
      <c r="AV702" s="787"/>
      <c r="AW702" s="787"/>
      <c r="AX702" s="784"/>
      <c r="AY702" s="1286"/>
    </row>
    <row r="703" spans="1:51" ht="27" hidden="1" customHeight="1" x14ac:dyDescent="0.25">
      <c r="A703" s="1195"/>
      <c r="B703" s="833"/>
      <c r="C703" s="810"/>
      <c r="D703" s="132" t="s">
        <v>4</v>
      </c>
      <c r="E703" s="239"/>
      <c r="F703" s="240"/>
      <c r="G703" s="456"/>
      <c r="H703" s="456"/>
      <c r="I703" s="456"/>
      <c r="J703" s="456"/>
      <c r="K703" s="456"/>
      <c r="L703" s="456"/>
      <c r="M703" s="456"/>
      <c r="N703" s="1282"/>
      <c r="O703" s="456"/>
      <c r="P703" s="458"/>
      <c r="Q703" s="456"/>
      <c r="R703" s="1287"/>
      <c r="S703" s="457"/>
      <c r="T703" s="457"/>
      <c r="U703" s="457"/>
      <c r="V703" s="457"/>
      <c r="W703" s="457"/>
      <c r="X703" s="457"/>
      <c r="Y703" s="456"/>
      <c r="Z703" s="457"/>
      <c r="AA703" s="1282"/>
      <c r="AB703" s="1293"/>
      <c r="AC703" s="1287"/>
      <c r="AD703" s="456"/>
      <c r="AE703" s="1226"/>
      <c r="AF703" s="1296"/>
      <c r="AG703" s="1230"/>
      <c r="AH703" s="789"/>
      <c r="AI703" s="789"/>
      <c r="AJ703" s="789"/>
      <c r="AK703" s="789"/>
      <c r="AL703" s="810"/>
      <c r="AM703" s="810"/>
      <c r="AN703" s="823"/>
      <c r="AO703" s="805"/>
      <c r="AP703" s="805"/>
      <c r="AQ703" s="787"/>
      <c r="AR703" s="787"/>
      <c r="AS703" s="787"/>
      <c r="AT703" s="787"/>
      <c r="AU703" s="787"/>
      <c r="AV703" s="787"/>
      <c r="AW703" s="787"/>
      <c r="AX703" s="784"/>
      <c r="AY703" s="1286"/>
    </row>
    <row r="704" spans="1:51" ht="27" hidden="1" customHeight="1" x14ac:dyDescent="0.25">
      <c r="A704" s="1195"/>
      <c r="B704" s="833"/>
      <c r="C704" s="810"/>
      <c r="D704" s="136" t="s">
        <v>43</v>
      </c>
      <c r="E704" s="142"/>
      <c r="F704" s="143"/>
      <c r="G704" s="445"/>
      <c r="H704" s="445"/>
      <c r="I704" s="445"/>
      <c r="J704" s="445"/>
      <c r="K704" s="445"/>
      <c r="L704" s="445"/>
      <c r="M704" s="445"/>
      <c r="N704" s="447"/>
      <c r="O704" s="445"/>
      <c r="P704" s="458"/>
      <c r="Q704" s="445"/>
      <c r="R704" s="447"/>
      <c r="S704" s="447"/>
      <c r="T704" s="447"/>
      <c r="U704" s="447"/>
      <c r="V704" s="447"/>
      <c r="W704" s="447"/>
      <c r="X704" s="447"/>
      <c r="Y704" s="445"/>
      <c r="Z704" s="447"/>
      <c r="AA704" s="447"/>
      <c r="AB704" s="1255"/>
      <c r="AC704" s="447"/>
      <c r="AD704" s="445">
        <v>1</v>
      </c>
      <c r="AE704" s="1225"/>
      <c r="AF704" s="1297"/>
      <c r="AG704" s="1230"/>
      <c r="AH704" s="789"/>
      <c r="AI704" s="789"/>
      <c r="AJ704" s="789"/>
      <c r="AK704" s="789"/>
      <c r="AL704" s="810"/>
      <c r="AM704" s="810"/>
      <c r="AN704" s="823"/>
      <c r="AO704" s="805"/>
      <c r="AP704" s="805"/>
      <c r="AQ704" s="787"/>
      <c r="AR704" s="787"/>
      <c r="AS704" s="787"/>
      <c r="AT704" s="787"/>
      <c r="AU704" s="787"/>
      <c r="AV704" s="787"/>
      <c r="AW704" s="787"/>
      <c r="AX704" s="784"/>
      <c r="AY704" s="1286"/>
    </row>
    <row r="705" spans="1:51" ht="27.75" hidden="1" customHeight="1" thickBot="1" x14ac:dyDescent="0.3">
      <c r="A705" s="1195"/>
      <c r="B705" s="833"/>
      <c r="C705" s="810"/>
      <c r="D705" s="140" t="s">
        <v>45</v>
      </c>
      <c r="E705" s="244"/>
      <c r="F705" s="245"/>
      <c r="G705" s="458"/>
      <c r="H705" s="458"/>
      <c r="I705" s="458"/>
      <c r="J705" s="458"/>
      <c r="K705" s="458"/>
      <c r="L705" s="458"/>
      <c r="M705" s="458"/>
      <c r="N705" s="455"/>
      <c r="O705" s="458"/>
      <c r="P705" s="456"/>
      <c r="Q705" s="456"/>
      <c r="R705" s="456"/>
      <c r="S705" s="454"/>
      <c r="T705" s="454"/>
      <c r="U705" s="454"/>
      <c r="V705" s="454"/>
      <c r="W705" s="454"/>
      <c r="X705" s="454"/>
      <c r="Y705" s="458"/>
      <c r="Z705" s="454"/>
      <c r="AA705" s="455"/>
      <c r="AB705" s="1254"/>
      <c r="AC705" s="456"/>
      <c r="AD705" s="456">
        <f>+AD704*$AD$677/$AD$676</f>
        <v>4415060</v>
      </c>
      <c r="AE705" s="456"/>
      <c r="AF705" s="1295"/>
      <c r="AG705" s="1230"/>
      <c r="AH705" s="790"/>
      <c r="AI705" s="790"/>
      <c r="AJ705" s="790"/>
      <c r="AK705" s="790"/>
      <c r="AL705" s="810"/>
      <c r="AM705" s="810"/>
      <c r="AN705" s="823"/>
      <c r="AO705" s="805"/>
      <c r="AP705" s="805"/>
      <c r="AQ705" s="787"/>
      <c r="AR705" s="787"/>
      <c r="AS705" s="787"/>
      <c r="AT705" s="787"/>
      <c r="AU705" s="787"/>
      <c r="AV705" s="787"/>
      <c r="AW705" s="787"/>
      <c r="AX705" s="785"/>
      <c r="AY705" s="1286"/>
    </row>
    <row r="706" spans="1:51" ht="18" customHeight="1" x14ac:dyDescent="0.25">
      <c r="A706" s="1195"/>
      <c r="B706" s="833"/>
      <c r="C706" s="1197" t="s">
        <v>1323</v>
      </c>
      <c r="D706" s="141" t="s">
        <v>41</v>
      </c>
      <c r="E706" s="142"/>
      <c r="F706" s="143"/>
      <c r="G706" s="459">
        <v>3</v>
      </c>
      <c r="H706" s="459">
        <v>3</v>
      </c>
      <c r="I706" s="459">
        <v>4</v>
      </c>
      <c r="J706" s="445">
        <v>4</v>
      </c>
      <c r="K706" s="445">
        <v>5</v>
      </c>
      <c r="L706" s="445">
        <v>5</v>
      </c>
      <c r="M706" s="445">
        <v>5</v>
      </c>
      <c r="N706" s="455">
        <v>5</v>
      </c>
      <c r="O706" s="445">
        <v>5</v>
      </c>
      <c r="P706" s="445">
        <v>5</v>
      </c>
      <c r="Q706" s="445">
        <v>5</v>
      </c>
      <c r="R706" s="447">
        <v>6</v>
      </c>
      <c r="S706" s="454"/>
      <c r="T706" s="459">
        <v>3</v>
      </c>
      <c r="U706" s="459">
        <v>3</v>
      </c>
      <c r="V706" s="459">
        <v>4</v>
      </c>
      <c r="W706" s="454">
        <v>4</v>
      </c>
      <c r="X706" s="455">
        <v>5</v>
      </c>
      <c r="Y706" s="445">
        <v>5</v>
      </c>
      <c r="Z706" s="454">
        <v>5</v>
      </c>
      <c r="AA706" s="455">
        <v>5</v>
      </c>
      <c r="AB706" s="1254">
        <v>5</v>
      </c>
      <c r="AC706" s="447">
        <v>5</v>
      </c>
      <c r="AD706" s="445">
        <v>5</v>
      </c>
      <c r="AE706" s="1235">
        <v>6</v>
      </c>
      <c r="AF706" s="1278" t="s">
        <v>1160</v>
      </c>
      <c r="AG706" s="1230" t="str">
        <f>+C706</f>
        <v>6-TUNJUELITO</v>
      </c>
      <c r="AH706" s="1291" t="s">
        <v>558</v>
      </c>
      <c r="AI706" s="1291" t="s">
        <v>949</v>
      </c>
      <c r="AJ706" s="788" t="s">
        <v>1154</v>
      </c>
      <c r="AK706" s="788" t="s">
        <v>315</v>
      </c>
      <c r="AL706" s="810" t="s">
        <v>225</v>
      </c>
      <c r="AM706" s="810" t="s">
        <v>547</v>
      </c>
      <c r="AN706" s="791">
        <v>181170</v>
      </c>
      <c r="AO706" s="805">
        <v>87610</v>
      </c>
      <c r="AP706" s="805">
        <v>93559</v>
      </c>
      <c r="AQ706" s="787" t="s">
        <v>317</v>
      </c>
      <c r="AR706" s="787" t="s">
        <v>317</v>
      </c>
      <c r="AS706" s="787" t="s">
        <v>317</v>
      </c>
      <c r="AT706" s="787" t="s">
        <v>317</v>
      </c>
      <c r="AU706" s="787" t="s">
        <v>317</v>
      </c>
      <c r="AV706" s="787" t="s">
        <v>317</v>
      </c>
      <c r="AW706" s="787" t="s">
        <v>317</v>
      </c>
      <c r="AX706" s="783">
        <v>181170</v>
      </c>
      <c r="AY706" s="1281" t="s">
        <v>1161</v>
      </c>
    </row>
    <row r="707" spans="1:51" ht="18" customHeight="1" x14ac:dyDescent="0.25">
      <c r="A707" s="1195"/>
      <c r="B707" s="833"/>
      <c r="C707" s="1198"/>
      <c r="D707" s="132" t="s">
        <v>3</v>
      </c>
      <c r="E707" s="239"/>
      <c r="F707" s="240"/>
      <c r="G707" s="456">
        <v>13113525</v>
      </c>
      <c r="H707" s="456">
        <v>13113525</v>
      </c>
      <c r="I707" s="456">
        <v>17484700</v>
      </c>
      <c r="J707" s="456">
        <v>15627862.75</v>
      </c>
      <c r="K707" s="456">
        <f>+K706*$K$671/$K$670</f>
        <v>18077490.729166668</v>
      </c>
      <c r="L707" s="456">
        <f>+L706*$L$671/$L$670</f>
        <v>22181662.15625</v>
      </c>
      <c r="M707" s="456">
        <f>+M706*$M$671/$M$670</f>
        <v>18077490.729166668</v>
      </c>
      <c r="N707" s="456">
        <f>+N706*$N$671/$N$670</f>
        <v>22963896.53125</v>
      </c>
      <c r="O707" s="456">
        <f>+O706*$O$671/$O$670</f>
        <v>22963896.53125</v>
      </c>
      <c r="P707" s="456">
        <f>+P706*$P$671/$P$670</f>
        <v>22963896.53125</v>
      </c>
      <c r="Q707" s="456">
        <f>+Q706*$Q$671/$Q$670</f>
        <v>22963896.53125</v>
      </c>
      <c r="R707" s="456">
        <f>+R706*$R$671/$R$670</f>
        <v>26617994.587499999</v>
      </c>
      <c r="S707" s="457"/>
      <c r="T707" s="456"/>
      <c r="U707" s="456">
        <v>4601700</v>
      </c>
      <c r="V707" s="456">
        <v>30825244.444444444</v>
      </c>
      <c r="W707" s="456">
        <v>27742720</v>
      </c>
      <c r="X707" s="456">
        <f>+X706*$X$671/$X$670</f>
        <v>31525818.181818184</v>
      </c>
      <c r="Y707" s="456">
        <f>+Y706*$Y$671/$Y$670</f>
        <v>30419649.122807018</v>
      </c>
      <c r="Z707" s="456">
        <f>+Z706*$Z$671/$Z$670</f>
        <v>29388474.576271188</v>
      </c>
      <c r="AA707" s="456">
        <f>+AA706*$AA$671/$AA$670</f>
        <v>28424918.032786883</v>
      </c>
      <c r="AB707" s="456">
        <f>+AB706*$AB$671/$AB$670</f>
        <v>36512105.263157897</v>
      </c>
      <c r="AC707" s="456">
        <f>+AC706*$AC$671/$AC$670</f>
        <v>26832655.660377357</v>
      </c>
      <c r="AD707" s="456">
        <f>+AD706*$AD$671/$AD$670</f>
        <v>22075300</v>
      </c>
      <c r="AE707" s="456">
        <f>+AE706*$AE$671/$AE$670</f>
        <v>23846208.75</v>
      </c>
      <c r="AF707" s="1283"/>
      <c r="AG707" s="1230"/>
      <c r="AH707" s="1292"/>
      <c r="AI707" s="1292"/>
      <c r="AJ707" s="789"/>
      <c r="AK707" s="789"/>
      <c r="AL707" s="810"/>
      <c r="AM707" s="810"/>
      <c r="AN707" s="791"/>
      <c r="AO707" s="805"/>
      <c r="AP707" s="805"/>
      <c r="AQ707" s="787"/>
      <c r="AR707" s="787"/>
      <c r="AS707" s="787"/>
      <c r="AT707" s="787"/>
      <c r="AU707" s="787"/>
      <c r="AV707" s="787"/>
      <c r="AW707" s="787"/>
      <c r="AX707" s="784"/>
      <c r="AY707" s="1286"/>
    </row>
    <row r="708" spans="1:51" ht="27" customHeight="1" x14ac:dyDescent="0.25">
      <c r="A708" s="1195"/>
      <c r="B708" s="833"/>
      <c r="C708" s="1198"/>
      <c r="D708" s="136" t="s">
        <v>42</v>
      </c>
      <c r="E708" s="239"/>
      <c r="F708" s="240"/>
      <c r="G708" s="456"/>
      <c r="H708" s="456"/>
      <c r="I708" s="456"/>
      <c r="J708" s="456"/>
      <c r="K708" s="456"/>
      <c r="L708" s="456"/>
      <c r="M708" s="456"/>
      <c r="N708" s="1282"/>
      <c r="O708" s="456"/>
      <c r="P708" s="456"/>
      <c r="Q708" s="456"/>
      <c r="R708" s="1287"/>
      <c r="S708" s="457"/>
      <c r="T708" s="456"/>
      <c r="U708" s="456"/>
      <c r="V708" s="456"/>
      <c r="W708" s="457"/>
      <c r="X708" s="457"/>
      <c r="Y708" s="456"/>
      <c r="Z708" s="457"/>
      <c r="AA708" s="1282"/>
      <c r="AB708" s="1293"/>
      <c r="AC708" s="1287"/>
      <c r="AD708" s="456"/>
      <c r="AE708" s="1226"/>
      <c r="AF708" s="1283"/>
      <c r="AG708" s="1230"/>
      <c r="AH708" s="1292"/>
      <c r="AI708" s="1292"/>
      <c r="AJ708" s="789"/>
      <c r="AK708" s="789"/>
      <c r="AL708" s="810"/>
      <c r="AM708" s="810"/>
      <c r="AN708" s="791"/>
      <c r="AO708" s="805"/>
      <c r="AP708" s="805"/>
      <c r="AQ708" s="787"/>
      <c r="AR708" s="787"/>
      <c r="AS708" s="787"/>
      <c r="AT708" s="787"/>
      <c r="AU708" s="787"/>
      <c r="AV708" s="787"/>
      <c r="AW708" s="787"/>
      <c r="AX708" s="784"/>
      <c r="AY708" s="1286"/>
    </row>
    <row r="709" spans="1:51" ht="27" customHeight="1" x14ac:dyDescent="0.25">
      <c r="A709" s="1195"/>
      <c r="B709" s="833"/>
      <c r="C709" s="1198"/>
      <c r="D709" s="132" t="s">
        <v>4</v>
      </c>
      <c r="E709" s="239"/>
      <c r="F709" s="240"/>
      <c r="G709" s="456"/>
      <c r="H709" s="456">
        <v>7723875.0909090908</v>
      </c>
      <c r="I709" s="456"/>
      <c r="J709" s="456"/>
      <c r="K709" s="456"/>
      <c r="L709" s="456"/>
      <c r="M709" s="456"/>
      <c r="N709" s="1282"/>
      <c r="O709" s="456"/>
      <c r="P709" s="456"/>
      <c r="Q709" s="456"/>
      <c r="R709" s="1287"/>
      <c r="S709" s="457"/>
      <c r="T709" s="456">
        <v>5276561.25</v>
      </c>
      <c r="U709" s="456">
        <v>7723875.0909090908</v>
      </c>
      <c r="V709" s="456"/>
      <c r="W709" s="457"/>
      <c r="X709" s="457"/>
      <c r="Y709" s="456"/>
      <c r="Z709" s="457"/>
      <c r="AA709" s="1282"/>
      <c r="AB709" s="1293"/>
      <c r="AC709" s="1287"/>
      <c r="AD709" s="456"/>
      <c r="AE709" s="1226"/>
      <c r="AF709" s="1283"/>
      <c r="AG709" s="1230"/>
      <c r="AH709" s="1292"/>
      <c r="AI709" s="1292"/>
      <c r="AJ709" s="789"/>
      <c r="AK709" s="789"/>
      <c r="AL709" s="810"/>
      <c r="AM709" s="810"/>
      <c r="AN709" s="791"/>
      <c r="AO709" s="805"/>
      <c r="AP709" s="805"/>
      <c r="AQ709" s="787"/>
      <c r="AR709" s="787"/>
      <c r="AS709" s="787"/>
      <c r="AT709" s="787"/>
      <c r="AU709" s="787"/>
      <c r="AV709" s="787"/>
      <c r="AW709" s="787"/>
      <c r="AX709" s="784"/>
      <c r="AY709" s="1286"/>
    </row>
    <row r="710" spans="1:51" ht="27" customHeight="1" x14ac:dyDescent="0.25">
      <c r="A710" s="1195"/>
      <c r="B710" s="833"/>
      <c r="C710" s="1198"/>
      <c r="D710" s="136" t="s">
        <v>43</v>
      </c>
      <c r="E710" s="142"/>
      <c r="F710" s="143"/>
      <c r="G710" s="459">
        <v>3</v>
      </c>
      <c r="H710" s="459">
        <v>3</v>
      </c>
      <c r="I710" s="459">
        <v>4</v>
      </c>
      <c r="J710" s="445">
        <v>4</v>
      </c>
      <c r="K710" s="445">
        <v>5</v>
      </c>
      <c r="L710" s="445">
        <v>5</v>
      </c>
      <c r="M710" s="445">
        <v>5</v>
      </c>
      <c r="N710" s="447">
        <v>5</v>
      </c>
      <c r="O710" s="445">
        <v>5</v>
      </c>
      <c r="P710" s="445">
        <v>5</v>
      </c>
      <c r="Q710" s="445">
        <v>5</v>
      </c>
      <c r="R710" s="447">
        <v>6</v>
      </c>
      <c r="S710" s="447"/>
      <c r="T710" s="459">
        <v>3</v>
      </c>
      <c r="U710" s="459">
        <v>3</v>
      </c>
      <c r="V710" s="459">
        <v>4</v>
      </c>
      <c r="W710" s="447">
        <v>4</v>
      </c>
      <c r="X710" s="447">
        <v>5</v>
      </c>
      <c r="Y710" s="445">
        <v>5</v>
      </c>
      <c r="Z710" s="447">
        <v>5</v>
      </c>
      <c r="AA710" s="447">
        <v>5</v>
      </c>
      <c r="AB710" s="1255">
        <v>5</v>
      </c>
      <c r="AC710" s="447">
        <v>5</v>
      </c>
      <c r="AD710" s="445">
        <v>5</v>
      </c>
      <c r="AE710" s="1225">
        <v>6</v>
      </c>
      <c r="AF710" s="1283"/>
      <c r="AG710" s="1230"/>
      <c r="AH710" s="1292"/>
      <c r="AI710" s="1292"/>
      <c r="AJ710" s="789"/>
      <c r="AK710" s="789"/>
      <c r="AL710" s="810"/>
      <c r="AM710" s="810"/>
      <c r="AN710" s="791"/>
      <c r="AO710" s="805"/>
      <c r="AP710" s="805"/>
      <c r="AQ710" s="787"/>
      <c r="AR710" s="787"/>
      <c r="AS710" s="787"/>
      <c r="AT710" s="787"/>
      <c r="AU710" s="787"/>
      <c r="AV710" s="787"/>
      <c r="AW710" s="787"/>
      <c r="AX710" s="784"/>
      <c r="AY710" s="1286"/>
    </row>
    <row r="711" spans="1:51" ht="27.75" customHeight="1" thickBot="1" x14ac:dyDescent="0.3">
      <c r="A711" s="1195"/>
      <c r="B711" s="833"/>
      <c r="C711" s="1199"/>
      <c r="D711" s="140" t="s">
        <v>45</v>
      </c>
      <c r="E711" s="244"/>
      <c r="F711" s="245"/>
      <c r="G711" s="456">
        <v>13113525</v>
      </c>
      <c r="H711" s="456">
        <v>13113525</v>
      </c>
      <c r="I711" s="456">
        <v>17484700</v>
      </c>
      <c r="J711" s="456">
        <v>15627862.75</v>
      </c>
      <c r="K711" s="456">
        <f>+K710*$K$671/$K$670</f>
        <v>18077490.729166668</v>
      </c>
      <c r="L711" s="456">
        <f>+L710*$L$671/$L$670</f>
        <v>22181662.15625</v>
      </c>
      <c r="M711" s="456">
        <f>+M710*$M$671/$M$670</f>
        <v>18077490.729166668</v>
      </c>
      <c r="N711" s="456">
        <f>+N710*$N$671/$N$670</f>
        <v>22963896.53125</v>
      </c>
      <c r="O711" s="456">
        <f>+O710*$O$671/$O$670</f>
        <v>22963896.53125</v>
      </c>
      <c r="P711" s="456">
        <f>+P710*$P$671/$P$670</f>
        <v>22963896.53125</v>
      </c>
      <c r="Q711" s="456">
        <f>+Q710*$Q$671/$Q$670</f>
        <v>22963896.53125</v>
      </c>
      <c r="R711" s="456">
        <f>+R710*$R$671/$R$670</f>
        <v>26617994.587499999</v>
      </c>
      <c r="S711" s="454"/>
      <c r="T711" s="458"/>
      <c r="U711" s="456">
        <v>4601700</v>
      </c>
      <c r="V711" s="456">
        <v>30825244.444444444</v>
      </c>
      <c r="W711" s="456">
        <v>27742720</v>
      </c>
      <c r="X711" s="456">
        <f>+X710*$X$671/$X$670</f>
        <v>31525818.181818184</v>
      </c>
      <c r="Y711" s="458"/>
      <c r="Z711" s="456">
        <f>+Z710*$Z$671/$Z$670</f>
        <v>29388474.576271188</v>
      </c>
      <c r="AA711" s="456">
        <f>+AA710*$AA$671/$AA$670</f>
        <v>28424918.032786883</v>
      </c>
      <c r="AB711" s="456">
        <f>+AB710*$AB$671/$AB$670</f>
        <v>36512105.263157897</v>
      </c>
      <c r="AC711" s="456">
        <f>+AC710*$AC$671/$AC$670</f>
        <v>26832655.660377357</v>
      </c>
      <c r="AD711" s="456">
        <f>+AD710*$AD$671/$AD$670</f>
        <v>22075300</v>
      </c>
      <c r="AE711" s="456">
        <f>+AE710*$AE$671/$AE$670</f>
        <v>23846208.75</v>
      </c>
      <c r="AF711" s="1288"/>
      <c r="AG711" s="1230"/>
      <c r="AH711" s="1294"/>
      <c r="AI711" s="1294"/>
      <c r="AJ711" s="790"/>
      <c r="AK711" s="790"/>
      <c r="AL711" s="810"/>
      <c r="AM711" s="810"/>
      <c r="AN711" s="791"/>
      <c r="AO711" s="805"/>
      <c r="AP711" s="805"/>
      <c r="AQ711" s="787"/>
      <c r="AR711" s="787"/>
      <c r="AS711" s="787"/>
      <c r="AT711" s="787"/>
      <c r="AU711" s="787"/>
      <c r="AV711" s="787"/>
      <c r="AW711" s="787"/>
      <c r="AX711" s="785"/>
      <c r="AY711" s="1286"/>
    </row>
    <row r="712" spans="1:51" ht="18" customHeight="1" x14ac:dyDescent="0.25">
      <c r="A712" s="1195"/>
      <c r="B712" s="833"/>
      <c r="C712" s="810" t="s">
        <v>356</v>
      </c>
      <c r="D712" s="141" t="s">
        <v>41</v>
      </c>
      <c r="E712" s="142"/>
      <c r="F712" s="143"/>
      <c r="G712" s="445"/>
      <c r="H712" s="445"/>
      <c r="I712" s="445"/>
      <c r="J712" s="445"/>
      <c r="K712" s="445"/>
      <c r="L712" s="445"/>
      <c r="M712" s="445"/>
      <c r="N712" s="455"/>
      <c r="O712" s="445"/>
      <c r="P712" s="445"/>
      <c r="Q712" s="445">
        <v>1</v>
      </c>
      <c r="R712" s="447">
        <v>1</v>
      </c>
      <c r="S712" s="454"/>
      <c r="T712" s="445"/>
      <c r="U712" s="454"/>
      <c r="V712" s="454"/>
      <c r="W712" s="454"/>
      <c r="X712" s="454"/>
      <c r="Y712" s="445"/>
      <c r="Z712" s="454"/>
      <c r="AA712" s="455"/>
      <c r="AB712" s="1254"/>
      <c r="AC712" s="447"/>
      <c r="AD712" s="445">
        <v>1</v>
      </c>
      <c r="AE712" s="1235">
        <v>1</v>
      </c>
      <c r="AF712" s="1278" t="s">
        <v>1293</v>
      </c>
      <c r="AG712" s="1230" t="str">
        <f>+C712</f>
        <v>BOSA</v>
      </c>
      <c r="AH712" s="788" t="s">
        <v>950</v>
      </c>
      <c r="AI712" s="1280" t="s">
        <v>356</v>
      </c>
      <c r="AJ712" s="788" t="s">
        <v>1154</v>
      </c>
      <c r="AK712" s="788" t="s">
        <v>315</v>
      </c>
      <c r="AL712" s="788" t="s">
        <v>951</v>
      </c>
      <c r="AM712" s="810" t="s">
        <v>547</v>
      </c>
      <c r="AN712" s="791">
        <v>381252</v>
      </c>
      <c r="AO712" s="783">
        <v>354354</v>
      </c>
      <c r="AP712" s="783">
        <v>735606</v>
      </c>
      <c r="AQ712" s="787" t="s">
        <v>317</v>
      </c>
      <c r="AR712" s="787" t="s">
        <v>317</v>
      </c>
      <c r="AS712" s="787" t="s">
        <v>317</v>
      </c>
      <c r="AT712" s="787" t="s">
        <v>317</v>
      </c>
      <c r="AU712" s="787" t="s">
        <v>317</v>
      </c>
      <c r="AV712" s="787" t="s">
        <v>317</v>
      </c>
      <c r="AW712" s="787" t="s">
        <v>317</v>
      </c>
      <c r="AX712" s="791">
        <v>381252</v>
      </c>
      <c r="AY712" s="1281" t="s">
        <v>952</v>
      </c>
    </row>
    <row r="713" spans="1:51" ht="18" customHeight="1" x14ac:dyDescent="0.25">
      <c r="A713" s="1195"/>
      <c r="B713" s="833"/>
      <c r="C713" s="810"/>
      <c r="D713" s="132" t="s">
        <v>3</v>
      </c>
      <c r="E713" s="239"/>
      <c r="F713" s="240"/>
      <c r="G713" s="456"/>
      <c r="H713" s="456"/>
      <c r="I713" s="456"/>
      <c r="J713" s="456"/>
      <c r="K713" s="456"/>
      <c r="L713" s="456"/>
      <c r="M713" s="456"/>
      <c r="N713" s="1282"/>
      <c r="O713" s="456"/>
      <c r="P713" s="456"/>
      <c r="Q713" s="456">
        <f>+Q712*$Q$671/$Q$670</f>
        <v>4592779.3062500004</v>
      </c>
      <c r="R713" s="456">
        <f>+R712*$R$671/$R$670</f>
        <v>4436332.4312500004</v>
      </c>
      <c r="S713" s="457"/>
      <c r="T713" s="456"/>
      <c r="U713" s="457"/>
      <c r="V713" s="457"/>
      <c r="W713" s="457"/>
      <c r="X713" s="457"/>
      <c r="Y713" s="456"/>
      <c r="Z713" s="457"/>
      <c r="AA713" s="1282"/>
      <c r="AB713" s="1293"/>
      <c r="AC713" s="1287"/>
      <c r="AD713" s="456">
        <f>+AD712*$AD$671/$AD$670</f>
        <v>4415060</v>
      </c>
      <c r="AE713" s="456">
        <f>+AE712*$AE$671/$AE$670</f>
        <v>3974368.125</v>
      </c>
      <c r="AF713" s="1283"/>
      <c r="AG713" s="1230"/>
      <c r="AH713" s="789"/>
      <c r="AI713" s="1285"/>
      <c r="AJ713" s="789"/>
      <c r="AK713" s="789"/>
      <c r="AL713" s="789"/>
      <c r="AM713" s="810"/>
      <c r="AN713" s="791"/>
      <c r="AO713" s="784"/>
      <c r="AP713" s="784"/>
      <c r="AQ713" s="787"/>
      <c r="AR713" s="787"/>
      <c r="AS713" s="787"/>
      <c r="AT713" s="787"/>
      <c r="AU713" s="787"/>
      <c r="AV713" s="787"/>
      <c r="AW713" s="787"/>
      <c r="AX713" s="791"/>
      <c r="AY713" s="1286"/>
    </row>
    <row r="714" spans="1:51" ht="27" customHeight="1" x14ac:dyDescent="0.25">
      <c r="A714" s="1195"/>
      <c r="B714" s="833"/>
      <c r="C714" s="810"/>
      <c r="D714" s="136" t="s">
        <v>42</v>
      </c>
      <c r="E714" s="239"/>
      <c r="F714" s="240"/>
      <c r="G714" s="456"/>
      <c r="H714" s="456"/>
      <c r="I714" s="456"/>
      <c r="J714" s="456"/>
      <c r="K714" s="456"/>
      <c r="L714" s="456"/>
      <c r="M714" s="456"/>
      <c r="N714" s="1282"/>
      <c r="O714" s="456"/>
      <c r="P714" s="456"/>
      <c r="Q714" s="456"/>
      <c r="R714" s="1287"/>
      <c r="S714" s="457"/>
      <c r="T714" s="456"/>
      <c r="U714" s="457"/>
      <c r="V714" s="457"/>
      <c r="W714" s="457"/>
      <c r="X714" s="457"/>
      <c r="Y714" s="456"/>
      <c r="Z714" s="457"/>
      <c r="AA714" s="1282"/>
      <c r="AB714" s="1293"/>
      <c r="AC714" s="1287"/>
      <c r="AD714" s="456"/>
      <c r="AE714" s="1226"/>
      <c r="AF714" s="1283"/>
      <c r="AG714" s="1230"/>
      <c r="AH714" s="789"/>
      <c r="AI714" s="1285"/>
      <c r="AJ714" s="789"/>
      <c r="AK714" s="789"/>
      <c r="AL714" s="789"/>
      <c r="AM714" s="810"/>
      <c r="AN714" s="791"/>
      <c r="AO714" s="784"/>
      <c r="AP714" s="784"/>
      <c r="AQ714" s="787"/>
      <c r="AR714" s="787"/>
      <c r="AS714" s="787"/>
      <c r="AT714" s="787"/>
      <c r="AU714" s="787"/>
      <c r="AV714" s="787"/>
      <c r="AW714" s="787"/>
      <c r="AX714" s="791"/>
      <c r="AY714" s="1286"/>
    </row>
    <row r="715" spans="1:51" ht="27" customHeight="1" x14ac:dyDescent="0.25">
      <c r="A715" s="1195"/>
      <c r="B715" s="833"/>
      <c r="C715" s="810"/>
      <c r="D715" s="132" t="s">
        <v>4</v>
      </c>
      <c r="E715" s="239"/>
      <c r="F715" s="240"/>
      <c r="G715" s="456"/>
      <c r="H715" s="456"/>
      <c r="I715" s="456"/>
      <c r="J715" s="456"/>
      <c r="K715" s="456"/>
      <c r="L715" s="456"/>
      <c r="M715" s="456"/>
      <c r="N715" s="1282"/>
      <c r="O715" s="456"/>
      <c r="P715" s="456"/>
      <c r="Q715" s="456"/>
      <c r="R715" s="1287"/>
      <c r="S715" s="457"/>
      <c r="T715" s="456"/>
      <c r="U715" s="457"/>
      <c r="V715" s="457"/>
      <c r="W715" s="457"/>
      <c r="X715" s="457"/>
      <c r="Y715" s="456"/>
      <c r="Z715" s="457"/>
      <c r="AA715" s="1282"/>
      <c r="AB715" s="1293"/>
      <c r="AC715" s="1287"/>
      <c r="AD715" s="456"/>
      <c r="AE715" s="1226"/>
      <c r="AF715" s="1283"/>
      <c r="AG715" s="1230"/>
      <c r="AH715" s="789"/>
      <c r="AI715" s="1285"/>
      <c r="AJ715" s="789"/>
      <c r="AK715" s="789"/>
      <c r="AL715" s="789"/>
      <c r="AM715" s="810"/>
      <c r="AN715" s="791"/>
      <c r="AO715" s="784"/>
      <c r="AP715" s="784"/>
      <c r="AQ715" s="787"/>
      <c r="AR715" s="787"/>
      <c r="AS715" s="787"/>
      <c r="AT715" s="787"/>
      <c r="AU715" s="787"/>
      <c r="AV715" s="787"/>
      <c r="AW715" s="787"/>
      <c r="AX715" s="791"/>
      <c r="AY715" s="1286"/>
    </row>
    <row r="716" spans="1:51" ht="27" customHeight="1" x14ac:dyDescent="0.25">
      <c r="A716" s="1195"/>
      <c r="B716" s="833"/>
      <c r="C716" s="810"/>
      <c r="D716" s="136" t="s">
        <v>43</v>
      </c>
      <c r="E716" s="142"/>
      <c r="F716" s="143"/>
      <c r="G716" s="445"/>
      <c r="H716" s="445"/>
      <c r="I716" s="445"/>
      <c r="J716" s="445"/>
      <c r="K716" s="445"/>
      <c r="L716" s="445"/>
      <c r="M716" s="445"/>
      <c r="N716" s="447"/>
      <c r="O716" s="445"/>
      <c r="P716" s="445"/>
      <c r="Q716" s="445">
        <v>1</v>
      </c>
      <c r="R716" s="447">
        <v>1</v>
      </c>
      <c r="S716" s="447"/>
      <c r="T716" s="445"/>
      <c r="U716" s="447"/>
      <c r="V716" s="447"/>
      <c r="W716" s="447"/>
      <c r="X716" s="447"/>
      <c r="Y716" s="445"/>
      <c r="Z716" s="447"/>
      <c r="AA716" s="447"/>
      <c r="AB716" s="1255"/>
      <c r="AC716" s="447"/>
      <c r="AD716" s="445">
        <v>1</v>
      </c>
      <c r="AE716" s="1225">
        <v>1</v>
      </c>
      <c r="AF716" s="1283"/>
      <c r="AG716" s="1230"/>
      <c r="AH716" s="789"/>
      <c r="AI716" s="1285"/>
      <c r="AJ716" s="789"/>
      <c r="AK716" s="789"/>
      <c r="AL716" s="789"/>
      <c r="AM716" s="810"/>
      <c r="AN716" s="791"/>
      <c r="AO716" s="784"/>
      <c r="AP716" s="784"/>
      <c r="AQ716" s="787"/>
      <c r="AR716" s="787"/>
      <c r="AS716" s="787"/>
      <c r="AT716" s="787"/>
      <c r="AU716" s="787"/>
      <c r="AV716" s="787"/>
      <c r="AW716" s="787"/>
      <c r="AX716" s="791"/>
      <c r="AY716" s="1286"/>
    </row>
    <row r="717" spans="1:51" ht="27.75" customHeight="1" thickBot="1" x14ac:dyDescent="0.3">
      <c r="A717" s="1195"/>
      <c r="B717" s="833"/>
      <c r="C717" s="810"/>
      <c r="D717" s="140" t="s">
        <v>45</v>
      </c>
      <c r="E717" s="244"/>
      <c r="F717" s="245"/>
      <c r="G717" s="458"/>
      <c r="H717" s="458"/>
      <c r="I717" s="458"/>
      <c r="J717" s="458"/>
      <c r="K717" s="458"/>
      <c r="L717" s="458"/>
      <c r="M717" s="458"/>
      <c r="N717" s="455"/>
      <c r="O717" s="458"/>
      <c r="P717" s="458"/>
      <c r="Q717" s="456">
        <f>+Q716*$Q$671/$Q$670</f>
        <v>4592779.3062500004</v>
      </c>
      <c r="R717" s="456">
        <f>+R716*$R$671/$R$670</f>
        <v>4436332.4312500004</v>
      </c>
      <c r="S717" s="454"/>
      <c r="T717" s="458"/>
      <c r="U717" s="454"/>
      <c r="V717" s="454"/>
      <c r="W717" s="454"/>
      <c r="X717" s="454"/>
      <c r="Y717" s="458"/>
      <c r="Z717" s="454"/>
      <c r="AA717" s="455"/>
      <c r="AB717" s="1254"/>
      <c r="AC717" s="1287"/>
      <c r="AD717" s="456">
        <f>+AD716*$AD$671/$AD$670</f>
        <v>4415060</v>
      </c>
      <c r="AE717" s="456">
        <f>+AE716*$AE$671/$AE$670</f>
        <v>3974368.125</v>
      </c>
      <c r="AF717" s="1288"/>
      <c r="AG717" s="1230"/>
      <c r="AH717" s="790"/>
      <c r="AI717" s="1290"/>
      <c r="AJ717" s="790"/>
      <c r="AK717" s="790"/>
      <c r="AL717" s="790"/>
      <c r="AM717" s="810"/>
      <c r="AN717" s="791"/>
      <c r="AO717" s="785"/>
      <c r="AP717" s="785"/>
      <c r="AQ717" s="787"/>
      <c r="AR717" s="787"/>
      <c r="AS717" s="787"/>
      <c r="AT717" s="787"/>
      <c r="AU717" s="787"/>
      <c r="AV717" s="787"/>
      <c r="AW717" s="787"/>
      <c r="AX717" s="791"/>
      <c r="AY717" s="1286"/>
    </row>
    <row r="718" spans="1:51" ht="18" customHeight="1" x14ac:dyDescent="0.25">
      <c r="A718" s="1195"/>
      <c r="B718" s="833"/>
      <c r="C718" s="1197" t="s">
        <v>1308</v>
      </c>
      <c r="D718" s="141" t="s">
        <v>41</v>
      </c>
      <c r="E718" s="142"/>
      <c r="F718" s="143"/>
      <c r="G718" s="459">
        <v>1</v>
      </c>
      <c r="H718" s="459">
        <v>1</v>
      </c>
      <c r="I718" s="459">
        <v>1</v>
      </c>
      <c r="J718" s="445">
        <v>1</v>
      </c>
      <c r="K718" s="445">
        <v>1</v>
      </c>
      <c r="L718" s="445">
        <v>1</v>
      </c>
      <c r="M718" s="445">
        <v>1</v>
      </c>
      <c r="N718" s="455">
        <v>1</v>
      </c>
      <c r="O718" s="445">
        <v>3</v>
      </c>
      <c r="P718" s="445">
        <v>7</v>
      </c>
      <c r="Q718" s="445">
        <v>11</v>
      </c>
      <c r="R718" s="447">
        <v>11</v>
      </c>
      <c r="S718" s="454"/>
      <c r="T718" s="459">
        <v>1</v>
      </c>
      <c r="U718" s="459">
        <v>1</v>
      </c>
      <c r="V718" s="459">
        <v>1</v>
      </c>
      <c r="W718" s="454">
        <v>1</v>
      </c>
      <c r="X718" s="454">
        <v>1</v>
      </c>
      <c r="Y718" s="445">
        <v>1</v>
      </c>
      <c r="Z718" s="455">
        <v>1</v>
      </c>
      <c r="AA718" s="455">
        <v>1</v>
      </c>
      <c r="AB718" s="1254">
        <v>3</v>
      </c>
      <c r="AC718" s="447">
        <v>7</v>
      </c>
      <c r="AD718" s="445">
        <v>11</v>
      </c>
      <c r="AE718" s="1235">
        <v>11</v>
      </c>
      <c r="AF718" s="1278" t="s">
        <v>1294</v>
      </c>
      <c r="AG718" s="1230" t="str">
        <f>+C718</f>
        <v>8-KENNEDY</v>
      </c>
      <c r="AH718" s="1291" t="s">
        <v>1034</v>
      </c>
      <c r="AI718" s="1291" t="s">
        <v>1035</v>
      </c>
      <c r="AJ718" s="788" t="s">
        <v>1154</v>
      </c>
      <c r="AK718" s="788" t="s">
        <v>315</v>
      </c>
      <c r="AL718" s="810" t="s">
        <v>953</v>
      </c>
      <c r="AM718" s="810" t="s">
        <v>547</v>
      </c>
      <c r="AN718" s="791">
        <v>1080200</v>
      </c>
      <c r="AO718" s="805">
        <v>517025</v>
      </c>
      <c r="AP718" s="805">
        <v>563175</v>
      </c>
      <c r="AQ718" s="787" t="s">
        <v>317</v>
      </c>
      <c r="AR718" s="787" t="s">
        <v>317</v>
      </c>
      <c r="AS718" s="787" t="s">
        <v>317</v>
      </c>
      <c r="AT718" s="787" t="s">
        <v>317</v>
      </c>
      <c r="AU718" s="787" t="s">
        <v>317</v>
      </c>
      <c r="AV718" s="787" t="s">
        <v>317</v>
      </c>
      <c r="AW718" s="787" t="s">
        <v>317</v>
      </c>
      <c r="AX718" s="783">
        <v>1080200</v>
      </c>
      <c r="AY718" s="1281" t="s">
        <v>1036</v>
      </c>
    </row>
    <row r="719" spans="1:51" ht="18" customHeight="1" x14ac:dyDescent="0.25">
      <c r="A719" s="1195"/>
      <c r="B719" s="833"/>
      <c r="C719" s="1198"/>
      <c r="D719" s="132" t="s">
        <v>3</v>
      </c>
      <c r="E719" s="239"/>
      <c r="F719" s="240"/>
      <c r="G719" s="456">
        <v>4371175</v>
      </c>
      <c r="H719" s="456">
        <v>4371175</v>
      </c>
      <c r="I719" s="456">
        <v>4371175</v>
      </c>
      <c r="J719" s="456">
        <v>3906965.6875</v>
      </c>
      <c r="K719" s="456">
        <f>+K718*$K$671/$K$670</f>
        <v>3615498.1458333335</v>
      </c>
      <c r="L719" s="456">
        <f>+L718*$L$671/$L$670</f>
        <v>4436332.4312500004</v>
      </c>
      <c r="M719" s="456">
        <f>+M718*$M$671/$M$670</f>
        <v>3615498.1458333335</v>
      </c>
      <c r="N719" s="456">
        <f>+N718*$N$671/$N$670</f>
        <v>4592779.3062500004</v>
      </c>
      <c r="O719" s="456">
        <f>+O718*$O$671/$O$670</f>
        <v>13778337.918749999</v>
      </c>
      <c r="P719" s="456">
        <f>+P718*$P$671/$P$670</f>
        <v>32149455.143750001</v>
      </c>
      <c r="Q719" s="456">
        <f>+Q718*$Q$671/$Q$670</f>
        <v>50520572.368749999</v>
      </c>
      <c r="R719" s="456">
        <f>+R718*$R$671/$R$670</f>
        <v>48799656.743749999</v>
      </c>
      <c r="S719" s="457"/>
      <c r="T719" s="456"/>
      <c r="U719" s="456">
        <v>1533900</v>
      </c>
      <c r="V719" s="456">
        <v>7706311.111111111</v>
      </c>
      <c r="W719" s="456">
        <v>6935680</v>
      </c>
      <c r="X719" s="456">
        <f>+X718*$X$671/$X$670</f>
        <v>6305163.6363636367</v>
      </c>
      <c r="Y719" s="456">
        <f>+Y718*$Y$671/$Y$670</f>
        <v>6083929.8245614031</v>
      </c>
      <c r="Z719" s="456">
        <f>+Z718*$Z$671/$Z$670</f>
        <v>5877694.9152542371</v>
      </c>
      <c r="AA719" s="456">
        <f>+AA718*$AA$671/$AA$670</f>
        <v>5684983.6065573767</v>
      </c>
      <c r="AB719" s="456">
        <f>+AB718*$AB$671/$AB$670</f>
        <v>21907263.157894738</v>
      </c>
      <c r="AC719" s="456">
        <f>+AC718*$AC$671/$AC$670</f>
        <v>37565717.924528301</v>
      </c>
      <c r="AD719" s="456">
        <f>+AD718*$AD$671/$AD$670</f>
        <v>48565660</v>
      </c>
      <c r="AE719" s="456">
        <f>+AE718*$AE$671/$AE$670</f>
        <v>43718049.375</v>
      </c>
      <c r="AF719" s="1283"/>
      <c r="AG719" s="1230"/>
      <c r="AH719" s="1292"/>
      <c r="AI719" s="1292"/>
      <c r="AJ719" s="789"/>
      <c r="AK719" s="789"/>
      <c r="AL719" s="810"/>
      <c r="AM719" s="810"/>
      <c r="AN719" s="791"/>
      <c r="AO719" s="805"/>
      <c r="AP719" s="805"/>
      <c r="AQ719" s="787"/>
      <c r="AR719" s="787"/>
      <c r="AS719" s="787"/>
      <c r="AT719" s="787"/>
      <c r="AU719" s="787"/>
      <c r="AV719" s="787"/>
      <c r="AW719" s="787"/>
      <c r="AX719" s="784"/>
      <c r="AY719" s="1286"/>
    </row>
    <row r="720" spans="1:51" ht="27" customHeight="1" x14ac:dyDescent="0.25">
      <c r="A720" s="1195"/>
      <c r="B720" s="833"/>
      <c r="C720" s="1198"/>
      <c r="D720" s="136" t="s">
        <v>42</v>
      </c>
      <c r="E720" s="239"/>
      <c r="F720" s="240"/>
      <c r="G720" s="456"/>
      <c r="H720" s="456"/>
      <c r="I720" s="456"/>
      <c r="J720" s="456"/>
      <c r="K720" s="456"/>
      <c r="L720" s="456"/>
      <c r="M720" s="456"/>
      <c r="N720" s="1282"/>
      <c r="O720" s="456"/>
      <c r="P720" s="456"/>
      <c r="Q720" s="456"/>
      <c r="R720" s="1287"/>
      <c r="S720" s="457"/>
      <c r="T720" s="456"/>
      <c r="U720" s="456"/>
      <c r="V720" s="456"/>
      <c r="W720" s="457"/>
      <c r="X720" s="457"/>
      <c r="Y720" s="456"/>
      <c r="Z720" s="457"/>
      <c r="AA720" s="1282"/>
      <c r="AB720" s="1293"/>
      <c r="AC720" s="1287"/>
      <c r="AD720" s="456"/>
      <c r="AE720" s="1226"/>
      <c r="AF720" s="1283"/>
      <c r="AG720" s="1230"/>
      <c r="AH720" s="1292"/>
      <c r="AI720" s="1292"/>
      <c r="AJ720" s="789"/>
      <c r="AK720" s="789"/>
      <c r="AL720" s="810"/>
      <c r="AM720" s="810"/>
      <c r="AN720" s="791"/>
      <c r="AO720" s="805"/>
      <c r="AP720" s="805"/>
      <c r="AQ720" s="787"/>
      <c r="AR720" s="787"/>
      <c r="AS720" s="787"/>
      <c r="AT720" s="787"/>
      <c r="AU720" s="787"/>
      <c r="AV720" s="787"/>
      <c r="AW720" s="787"/>
      <c r="AX720" s="784"/>
      <c r="AY720" s="1286"/>
    </row>
    <row r="721" spans="1:51" ht="27" customHeight="1" x14ac:dyDescent="0.25">
      <c r="A721" s="1195"/>
      <c r="B721" s="833"/>
      <c r="C721" s="1198"/>
      <c r="D721" s="132" t="s">
        <v>4</v>
      </c>
      <c r="E721" s="239"/>
      <c r="F721" s="240"/>
      <c r="G721" s="456"/>
      <c r="H721" s="456">
        <v>7723875.0909090908</v>
      </c>
      <c r="I721" s="456"/>
      <c r="J721" s="456"/>
      <c r="K721" s="456"/>
      <c r="L721" s="456"/>
      <c r="M721" s="456"/>
      <c r="N721" s="1282"/>
      <c r="O721" s="456"/>
      <c r="P721" s="456"/>
      <c r="Q721" s="456"/>
      <c r="R721" s="1287"/>
      <c r="S721" s="457"/>
      <c r="T721" s="456">
        <v>1758853.75</v>
      </c>
      <c r="U721" s="456">
        <v>7723875.0909090908</v>
      </c>
      <c r="V721" s="456"/>
      <c r="W721" s="457"/>
      <c r="X721" s="457"/>
      <c r="Y721" s="456"/>
      <c r="Z721" s="457"/>
      <c r="AA721" s="1282"/>
      <c r="AB721" s="1293"/>
      <c r="AC721" s="1287"/>
      <c r="AD721" s="456"/>
      <c r="AE721" s="1226"/>
      <c r="AF721" s="1283"/>
      <c r="AG721" s="1230"/>
      <c r="AH721" s="1292"/>
      <c r="AI721" s="1292"/>
      <c r="AJ721" s="789"/>
      <c r="AK721" s="789"/>
      <c r="AL721" s="810"/>
      <c r="AM721" s="810"/>
      <c r="AN721" s="791"/>
      <c r="AO721" s="805"/>
      <c r="AP721" s="805"/>
      <c r="AQ721" s="787"/>
      <c r="AR721" s="787"/>
      <c r="AS721" s="787"/>
      <c r="AT721" s="787"/>
      <c r="AU721" s="787"/>
      <c r="AV721" s="787"/>
      <c r="AW721" s="787"/>
      <c r="AX721" s="784"/>
      <c r="AY721" s="1286"/>
    </row>
    <row r="722" spans="1:51" ht="27" customHeight="1" x14ac:dyDescent="0.25">
      <c r="A722" s="1195"/>
      <c r="B722" s="833"/>
      <c r="C722" s="1198"/>
      <c r="D722" s="136" t="s">
        <v>43</v>
      </c>
      <c r="E722" s="142"/>
      <c r="F722" s="143"/>
      <c r="G722" s="459">
        <v>1</v>
      </c>
      <c r="H722" s="459">
        <v>1</v>
      </c>
      <c r="I722" s="459">
        <v>1</v>
      </c>
      <c r="J722" s="445">
        <v>1</v>
      </c>
      <c r="K722" s="445">
        <v>1</v>
      </c>
      <c r="L722" s="445">
        <v>1</v>
      </c>
      <c r="M722" s="445">
        <v>1</v>
      </c>
      <c r="N722" s="447">
        <v>1</v>
      </c>
      <c r="O722" s="445">
        <v>3</v>
      </c>
      <c r="P722" s="445">
        <v>7</v>
      </c>
      <c r="Q722" s="445">
        <v>11</v>
      </c>
      <c r="R722" s="447">
        <v>11</v>
      </c>
      <c r="S722" s="447"/>
      <c r="T722" s="459">
        <v>1</v>
      </c>
      <c r="U722" s="459">
        <v>1</v>
      </c>
      <c r="V722" s="459">
        <v>1</v>
      </c>
      <c r="W722" s="447">
        <v>1</v>
      </c>
      <c r="X722" s="450">
        <v>1</v>
      </c>
      <c r="Y722" s="445">
        <v>1</v>
      </c>
      <c r="Z722" s="447">
        <v>1</v>
      </c>
      <c r="AA722" s="447">
        <v>1</v>
      </c>
      <c r="AB722" s="1255">
        <v>3</v>
      </c>
      <c r="AC722" s="447">
        <v>7</v>
      </c>
      <c r="AD722" s="445">
        <v>11</v>
      </c>
      <c r="AE722" s="1225">
        <v>11</v>
      </c>
      <c r="AF722" s="1283"/>
      <c r="AG722" s="1230"/>
      <c r="AH722" s="1292"/>
      <c r="AI722" s="1292"/>
      <c r="AJ722" s="789"/>
      <c r="AK722" s="789"/>
      <c r="AL722" s="810"/>
      <c r="AM722" s="810"/>
      <c r="AN722" s="791"/>
      <c r="AO722" s="805"/>
      <c r="AP722" s="805"/>
      <c r="AQ722" s="787"/>
      <c r="AR722" s="787"/>
      <c r="AS722" s="787"/>
      <c r="AT722" s="787"/>
      <c r="AU722" s="787"/>
      <c r="AV722" s="787"/>
      <c r="AW722" s="787"/>
      <c r="AX722" s="784"/>
      <c r="AY722" s="1286"/>
    </row>
    <row r="723" spans="1:51" ht="27.75" customHeight="1" thickBot="1" x14ac:dyDescent="0.3">
      <c r="A723" s="1195"/>
      <c r="B723" s="833"/>
      <c r="C723" s="1199"/>
      <c r="D723" s="140" t="s">
        <v>45</v>
      </c>
      <c r="E723" s="244"/>
      <c r="F723" s="245"/>
      <c r="G723" s="456">
        <v>4371175</v>
      </c>
      <c r="H723" s="456">
        <v>4371175</v>
      </c>
      <c r="I723" s="456">
        <v>4371175</v>
      </c>
      <c r="J723" s="456">
        <v>3906965.6875</v>
      </c>
      <c r="K723" s="456">
        <f>+K722*$K$671/$K$670</f>
        <v>3615498.1458333335</v>
      </c>
      <c r="L723" s="456">
        <f>+L722*$L$671/$L$670</f>
        <v>4436332.4312500004</v>
      </c>
      <c r="M723" s="456">
        <f>+M722*$M$671/$M$670</f>
        <v>3615498.1458333335</v>
      </c>
      <c r="N723" s="456">
        <f>+N722*$N$671/$N$670</f>
        <v>4592779.3062500004</v>
      </c>
      <c r="O723" s="456">
        <f>+O722*$O$671/$O$670</f>
        <v>13778337.918749999</v>
      </c>
      <c r="P723" s="456">
        <f>+P722*$P$671/$P$670</f>
        <v>32149455.143750001</v>
      </c>
      <c r="Q723" s="456">
        <f>+Q722*$Q$671/$Q$670</f>
        <v>50520572.368749999</v>
      </c>
      <c r="R723" s="456">
        <f>+R722*$R$671/$R$670</f>
        <v>48799656.743749999</v>
      </c>
      <c r="S723" s="454"/>
      <c r="T723" s="458"/>
      <c r="U723" s="456">
        <v>1533900</v>
      </c>
      <c r="V723" s="456">
        <v>7706311.111111111</v>
      </c>
      <c r="W723" s="456">
        <v>6935680</v>
      </c>
      <c r="X723" s="456">
        <f>+X722*$X$671/$X$670</f>
        <v>6305163.6363636367</v>
      </c>
      <c r="Y723" s="456">
        <f>+Y722*$Y$671/$Y$670</f>
        <v>6083929.8245614031</v>
      </c>
      <c r="Z723" s="456">
        <f>+Z722*$Z$671/$Z$670</f>
        <v>5877694.9152542371</v>
      </c>
      <c r="AA723" s="456">
        <f>+AA722*$AA$671/$AA$670</f>
        <v>5684983.6065573767</v>
      </c>
      <c r="AB723" s="456">
        <f>+AB722*$AB$671/$AB$670</f>
        <v>21907263.157894738</v>
      </c>
      <c r="AC723" s="456">
        <f>+AC722*$AC$671/$AC$670</f>
        <v>37565717.924528301</v>
      </c>
      <c r="AD723" s="456">
        <f>+AD722*$AD$671/$AD$670</f>
        <v>48565660</v>
      </c>
      <c r="AE723" s="456">
        <f>+AE722*$AE$671/$AE$670</f>
        <v>43718049.375</v>
      </c>
      <c r="AF723" s="1288"/>
      <c r="AG723" s="1230"/>
      <c r="AH723" s="1294"/>
      <c r="AI723" s="1294"/>
      <c r="AJ723" s="790"/>
      <c r="AK723" s="790"/>
      <c r="AL723" s="810"/>
      <c r="AM723" s="810"/>
      <c r="AN723" s="791"/>
      <c r="AO723" s="805"/>
      <c r="AP723" s="805"/>
      <c r="AQ723" s="787"/>
      <c r="AR723" s="787"/>
      <c r="AS723" s="787"/>
      <c r="AT723" s="787"/>
      <c r="AU723" s="787"/>
      <c r="AV723" s="787"/>
      <c r="AW723" s="787"/>
      <c r="AX723" s="785"/>
      <c r="AY723" s="1286"/>
    </row>
    <row r="724" spans="1:51" ht="18" customHeight="1" x14ac:dyDescent="0.25">
      <c r="A724" s="1195"/>
      <c r="B724" s="833"/>
      <c r="C724" s="810" t="s">
        <v>1324</v>
      </c>
      <c r="D724" s="141" t="s">
        <v>41</v>
      </c>
      <c r="E724" s="142"/>
      <c r="F724" s="143"/>
      <c r="G724" s="459">
        <v>5</v>
      </c>
      <c r="H724" s="459">
        <v>10</v>
      </c>
      <c r="I724" s="459">
        <v>10</v>
      </c>
      <c r="J724" s="445">
        <v>11</v>
      </c>
      <c r="K724" s="445">
        <v>12</v>
      </c>
      <c r="L724" s="445">
        <v>12</v>
      </c>
      <c r="M724" s="445">
        <v>13</v>
      </c>
      <c r="N724" s="455">
        <v>14</v>
      </c>
      <c r="O724" s="445">
        <v>19</v>
      </c>
      <c r="P724" s="458">
        <v>24</v>
      </c>
      <c r="Q724" s="445">
        <v>32</v>
      </c>
      <c r="R724" s="447">
        <v>37</v>
      </c>
      <c r="S724" s="454"/>
      <c r="T724" s="459">
        <v>5</v>
      </c>
      <c r="U724" s="459">
        <v>10</v>
      </c>
      <c r="V724" s="459">
        <v>10</v>
      </c>
      <c r="W724" s="455">
        <v>11</v>
      </c>
      <c r="X724" s="455">
        <v>12</v>
      </c>
      <c r="Y724" s="445">
        <v>12</v>
      </c>
      <c r="Z724" s="455">
        <v>13</v>
      </c>
      <c r="AA724" s="455">
        <v>14</v>
      </c>
      <c r="AB724" s="1254">
        <v>19</v>
      </c>
      <c r="AC724" s="447">
        <v>24</v>
      </c>
      <c r="AD724" s="445">
        <v>32</v>
      </c>
      <c r="AE724" s="1235">
        <v>37</v>
      </c>
      <c r="AF724" s="1278" t="s">
        <v>1162</v>
      </c>
      <c r="AG724" s="1230" t="str">
        <f>+C724</f>
        <v>9-FONTIBON</v>
      </c>
      <c r="AH724" s="1291" t="s">
        <v>1037</v>
      </c>
      <c r="AI724" s="1291" t="s">
        <v>1163</v>
      </c>
      <c r="AJ724" s="788" t="s">
        <v>1154</v>
      </c>
      <c r="AK724" s="788" t="s">
        <v>315</v>
      </c>
      <c r="AL724" s="810" t="s">
        <v>70</v>
      </c>
      <c r="AM724" s="810" t="s">
        <v>547</v>
      </c>
      <c r="AN724" s="791">
        <v>388154</v>
      </c>
      <c r="AO724" s="805">
        <v>183971</v>
      </c>
      <c r="AP724" s="805">
        <v>204184</v>
      </c>
      <c r="AQ724" s="787" t="s">
        <v>317</v>
      </c>
      <c r="AR724" s="787" t="s">
        <v>317</v>
      </c>
      <c r="AS724" s="787" t="s">
        <v>317</v>
      </c>
      <c r="AT724" s="787" t="s">
        <v>317</v>
      </c>
      <c r="AU724" s="787" t="s">
        <v>317</v>
      </c>
      <c r="AV724" s="787" t="s">
        <v>317</v>
      </c>
      <c r="AW724" s="787" t="s">
        <v>317</v>
      </c>
      <c r="AX724" s="783">
        <v>388154</v>
      </c>
      <c r="AY724" s="1281" t="s">
        <v>1164</v>
      </c>
    </row>
    <row r="725" spans="1:51" ht="18" x14ac:dyDescent="0.25">
      <c r="A725" s="1195"/>
      <c r="B725" s="833"/>
      <c r="C725" s="810"/>
      <c r="D725" s="132" t="s">
        <v>3</v>
      </c>
      <c r="E725" s="239"/>
      <c r="F725" s="240"/>
      <c r="G725" s="456">
        <v>21855875</v>
      </c>
      <c r="H725" s="456">
        <v>43711750</v>
      </c>
      <c r="I725" s="456">
        <v>43711750</v>
      </c>
      <c r="J725" s="456">
        <v>42976622.5625</v>
      </c>
      <c r="K725" s="456">
        <f>+K724*$K$671/$K$670</f>
        <v>43385977.75</v>
      </c>
      <c r="L725" s="456">
        <f>+L724*$L$671/$L$670</f>
        <v>53235989.174999997</v>
      </c>
      <c r="M725" s="456">
        <f>+M724*$M$671/$M$670</f>
        <v>47001475.895833336</v>
      </c>
      <c r="N725" s="456">
        <f>+N724*$N$671/$N$670</f>
        <v>64298910.287500001</v>
      </c>
      <c r="O725" s="456">
        <f>+O724*$O$671/$O$670</f>
        <v>87262806.818749994</v>
      </c>
      <c r="P725" s="456">
        <f>+P724*$P$671/$P$670</f>
        <v>110226703.34999999</v>
      </c>
      <c r="Q725" s="456">
        <f>+Q724*$Q$671/$Q$670</f>
        <v>146968937.80000001</v>
      </c>
      <c r="R725" s="456">
        <f>+R724*$R$671/$R$670</f>
        <v>164144299.95625001</v>
      </c>
      <c r="S725" s="457"/>
      <c r="T725" s="456"/>
      <c r="U725" s="456">
        <v>15339000</v>
      </c>
      <c r="V725" s="456">
        <v>77063111.111111104</v>
      </c>
      <c r="W725" s="456">
        <v>76292480</v>
      </c>
      <c r="X725" s="456">
        <f>+X724*$X$671/$X$670</f>
        <v>75661963.63636364</v>
      </c>
      <c r="Y725" s="456">
        <f>+Y724*$Y$671/$Y$670</f>
        <v>73007157.894736841</v>
      </c>
      <c r="Z725" s="456">
        <f>+Z724*$Z$671/$Z$670</f>
        <v>76410033.898305088</v>
      </c>
      <c r="AA725" s="456">
        <f>+AA724*$AA$671/$AA$670</f>
        <v>79589770.491803274</v>
      </c>
      <c r="AB725" s="456">
        <f>+AB724*$AB$671/$AB$670</f>
        <v>138746000</v>
      </c>
      <c r="AC725" s="456">
        <f>+AC724*$AC$671/$AC$670</f>
        <v>128796747.16981132</v>
      </c>
      <c r="AD725" s="456">
        <f>+AD724*$AD$671/$AD$670</f>
        <v>141281920</v>
      </c>
      <c r="AE725" s="456">
        <f>+AE724*$AE$671/$AE$670</f>
        <v>147051620.625</v>
      </c>
      <c r="AF725" s="1283"/>
      <c r="AG725" s="1230"/>
      <c r="AH725" s="1292"/>
      <c r="AI725" s="1292"/>
      <c r="AJ725" s="789"/>
      <c r="AK725" s="789"/>
      <c r="AL725" s="810"/>
      <c r="AM725" s="810"/>
      <c r="AN725" s="791"/>
      <c r="AO725" s="805"/>
      <c r="AP725" s="805"/>
      <c r="AQ725" s="787"/>
      <c r="AR725" s="787"/>
      <c r="AS725" s="787"/>
      <c r="AT725" s="787"/>
      <c r="AU725" s="787"/>
      <c r="AV725" s="787"/>
      <c r="AW725" s="787"/>
      <c r="AX725" s="784"/>
      <c r="AY725" s="1286"/>
    </row>
    <row r="726" spans="1:51" ht="27" x14ac:dyDescent="0.25">
      <c r="A726" s="1195"/>
      <c r="B726" s="833"/>
      <c r="C726" s="810"/>
      <c r="D726" s="136" t="s">
        <v>42</v>
      </c>
      <c r="E726" s="239"/>
      <c r="F726" s="240"/>
      <c r="G726" s="456"/>
      <c r="H726" s="456"/>
      <c r="I726" s="456"/>
      <c r="J726" s="456"/>
      <c r="K726" s="456"/>
      <c r="L726" s="456"/>
      <c r="M726" s="456"/>
      <c r="N726" s="1282"/>
      <c r="O726" s="456"/>
      <c r="P726" s="458"/>
      <c r="Q726" s="456"/>
      <c r="R726" s="1287"/>
      <c r="S726" s="457"/>
      <c r="T726" s="456"/>
      <c r="U726" s="456"/>
      <c r="V726" s="456"/>
      <c r="W726" s="457"/>
      <c r="X726" s="457"/>
      <c r="Y726" s="456"/>
      <c r="Z726" s="457"/>
      <c r="AA726" s="1282"/>
      <c r="AB726" s="1293"/>
      <c r="AC726" s="1287"/>
      <c r="AD726" s="456"/>
      <c r="AE726" s="1226"/>
      <c r="AF726" s="1283"/>
      <c r="AG726" s="1230"/>
      <c r="AH726" s="1292"/>
      <c r="AI726" s="1292"/>
      <c r="AJ726" s="789"/>
      <c r="AK726" s="789"/>
      <c r="AL726" s="810"/>
      <c r="AM726" s="810"/>
      <c r="AN726" s="791"/>
      <c r="AO726" s="805"/>
      <c r="AP726" s="805"/>
      <c r="AQ726" s="787"/>
      <c r="AR726" s="787"/>
      <c r="AS726" s="787"/>
      <c r="AT726" s="787"/>
      <c r="AU726" s="787"/>
      <c r="AV726" s="787"/>
      <c r="AW726" s="787"/>
      <c r="AX726" s="784"/>
      <c r="AY726" s="1286"/>
    </row>
    <row r="727" spans="1:51" ht="19.149999999999999" customHeight="1" x14ac:dyDescent="0.25">
      <c r="A727" s="1195"/>
      <c r="B727" s="833"/>
      <c r="C727" s="810"/>
      <c r="D727" s="132" t="s">
        <v>4</v>
      </c>
      <c r="E727" s="239"/>
      <c r="F727" s="240"/>
      <c r="G727" s="456"/>
      <c r="H727" s="456">
        <v>7723875.0909090908</v>
      </c>
      <c r="I727" s="456"/>
      <c r="J727" s="456"/>
      <c r="K727" s="456"/>
      <c r="L727" s="456"/>
      <c r="M727" s="456"/>
      <c r="N727" s="1282"/>
      <c r="O727" s="456"/>
      <c r="P727" s="458"/>
      <c r="Q727" s="456"/>
      <c r="R727" s="1287"/>
      <c r="S727" s="457"/>
      <c r="T727" s="456">
        <v>8794268.75</v>
      </c>
      <c r="U727" s="456">
        <v>7723875.0909090908</v>
      </c>
      <c r="V727" s="456"/>
      <c r="W727" s="457"/>
      <c r="X727" s="457"/>
      <c r="Y727" s="456"/>
      <c r="Z727" s="457"/>
      <c r="AA727" s="1282"/>
      <c r="AB727" s="1293"/>
      <c r="AC727" s="1287"/>
      <c r="AD727" s="456"/>
      <c r="AE727" s="1226"/>
      <c r="AF727" s="1283"/>
      <c r="AG727" s="1230"/>
      <c r="AH727" s="1292"/>
      <c r="AI727" s="1292"/>
      <c r="AJ727" s="789"/>
      <c r="AK727" s="789"/>
      <c r="AL727" s="810"/>
      <c r="AM727" s="810"/>
      <c r="AN727" s="791"/>
      <c r="AO727" s="805"/>
      <c r="AP727" s="805"/>
      <c r="AQ727" s="787"/>
      <c r="AR727" s="787"/>
      <c r="AS727" s="787"/>
      <c r="AT727" s="787"/>
      <c r="AU727" s="787"/>
      <c r="AV727" s="787"/>
      <c r="AW727" s="787"/>
      <c r="AX727" s="784"/>
      <c r="AY727" s="1286"/>
    </row>
    <row r="728" spans="1:51" ht="27" x14ac:dyDescent="0.25">
      <c r="A728" s="1195"/>
      <c r="B728" s="833"/>
      <c r="C728" s="810"/>
      <c r="D728" s="136" t="s">
        <v>43</v>
      </c>
      <c r="E728" s="142"/>
      <c r="F728" s="143"/>
      <c r="G728" s="459">
        <v>5</v>
      </c>
      <c r="H728" s="459">
        <v>10</v>
      </c>
      <c r="I728" s="459">
        <v>10</v>
      </c>
      <c r="J728" s="445">
        <v>11</v>
      </c>
      <c r="K728" s="445">
        <v>12</v>
      </c>
      <c r="L728" s="445">
        <v>12</v>
      </c>
      <c r="M728" s="445">
        <v>13</v>
      </c>
      <c r="N728" s="447">
        <v>14</v>
      </c>
      <c r="O728" s="445">
        <v>19</v>
      </c>
      <c r="P728" s="458">
        <v>24</v>
      </c>
      <c r="Q728" s="445">
        <v>32</v>
      </c>
      <c r="R728" s="447">
        <v>37</v>
      </c>
      <c r="S728" s="447"/>
      <c r="T728" s="459">
        <v>5</v>
      </c>
      <c r="U728" s="459">
        <v>10</v>
      </c>
      <c r="V728" s="459">
        <v>10</v>
      </c>
      <c r="W728" s="447">
        <v>11</v>
      </c>
      <c r="X728" s="447">
        <v>12</v>
      </c>
      <c r="Y728" s="445">
        <v>12</v>
      </c>
      <c r="Z728" s="447">
        <v>13</v>
      </c>
      <c r="AA728" s="447">
        <v>14</v>
      </c>
      <c r="AB728" s="1255">
        <v>19</v>
      </c>
      <c r="AC728" s="447">
        <v>24</v>
      </c>
      <c r="AD728" s="445">
        <v>32</v>
      </c>
      <c r="AE728" s="1225">
        <v>37</v>
      </c>
      <c r="AF728" s="1283"/>
      <c r="AG728" s="1230"/>
      <c r="AH728" s="1292"/>
      <c r="AI728" s="1292"/>
      <c r="AJ728" s="789"/>
      <c r="AK728" s="789"/>
      <c r="AL728" s="810"/>
      <c r="AM728" s="810"/>
      <c r="AN728" s="791"/>
      <c r="AO728" s="805"/>
      <c r="AP728" s="805"/>
      <c r="AQ728" s="787"/>
      <c r="AR728" s="787"/>
      <c r="AS728" s="787"/>
      <c r="AT728" s="787"/>
      <c r="AU728" s="787"/>
      <c r="AV728" s="787"/>
      <c r="AW728" s="787"/>
      <c r="AX728" s="784"/>
      <c r="AY728" s="1286"/>
    </row>
    <row r="729" spans="1:51" ht="27.75" thickBot="1" x14ac:dyDescent="0.3">
      <c r="A729" s="1195"/>
      <c r="B729" s="833"/>
      <c r="C729" s="810"/>
      <c r="D729" s="140" t="s">
        <v>45</v>
      </c>
      <c r="E729" s="244"/>
      <c r="F729" s="245"/>
      <c r="G729" s="456">
        <v>21855875</v>
      </c>
      <c r="H729" s="456">
        <v>43711750</v>
      </c>
      <c r="I729" s="456">
        <v>43711750</v>
      </c>
      <c r="J729" s="456">
        <v>42976622.5625</v>
      </c>
      <c r="K729" s="456">
        <f>+K728*$K$671/$K$670</f>
        <v>43385977.75</v>
      </c>
      <c r="L729" s="456">
        <f>+L728*$L$671/$L$670</f>
        <v>53235989.174999997</v>
      </c>
      <c r="M729" s="456">
        <f>+M728*$M$671/$M$670</f>
        <v>47001475.895833336</v>
      </c>
      <c r="N729" s="456">
        <f>+N728*$N$671/$N$670</f>
        <v>64298910.287500001</v>
      </c>
      <c r="O729" s="456">
        <f>+O728*$O$671/$O$670</f>
        <v>87262806.818749994</v>
      </c>
      <c r="P729" s="456">
        <f>+P728*$P$671/$P$670</f>
        <v>110226703.34999999</v>
      </c>
      <c r="Q729" s="456">
        <f>+Q728*$Q$671/$Q$670</f>
        <v>146968937.80000001</v>
      </c>
      <c r="R729" s="456">
        <f>+R728*$R$671/$R$670</f>
        <v>164144299.95625001</v>
      </c>
      <c r="S729" s="454"/>
      <c r="T729" s="458"/>
      <c r="U729" s="456">
        <v>15339000</v>
      </c>
      <c r="V729" s="456">
        <v>77063111.111111104</v>
      </c>
      <c r="W729" s="456">
        <v>76292480</v>
      </c>
      <c r="X729" s="456">
        <f>+X728*$X$671/$X$670</f>
        <v>75661963.63636364</v>
      </c>
      <c r="Y729" s="456">
        <f>+Y728*$Y$671/$Y$670</f>
        <v>73007157.894736841</v>
      </c>
      <c r="Z729" s="456">
        <f>+Z728*$Z$671/$Z$670</f>
        <v>76410033.898305088</v>
      </c>
      <c r="AA729" s="456">
        <f>+AA728*$AA$671/$AA$670</f>
        <v>79589770.491803274</v>
      </c>
      <c r="AB729" s="456">
        <f>+AB728*$AB$671/$AB$670</f>
        <v>138746000</v>
      </c>
      <c r="AC729" s="456">
        <f>+AC728*$AC$671/$AC$670</f>
        <v>128796747.16981132</v>
      </c>
      <c r="AD729" s="456">
        <f>+AD728*$AD$671/$AD$670</f>
        <v>141281920</v>
      </c>
      <c r="AE729" s="456">
        <f>+AE728*$AE$671/$AE$670</f>
        <v>147051620.625</v>
      </c>
      <c r="AF729" s="1288"/>
      <c r="AG729" s="1230"/>
      <c r="AH729" s="1294"/>
      <c r="AI729" s="1294"/>
      <c r="AJ729" s="790"/>
      <c r="AK729" s="790"/>
      <c r="AL729" s="810"/>
      <c r="AM729" s="810"/>
      <c r="AN729" s="791"/>
      <c r="AO729" s="805"/>
      <c r="AP729" s="805"/>
      <c r="AQ729" s="787"/>
      <c r="AR729" s="787"/>
      <c r="AS729" s="787"/>
      <c r="AT729" s="787"/>
      <c r="AU729" s="787"/>
      <c r="AV729" s="787"/>
      <c r="AW729" s="787"/>
      <c r="AX729" s="785"/>
      <c r="AY729" s="1286"/>
    </row>
    <row r="730" spans="1:51" ht="18" customHeight="1" x14ac:dyDescent="0.25">
      <c r="A730" s="1195"/>
      <c r="B730" s="833"/>
      <c r="C730" s="1197" t="s">
        <v>1325</v>
      </c>
      <c r="D730" s="141" t="s">
        <v>41</v>
      </c>
      <c r="E730" s="142"/>
      <c r="F730" s="143"/>
      <c r="G730" s="459">
        <v>3</v>
      </c>
      <c r="H730" s="459">
        <v>6</v>
      </c>
      <c r="I730" s="459">
        <v>7</v>
      </c>
      <c r="J730" s="445">
        <v>7</v>
      </c>
      <c r="K730" s="445">
        <v>7</v>
      </c>
      <c r="L730" s="445">
        <v>7</v>
      </c>
      <c r="M730" s="445">
        <v>8</v>
      </c>
      <c r="N730" s="455">
        <v>8</v>
      </c>
      <c r="O730" s="445">
        <v>10</v>
      </c>
      <c r="P730" s="458">
        <v>13</v>
      </c>
      <c r="Q730" s="445">
        <v>17</v>
      </c>
      <c r="R730" s="447">
        <v>18</v>
      </c>
      <c r="S730" s="454"/>
      <c r="T730" s="459">
        <v>3</v>
      </c>
      <c r="U730" s="459">
        <v>6</v>
      </c>
      <c r="V730" s="459">
        <v>7</v>
      </c>
      <c r="W730" s="455">
        <v>7</v>
      </c>
      <c r="X730" s="454">
        <v>7</v>
      </c>
      <c r="Y730" s="445">
        <v>7</v>
      </c>
      <c r="Z730" s="455">
        <v>8</v>
      </c>
      <c r="AA730" s="455">
        <v>8</v>
      </c>
      <c r="AB730" s="1254">
        <v>10</v>
      </c>
      <c r="AC730" s="447">
        <v>13</v>
      </c>
      <c r="AD730" s="445">
        <v>17</v>
      </c>
      <c r="AE730" s="1235">
        <v>18</v>
      </c>
      <c r="AF730" s="1278" t="s">
        <v>1165</v>
      </c>
      <c r="AG730" s="1230" t="str">
        <f>+C730</f>
        <v>10-ENGATIVA</v>
      </c>
      <c r="AH730" s="1291" t="s">
        <v>954</v>
      </c>
      <c r="AI730" s="1291" t="s">
        <v>1166</v>
      </c>
      <c r="AJ730" s="788" t="s">
        <v>1154</v>
      </c>
      <c r="AK730" s="788" t="s">
        <v>315</v>
      </c>
      <c r="AL730" s="810" t="s">
        <v>371</v>
      </c>
      <c r="AM730" s="810" t="s">
        <v>547</v>
      </c>
      <c r="AN730" s="791">
        <v>840955</v>
      </c>
      <c r="AO730" s="805">
        <v>396682</v>
      </c>
      <c r="AP730" s="805">
        <v>444273</v>
      </c>
      <c r="AQ730" s="787" t="s">
        <v>317</v>
      </c>
      <c r="AR730" s="787" t="s">
        <v>317</v>
      </c>
      <c r="AS730" s="787" t="s">
        <v>317</v>
      </c>
      <c r="AT730" s="787" t="s">
        <v>317</v>
      </c>
      <c r="AU730" s="787" t="s">
        <v>317</v>
      </c>
      <c r="AV730" s="787" t="s">
        <v>317</v>
      </c>
      <c r="AW730" s="787" t="s">
        <v>317</v>
      </c>
      <c r="AX730" s="783">
        <v>840955</v>
      </c>
      <c r="AY730" s="1281" t="s">
        <v>1167</v>
      </c>
    </row>
    <row r="731" spans="1:51" ht="18" customHeight="1" x14ac:dyDescent="0.25">
      <c r="A731" s="1195"/>
      <c r="B731" s="833"/>
      <c r="C731" s="1198"/>
      <c r="D731" s="132" t="s">
        <v>3</v>
      </c>
      <c r="E731" s="239"/>
      <c r="F731" s="240"/>
      <c r="G731" s="456">
        <v>13113525</v>
      </c>
      <c r="H731" s="456">
        <v>26227050</v>
      </c>
      <c r="I731" s="456">
        <v>30598225</v>
      </c>
      <c r="J731" s="456">
        <v>27348759.8125</v>
      </c>
      <c r="K731" s="456">
        <f>+K730*$K$671/$K$670</f>
        <v>25308487.020833332</v>
      </c>
      <c r="L731" s="456">
        <f>+L730*$L$671/$L$670</f>
        <v>31054327.018750001</v>
      </c>
      <c r="M731" s="456">
        <f>+M730*$M$671/$M$670</f>
        <v>28923985.166666668</v>
      </c>
      <c r="N731" s="456">
        <f>+N730*$N$671/$N$670</f>
        <v>36742234.450000003</v>
      </c>
      <c r="O731" s="456">
        <f>+O730*$O$671/$O$670</f>
        <v>45927793.0625</v>
      </c>
      <c r="P731" s="456">
        <f>+P730*$P$671/$P$670</f>
        <v>59706130.981250003</v>
      </c>
      <c r="Q731" s="456">
        <f>+Q730*$Q$671/$Q$670</f>
        <v>78077248.206249997</v>
      </c>
      <c r="R731" s="456">
        <f>+R730*$R$671/$R$670</f>
        <v>79853983.762500003</v>
      </c>
      <c r="S731" s="457"/>
      <c r="T731" s="456"/>
      <c r="U731" s="456">
        <v>9203400</v>
      </c>
      <c r="V731" s="456">
        <v>53944177.777777776</v>
      </c>
      <c r="W731" s="456">
        <v>48549760</v>
      </c>
      <c r="X731" s="456">
        <f>+X730*$X$671/$X$670</f>
        <v>44136145.454545453</v>
      </c>
      <c r="Y731" s="456">
        <f>+Y730*$Y$671/$Y$670</f>
        <v>42587508.771929823</v>
      </c>
      <c r="Z731" s="456">
        <f>+Z730*$Z$671/$Z$670</f>
        <v>47021559.322033897</v>
      </c>
      <c r="AA731" s="456">
        <f>+AA730*$AA$671/$AA$670</f>
        <v>45479868.852459013</v>
      </c>
      <c r="AB731" s="456">
        <f>+AB730*$AB$671/$AB$670</f>
        <v>73024210.526315793</v>
      </c>
      <c r="AC731" s="456">
        <f>+AC730*$AC$671/$AC$670</f>
        <v>69764904.716981128</v>
      </c>
      <c r="AD731" s="456">
        <f>+AD730*$AD$671/$AD$670</f>
        <v>75056020</v>
      </c>
      <c r="AE731" s="456">
        <f>+AE730*$AE$671/$AE$670</f>
        <v>71538626.25</v>
      </c>
      <c r="AF731" s="1283"/>
      <c r="AG731" s="1230"/>
      <c r="AH731" s="1292"/>
      <c r="AI731" s="1292"/>
      <c r="AJ731" s="789"/>
      <c r="AK731" s="789"/>
      <c r="AL731" s="810"/>
      <c r="AM731" s="810"/>
      <c r="AN731" s="791"/>
      <c r="AO731" s="805"/>
      <c r="AP731" s="805"/>
      <c r="AQ731" s="787"/>
      <c r="AR731" s="787"/>
      <c r="AS731" s="787"/>
      <c r="AT731" s="787"/>
      <c r="AU731" s="787"/>
      <c r="AV731" s="787"/>
      <c r="AW731" s="787"/>
      <c r="AX731" s="784"/>
      <c r="AY731" s="1286"/>
    </row>
    <row r="732" spans="1:51" ht="27" customHeight="1" x14ac:dyDescent="0.25">
      <c r="A732" s="1195"/>
      <c r="B732" s="833"/>
      <c r="C732" s="1198"/>
      <c r="D732" s="136" t="s">
        <v>42</v>
      </c>
      <c r="E732" s="239"/>
      <c r="F732" s="240"/>
      <c r="G732" s="456"/>
      <c r="H732" s="456"/>
      <c r="I732" s="456"/>
      <c r="J732" s="456"/>
      <c r="K732" s="456"/>
      <c r="L732" s="456"/>
      <c r="M732" s="456"/>
      <c r="N732" s="1282"/>
      <c r="O732" s="456"/>
      <c r="P732" s="458"/>
      <c r="Q732" s="456"/>
      <c r="R732" s="1287"/>
      <c r="S732" s="457"/>
      <c r="T732" s="456"/>
      <c r="U732" s="456"/>
      <c r="V732" s="456"/>
      <c r="W732" s="457"/>
      <c r="X732" s="456"/>
      <c r="Y732" s="456"/>
      <c r="Z732" s="457"/>
      <c r="AA732" s="1282"/>
      <c r="AB732" s="1293"/>
      <c r="AC732" s="1287"/>
      <c r="AD732" s="456"/>
      <c r="AE732" s="1226"/>
      <c r="AF732" s="1283"/>
      <c r="AG732" s="1230"/>
      <c r="AH732" s="1292"/>
      <c r="AI732" s="1292"/>
      <c r="AJ732" s="789"/>
      <c r="AK732" s="789"/>
      <c r="AL732" s="810"/>
      <c r="AM732" s="810"/>
      <c r="AN732" s="791"/>
      <c r="AO732" s="805"/>
      <c r="AP732" s="805"/>
      <c r="AQ732" s="787"/>
      <c r="AR732" s="787"/>
      <c r="AS732" s="787"/>
      <c r="AT732" s="787"/>
      <c r="AU732" s="787"/>
      <c r="AV732" s="787"/>
      <c r="AW732" s="787"/>
      <c r="AX732" s="784"/>
      <c r="AY732" s="1286"/>
    </row>
    <row r="733" spans="1:51" ht="27" customHeight="1" x14ac:dyDescent="0.25">
      <c r="A733" s="1195"/>
      <c r="B733" s="833"/>
      <c r="C733" s="1198"/>
      <c r="D733" s="132" t="s">
        <v>4</v>
      </c>
      <c r="E733" s="239"/>
      <c r="F733" s="240"/>
      <c r="G733" s="456"/>
      <c r="H733" s="456">
        <v>7723875.0909090908</v>
      </c>
      <c r="I733" s="456"/>
      <c r="J733" s="456"/>
      <c r="K733" s="456"/>
      <c r="L733" s="456"/>
      <c r="M733" s="456"/>
      <c r="N733" s="1282"/>
      <c r="O733" s="456"/>
      <c r="P733" s="458"/>
      <c r="Q733" s="456"/>
      <c r="R733" s="1287"/>
      <c r="S733" s="457"/>
      <c r="T733" s="456">
        <v>5276561.25</v>
      </c>
      <c r="U733" s="456">
        <v>7723875.0909090908</v>
      </c>
      <c r="V733" s="456"/>
      <c r="W733" s="457"/>
      <c r="X733" s="457"/>
      <c r="Y733" s="456"/>
      <c r="Z733" s="457"/>
      <c r="AA733" s="1282"/>
      <c r="AB733" s="1293"/>
      <c r="AC733" s="1287"/>
      <c r="AD733" s="456"/>
      <c r="AE733" s="1226"/>
      <c r="AF733" s="1283"/>
      <c r="AG733" s="1230"/>
      <c r="AH733" s="1292"/>
      <c r="AI733" s="1292"/>
      <c r="AJ733" s="789"/>
      <c r="AK733" s="789"/>
      <c r="AL733" s="810"/>
      <c r="AM733" s="810"/>
      <c r="AN733" s="791"/>
      <c r="AO733" s="805"/>
      <c r="AP733" s="805"/>
      <c r="AQ733" s="787"/>
      <c r="AR733" s="787"/>
      <c r="AS733" s="787"/>
      <c r="AT733" s="787"/>
      <c r="AU733" s="787"/>
      <c r="AV733" s="787"/>
      <c r="AW733" s="787"/>
      <c r="AX733" s="784"/>
      <c r="AY733" s="1286"/>
    </row>
    <row r="734" spans="1:51" ht="27" customHeight="1" x14ac:dyDescent="0.25">
      <c r="A734" s="1195"/>
      <c r="B734" s="833"/>
      <c r="C734" s="1198"/>
      <c r="D734" s="136" t="s">
        <v>43</v>
      </c>
      <c r="E734" s="142"/>
      <c r="F734" s="143"/>
      <c r="G734" s="459">
        <v>3</v>
      </c>
      <c r="H734" s="459">
        <v>6</v>
      </c>
      <c r="I734" s="459">
        <v>7</v>
      </c>
      <c r="J734" s="445">
        <v>7</v>
      </c>
      <c r="K734" s="445">
        <v>7</v>
      </c>
      <c r="L734" s="445">
        <v>7</v>
      </c>
      <c r="M734" s="445">
        <v>8</v>
      </c>
      <c r="N734" s="447">
        <v>8</v>
      </c>
      <c r="O734" s="445">
        <v>10</v>
      </c>
      <c r="P734" s="458">
        <v>13</v>
      </c>
      <c r="Q734" s="445">
        <v>17</v>
      </c>
      <c r="R734" s="447">
        <v>18</v>
      </c>
      <c r="S734" s="447"/>
      <c r="T734" s="459">
        <v>3</v>
      </c>
      <c r="U734" s="459">
        <v>6</v>
      </c>
      <c r="V734" s="459">
        <v>7</v>
      </c>
      <c r="W734" s="447">
        <v>7</v>
      </c>
      <c r="X734" s="450">
        <v>7</v>
      </c>
      <c r="Y734" s="445">
        <v>7</v>
      </c>
      <c r="Z734" s="447">
        <v>8</v>
      </c>
      <c r="AA734" s="447">
        <v>8</v>
      </c>
      <c r="AB734" s="1255">
        <v>10</v>
      </c>
      <c r="AC734" s="447">
        <v>13</v>
      </c>
      <c r="AD734" s="445">
        <v>17</v>
      </c>
      <c r="AE734" s="1225">
        <v>18</v>
      </c>
      <c r="AF734" s="1283"/>
      <c r="AG734" s="1230"/>
      <c r="AH734" s="1292"/>
      <c r="AI734" s="1292"/>
      <c r="AJ734" s="789"/>
      <c r="AK734" s="789"/>
      <c r="AL734" s="810"/>
      <c r="AM734" s="810"/>
      <c r="AN734" s="791"/>
      <c r="AO734" s="805"/>
      <c r="AP734" s="805"/>
      <c r="AQ734" s="787"/>
      <c r="AR734" s="787"/>
      <c r="AS734" s="787"/>
      <c r="AT734" s="787"/>
      <c r="AU734" s="787"/>
      <c r="AV734" s="787"/>
      <c r="AW734" s="787"/>
      <c r="AX734" s="784"/>
      <c r="AY734" s="1286"/>
    </row>
    <row r="735" spans="1:51" ht="27.75" customHeight="1" thickBot="1" x14ac:dyDescent="0.3">
      <c r="A735" s="1195"/>
      <c r="B735" s="833"/>
      <c r="C735" s="1199"/>
      <c r="D735" s="140" t="s">
        <v>45</v>
      </c>
      <c r="E735" s="244"/>
      <c r="F735" s="245"/>
      <c r="G735" s="456">
        <v>13113525</v>
      </c>
      <c r="H735" s="456">
        <v>26227050</v>
      </c>
      <c r="I735" s="456">
        <v>30598225</v>
      </c>
      <c r="J735" s="456">
        <v>27348759.8125</v>
      </c>
      <c r="K735" s="456">
        <f>+K734*$K$671/$K$670</f>
        <v>25308487.020833332</v>
      </c>
      <c r="L735" s="456">
        <f>+L734*$L$671/$L$670</f>
        <v>31054327.018750001</v>
      </c>
      <c r="M735" s="456">
        <f>+M734*$M$671/$M$670</f>
        <v>28923985.166666668</v>
      </c>
      <c r="N735" s="456">
        <f>+N734*$N$671/$N$670</f>
        <v>36742234.450000003</v>
      </c>
      <c r="O735" s="456">
        <f>+O734*$O$671/$O$670</f>
        <v>45927793.0625</v>
      </c>
      <c r="P735" s="456">
        <f>+P734*$P$671/$P$670</f>
        <v>59706130.981250003</v>
      </c>
      <c r="Q735" s="456">
        <f>+Q734*$Q$671/$Q$670</f>
        <v>78077248.206249997</v>
      </c>
      <c r="R735" s="456">
        <f>+R734*$R$671/$R$670</f>
        <v>79853983.762500003</v>
      </c>
      <c r="S735" s="454"/>
      <c r="T735" s="458"/>
      <c r="U735" s="456">
        <v>9203400</v>
      </c>
      <c r="V735" s="456">
        <v>53944177.777777776</v>
      </c>
      <c r="W735" s="456">
        <v>48549760</v>
      </c>
      <c r="X735" s="456">
        <f>+X734*$X$671/$X$670</f>
        <v>44136145.454545453</v>
      </c>
      <c r="Y735" s="456">
        <f>+Y734*$Y$671/$Y$670</f>
        <v>42587508.771929823</v>
      </c>
      <c r="Z735" s="456">
        <f>+Z734*$Z$671/$Z$670</f>
        <v>47021559.322033897</v>
      </c>
      <c r="AA735" s="456">
        <f>+AA734*$AA$671/$AA$670</f>
        <v>45479868.852459013</v>
      </c>
      <c r="AB735" s="456">
        <f>+AB734*$AB$671/$AB$670</f>
        <v>73024210.526315793</v>
      </c>
      <c r="AC735" s="456">
        <f>+AC734*$AC$671/$AC$670</f>
        <v>69764904.716981128</v>
      </c>
      <c r="AD735" s="456">
        <f>+AD734*$AD$671/$AD$670</f>
        <v>75056020</v>
      </c>
      <c r="AE735" s="456">
        <f>+AE734*$AE$671/$AE$670</f>
        <v>71538626.25</v>
      </c>
      <c r="AF735" s="1288"/>
      <c r="AG735" s="1230"/>
      <c r="AH735" s="1294"/>
      <c r="AI735" s="1294"/>
      <c r="AJ735" s="790"/>
      <c r="AK735" s="790"/>
      <c r="AL735" s="810"/>
      <c r="AM735" s="810"/>
      <c r="AN735" s="791"/>
      <c r="AO735" s="805"/>
      <c r="AP735" s="805"/>
      <c r="AQ735" s="787"/>
      <c r="AR735" s="787"/>
      <c r="AS735" s="787"/>
      <c r="AT735" s="787"/>
      <c r="AU735" s="787"/>
      <c r="AV735" s="787"/>
      <c r="AW735" s="787"/>
      <c r="AX735" s="785"/>
      <c r="AY735" s="1286"/>
    </row>
    <row r="736" spans="1:51" ht="18" customHeight="1" x14ac:dyDescent="0.25">
      <c r="A736" s="1195"/>
      <c r="B736" s="833"/>
      <c r="C736" s="810" t="s">
        <v>1310</v>
      </c>
      <c r="D736" s="141" t="s">
        <v>41</v>
      </c>
      <c r="E736" s="142"/>
      <c r="F736" s="143"/>
      <c r="G736" s="459">
        <v>2</v>
      </c>
      <c r="H736" s="459">
        <v>2</v>
      </c>
      <c r="I736" s="459">
        <v>3</v>
      </c>
      <c r="J736" s="445">
        <v>4</v>
      </c>
      <c r="K736" s="445">
        <v>4</v>
      </c>
      <c r="L736" s="445">
        <v>4</v>
      </c>
      <c r="M736" s="445">
        <v>4</v>
      </c>
      <c r="N736" s="455">
        <v>4</v>
      </c>
      <c r="O736" s="445">
        <v>4</v>
      </c>
      <c r="P736" s="458">
        <v>8</v>
      </c>
      <c r="Q736" s="445">
        <v>8</v>
      </c>
      <c r="R736" s="447">
        <v>10</v>
      </c>
      <c r="S736" s="454"/>
      <c r="T736" s="459">
        <v>2</v>
      </c>
      <c r="U736" s="459">
        <v>2</v>
      </c>
      <c r="V736" s="459">
        <v>3</v>
      </c>
      <c r="W736" s="455">
        <v>4</v>
      </c>
      <c r="X736" s="454">
        <v>4</v>
      </c>
      <c r="Y736" s="445">
        <v>4</v>
      </c>
      <c r="Z736" s="454">
        <v>4</v>
      </c>
      <c r="AA736" s="455">
        <v>4</v>
      </c>
      <c r="AB736" s="1254">
        <v>4</v>
      </c>
      <c r="AC736" s="447">
        <v>8</v>
      </c>
      <c r="AD736" s="445">
        <v>8</v>
      </c>
      <c r="AE736" s="1235">
        <v>10</v>
      </c>
      <c r="AF736" s="1278" t="s">
        <v>1168</v>
      </c>
      <c r="AG736" s="1230" t="str">
        <f>+C736</f>
        <v>11-SUBA</v>
      </c>
      <c r="AH736" s="1291" t="s">
        <v>1169</v>
      </c>
      <c r="AI736" s="1291" t="s">
        <v>1170</v>
      </c>
      <c r="AJ736" s="788" t="s">
        <v>1154</v>
      </c>
      <c r="AK736" s="788" t="s">
        <v>315</v>
      </c>
      <c r="AL736" s="810" t="s">
        <v>378</v>
      </c>
      <c r="AM736" s="810" t="s">
        <v>547</v>
      </c>
      <c r="AN736" s="791">
        <v>1229902</v>
      </c>
      <c r="AO736" s="783">
        <v>579046</v>
      </c>
      <c r="AP736" s="783">
        <v>650857</v>
      </c>
      <c r="AQ736" s="787" t="s">
        <v>317</v>
      </c>
      <c r="AR736" s="787" t="s">
        <v>317</v>
      </c>
      <c r="AS736" s="787" t="s">
        <v>317</v>
      </c>
      <c r="AT736" s="787" t="s">
        <v>317</v>
      </c>
      <c r="AU736" s="787" t="s">
        <v>317</v>
      </c>
      <c r="AV736" s="787" t="s">
        <v>317</v>
      </c>
      <c r="AW736" s="787" t="s">
        <v>317</v>
      </c>
      <c r="AX736" s="783">
        <v>1229902</v>
      </c>
      <c r="AY736" s="1281" t="s">
        <v>1171</v>
      </c>
    </row>
    <row r="737" spans="1:51" ht="18" customHeight="1" x14ac:dyDescent="0.25">
      <c r="A737" s="1195"/>
      <c r="B737" s="833"/>
      <c r="C737" s="810"/>
      <c r="D737" s="132" t="s">
        <v>3</v>
      </c>
      <c r="E737" s="239"/>
      <c r="F737" s="240"/>
      <c r="G737" s="456">
        <v>8742350</v>
      </c>
      <c r="H737" s="456">
        <v>8742350</v>
      </c>
      <c r="I737" s="456">
        <v>13113525</v>
      </c>
      <c r="J737" s="456">
        <v>15627862.75</v>
      </c>
      <c r="K737" s="456">
        <f>+K736*$K$671/$K$670</f>
        <v>14461992.583333334</v>
      </c>
      <c r="L737" s="456">
        <f>+L736*$L$671/$L$670</f>
        <v>17745329.725000001</v>
      </c>
      <c r="M737" s="456">
        <f>+M736*$M$671/$M$670</f>
        <v>14461992.583333334</v>
      </c>
      <c r="N737" s="456">
        <f>+N736*$N$671/$N$670</f>
        <v>18371117.225000001</v>
      </c>
      <c r="O737" s="456">
        <f>+O736*$O$671/$O$670</f>
        <v>18371117.225000001</v>
      </c>
      <c r="P737" s="456">
        <f>+P736*$P$671/$P$670</f>
        <v>36742234.450000003</v>
      </c>
      <c r="Q737" s="456">
        <f>+Q736*$Q$671/$Q$670</f>
        <v>36742234.450000003</v>
      </c>
      <c r="R737" s="456">
        <f>+R736*$R$671/$R$670</f>
        <v>44363324.3125</v>
      </c>
      <c r="S737" s="457"/>
      <c r="T737" s="456"/>
      <c r="U737" s="456">
        <v>3067800</v>
      </c>
      <c r="V737" s="456">
        <v>23118933.333333332</v>
      </c>
      <c r="W737" s="456">
        <v>27742720</v>
      </c>
      <c r="X737" s="456">
        <f>+X736*$X$671/$X$670</f>
        <v>25220654.545454547</v>
      </c>
      <c r="Y737" s="456">
        <f>+Y736*$Y$671/$Y$670</f>
        <v>24335719.298245613</v>
      </c>
      <c r="Z737" s="456">
        <f>+Z736*$Z$671/$Z$670</f>
        <v>23510779.661016949</v>
      </c>
      <c r="AA737" s="456">
        <f>+AA736*$AA$671/$AA$670</f>
        <v>22739934.426229507</v>
      </c>
      <c r="AB737" s="456">
        <f>+AB736*$AB$671/$AB$670</f>
        <v>29209684.210526317</v>
      </c>
      <c r="AC737" s="456">
        <f>+AC736*$AC$671/$AC$670</f>
        <v>42932249.056603774</v>
      </c>
      <c r="AD737" s="456">
        <f>+AD736*$AD$671/$AD$670</f>
        <v>35320480</v>
      </c>
      <c r="AE737" s="456">
        <f>+AE736*$AE$671/$AE$670</f>
        <v>39743681.25</v>
      </c>
      <c r="AF737" s="1283"/>
      <c r="AG737" s="1230"/>
      <c r="AH737" s="1292"/>
      <c r="AI737" s="1292"/>
      <c r="AJ737" s="789"/>
      <c r="AK737" s="789"/>
      <c r="AL737" s="810"/>
      <c r="AM737" s="810"/>
      <c r="AN737" s="791"/>
      <c r="AO737" s="784"/>
      <c r="AP737" s="784"/>
      <c r="AQ737" s="787"/>
      <c r="AR737" s="787"/>
      <c r="AS737" s="787"/>
      <c r="AT737" s="787"/>
      <c r="AU737" s="787"/>
      <c r="AV737" s="787"/>
      <c r="AW737" s="787"/>
      <c r="AX737" s="784"/>
      <c r="AY737" s="1286"/>
    </row>
    <row r="738" spans="1:51" ht="27" customHeight="1" x14ac:dyDescent="0.25">
      <c r="A738" s="1195"/>
      <c r="B738" s="833"/>
      <c r="C738" s="810"/>
      <c r="D738" s="136" t="s">
        <v>42</v>
      </c>
      <c r="E738" s="239"/>
      <c r="F738" s="240"/>
      <c r="G738" s="456"/>
      <c r="H738" s="456"/>
      <c r="I738" s="456"/>
      <c r="J738" s="456"/>
      <c r="K738" s="456"/>
      <c r="L738" s="456"/>
      <c r="M738" s="456"/>
      <c r="N738" s="1282"/>
      <c r="O738" s="456"/>
      <c r="P738" s="458"/>
      <c r="Q738" s="456"/>
      <c r="R738" s="1287"/>
      <c r="S738" s="457"/>
      <c r="T738" s="456"/>
      <c r="U738" s="456"/>
      <c r="V738" s="456"/>
      <c r="W738" s="457"/>
      <c r="X738" s="457"/>
      <c r="Y738" s="456"/>
      <c r="Z738" s="457"/>
      <c r="AA738" s="1282"/>
      <c r="AB738" s="1293"/>
      <c r="AC738" s="1287"/>
      <c r="AD738" s="456"/>
      <c r="AE738" s="1226"/>
      <c r="AF738" s="1283"/>
      <c r="AG738" s="1230"/>
      <c r="AH738" s="1292"/>
      <c r="AI738" s="1292"/>
      <c r="AJ738" s="789"/>
      <c r="AK738" s="789"/>
      <c r="AL738" s="810"/>
      <c r="AM738" s="810"/>
      <c r="AN738" s="791"/>
      <c r="AO738" s="784"/>
      <c r="AP738" s="784"/>
      <c r="AQ738" s="787"/>
      <c r="AR738" s="787"/>
      <c r="AS738" s="787"/>
      <c r="AT738" s="787"/>
      <c r="AU738" s="787"/>
      <c r="AV738" s="787"/>
      <c r="AW738" s="787"/>
      <c r="AX738" s="784"/>
      <c r="AY738" s="1286"/>
    </row>
    <row r="739" spans="1:51" ht="27" customHeight="1" x14ac:dyDescent="0.25">
      <c r="A739" s="1195"/>
      <c r="B739" s="833"/>
      <c r="C739" s="810"/>
      <c r="D739" s="132" t="s">
        <v>4</v>
      </c>
      <c r="E739" s="239"/>
      <c r="F739" s="240"/>
      <c r="G739" s="456"/>
      <c r="H739" s="456">
        <v>7723875.0909090908</v>
      </c>
      <c r="I739" s="456"/>
      <c r="J739" s="456"/>
      <c r="K739" s="456"/>
      <c r="L739" s="456"/>
      <c r="M739" s="456"/>
      <c r="N739" s="1282"/>
      <c r="O739" s="456"/>
      <c r="P739" s="458"/>
      <c r="Q739" s="456"/>
      <c r="R739" s="1287"/>
      <c r="S739" s="457"/>
      <c r="T739" s="456">
        <v>3517707.5</v>
      </c>
      <c r="U739" s="456">
        <v>7723875.0909090908</v>
      </c>
      <c r="V739" s="456"/>
      <c r="W739" s="457"/>
      <c r="X739" s="457"/>
      <c r="Y739" s="456"/>
      <c r="Z739" s="457"/>
      <c r="AA739" s="1282"/>
      <c r="AB739" s="1293"/>
      <c r="AC739" s="1287"/>
      <c r="AD739" s="456"/>
      <c r="AE739" s="1226"/>
      <c r="AF739" s="1283"/>
      <c r="AG739" s="1230"/>
      <c r="AH739" s="1292"/>
      <c r="AI739" s="1292"/>
      <c r="AJ739" s="789"/>
      <c r="AK739" s="789"/>
      <c r="AL739" s="810"/>
      <c r="AM739" s="810"/>
      <c r="AN739" s="791"/>
      <c r="AO739" s="784"/>
      <c r="AP739" s="784"/>
      <c r="AQ739" s="787"/>
      <c r="AR739" s="787"/>
      <c r="AS739" s="787"/>
      <c r="AT739" s="787"/>
      <c r="AU739" s="787"/>
      <c r="AV739" s="787"/>
      <c r="AW739" s="787"/>
      <c r="AX739" s="784"/>
      <c r="AY739" s="1286"/>
    </row>
    <row r="740" spans="1:51" ht="27" customHeight="1" x14ac:dyDescent="0.25">
      <c r="A740" s="1195"/>
      <c r="B740" s="833"/>
      <c r="C740" s="810"/>
      <c r="D740" s="136" t="s">
        <v>43</v>
      </c>
      <c r="E740" s="142"/>
      <c r="F740" s="143"/>
      <c r="G740" s="459">
        <v>2</v>
      </c>
      <c r="H740" s="459">
        <v>2</v>
      </c>
      <c r="I740" s="459">
        <v>3</v>
      </c>
      <c r="J740" s="445">
        <v>4</v>
      </c>
      <c r="K740" s="445">
        <v>4</v>
      </c>
      <c r="L740" s="445">
        <v>4</v>
      </c>
      <c r="M740" s="445">
        <v>4</v>
      </c>
      <c r="N740" s="447">
        <v>4</v>
      </c>
      <c r="O740" s="445">
        <v>4</v>
      </c>
      <c r="P740" s="458">
        <v>8</v>
      </c>
      <c r="Q740" s="445">
        <v>8</v>
      </c>
      <c r="R740" s="447">
        <v>10</v>
      </c>
      <c r="S740" s="447"/>
      <c r="T740" s="459">
        <v>2</v>
      </c>
      <c r="U740" s="459">
        <v>2</v>
      </c>
      <c r="V740" s="459">
        <v>3</v>
      </c>
      <c r="W740" s="447">
        <v>4</v>
      </c>
      <c r="X740" s="450">
        <v>4</v>
      </c>
      <c r="Y740" s="445">
        <v>4</v>
      </c>
      <c r="Z740" s="447">
        <v>4</v>
      </c>
      <c r="AA740" s="447">
        <v>4</v>
      </c>
      <c r="AB740" s="1255">
        <v>4</v>
      </c>
      <c r="AC740" s="447">
        <v>8</v>
      </c>
      <c r="AD740" s="445">
        <v>8</v>
      </c>
      <c r="AE740" s="1225">
        <v>10</v>
      </c>
      <c r="AF740" s="1283"/>
      <c r="AG740" s="1230"/>
      <c r="AH740" s="1292"/>
      <c r="AI740" s="1292"/>
      <c r="AJ740" s="789"/>
      <c r="AK740" s="789"/>
      <c r="AL740" s="810"/>
      <c r="AM740" s="810"/>
      <c r="AN740" s="791"/>
      <c r="AO740" s="784"/>
      <c r="AP740" s="784"/>
      <c r="AQ740" s="787"/>
      <c r="AR740" s="787"/>
      <c r="AS740" s="787"/>
      <c r="AT740" s="787"/>
      <c r="AU740" s="787"/>
      <c r="AV740" s="787"/>
      <c r="AW740" s="787"/>
      <c r="AX740" s="784"/>
      <c r="AY740" s="1286"/>
    </row>
    <row r="741" spans="1:51" ht="27.75" customHeight="1" thickBot="1" x14ac:dyDescent="0.3">
      <c r="A741" s="1195"/>
      <c r="B741" s="833"/>
      <c r="C741" s="810"/>
      <c r="D741" s="140" t="s">
        <v>45</v>
      </c>
      <c r="E741" s="244"/>
      <c r="F741" s="245"/>
      <c r="G741" s="456">
        <v>8742350</v>
      </c>
      <c r="H741" s="456">
        <v>8742350</v>
      </c>
      <c r="I741" s="456">
        <v>13113525</v>
      </c>
      <c r="J741" s="456">
        <v>15627862.75</v>
      </c>
      <c r="K741" s="456">
        <f>+K740*$K$671/$K$670</f>
        <v>14461992.583333334</v>
      </c>
      <c r="L741" s="456">
        <f>+L740*$L$671/$L$670</f>
        <v>17745329.725000001</v>
      </c>
      <c r="M741" s="456">
        <f>+M740*$M$671/$M$670</f>
        <v>14461992.583333334</v>
      </c>
      <c r="N741" s="456">
        <f>+N740*$N$671/$N$670</f>
        <v>18371117.225000001</v>
      </c>
      <c r="O741" s="456">
        <f>+O740*$O$671/$O$670</f>
        <v>18371117.225000001</v>
      </c>
      <c r="P741" s="456">
        <f>+P740*$P$671/$P$670</f>
        <v>36742234.450000003</v>
      </c>
      <c r="Q741" s="456">
        <f>+Q740*$Q$671/$Q$670</f>
        <v>36742234.450000003</v>
      </c>
      <c r="R741" s="456">
        <f>+R740*$R$671/$R$670</f>
        <v>44363324.3125</v>
      </c>
      <c r="S741" s="454"/>
      <c r="T741" s="458"/>
      <c r="U741" s="456">
        <v>3067800</v>
      </c>
      <c r="V741" s="456">
        <v>23118933.333333332</v>
      </c>
      <c r="W741" s="456">
        <v>27742720</v>
      </c>
      <c r="X741" s="456">
        <f>+X740*$X$671/$X$670</f>
        <v>25220654.545454547</v>
      </c>
      <c r="Y741" s="456">
        <f>+Y740*$Y$671/$Y$670</f>
        <v>24335719.298245613</v>
      </c>
      <c r="Z741" s="456">
        <f>+Z740*$Z$671/$Z$670</f>
        <v>23510779.661016949</v>
      </c>
      <c r="AA741" s="456">
        <f>+AA740*$AA$671/$AA$670</f>
        <v>22739934.426229507</v>
      </c>
      <c r="AB741" s="456">
        <f>+AB740*$AB$671/$AB$670</f>
        <v>29209684.210526317</v>
      </c>
      <c r="AC741" s="456">
        <f>+AC740*$AC$671/$AC$670</f>
        <v>42932249.056603774</v>
      </c>
      <c r="AD741" s="456">
        <f>+AD740*$AD$671/$AD$670</f>
        <v>35320480</v>
      </c>
      <c r="AE741" s="456">
        <f>+AE740*$AE$671/$AE$670</f>
        <v>39743681.25</v>
      </c>
      <c r="AF741" s="1288"/>
      <c r="AG741" s="1230"/>
      <c r="AH741" s="1294"/>
      <c r="AI741" s="1294"/>
      <c r="AJ741" s="790"/>
      <c r="AK741" s="790"/>
      <c r="AL741" s="810"/>
      <c r="AM741" s="810"/>
      <c r="AN741" s="791"/>
      <c r="AO741" s="785"/>
      <c r="AP741" s="785"/>
      <c r="AQ741" s="787"/>
      <c r="AR741" s="787"/>
      <c r="AS741" s="787"/>
      <c r="AT741" s="787"/>
      <c r="AU741" s="787"/>
      <c r="AV741" s="787"/>
      <c r="AW741" s="787"/>
      <c r="AX741" s="785"/>
      <c r="AY741" s="1286"/>
    </row>
    <row r="742" spans="1:51" ht="18" customHeight="1" x14ac:dyDescent="0.25">
      <c r="A742" s="1195"/>
      <c r="B742" s="833"/>
      <c r="C742" s="1197" t="s">
        <v>1311</v>
      </c>
      <c r="D742" s="141" t="s">
        <v>41</v>
      </c>
      <c r="E742" s="142"/>
      <c r="F742" s="143"/>
      <c r="G742" s="445"/>
      <c r="H742" s="459">
        <v>2</v>
      </c>
      <c r="I742" s="459">
        <v>2</v>
      </c>
      <c r="J742" s="445">
        <v>4</v>
      </c>
      <c r="K742" s="445">
        <v>4</v>
      </c>
      <c r="L742" s="445">
        <v>4</v>
      </c>
      <c r="M742" s="445">
        <v>4</v>
      </c>
      <c r="N742" s="455">
        <v>4</v>
      </c>
      <c r="O742" s="445">
        <v>4</v>
      </c>
      <c r="P742" s="458">
        <v>6</v>
      </c>
      <c r="Q742" s="445">
        <v>8</v>
      </c>
      <c r="R742" s="447">
        <v>8</v>
      </c>
      <c r="S742" s="454"/>
      <c r="T742" s="445"/>
      <c r="U742" s="459">
        <v>2</v>
      </c>
      <c r="V742" s="459">
        <v>2</v>
      </c>
      <c r="W742" s="454">
        <v>4</v>
      </c>
      <c r="X742" s="454">
        <v>4</v>
      </c>
      <c r="Y742" s="445">
        <v>4</v>
      </c>
      <c r="Z742" s="454">
        <v>4</v>
      </c>
      <c r="AA742" s="455">
        <v>4</v>
      </c>
      <c r="AB742" s="1254">
        <v>4</v>
      </c>
      <c r="AC742" s="447">
        <v>6</v>
      </c>
      <c r="AD742" s="445">
        <v>8</v>
      </c>
      <c r="AE742" s="1235">
        <v>8</v>
      </c>
      <c r="AF742" s="1278" t="s">
        <v>1295</v>
      </c>
      <c r="AG742" s="1230" t="str">
        <f>+C742</f>
        <v>12-BARRIOS UNIDOS</v>
      </c>
      <c r="AH742" s="1291" t="s">
        <v>955</v>
      </c>
      <c r="AI742" s="1291" t="s">
        <v>1038</v>
      </c>
      <c r="AJ742" s="788" t="s">
        <v>1154</v>
      </c>
      <c r="AK742" s="788" t="s">
        <v>315</v>
      </c>
      <c r="AL742" s="810" t="s">
        <v>70</v>
      </c>
      <c r="AM742" s="810" t="s">
        <v>547</v>
      </c>
      <c r="AN742" s="791">
        <v>138605</v>
      </c>
      <c r="AO742" s="805">
        <v>65263</v>
      </c>
      <c r="AP742" s="805">
        <v>73342.037997114603</v>
      </c>
      <c r="AQ742" s="787" t="s">
        <v>317</v>
      </c>
      <c r="AR742" s="787" t="s">
        <v>317</v>
      </c>
      <c r="AS742" s="787" t="s">
        <v>317</v>
      </c>
      <c r="AT742" s="787" t="s">
        <v>317</v>
      </c>
      <c r="AU742" s="787" t="s">
        <v>317</v>
      </c>
      <c r="AV742" s="787" t="s">
        <v>317</v>
      </c>
      <c r="AW742" s="787" t="s">
        <v>317</v>
      </c>
      <c r="AX742" s="791">
        <v>138605</v>
      </c>
      <c r="AY742" s="1281" t="s">
        <v>1039</v>
      </c>
    </row>
    <row r="743" spans="1:51" ht="18" customHeight="1" x14ac:dyDescent="0.25">
      <c r="A743" s="1195"/>
      <c r="B743" s="833"/>
      <c r="C743" s="1198"/>
      <c r="D743" s="132" t="s">
        <v>3</v>
      </c>
      <c r="E743" s="239"/>
      <c r="F743" s="240"/>
      <c r="G743" s="456"/>
      <c r="H743" s="456">
        <v>8742350</v>
      </c>
      <c r="I743" s="456">
        <v>8742350</v>
      </c>
      <c r="J743" s="456">
        <v>15627862.75</v>
      </c>
      <c r="K743" s="456">
        <f>+K742*$K$671/$K$670</f>
        <v>14461992.583333334</v>
      </c>
      <c r="L743" s="456">
        <f>+L742*$L$671/$L$670</f>
        <v>17745329.725000001</v>
      </c>
      <c r="M743" s="456">
        <f>+M742*$M$671/$M$670</f>
        <v>14461992.583333334</v>
      </c>
      <c r="N743" s="456">
        <f>+N742*$N$671/$N$670</f>
        <v>18371117.225000001</v>
      </c>
      <c r="O743" s="456">
        <f>+O742*$O$671/$O$670</f>
        <v>18371117.225000001</v>
      </c>
      <c r="P743" s="456">
        <f>+P742*$P$671/$P$670</f>
        <v>27556675.837499999</v>
      </c>
      <c r="Q743" s="456">
        <f>+Q742*$Q$671/$Q$670</f>
        <v>36742234.450000003</v>
      </c>
      <c r="R743" s="456">
        <f>+R742*$R$671/$R$670</f>
        <v>35490659.450000003</v>
      </c>
      <c r="S743" s="457"/>
      <c r="T743" s="456"/>
      <c r="U743" s="456">
        <v>3067800</v>
      </c>
      <c r="V743" s="456">
        <v>15412622.222222222</v>
      </c>
      <c r="W743" s="456">
        <v>27742720</v>
      </c>
      <c r="X743" s="456">
        <f>+X742*$X$671/$X$670</f>
        <v>25220654.545454547</v>
      </c>
      <c r="Y743" s="456">
        <f>+Y742*$Y$671/$Y$670</f>
        <v>24335719.298245613</v>
      </c>
      <c r="Z743" s="456">
        <f>+Z742*$Z$671/$Z$670</f>
        <v>23510779.661016949</v>
      </c>
      <c r="AA743" s="456">
        <f>+AA742*$AA$671/$AA$670</f>
        <v>22739934.426229507</v>
      </c>
      <c r="AB743" s="456">
        <f>+AB742*$AB$671/$AB$670</f>
        <v>29209684.210526317</v>
      </c>
      <c r="AC743" s="456">
        <f>+AC742*$AC$671/$AC$670</f>
        <v>32199186.792452831</v>
      </c>
      <c r="AD743" s="456">
        <f>+AD742*$AD$671/$AD$670</f>
        <v>35320480</v>
      </c>
      <c r="AE743" s="456">
        <f>+AE742*$AE$671/$AE$670</f>
        <v>31794945</v>
      </c>
      <c r="AF743" s="1283"/>
      <c r="AG743" s="1230"/>
      <c r="AH743" s="1292"/>
      <c r="AI743" s="1292"/>
      <c r="AJ743" s="789"/>
      <c r="AK743" s="789"/>
      <c r="AL743" s="810"/>
      <c r="AM743" s="810"/>
      <c r="AN743" s="791"/>
      <c r="AO743" s="805"/>
      <c r="AP743" s="805"/>
      <c r="AQ743" s="787"/>
      <c r="AR743" s="787"/>
      <c r="AS743" s="787"/>
      <c r="AT743" s="787"/>
      <c r="AU743" s="787"/>
      <c r="AV743" s="787"/>
      <c r="AW743" s="787"/>
      <c r="AX743" s="791"/>
      <c r="AY743" s="1286"/>
    </row>
    <row r="744" spans="1:51" ht="27" customHeight="1" x14ac:dyDescent="0.25">
      <c r="A744" s="1195"/>
      <c r="B744" s="833"/>
      <c r="C744" s="1198"/>
      <c r="D744" s="136" t="s">
        <v>42</v>
      </c>
      <c r="E744" s="239"/>
      <c r="F744" s="240"/>
      <c r="G744" s="456"/>
      <c r="H744" s="456"/>
      <c r="I744" s="456"/>
      <c r="J744" s="456"/>
      <c r="K744" s="456"/>
      <c r="L744" s="456"/>
      <c r="M744" s="456"/>
      <c r="N744" s="1282"/>
      <c r="O744" s="456"/>
      <c r="P744" s="458"/>
      <c r="Q744" s="456"/>
      <c r="R744" s="1287"/>
      <c r="S744" s="457"/>
      <c r="T744" s="456"/>
      <c r="U744" s="456"/>
      <c r="V744" s="456"/>
      <c r="W744" s="457"/>
      <c r="X744" s="457"/>
      <c r="Y744" s="456"/>
      <c r="Z744" s="457"/>
      <c r="AA744" s="1282"/>
      <c r="AB744" s="1293"/>
      <c r="AC744" s="1287"/>
      <c r="AD744" s="456"/>
      <c r="AE744" s="1226"/>
      <c r="AF744" s="1283"/>
      <c r="AG744" s="1230"/>
      <c r="AH744" s="1292"/>
      <c r="AI744" s="1292"/>
      <c r="AJ744" s="789"/>
      <c r="AK744" s="789"/>
      <c r="AL744" s="810"/>
      <c r="AM744" s="810"/>
      <c r="AN744" s="791"/>
      <c r="AO744" s="805"/>
      <c r="AP744" s="805"/>
      <c r="AQ744" s="787"/>
      <c r="AR744" s="787"/>
      <c r="AS744" s="787"/>
      <c r="AT744" s="787"/>
      <c r="AU744" s="787"/>
      <c r="AV744" s="787"/>
      <c r="AW744" s="787"/>
      <c r="AX744" s="791"/>
      <c r="AY744" s="1286"/>
    </row>
    <row r="745" spans="1:51" ht="27" customHeight="1" x14ac:dyDescent="0.25">
      <c r="A745" s="1195"/>
      <c r="B745" s="833"/>
      <c r="C745" s="1198"/>
      <c r="D745" s="132" t="s">
        <v>4</v>
      </c>
      <c r="E745" s="239"/>
      <c r="F745" s="240"/>
      <c r="G745" s="456"/>
      <c r="H745" s="456">
        <v>7723875.0909090908</v>
      </c>
      <c r="I745" s="456"/>
      <c r="J745" s="456"/>
      <c r="K745" s="456"/>
      <c r="L745" s="456"/>
      <c r="M745" s="456"/>
      <c r="N745" s="1282"/>
      <c r="O745" s="456"/>
      <c r="P745" s="458"/>
      <c r="Q745" s="456"/>
      <c r="R745" s="1287"/>
      <c r="S745" s="457"/>
      <c r="T745" s="456"/>
      <c r="U745" s="456">
        <v>7723875.0909090908</v>
      </c>
      <c r="V745" s="456"/>
      <c r="W745" s="457"/>
      <c r="X745" s="457"/>
      <c r="Y745" s="456"/>
      <c r="Z745" s="457"/>
      <c r="AA745" s="1282"/>
      <c r="AB745" s="1293"/>
      <c r="AC745" s="1287"/>
      <c r="AD745" s="456"/>
      <c r="AE745" s="1226"/>
      <c r="AF745" s="1283"/>
      <c r="AG745" s="1230"/>
      <c r="AH745" s="1292"/>
      <c r="AI745" s="1292"/>
      <c r="AJ745" s="789"/>
      <c r="AK745" s="789"/>
      <c r="AL745" s="810"/>
      <c r="AM745" s="810"/>
      <c r="AN745" s="791"/>
      <c r="AO745" s="805"/>
      <c r="AP745" s="805"/>
      <c r="AQ745" s="787"/>
      <c r="AR745" s="787"/>
      <c r="AS745" s="787"/>
      <c r="AT745" s="787"/>
      <c r="AU745" s="787"/>
      <c r="AV745" s="787"/>
      <c r="AW745" s="787"/>
      <c r="AX745" s="791"/>
      <c r="AY745" s="1286"/>
    </row>
    <row r="746" spans="1:51" ht="27" customHeight="1" x14ac:dyDescent="0.25">
      <c r="A746" s="1195"/>
      <c r="B746" s="833"/>
      <c r="C746" s="1198"/>
      <c r="D746" s="136" t="s">
        <v>43</v>
      </c>
      <c r="E746" s="142"/>
      <c r="F746" s="143"/>
      <c r="G746" s="445"/>
      <c r="H746" s="459">
        <v>2</v>
      </c>
      <c r="I746" s="459">
        <v>2</v>
      </c>
      <c r="J746" s="445">
        <v>4</v>
      </c>
      <c r="K746" s="445">
        <v>4</v>
      </c>
      <c r="L746" s="445">
        <v>4</v>
      </c>
      <c r="M746" s="445">
        <v>4</v>
      </c>
      <c r="N746" s="447">
        <v>4</v>
      </c>
      <c r="O746" s="445">
        <v>4</v>
      </c>
      <c r="P746" s="458">
        <v>6</v>
      </c>
      <c r="Q746" s="445">
        <v>8</v>
      </c>
      <c r="R746" s="447">
        <v>8</v>
      </c>
      <c r="S746" s="447"/>
      <c r="T746" s="445"/>
      <c r="U746" s="459">
        <v>2</v>
      </c>
      <c r="V746" s="459">
        <v>2</v>
      </c>
      <c r="W746" s="447">
        <v>4</v>
      </c>
      <c r="X746" s="450">
        <v>4</v>
      </c>
      <c r="Y746" s="445">
        <v>4</v>
      </c>
      <c r="Z746" s="447">
        <v>4</v>
      </c>
      <c r="AA746" s="447">
        <v>4</v>
      </c>
      <c r="AB746" s="1255">
        <v>4</v>
      </c>
      <c r="AC746" s="447">
        <v>6</v>
      </c>
      <c r="AD746" s="445">
        <v>8</v>
      </c>
      <c r="AE746" s="1225">
        <v>8</v>
      </c>
      <c r="AF746" s="1283"/>
      <c r="AG746" s="1230"/>
      <c r="AH746" s="1292"/>
      <c r="AI746" s="1292"/>
      <c r="AJ746" s="789"/>
      <c r="AK746" s="789"/>
      <c r="AL746" s="810"/>
      <c r="AM746" s="810"/>
      <c r="AN746" s="791"/>
      <c r="AO746" s="805"/>
      <c r="AP746" s="805"/>
      <c r="AQ746" s="787"/>
      <c r="AR746" s="787"/>
      <c r="AS746" s="787"/>
      <c r="AT746" s="787"/>
      <c r="AU746" s="787"/>
      <c r="AV746" s="787"/>
      <c r="AW746" s="787"/>
      <c r="AX746" s="791"/>
      <c r="AY746" s="1286"/>
    </row>
    <row r="747" spans="1:51" ht="27.75" customHeight="1" thickBot="1" x14ac:dyDescent="0.3">
      <c r="A747" s="1195"/>
      <c r="B747" s="833"/>
      <c r="C747" s="1199"/>
      <c r="D747" s="140" t="s">
        <v>45</v>
      </c>
      <c r="E747" s="244"/>
      <c r="F747" s="245"/>
      <c r="G747" s="458"/>
      <c r="H747" s="456">
        <v>8742350</v>
      </c>
      <c r="I747" s="456">
        <v>8742350</v>
      </c>
      <c r="J747" s="456">
        <v>15627862.75</v>
      </c>
      <c r="K747" s="456">
        <f>+K746*$K$671/$K$670</f>
        <v>14461992.583333334</v>
      </c>
      <c r="L747" s="456">
        <f>+L746*$L$671/$L$670</f>
        <v>17745329.725000001</v>
      </c>
      <c r="M747" s="456">
        <f>+M746*$M$671/$M$670</f>
        <v>14461992.583333334</v>
      </c>
      <c r="N747" s="456">
        <f>+N746*$N$671/$N$670</f>
        <v>18371117.225000001</v>
      </c>
      <c r="O747" s="456">
        <f>+O746*$O$671/$O$670</f>
        <v>18371117.225000001</v>
      </c>
      <c r="P747" s="456">
        <f>+P746*$P$671/$P$670</f>
        <v>27556675.837499999</v>
      </c>
      <c r="Q747" s="456">
        <f>+Q746*$Q$671/$Q$670</f>
        <v>36742234.450000003</v>
      </c>
      <c r="R747" s="456">
        <f>+R746*$R$671/$R$670</f>
        <v>35490659.450000003</v>
      </c>
      <c r="S747" s="454"/>
      <c r="T747" s="458"/>
      <c r="U747" s="456">
        <v>3067800</v>
      </c>
      <c r="V747" s="456">
        <v>15412622.222222222</v>
      </c>
      <c r="W747" s="456">
        <v>27742720</v>
      </c>
      <c r="X747" s="456">
        <f>+X746*$X$671/$X$670</f>
        <v>25220654.545454547</v>
      </c>
      <c r="Y747" s="456">
        <f>+Y746*$Y$671/$Y$670</f>
        <v>24335719.298245613</v>
      </c>
      <c r="Z747" s="456">
        <f>+Z746*$Z$671/$Z$670</f>
        <v>23510779.661016949</v>
      </c>
      <c r="AA747" s="456">
        <f>+AA746*$AA$671/$AA$670</f>
        <v>22739934.426229507</v>
      </c>
      <c r="AB747" s="456">
        <f>+AB746*$AB$671/$AB$670</f>
        <v>29209684.210526317</v>
      </c>
      <c r="AC747" s="456">
        <f>+AC746*$AC$671/$AC$670</f>
        <v>32199186.792452831</v>
      </c>
      <c r="AD747" s="456">
        <f>+AD746*$AD$671/$AD$670</f>
        <v>35320480</v>
      </c>
      <c r="AE747" s="456">
        <f>+AE746*$AE$671/$AE$670</f>
        <v>31794945</v>
      </c>
      <c r="AF747" s="1288"/>
      <c r="AG747" s="1230"/>
      <c r="AH747" s="1294"/>
      <c r="AI747" s="1294"/>
      <c r="AJ747" s="790"/>
      <c r="AK747" s="790"/>
      <c r="AL747" s="810"/>
      <c r="AM747" s="810"/>
      <c r="AN747" s="791"/>
      <c r="AO747" s="805"/>
      <c r="AP747" s="805"/>
      <c r="AQ747" s="787"/>
      <c r="AR747" s="787"/>
      <c r="AS747" s="787"/>
      <c r="AT747" s="787"/>
      <c r="AU747" s="787"/>
      <c r="AV747" s="787"/>
      <c r="AW747" s="787"/>
      <c r="AX747" s="791"/>
      <c r="AY747" s="1286"/>
    </row>
    <row r="748" spans="1:51" ht="18" customHeight="1" x14ac:dyDescent="0.25">
      <c r="A748" s="1195"/>
      <c r="B748" s="833"/>
      <c r="C748" s="810" t="s">
        <v>1326</v>
      </c>
      <c r="D748" s="141" t="s">
        <v>41</v>
      </c>
      <c r="E748" s="142"/>
      <c r="F748" s="143"/>
      <c r="G748" s="459">
        <v>1</v>
      </c>
      <c r="H748" s="459">
        <v>2</v>
      </c>
      <c r="I748" s="459">
        <v>2</v>
      </c>
      <c r="J748" s="445">
        <v>2</v>
      </c>
      <c r="K748" s="445">
        <v>3</v>
      </c>
      <c r="L748" s="445">
        <v>3</v>
      </c>
      <c r="M748" s="445">
        <v>3</v>
      </c>
      <c r="N748" s="455">
        <v>4</v>
      </c>
      <c r="O748" s="445">
        <v>6</v>
      </c>
      <c r="P748" s="458">
        <v>6</v>
      </c>
      <c r="Q748" s="445">
        <v>7</v>
      </c>
      <c r="R748" s="447">
        <v>7</v>
      </c>
      <c r="S748" s="454"/>
      <c r="T748" s="459">
        <v>1</v>
      </c>
      <c r="U748" s="459">
        <v>2</v>
      </c>
      <c r="V748" s="459">
        <v>2</v>
      </c>
      <c r="W748" s="454">
        <v>2</v>
      </c>
      <c r="X748" s="455">
        <v>3</v>
      </c>
      <c r="Y748" s="445">
        <v>3</v>
      </c>
      <c r="Z748" s="455">
        <v>3</v>
      </c>
      <c r="AA748" s="455">
        <v>4</v>
      </c>
      <c r="AB748" s="1254">
        <v>6</v>
      </c>
      <c r="AC748" s="447">
        <v>6</v>
      </c>
      <c r="AD748" s="445">
        <v>7</v>
      </c>
      <c r="AE748" s="1235">
        <v>7</v>
      </c>
      <c r="AF748" s="1278" t="s">
        <v>1064</v>
      </c>
      <c r="AG748" s="1230" t="str">
        <f>+C748</f>
        <v>13- TEUSAQUILLO</v>
      </c>
      <c r="AH748" s="1291" t="s">
        <v>1040</v>
      </c>
      <c r="AI748" s="1291" t="s">
        <v>1041</v>
      </c>
      <c r="AJ748" s="788" t="s">
        <v>1154</v>
      </c>
      <c r="AK748" s="788" t="s">
        <v>315</v>
      </c>
      <c r="AL748" s="810" t="s">
        <v>70</v>
      </c>
      <c r="AM748" s="810" t="s">
        <v>547</v>
      </c>
      <c r="AN748" s="791">
        <v>153162</v>
      </c>
      <c r="AO748" s="805">
        <v>71661</v>
      </c>
      <c r="AP748" s="805">
        <v>81501</v>
      </c>
      <c r="AQ748" s="787" t="s">
        <v>317</v>
      </c>
      <c r="AR748" s="787" t="s">
        <v>317</v>
      </c>
      <c r="AS748" s="787" t="s">
        <v>317</v>
      </c>
      <c r="AT748" s="787" t="s">
        <v>317</v>
      </c>
      <c r="AU748" s="787" t="s">
        <v>317</v>
      </c>
      <c r="AV748" s="787" t="s">
        <v>317</v>
      </c>
      <c r="AW748" s="787" t="s">
        <v>317</v>
      </c>
      <c r="AX748" s="783">
        <v>153162</v>
      </c>
      <c r="AY748" s="1281" t="s">
        <v>1042</v>
      </c>
    </row>
    <row r="749" spans="1:51" ht="18" x14ac:dyDescent="0.25">
      <c r="A749" s="1195"/>
      <c r="B749" s="833"/>
      <c r="C749" s="810"/>
      <c r="D749" s="132" t="s">
        <v>3</v>
      </c>
      <c r="E749" s="239"/>
      <c r="F749" s="240"/>
      <c r="G749" s="456">
        <v>4371175</v>
      </c>
      <c r="H749" s="456">
        <v>8742350</v>
      </c>
      <c r="I749" s="456">
        <v>8742350</v>
      </c>
      <c r="J749" s="456">
        <v>7813931.375</v>
      </c>
      <c r="K749" s="456">
        <f>+K748*$K$671/$K$670</f>
        <v>10846494.4375</v>
      </c>
      <c r="L749" s="456">
        <f>+L748*$L$671/$L$670</f>
        <v>13308997.293749999</v>
      </c>
      <c r="M749" s="456">
        <f>+M748*$M$671/$M$670</f>
        <v>10846494.4375</v>
      </c>
      <c r="N749" s="456">
        <f>+N748*$N$671/$N$670</f>
        <v>18371117.225000001</v>
      </c>
      <c r="O749" s="456">
        <f>+O748*$O$671/$O$670</f>
        <v>27556675.837499999</v>
      </c>
      <c r="P749" s="456">
        <f>+P748*$P$671/$P$670</f>
        <v>27556675.837499999</v>
      </c>
      <c r="Q749" s="456">
        <f>+Q748*$Q$671/$Q$670</f>
        <v>32149455.143750001</v>
      </c>
      <c r="R749" s="456">
        <f>+R748*$R$671/$R$670</f>
        <v>31054327.018750001</v>
      </c>
      <c r="S749" s="457"/>
      <c r="T749" s="456"/>
      <c r="U749" s="456">
        <v>3067800</v>
      </c>
      <c r="V749" s="456">
        <v>15412622.222222222</v>
      </c>
      <c r="W749" s="456">
        <v>13871360</v>
      </c>
      <c r="X749" s="456">
        <f>+X748*$X$671/$X$670</f>
        <v>18915490.90909091</v>
      </c>
      <c r="Y749" s="456">
        <f>+Y748*$Y$671/$Y$670</f>
        <v>18251789.47368421</v>
      </c>
      <c r="Z749" s="456">
        <f>+Z748*$Z$671/$Z$670</f>
        <v>17633084.745762713</v>
      </c>
      <c r="AA749" s="456">
        <f>+AA748*$AA$671/$AA$670</f>
        <v>22739934.426229507</v>
      </c>
      <c r="AB749" s="456">
        <f>+AB748*$AB$671/$AB$670</f>
        <v>43814526.315789476</v>
      </c>
      <c r="AC749" s="456">
        <f>+AC748*$AC$671/$AC$670</f>
        <v>32199186.792452831</v>
      </c>
      <c r="AD749" s="456">
        <f>+AD748*$AD$671/$AD$670</f>
        <v>30905420</v>
      </c>
      <c r="AE749" s="456">
        <f>+AE748*$AE$671/$AE$670</f>
        <v>27820576.875</v>
      </c>
      <c r="AF749" s="1283"/>
      <c r="AG749" s="1230"/>
      <c r="AH749" s="1292"/>
      <c r="AI749" s="1292"/>
      <c r="AJ749" s="789"/>
      <c r="AK749" s="789"/>
      <c r="AL749" s="810"/>
      <c r="AM749" s="810"/>
      <c r="AN749" s="791"/>
      <c r="AO749" s="805"/>
      <c r="AP749" s="805"/>
      <c r="AQ749" s="787"/>
      <c r="AR749" s="787"/>
      <c r="AS749" s="787"/>
      <c r="AT749" s="787"/>
      <c r="AU749" s="787"/>
      <c r="AV749" s="787"/>
      <c r="AW749" s="787"/>
      <c r="AX749" s="784"/>
      <c r="AY749" s="1286"/>
    </row>
    <row r="750" spans="1:51" ht="27" x14ac:dyDescent="0.25">
      <c r="A750" s="1195"/>
      <c r="B750" s="833"/>
      <c r="C750" s="810"/>
      <c r="D750" s="136" t="s">
        <v>42</v>
      </c>
      <c r="E750" s="239"/>
      <c r="F750" s="240"/>
      <c r="G750" s="456"/>
      <c r="H750" s="456"/>
      <c r="I750" s="456"/>
      <c r="J750" s="456"/>
      <c r="K750" s="456"/>
      <c r="L750" s="456"/>
      <c r="M750" s="456"/>
      <c r="N750" s="1282"/>
      <c r="O750" s="456"/>
      <c r="P750" s="458"/>
      <c r="Q750" s="456"/>
      <c r="R750" s="1287"/>
      <c r="S750" s="457"/>
      <c r="T750" s="456"/>
      <c r="U750" s="456"/>
      <c r="V750" s="456"/>
      <c r="W750" s="457"/>
      <c r="X750" s="457"/>
      <c r="Y750" s="456"/>
      <c r="Z750" s="457"/>
      <c r="AA750" s="1282"/>
      <c r="AB750" s="1293"/>
      <c r="AC750" s="1287"/>
      <c r="AD750" s="456"/>
      <c r="AE750" s="1226"/>
      <c r="AF750" s="1283"/>
      <c r="AG750" s="1230"/>
      <c r="AH750" s="1292"/>
      <c r="AI750" s="1292"/>
      <c r="AJ750" s="789"/>
      <c r="AK750" s="789"/>
      <c r="AL750" s="810"/>
      <c r="AM750" s="810"/>
      <c r="AN750" s="791"/>
      <c r="AO750" s="805"/>
      <c r="AP750" s="805"/>
      <c r="AQ750" s="787"/>
      <c r="AR750" s="787"/>
      <c r="AS750" s="787"/>
      <c r="AT750" s="787"/>
      <c r="AU750" s="787"/>
      <c r="AV750" s="787"/>
      <c r="AW750" s="787"/>
      <c r="AX750" s="784"/>
      <c r="AY750" s="1286"/>
    </row>
    <row r="751" spans="1:51" ht="19.149999999999999" customHeight="1" x14ac:dyDescent="0.25">
      <c r="A751" s="1195"/>
      <c r="B751" s="833"/>
      <c r="C751" s="810"/>
      <c r="D751" s="132" t="s">
        <v>4</v>
      </c>
      <c r="E751" s="239"/>
      <c r="F751" s="240"/>
      <c r="G751" s="456"/>
      <c r="H751" s="456">
        <v>7723875.0909090908</v>
      </c>
      <c r="I751" s="456"/>
      <c r="J751" s="456"/>
      <c r="K751" s="456"/>
      <c r="L751" s="456"/>
      <c r="M751" s="456"/>
      <c r="N751" s="1282"/>
      <c r="O751" s="456"/>
      <c r="P751" s="458"/>
      <c r="Q751" s="456"/>
      <c r="R751" s="1287"/>
      <c r="S751" s="457"/>
      <c r="T751" s="456">
        <v>1758853.75</v>
      </c>
      <c r="U751" s="456">
        <v>7723875.0909090908</v>
      </c>
      <c r="V751" s="456"/>
      <c r="W751" s="457"/>
      <c r="X751" s="457"/>
      <c r="Y751" s="456"/>
      <c r="Z751" s="457"/>
      <c r="AA751" s="1282"/>
      <c r="AB751" s="1293"/>
      <c r="AC751" s="1287"/>
      <c r="AD751" s="456"/>
      <c r="AE751" s="1226"/>
      <c r="AF751" s="1283"/>
      <c r="AG751" s="1230"/>
      <c r="AH751" s="1292"/>
      <c r="AI751" s="1292"/>
      <c r="AJ751" s="789"/>
      <c r="AK751" s="789"/>
      <c r="AL751" s="810"/>
      <c r="AM751" s="810"/>
      <c r="AN751" s="791"/>
      <c r="AO751" s="805"/>
      <c r="AP751" s="805"/>
      <c r="AQ751" s="787"/>
      <c r="AR751" s="787"/>
      <c r="AS751" s="787"/>
      <c r="AT751" s="787"/>
      <c r="AU751" s="787"/>
      <c r="AV751" s="787"/>
      <c r="AW751" s="787"/>
      <c r="AX751" s="784"/>
      <c r="AY751" s="1286"/>
    </row>
    <row r="752" spans="1:51" ht="27" x14ac:dyDescent="0.25">
      <c r="A752" s="1195"/>
      <c r="B752" s="833"/>
      <c r="C752" s="810"/>
      <c r="D752" s="136" t="s">
        <v>43</v>
      </c>
      <c r="E752" s="142"/>
      <c r="F752" s="143"/>
      <c r="G752" s="459">
        <v>1</v>
      </c>
      <c r="H752" s="459">
        <v>2</v>
      </c>
      <c r="I752" s="459">
        <v>2</v>
      </c>
      <c r="J752" s="445">
        <v>2</v>
      </c>
      <c r="K752" s="445">
        <v>3</v>
      </c>
      <c r="L752" s="445">
        <v>3</v>
      </c>
      <c r="M752" s="445">
        <v>3</v>
      </c>
      <c r="N752" s="447">
        <v>4</v>
      </c>
      <c r="O752" s="445">
        <v>6</v>
      </c>
      <c r="P752" s="458">
        <v>6</v>
      </c>
      <c r="Q752" s="445">
        <v>7</v>
      </c>
      <c r="R752" s="447">
        <v>7</v>
      </c>
      <c r="S752" s="447"/>
      <c r="T752" s="459">
        <v>1</v>
      </c>
      <c r="U752" s="459">
        <v>2</v>
      </c>
      <c r="V752" s="459">
        <v>2</v>
      </c>
      <c r="W752" s="447">
        <v>2</v>
      </c>
      <c r="X752" s="447">
        <v>3</v>
      </c>
      <c r="Y752" s="445">
        <v>3</v>
      </c>
      <c r="Z752" s="447">
        <v>3</v>
      </c>
      <c r="AA752" s="447">
        <v>4</v>
      </c>
      <c r="AB752" s="1255">
        <v>6</v>
      </c>
      <c r="AC752" s="447">
        <v>6</v>
      </c>
      <c r="AD752" s="445">
        <v>7</v>
      </c>
      <c r="AE752" s="1225">
        <v>7</v>
      </c>
      <c r="AF752" s="1283"/>
      <c r="AG752" s="1230"/>
      <c r="AH752" s="1292"/>
      <c r="AI752" s="1292"/>
      <c r="AJ752" s="789"/>
      <c r="AK752" s="789"/>
      <c r="AL752" s="810"/>
      <c r="AM752" s="810"/>
      <c r="AN752" s="791"/>
      <c r="AO752" s="805"/>
      <c r="AP752" s="805"/>
      <c r="AQ752" s="787"/>
      <c r="AR752" s="787"/>
      <c r="AS752" s="787"/>
      <c r="AT752" s="787"/>
      <c r="AU752" s="787"/>
      <c r="AV752" s="787"/>
      <c r="AW752" s="787"/>
      <c r="AX752" s="784"/>
      <c r="AY752" s="1286"/>
    </row>
    <row r="753" spans="1:51" ht="27.75" thickBot="1" x14ac:dyDescent="0.3">
      <c r="A753" s="1195"/>
      <c r="B753" s="833"/>
      <c r="C753" s="810"/>
      <c r="D753" s="140" t="s">
        <v>45</v>
      </c>
      <c r="E753" s="244"/>
      <c r="F753" s="245"/>
      <c r="G753" s="456">
        <v>4371175</v>
      </c>
      <c r="H753" s="456">
        <v>8742350</v>
      </c>
      <c r="I753" s="456">
        <v>8742350</v>
      </c>
      <c r="J753" s="456">
        <v>7813931.375</v>
      </c>
      <c r="K753" s="456">
        <f>+K752*$K$671/$K$670</f>
        <v>10846494.4375</v>
      </c>
      <c r="L753" s="456">
        <f>+L752*$L$671/$L$670</f>
        <v>13308997.293749999</v>
      </c>
      <c r="M753" s="456">
        <f>+M752*$M$671/$M$670</f>
        <v>10846494.4375</v>
      </c>
      <c r="N753" s="456">
        <f>+N752*$N$671/$N$670</f>
        <v>18371117.225000001</v>
      </c>
      <c r="O753" s="456">
        <f>+O752*$O$671/$O$670</f>
        <v>27556675.837499999</v>
      </c>
      <c r="P753" s="456">
        <f>+P752*$P$671/$P$670</f>
        <v>27556675.837499999</v>
      </c>
      <c r="Q753" s="456">
        <f>+Q752*$Q$671/$Q$670</f>
        <v>32149455.143750001</v>
      </c>
      <c r="R753" s="456">
        <f>+R752*$R$671/$R$670</f>
        <v>31054327.018750001</v>
      </c>
      <c r="S753" s="454"/>
      <c r="T753" s="458"/>
      <c r="U753" s="456">
        <v>3067800</v>
      </c>
      <c r="V753" s="456">
        <v>15412622.222222222</v>
      </c>
      <c r="W753" s="456">
        <v>13871360</v>
      </c>
      <c r="X753" s="456">
        <f>+X752*$X$671/$X$670</f>
        <v>18915490.90909091</v>
      </c>
      <c r="Y753" s="456">
        <f>+Y752*$Y$671/$Y$670</f>
        <v>18251789.47368421</v>
      </c>
      <c r="Z753" s="456">
        <f>+Z752*$Z$671/$Z$670</f>
        <v>17633084.745762713</v>
      </c>
      <c r="AA753" s="456">
        <f>+AA752*$AA$671/$AA$670</f>
        <v>22739934.426229507</v>
      </c>
      <c r="AB753" s="456">
        <f>+AB752*$AB$671/$AB$670</f>
        <v>43814526.315789476</v>
      </c>
      <c r="AC753" s="456">
        <f>+AC752*$AC$671/$AC$670</f>
        <v>32199186.792452831</v>
      </c>
      <c r="AD753" s="456">
        <f>+AD752*$AD$671/$AD$670</f>
        <v>30905420</v>
      </c>
      <c r="AE753" s="456">
        <f>+AE752*$AE$671/$AE$670</f>
        <v>27820576.875</v>
      </c>
      <c r="AF753" s="1288"/>
      <c r="AG753" s="1230"/>
      <c r="AH753" s="1294"/>
      <c r="AI753" s="1294"/>
      <c r="AJ753" s="790"/>
      <c r="AK753" s="790"/>
      <c r="AL753" s="810"/>
      <c r="AM753" s="810"/>
      <c r="AN753" s="791"/>
      <c r="AO753" s="805"/>
      <c r="AP753" s="805"/>
      <c r="AQ753" s="787"/>
      <c r="AR753" s="787"/>
      <c r="AS753" s="787"/>
      <c r="AT753" s="787"/>
      <c r="AU753" s="787"/>
      <c r="AV753" s="787"/>
      <c r="AW753" s="787"/>
      <c r="AX753" s="785"/>
      <c r="AY753" s="1286"/>
    </row>
    <row r="754" spans="1:51" ht="18" customHeight="1" x14ac:dyDescent="0.25">
      <c r="A754" s="1195"/>
      <c r="B754" s="833"/>
      <c r="C754" s="1197" t="s">
        <v>1327</v>
      </c>
      <c r="D754" s="141" t="s">
        <v>41</v>
      </c>
      <c r="E754" s="142"/>
      <c r="F754" s="143"/>
      <c r="G754" s="445"/>
      <c r="H754" s="459">
        <v>1</v>
      </c>
      <c r="I754" s="459">
        <v>1</v>
      </c>
      <c r="J754" s="445">
        <v>1</v>
      </c>
      <c r="K754" s="445">
        <v>1</v>
      </c>
      <c r="L754" s="445">
        <v>1</v>
      </c>
      <c r="M754" s="445">
        <v>1</v>
      </c>
      <c r="N754" s="455">
        <v>1</v>
      </c>
      <c r="O754" s="445">
        <v>1</v>
      </c>
      <c r="P754" s="458">
        <v>1</v>
      </c>
      <c r="Q754" s="445">
        <v>7</v>
      </c>
      <c r="R754" s="447">
        <v>9</v>
      </c>
      <c r="S754" s="454"/>
      <c r="T754" s="445"/>
      <c r="U754" s="459">
        <v>1</v>
      </c>
      <c r="V754" s="459">
        <v>1</v>
      </c>
      <c r="W754" s="454">
        <v>1</v>
      </c>
      <c r="X754" s="454">
        <v>1</v>
      </c>
      <c r="Y754" s="445">
        <v>1</v>
      </c>
      <c r="Z754" s="454">
        <v>1</v>
      </c>
      <c r="AA754" s="455">
        <v>1</v>
      </c>
      <c r="AB754" s="1254">
        <v>1</v>
      </c>
      <c r="AC754" s="447">
        <v>1</v>
      </c>
      <c r="AD754" s="445">
        <v>7</v>
      </c>
      <c r="AE754" s="1235">
        <v>9</v>
      </c>
      <c r="AF754" s="1278" t="s">
        <v>1172</v>
      </c>
      <c r="AG754" s="1230" t="str">
        <f>+C754</f>
        <v>14-LOS MÁRTIRES</v>
      </c>
      <c r="AH754" s="1291" t="s">
        <v>1043</v>
      </c>
      <c r="AI754" s="1291" t="s">
        <v>1044</v>
      </c>
      <c r="AJ754" s="788" t="s">
        <v>1154</v>
      </c>
      <c r="AK754" s="788" t="s">
        <v>315</v>
      </c>
      <c r="AL754" s="810" t="s">
        <v>70</v>
      </c>
      <c r="AM754" s="810" t="s">
        <v>547</v>
      </c>
      <c r="AN754" s="791">
        <v>76649</v>
      </c>
      <c r="AO754" s="805">
        <v>37529</v>
      </c>
      <c r="AP754" s="805">
        <v>39120</v>
      </c>
      <c r="AQ754" s="787" t="s">
        <v>317</v>
      </c>
      <c r="AR754" s="787" t="s">
        <v>317</v>
      </c>
      <c r="AS754" s="787" t="s">
        <v>317</v>
      </c>
      <c r="AT754" s="787" t="s">
        <v>317</v>
      </c>
      <c r="AU754" s="787" t="s">
        <v>317</v>
      </c>
      <c r="AV754" s="787" t="s">
        <v>317</v>
      </c>
      <c r="AW754" s="787" t="s">
        <v>317</v>
      </c>
      <c r="AX754" s="783">
        <v>76649</v>
      </c>
      <c r="AY754" s="1281" t="s">
        <v>1173</v>
      </c>
    </row>
    <row r="755" spans="1:51" ht="18" customHeight="1" x14ac:dyDescent="0.25">
      <c r="A755" s="1195"/>
      <c r="B755" s="833"/>
      <c r="C755" s="1198"/>
      <c r="D755" s="132" t="s">
        <v>3</v>
      </c>
      <c r="E755" s="239"/>
      <c r="F755" s="240"/>
      <c r="G755" s="456"/>
      <c r="H755" s="456">
        <v>4371175</v>
      </c>
      <c r="I755" s="456">
        <v>4371175</v>
      </c>
      <c r="J755" s="456">
        <v>3906965.6875</v>
      </c>
      <c r="K755" s="456">
        <f>+K754*$K$671/$K$670</f>
        <v>3615498.1458333335</v>
      </c>
      <c r="L755" s="456">
        <f>+L754*$L$671/$L$670</f>
        <v>4436332.4312500004</v>
      </c>
      <c r="M755" s="456">
        <f>+M754*$M$671/$M$670</f>
        <v>3615498.1458333335</v>
      </c>
      <c r="N755" s="456">
        <f>+N754*$N$671/$N$670</f>
        <v>4592779.3062500004</v>
      </c>
      <c r="O755" s="456">
        <f>+O754*$O$671/$O$670</f>
        <v>4592779.3062500004</v>
      </c>
      <c r="P755" s="456">
        <f>+P754*$P$671/$P$670</f>
        <v>4592779.3062500004</v>
      </c>
      <c r="Q755" s="456">
        <f>+Q754*$Q$671/$Q$670</f>
        <v>32149455.143750001</v>
      </c>
      <c r="R755" s="456">
        <f>+R754*$R$671/$R$670</f>
        <v>39926991.881250001</v>
      </c>
      <c r="S755" s="457"/>
      <c r="T755" s="456"/>
      <c r="U755" s="456">
        <v>1533900</v>
      </c>
      <c r="V755" s="456">
        <v>7706311.111111111</v>
      </c>
      <c r="W755" s="456">
        <v>6935680</v>
      </c>
      <c r="X755" s="456">
        <f>+X754*$X$671/$X$670</f>
        <v>6305163.6363636367</v>
      </c>
      <c r="Y755" s="456">
        <f>+Y754*$Y$671/$Y$670</f>
        <v>6083929.8245614031</v>
      </c>
      <c r="Z755" s="456">
        <f>+Z754*$Z$671/$Z$670</f>
        <v>5877694.9152542371</v>
      </c>
      <c r="AA755" s="456">
        <f>+AA754*$AA$671/$AA$670</f>
        <v>5684983.6065573767</v>
      </c>
      <c r="AB755" s="456">
        <f>+AB754*$AB$671/$AB$670</f>
        <v>7302421.0526315793</v>
      </c>
      <c r="AC755" s="456">
        <f>+AC754*$AC$671/$AC$670</f>
        <v>5366531.1320754718</v>
      </c>
      <c r="AD755" s="456">
        <f>+AD754*$AD$671/$AD$670</f>
        <v>30905420</v>
      </c>
      <c r="AE755" s="456">
        <f>+AE754*$AE$671/$AE$670</f>
        <v>35769313.125</v>
      </c>
      <c r="AF755" s="1283"/>
      <c r="AG755" s="1230"/>
      <c r="AH755" s="1292"/>
      <c r="AI755" s="1292"/>
      <c r="AJ755" s="789"/>
      <c r="AK755" s="789"/>
      <c r="AL755" s="810"/>
      <c r="AM755" s="810"/>
      <c r="AN755" s="791"/>
      <c r="AO755" s="805"/>
      <c r="AP755" s="805"/>
      <c r="AQ755" s="787"/>
      <c r="AR755" s="787"/>
      <c r="AS755" s="787"/>
      <c r="AT755" s="787"/>
      <c r="AU755" s="787"/>
      <c r="AV755" s="787"/>
      <c r="AW755" s="787"/>
      <c r="AX755" s="784"/>
      <c r="AY755" s="1286"/>
    </row>
    <row r="756" spans="1:51" ht="27" customHeight="1" x14ac:dyDescent="0.25">
      <c r="A756" s="1195"/>
      <c r="B756" s="833"/>
      <c r="C756" s="1198"/>
      <c r="D756" s="136" t="s">
        <v>42</v>
      </c>
      <c r="E756" s="239"/>
      <c r="F756" s="240"/>
      <c r="G756" s="456"/>
      <c r="H756" s="456"/>
      <c r="I756" s="456"/>
      <c r="J756" s="456"/>
      <c r="K756" s="456"/>
      <c r="L756" s="456"/>
      <c r="M756" s="456"/>
      <c r="N756" s="1282"/>
      <c r="O756" s="456"/>
      <c r="P756" s="458"/>
      <c r="Q756" s="456"/>
      <c r="R756" s="1287"/>
      <c r="S756" s="457"/>
      <c r="T756" s="456"/>
      <c r="U756" s="456"/>
      <c r="V756" s="456"/>
      <c r="W756" s="457"/>
      <c r="X756" s="457"/>
      <c r="Y756" s="456"/>
      <c r="Z756" s="457"/>
      <c r="AA756" s="1282"/>
      <c r="AB756" s="1293"/>
      <c r="AC756" s="1287"/>
      <c r="AD756" s="456"/>
      <c r="AE756" s="1226"/>
      <c r="AF756" s="1283"/>
      <c r="AG756" s="1230"/>
      <c r="AH756" s="1292"/>
      <c r="AI756" s="1292"/>
      <c r="AJ756" s="789"/>
      <c r="AK756" s="789"/>
      <c r="AL756" s="810"/>
      <c r="AM756" s="810"/>
      <c r="AN756" s="791"/>
      <c r="AO756" s="805"/>
      <c r="AP756" s="805"/>
      <c r="AQ756" s="787"/>
      <c r="AR756" s="787"/>
      <c r="AS756" s="787"/>
      <c r="AT756" s="787"/>
      <c r="AU756" s="787"/>
      <c r="AV756" s="787"/>
      <c r="AW756" s="787"/>
      <c r="AX756" s="784"/>
      <c r="AY756" s="1286"/>
    </row>
    <row r="757" spans="1:51" ht="27" customHeight="1" x14ac:dyDescent="0.25">
      <c r="A757" s="1195"/>
      <c r="B757" s="833"/>
      <c r="C757" s="1198"/>
      <c r="D757" s="132" t="s">
        <v>4</v>
      </c>
      <c r="E757" s="239"/>
      <c r="F757" s="240"/>
      <c r="G757" s="456"/>
      <c r="H757" s="456">
        <v>7723875.0909090908</v>
      </c>
      <c r="I757" s="456"/>
      <c r="J757" s="456"/>
      <c r="K757" s="456"/>
      <c r="L757" s="456"/>
      <c r="M757" s="456"/>
      <c r="N757" s="1282"/>
      <c r="O757" s="456"/>
      <c r="P757" s="458"/>
      <c r="Q757" s="456"/>
      <c r="R757" s="1287"/>
      <c r="S757" s="457"/>
      <c r="T757" s="456"/>
      <c r="U757" s="456">
        <v>7723875.0909090908</v>
      </c>
      <c r="V757" s="456"/>
      <c r="W757" s="457"/>
      <c r="X757" s="457"/>
      <c r="Y757" s="456"/>
      <c r="Z757" s="457"/>
      <c r="AA757" s="1282"/>
      <c r="AB757" s="1293"/>
      <c r="AC757" s="1287"/>
      <c r="AD757" s="456"/>
      <c r="AE757" s="1226"/>
      <c r="AF757" s="1283"/>
      <c r="AG757" s="1230"/>
      <c r="AH757" s="1292"/>
      <c r="AI757" s="1292"/>
      <c r="AJ757" s="789"/>
      <c r="AK757" s="789"/>
      <c r="AL757" s="810"/>
      <c r="AM757" s="810"/>
      <c r="AN757" s="791"/>
      <c r="AO757" s="805"/>
      <c r="AP757" s="805"/>
      <c r="AQ757" s="787"/>
      <c r="AR757" s="787"/>
      <c r="AS757" s="787"/>
      <c r="AT757" s="787"/>
      <c r="AU757" s="787"/>
      <c r="AV757" s="787"/>
      <c r="AW757" s="787"/>
      <c r="AX757" s="784"/>
      <c r="AY757" s="1286"/>
    </row>
    <row r="758" spans="1:51" ht="27" customHeight="1" x14ac:dyDescent="0.25">
      <c r="A758" s="1195"/>
      <c r="B758" s="833"/>
      <c r="C758" s="1198"/>
      <c r="D758" s="136" t="s">
        <v>43</v>
      </c>
      <c r="E758" s="142"/>
      <c r="F758" s="143"/>
      <c r="G758" s="445"/>
      <c r="H758" s="459">
        <v>1</v>
      </c>
      <c r="I758" s="459">
        <v>1</v>
      </c>
      <c r="J758" s="445">
        <v>1</v>
      </c>
      <c r="K758" s="445">
        <v>1</v>
      </c>
      <c r="L758" s="445">
        <v>1</v>
      </c>
      <c r="M758" s="445">
        <v>1</v>
      </c>
      <c r="N758" s="447">
        <v>1</v>
      </c>
      <c r="O758" s="445">
        <v>1</v>
      </c>
      <c r="P758" s="458">
        <v>1</v>
      </c>
      <c r="Q758" s="445">
        <v>7</v>
      </c>
      <c r="R758" s="447">
        <v>9</v>
      </c>
      <c r="S758" s="447"/>
      <c r="T758" s="445"/>
      <c r="U758" s="459">
        <v>1</v>
      </c>
      <c r="V758" s="459">
        <v>1</v>
      </c>
      <c r="W758" s="447">
        <v>1</v>
      </c>
      <c r="X758" s="450">
        <v>1</v>
      </c>
      <c r="Y758" s="445">
        <v>1</v>
      </c>
      <c r="Z758" s="447">
        <v>1</v>
      </c>
      <c r="AA758" s="447">
        <v>1</v>
      </c>
      <c r="AB758" s="1255">
        <v>1</v>
      </c>
      <c r="AC758" s="447">
        <v>1</v>
      </c>
      <c r="AD758" s="445">
        <v>7</v>
      </c>
      <c r="AE758" s="1225">
        <v>9</v>
      </c>
      <c r="AF758" s="1283"/>
      <c r="AG758" s="1230"/>
      <c r="AH758" s="1292"/>
      <c r="AI758" s="1292"/>
      <c r="AJ758" s="789"/>
      <c r="AK758" s="789"/>
      <c r="AL758" s="810"/>
      <c r="AM758" s="810"/>
      <c r="AN758" s="791"/>
      <c r="AO758" s="805"/>
      <c r="AP758" s="805"/>
      <c r="AQ758" s="787"/>
      <c r="AR758" s="787"/>
      <c r="AS758" s="787"/>
      <c r="AT758" s="787"/>
      <c r="AU758" s="787"/>
      <c r="AV758" s="787"/>
      <c r="AW758" s="787"/>
      <c r="AX758" s="784"/>
      <c r="AY758" s="1286"/>
    </row>
    <row r="759" spans="1:51" ht="27.75" customHeight="1" thickBot="1" x14ac:dyDescent="0.3">
      <c r="A759" s="1195"/>
      <c r="B759" s="833"/>
      <c r="C759" s="1199"/>
      <c r="D759" s="140" t="s">
        <v>45</v>
      </c>
      <c r="E759" s="244"/>
      <c r="F759" s="245"/>
      <c r="G759" s="458"/>
      <c r="H759" s="456">
        <v>4371175</v>
      </c>
      <c r="I759" s="456">
        <v>4371175</v>
      </c>
      <c r="J759" s="456">
        <v>3906965.6875</v>
      </c>
      <c r="K759" s="456">
        <f>+K758*$K$671/$K$670</f>
        <v>3615498.1458333335</v>
      </c>
      <c r="L759" s="456">
        <f>+L758*$L$671/$L$670</f>
        <v>4436332.4312500004</v>
      </c>
      <c r="M759" s="456">
        <f>+M758*$M$671/$M$670</f>
        <v>3615498.1458333335</v>
      </c>
      <c r="N759" s="456">
        <f>+N758*$N$671/$N$670</f>
        <v>4592779.3062500004</v>
      </c>
      <c r="O759" s="456">
        <f>+O758*$O$671/$O$670</f>
        <v>4592779.3062500004</v>
      </c>
      <c r="P759" s="456">
        <f>+P758*$P$671/$P$670</f>
        <v>4592779.3062500004</v>
      </c>
      <c r="Q759" s="456">
        <f>+Q758*$Q$671/$Q$670</f>
        <v>32149455.143750001</v>
      </c>
      <c r="R759" s="456">
        <f>+R758*$R$671/$R$670</f>
        <v>39926991.881250001</v>
      </c>
      <c r="S759" s="454"/>
      <c r="T759" s="458"/>
      <c r="U759" s="456">
        <v>1533900</v>
      </c>
      <c r="V759" s="456">
        <v>7706311.111111111</v>
      </c>
      <c r="W759" s="456">
        <v>6935680</v>
      </c>
      <c r="X759" s="456">
        <f>+X758*$X$671/$X$670</f>
        <v>6305163.6363636367</v>
      </c>
      <c r="Y759" s="456">
        <f>+Y758*$Y$671/$Y$670</f>
        <v>6083929.8245614031</v>
      </c>
      <c r="Z759" s="456">
        <f>+Z758*$Z$671/$Z$670</f>
        <v>5877694.9152542371</v>
      </c>
      <c r="AA759" s="456">
        <f>+AA758*$AA$671/$AA$670</f>
        <v>5684983.6065573767</v>
      </c>
      <c r="AB759" s="456">
        <f>+AB758*$AB$671/$AB$670</f>
        <v>7302421.0526315793</v>
      </c>
      <c r="AC759" s="456">
        <f>+AC758*$AC$671/$AC$670</f>
        <v>5366531.1320754718</v>
      </c>
      <c r="AD759" s="456">
        <f>+AD758*$AD$671/$AD$670</f>
        <v>30905420</v>
      </c>
      <c r="AE759" s="456">
        <f>+AE758*$AE$671/$AE$670</f>
        <v>35769313.125</v>
      </c>
      <c r="AF759" s="1288"/>
      <c r="AG759" s="1230"/>
      <c r="AH759" s="1294"/>
      <c r="AI759" s="1294"/>
      <c r="AJ759" s="790"/>
      <c r="AK759" s="790"/>
      <c r="AL759" s="810"/>
      <c r="AM759" s="810"/>
      <c r="AN759" s="791"/>
      <c r="AO759" s="805"/>
      <c r="AP759" s="805"/>
      <c r="AQ759" s="787"/>
      <c r="AR759" s="787"/>
      <c r="AS759" s="787"/>
      <c r="AT759" s="787"/>
      <c r="AU759" s="787"/>
      <c r="AV759" s="787"/>
      <c r="AW759" s="787"/>
      <c r="AX759" s="785"/>
      <c r="AY759" s="1286"/>
    </row>
    <row r="760" spans="1:51" ht="18" customHeight="1" x14ac:dyDescent="0.25">
      <c r="A760" s="1195"/>
      <c r="B760" s="833"/>
      <c r="C760" s="810" t="s">
        <v>1313</v>
      </c>
      <c r="D760" s="141" t="s">
        <v>41</v>
      </c>
      <c r="E760" s="142"/>
      <c r="F760" s="143"/>
      <c r="G760" s="445"/>
      <c r="H760" s="445"/>
      <c r="I760" s="445"/>
      <c r="J760" s="445"/>
      <c r="K760" s="445"/>
      <c r="L760" s="445"/>
      <c r="M760" s="445"/>
      <c r="N760" s="455"/>
      <c r="O760" s="445"/>
      <c r="P760" s="458">
        <v>1</v>
      </c>
      <c r="Q760" s="445">
        <v>2</v>
      </c>
      <c r="R760" s="447">
        <v>2</v>
      </c>
      <c r="S760" s="454"/>
      <c r="T760" s="445"/>
      <c r="U760" s="454"/>
      <c r="V760" s="454"/>
      <c r="W760" s="454"/>
      <c r="X760" s="454"/>
      <c r="Y760" s="445"/>
      <c r="Z760" s="454"/>
      <c r="AA760" s="455"/>
      <c r="AB760" s="1254"/>
      <c r="AC760" s="447"/>
      <c r="AD760" s="445">
        <v>2</v>
      </c>
      <c r="AE760" s="1235">
        <v>2</v>
      </c>
      <c r="AF760" s="1278" t="s">
        <v>1296</v>
      </c>
      <c r="AG760" s="1230" t="str">
        <f>+C760</f>
        <v>15-ANTONIO NARIÑO</v>
      </c>
      <c r="AH760" s="1280" t="s">
        <v>1045</v>
      </c>
      <c r="AI760" s="1280" t="s">
        <v>1046</v>
      </c>
      <c r="AJ760" s="788" t="s">
        <v>1154</v>
      </c>
      <c r="AK760" s="788" t="s">
        <v>315</v>
      </c>
      <c r="AL760" s="810" t="s">
        <v>70</v>
      </c>
      <c r="AM760" s="810" t="s">
        <v>547</v>
      </c>
      <c r="AN760" s="791">
        <v>83774</v>
      </c>
      <c r="AO760" s="805">
        <v>40068</v>
      </c>
      <c r="AP760" s="805">
        <v>43706</v>
      </c>
      <c r="AQ760" s="787" t="s">
        <v>317</v>
      </c>
      <c r="AR760" s="787" t="s">
        <v>317</v>
      </c>
      <c r="AS760" s="787" t="s">
        <v>317</v>
      </c>
      <c r="AT760" s="787" t="s">
        <v>317</v>
      </c>
      <c r="AU760" s="787" t="s">
        <v>317</v>
      </c>
      <c r="AV760" s="787" t="s">
        <v>317</v>
      </c>
      <c r="AW760" s="787" t="s">
        <v>317</v>
      </c>
      <c r="AX760" s="805">
        <v>83774</v>
      </c>
      <c r="AY760" s="1281" t="s">
        <v>1047</v>
      </c>
    </row>
    <row r="761" spans="1:51" ht="18" customHeight="1" x14ac:dyDescent="0.25">
      <c r="A761" s="1195"/>
      <c r="B761" s="833"/>
      <c r="C761" s="810"/>
      <c r="D761" s="132" t="s">
        <v>3</v>
      </c>
      <c r="E761" s="239"/>
      <c r="F761" s="240"/>
      <c r="G761" s="456"/>
      <c r="H761" s="456"/>
      <c r="I761" s="456"/>
      <c r="J761" s="456"/>
      <c r="K761" s="456"/>
      <c r="L761" s="456"/>
      <c r="M761" s="456"/>
      <c r="N761" s="1282"/>
      <c r="O761" s="456"/>
      <c r="P761" s="456"/>
      <c r="Q761" s="456">
        <f>+Q760*$Q$671/$Q$670</f>
        <v>9185558.6125000007</v>
      </c>
      <c r="R761" s="456">
        <f>+R760*$R$671/$R$670</f>
        <v>8872664.8625000007</v>
      </c>
      <c r="S761" s="457"/>
      <c r="T761" s="456"/>
      <c r="U761" s="457"/>
      <c r="V761" s="457"/>
      <c r="W761" s="457"/>
      <c r="X761" s="457"/>
      <c r="Y761" s="456"/>
      <c r="Z761" s="457"/>
      <c r="AA761" s="1282"/>
      <c r="AB761" s="1293"/>
      <c r="AC761" s="456"/>
      <c r="AD761" s="456">
        <f>+AD760*$AD$671/$AD$670</f>
        <v>8830120</v>
      </c>
      <c r="AE761" s="456">
        <f>+AE760*$AE$671/$AE$670</f>
        <v>7948736.25</v>
      </c>
      <c r="AF761" s="1283"/>
      <c r="AG761" s="1230"/>
      <c r="AH761" s="1285"/>
      <c r="AI761" s="1285"/>
      <c r="AJ761" s="789"/>
      <c r="AK761" s="789"/>
      <c r="AL761" s="810"/>
      <c r="AM761" s="810"/>
      <c r="AN761" s="791"/>
      <c r="AO761" s="805"/>
      <c r="AP761" s="805"/>
      <c r="AQ761" s="787"/>
      <c r="AR761" s="787"/>
      <c r="AS761" s="787"/>
      <c r="AT761" s="787"/>
      <c r="AU761" s="787"/>
      <c r="AV761" s="787"/>
      <c r="AW761" s="787"/>
      <c r="AX761" s="805"/>
      <c r="AY761" s="1286"/>
    </row>
    <row r="762" spans="1:51" ht="27" customHeight="1" x14ac:dyDescent="0.25">
      <c r="A762" s="1195"/>
      <c r="B762" s="833"/>
      <c r="C762" s="810"/>
      <c r="D762" s="136" t="s">
        <v>42</v>
      </c>
      <c r="E762" s="239"/>
      <c r="F762" s="240"/>
      <c r="G762" s="456"/>
      <c r="H762" s="456"/>
      <c r="I762" s="456"/>
      <c r="J762" s="456"/>
      <c r="K762" s="456"/>
      <c r="L762" s="456"/>
      <c r="M762" s="456"/>
      <c r="N762" s="1282"/>
      <c r="O762" s="456"/>
      <c r="P762" s="458"/>
      <c r="Q762" s="456"/>
      <c r="R762" s="1287"/>
      <c r="S762" s="457"/>
      <c r="T762" s="456"/>
      <c r="U762" s="457"/>
      <c r="V762" s="457"/>
      <c r="W762" s="457"/>
      <c r="X762" s="457"/>
      <c r="Y762" s="456"/>
      <c r="Z762" s="457"/>
      <c r="AA762" s="1282"/>
      <c r="AB762" s="1293"/>
      <c r="AC762" s="1287"/>
      <c r="AD762" s="456"/>
      <c r="AE762" s="1226"/>
      <c r="AF762" s="1283"/>
      <c r="AG762" s="1230"/>
      <c r="AH762" s="1285"/>
      <c r="AI762" s="1285"/>
      <c r="AJ762" s="789"/>
      <c r="AK762" s="789"/>
      <c r="AL762" s="810"/>
      <c r="AM762" s="810"/>
      <c r="AN762" s="791"/>
      <c r="AO762" s="805"/>
      <c r="AP762" s="805"/>
      <c r="AQ762" s="787"/>
      <c r="AR762" s="787"/>
      <c r="AS762" s="787"/>
      <c r="AT762" s="787"/>
      <c r="AU762" s="787"/>
      <c r="AV762" s="787"/>
      <c r="AW762" s="787"/>
      <c r="AX762" s="805"/>
      <c r="AY762" s="1286"/>
    </row>
    <row r="763" spans="1:51" ht="27" customHeight="1" x14ac:dyDescent="0.25">
      <c r="A763" s="1195"/>
      <c r="B763" s="833"/>
      <c r="C763" s="810"/>
      <c r="D763" s="132" t="s">
        <v>4</v>
      </c>
      <c r="E763" s="239"/>
      <c r="F763" s="240"/>
      <c r="G763" s="456"/>
      <c r="H763" s="456"/>
      <c r="I763" s="456"/>
      <c r="J763" s="456"/>
      <c r="K763" s="456"/>
      <c r="L763" s="456"/>
      <c r="M763" s="456"/>
      <c r="N763" s="1282"/>
      <c r="O763" s="456"/>
      <c r="P763" s="458"/>
      <c r="Q763" s="456"/>
      <c r="R763" s="1287"/>
      <c r="S763" s="457"/>
      <c r="T763" s="456"/>
      <c r="U763" s="457"/>
      <c r="V763" s="457"/>
      <c r="W763" s="457"/>
      <c r="X763" s="457"/>
      <c r="Y763" s="456"/>
      <c r="Z763" s="457"/>
      <c r="AA763" s="1282"/>
      <c r="AB763" s="1293"/>
      <c r="AC763" s="1287"/>
      <c r="AD763" s="456"/>
      <c r="AE763" s="1226"/>
      <c r="AF763" s="1283"/>
      <c r="AG763" s="1230"/>
      <c r="AH763" s="1285"/>
      <c r="AI763" s="1285"/>
      <c r="AJ763" s="789"/>
      <c r="AK763" s="789"/>
      <c r="AL763" s="810"/>
      <c r="AM763" s="810"/>
      <c r="AN763" s="791"/>
      <c r="AO763" s="805"/>
      <c r="AP763" s="805"/>
      <c r="AQ763" s="787"/>
      <c r="AR763" s="787"/>
      <c r="AS763" s="787"/>
      <c r="AT763" s="787"/>
      <c r="AU763" s="787"/>
      <c r="AV763" s="787"/>
      <c r="AW763" s="787"/>
      <c r="AX763" s="805"/>
      <c r="AY763" s="1286"/>
    </row>
    <row r="764" spans="1:51" ht="27" customHeight="1" x14ac:dyDescent="0.25">
      <c r="A764" s="1195"/>
      <c r="B764" s="833"/>
      <c r="C764" s="810"/>
      <c r="D764" s="136" t="s">
        <v>43</v>
      </c>
      <c r="E764" s="142"/>
      <c r="F764" s="143"/>
      <c r="G764" s="445"/>
      <c r="H764" s="445"/>
      <c r="I764" s="445"/>
      <c r="J764" s="445"/>
      <c r="K764" s="445"/>
      <c r="L764" s="445"/>
      <c r="M764" s="445"/>
      <c r="N764" s="447"/>
      <c r="O764" s="445"/>
      <c r="P764" s="458">
        <v>1</v>
      </c>
      <c r="Q764" s="445">
        <v>2</v>
      </c>
      <c r="R764" s="447">
        <v>2</v>
      </c>
      <c r="S764" s="447"/>
      <c r="T764" s="445"/>
      <c r="U764" s="447"/>
      <c r="V764" s="447"/>
      <c r="W764" s="447"/>
      <c r="X764" s="447"/>
      <c r="Y764" s="445"/>
      <c r="Z764" s="447"/>
      <c r="AA764" s="447"/>
      <c r="AB764" s="1255"/>
      <c r="AC764" s="447"/>
      <c r="AD764" s="445">
        <v>2</v>
      </c>
      <c r="AE764" s="1225">
        <v>2</v>
      </c>
      <c r="AF764" s="1283"/>
      <c r="AG764" s="1230"/>
      <c r="AH764" s="1285"/>
      <c r="AI764" s="1285"/>
      <c r="AJ764" s="789"/>
      <c r="AK764" s="789"/>
      <c r="AL764" s="810"/>
      <c r="AM764" s="810"/>
      <c r="AN764" s="791"/>
      <c r="AO764" s="805"/>
      <c r="AP764" s="805"/>
      <c r="AQ764" s="787"/>
      <c r="AR764" s="787"/>
      <c r="AS764" s="787"/>
      <c r="AT764" s="787"/>
      <c r="AU764" s="787"/>
      <c r="AV764" s="787"/>
      <c r="AW764" s="787"/>
      <c r="AX764" s="805"/>
      <c r="AY764" s="1286"/>
    </row>
    <row r="765" spans="1:51" ht="27.75" customHeight="1" thickBot="1" x14ac:dyDescent="0.3">
      <c r="A765" s="1195"/>
      <c r="B765" s="833"/>
      <c r="C765" s="810"/>
      <c r="D765" s="140" t="s">
        <v>45</v>
      </c>
      <c r="E765" s="244"/>
      <c r="F765" s="245"/>
      <c r="G765" s="458"/>
      <c r="H765" s="458"/>
      <c r="I765" s="458"/>
      <c r="J765" s="458"/>
      <c r="K765" s="458"/>
      <c r="L765" s="458"/>
      <c r="M765" s="458"/>
      <c r="N765" s="455"/>
      <c r="O765" s="458"/>
      <c r="P765" s="456"/>
      <c r="Q765" s="456">
        <f>+Q764*$Q$671/$Q$670</f>
        <v>9185558.6125000007</v>
      </c>
      <c r="R765" s="456">
        <f>+R764*$R$671/$R$670</f>
        <v>8872664.8625000007</v>
      </c>
      <c r="S765" s="454"/>
      <c r="T765" s="458"/>
      <c r="U765" s="454"/>
      <c r="V765" s="454"/>
      <c r="W765" s="454"/>
      <c r="X765" s="454"/>
      <c r="Y765" s="458"/>
      <c r="Z765" s="454"/>
      <c r="AA765" s="455"/>
      <c r="AB765" s="1254"/>
      <c r="AC765" s="456"/>
      <c r="AD765" s="456">
        <f>+AD764*$AD$671/$AD$670</f>
        <v>8830120</v>
      </c>
      <c r="AE765" s="456">
        <f>+AE764*$AE$671/$AE$670</f>
        <v>7948736.25</v>
      </c>
      <c r="AF765" s="1288"/>
      <c r="AG765" s="1230"/>
      <c r="AH765" s="1290"/>
      <c r="AI765" s="1290"/>
      <c r="AJ765" s="790"/>
      <c r="AK765" s="790"/>
      <c r="AL765" s="810"/>
      <c r="AM765" s="810"/>
      <c r="AN765" s="791"/>
      <c r="AO765" s="805"/>
      <c r="AP765" s="805"/>
      <c r="AQ765" s="787"/>
      <c r="AR765" s="787"/>
      <c r="AS765" s="787"/>
      <c r="AT765" s="787"/>
      <c r="AU765" s="787"/>
      <c r="AV765" s="787"/>
      <c r="AW765" s="787"/>
      <c r="AX765" s="805"/>
      <c r="AY765" s="1286"/>
    </row>
    <row r="766" spans="1:51" ht="18" customHeight="1" x14ac:dyDescent="0.25">
      <c r="A766" s="1195"/>
      <c r="B766" s="833"/>
      <c r="C766" s="1197" t="s">
        <v>1314</v>
      </c>
      <c r="D766" s="141" t="s">
        <v>41</v>
      </c>
      <c r="E766" s="142"/>
      <c r="F766" s="143"/>
      <c r="G766" s="459">
        <v>4</v>
      </c>
      <c r="H766" s="459">
        <v>10</v>
      </c>
      <c r="I766" s="459">
        <v>10</v>
      </c>
      <c r="J766" s="445">
        <v>11</v>
      </c>
      <c r="K766" s="445">
        <v>13</v>
      </c>
      <c r="L766" s="445">
        <v>15</v>
      </c>
      <c r="M766" s="445">
        <v>15</v>
      </c>
      <c r="N766" s="455">
        <v>15</v>
      </c>
      <c r="O766" s="445">
        <v>18</v>
      </c>
      <c r="P766" s="458">
        <v>23</v>
      </c>
      <c r="Q766" s="445">
        <v>23</v>
      </c>
      <c r="R766" s="447">
        <v>30</v>
      </c>
      <c r="S766" s="454"/>
      <c r="T766" s="459">
        <v>4</v>
      </c>
      <c r="U766" s="459">
        <v>10</v>
      </c>
      <c r="V766" s="459">
        <v>10</v>
      </c>
      <c r="W766" s="454">
        <v>11</v>
      </c>
      <c r="X766" s="455">
        <v>13</v>
      </c>
      <c r="Y766" s="445">
        <v>15</v>
      </c>
      <c r="Z766" s="454">
        <v>15</v>
      </c>
      <c r="AA766" s="455">
        <v>15</v>
      </c>
      <c r="AB766" s="1254">
        <v>18</v>
      </c>
      <c r="AC766" s="447">
        <v>23</v>
      </c>
      <c r="AD766" s="445">
        <v>23</v>
      </c>
      <c r="AE766" s="1235">
        <v>30</v>
      </c>
      <c r="AF766" s="1278" t="s">
        <v>1174</v>
      </c>
      <c r="AG766" s="1230" t="str">
        <f>+C766</f>
        <v>16-PUENTE ARANDA</v>
      </c>
      <c r="AH766" s="1291" t="s">
        <v>956</v>
      </c>
      <c r="AI766" s="1291" t="s">
        <v>1048</v>
      </c>
      <c r="AJ766" s="788" t="s">
        <v>1154</v>
      </c>
      <c r="AK766" s="788" t="s">
        <v>315</v>
      </c>
      <c r="AL766" s="810" t="s">
        <v>225</v>
      </c>
      <c r="AM766" s="810" t="s">
        <v>547</v>
      </c>
      <c r="AN766" s="791">
        <v>254469</v>
      </c>
      <c r="AO766" s="805">
        <v>120116</v>
      </c>
      <c r="AP766" s="805">
        <v>134352</v>
      </c>
      <c r="AQ766" s="787" t="s">
        <v>317</v>
      </c>
      <c r="AR766" s="787" t="s">
        <v>317</v>
      </c>
      <c r="AS766" s="787" t="s">
        <v>317</v>
      </c>
      <c r="AT766" s="787" t="s">
        <v>317</v>
      </c>
      <c r="AU766" s="787" t="s">
        <v>317</v>
      </c>
      <c r="AV766" s="787" t="s">
        <v>317</v>
      </c>
      <c r="AW766" s="787" t="s">
        <v>317</v>
      </c>
      <c r="AX766" s="783">
        <v>254469</v>
      </c>
      <c r="AY766" s="1281" t="s">
        <v>1175</v>
      </c>
    </row>
    <row r="767" spans="1:51" ht="18" x14ac:dyDescent="0.25">
      <c r="A767" s="1195"/>
      <c r="B767" s="833"/>
      <c r="C767" s="1198"/>
      <c r="D767" s="132" t="s">
        <v>3</v>
      </c>
      <c r="E767" s="239"/>
      <c r="F767" s="240"/>
      <c r="G767" s="456">
        <v>17484700</v>
      </c>
      <c r="H767" s="456">
        <v>43711750</v>
      </c>
      <c r="I767" s="456">
        <v>43711750</v>
      </c>
      <c r="J767" s="456">
        <v>42976622.5625</v>
      </c>
      <c r="K767" s="456">
        <f>+K766*$K$671/$K$670</f>
        <v>47001475.895833336</v>
      </c>
      <c r="L767" s="456">
        <f>+L766*$L$671/$L$670</f>
        <v>66544986.46875</v>
      </c>
      <c r="M767" s="456">
        <f>+M766*$M$671/$M$670</f>
        <v>54232472.1875</v>
      </c>
      <c r="N767" s="456">
        <f>+N766*$N$671/$N$670</f>
        <v>68891689.59375</v>
      </c>
      <c r="O767" s="456">
        <f>+O766*$O$671/$O$670</f>
        <v>82670027.512500003</v>
      </c>
      <c r="P767" s="456">
        <f>+P766*$P$671/$P$670</f>
        <v>105633924.04375</v>
      </c>
      <c r="Q767" s="456">
        <f>+Q766*$Q$671/$Q$670</f>
        <v>105633924.04375</v>
      </c>
      <c r="R767" s="456">
        <f>+R766*$R$671/$R$670</f>
        <v>133089972.9375</v>
      </c>
      <c r="S767" s="457"/>
      <c r="T767" s="456"/>
      <c r="U767" s="456">
        <v>15339000</v>
      </c>
      <c r="V767" s="456">
        <v>77063111.111111104</v>
      </c>
      <c r="W767" s="456">
        <v>76292480</v>
      </c>
      <c r="X767" s="456">
        <f>+X766*$X$671/$X$670</f>
        <v>81967127.272727266</v>
      </c>
      <c r="Y767" s="456">
        <f>+Y766*$Y$671/$Y$670</f>
        <v>91258947.368421048</v>
      </c>
      <c r="Z767" s="456">
        <f>+Z766*$Z$671/$Z$670</f>
        <v>88165423.728813559</v>
      </c>
      <c r="AA767" s="456">
        <f>+AA766*$AA$671/$AA$670</f>
        <v>85274754.098360658</v>
      </c>
      <c r="AB767" s="456">
        <f>+AB766*$AB$671/$AB$670</f>
        <v>131443578.94736843</v>
      </c>
      <c r="AC767" s="456">
        <f>+AC766*$AC$671/$AC$670</f>
        <v>123430216.03773585</v>
      </c>
      <c r="AD767" s="456">
        <f>+AD766*$AD$671/$AD$670</f>
        <v>101546380</v>
      </c>
      <c r="AE767" s="456">
        <f>+AE766*$AE$671/$AE$670</f>
        <v>119231043.75</v>
      </c>
      <c r="AF767" s="1283"/>
      <c r="AG767" s="1230"/>
      <c r="AH767" s="1292"/>
      <c r="AI767" s="1292"/>
      <c r="AJ767" s="789"/>
      <c r="AK767" s="789"/>
      <c r="AL767" s="810"/>
      <c r="AM767" s="810"/>
      <c r="AN767" s="791"/>
      <c r="AO767" s="805"/>
      <c r="AP767" s="805"/>
      <c r="AQ767" s="787"/>
      <c r="AR767" s="787"/>
      <c r="AS767" s="787"/>
      <c r="AT767" s="787"/>
      <c r="AU767" s="787"/>
      <c r="AV767" s="787"/>
      <c r="AW767" s="787"/>
      <c r="AX767" s="784"/>
      <c r="AY767" s="1286"/>
    </row>
    <row r="768" spans="1:51" ht="27" x14ac:dyDescent="0.25">
      <c r="A768" s="1195"/>
      <c r="B768" s="833"/>
      <c r="C768" s="1198"/>
      <c r="D768" s="136" t="s">
        <v>42</v>
      </c>
      <c r="E768" s="239"/>
      <c r="F768" s="240"/>
      <c r="G768" s="456"/>
      <c r="H768" s="456"/>
      <c r="I768" s="456"/>
      <c r="J768" s="456"/>
      <c r="K768" s="456"/>
      <c r="L768" s="456"/>
      <c r="M768" s="456"/>
      <c r="N768" s="1282"/>
      <c r="O768" s="456"/>
      <c r="P768" s="458"/>
      <c r="Q768" s="456"/>
      <c r="R768" s="1287"/>
      <c r="S768" s="457"/>
      <c r="T768" s="456"/>
      <c r="U768" s="456"/>
      <c r="V768" s="456"/>
      <c r="W768" s="457"/>
      <c r="X768" s="457"/>
      <c r="Y768" s="456"/>
      <c r="Z768" s="457"/>
      <c r="AA768" s="1282"/>
      <c r="AB768" s="1293"/>
      <c r="AC768" s="1287"/>
      <c r="AD768" s="456"/>
      <c r="AE768" s="1226"/>
      <c r="AF768" s="1283"/>
      <c r="AG768" s="1230"/>
      <c r="AH768" s="1292"/>
      <c r="AI768" s="1292"/>
      <c r="AJ768" s="789"/>
      <c r="AK768" s="789"/>
      <c r="AL768" s="810"/>
      <c r="AM768" s="810"/>
      <c r="AN768" s="791"/>
      <c r="AO768" s="805"/>
      <c r="AP768" s="805"/>
      <c r="AQ768" s="787"/>
      <c r="AR768" s="787"/>
      <c r="AS768" s="787"/>
      <c r="AT768" s="787"/>
      <c r="AU768" s="787"/>
      <c r="AV768" s="787"/>
      <c r="AW768" s="787"/>
      <c r="AX768" s="784"/>
      <c r="AY768" s="1286"/>
    </row>
    <row r="769" spans="1:51" ht="19.149999999999999" customHeight="1" x14ac:dyDescent="0.25">
      <c r="A769" s="1195"/>
      <c r="B769" s="833"/>
      <c r="C769" s="1198"/>
      <c r="D769" s="132" t="s">
        <v>4</v>
      </c>
      <c r="E769" s="239"/>
      <c r="F769" s="240"/>
      <c r="G769" s="456"/>
      <c r="H769" s="456">
        <v>7723875.0909090908</v>
      </c>
      <c r="I769" s="456"/>
      <c r="J769" s="456"/>
      <c r="K769" s="456"/>
      <c r="L769" s="456"/>
      <c r="M769" s="456"/>
      <c r="N769" s="1282"/>
      <c r="O769" s="456"/>
      <c r="P769" s="458"/>
      <c r="Q769" s="456"/>
      <c r="R769" s="1287"/>
      <c r="S769" s="457"/>
      <c r="T769" s="456">
        <v>7035415</v>
      </c>
      <c r="U769" s="456">
        <v>7723875.0909090908</v>
      </c>
      <c r="V769" s="456"/>
      <c r="W769" s="457"/>
      <c r="X769" s="457"/>
      <c r="Y769" s="456"/>
      <c r="Z769" s="457"/>
      <c r="AA769" s="1282"/>
      <c r="AB769" s="1293"/>
      <c r="AC769" s="1287"/>
      <c r="AD769" s="456"/>
      <c r="AE769" s="1226"/>
      <c r="AF769" s="1283"/>
      <c r="AG769" s="1230"/>
      <c r="AH769" s="1292"/>
      <c r="AI769" s="1292"/>
      <c r="AJ769" s="789"/>
      <c r="AK769" s="789"/>
      <c r="AL769" s="810"/>
      <c r="AM769" s="810"/>
      <c r="AN769" s="791"/>
      <c r="AO769" s="805"/>
      <c r="AP769" s="805"/>
      <c r="AQ769" s="787"/>
      <c r="AR769" s="787"/>
      <c r="AS769" s="787"/>
      <c r="AT769" s="787"/>
      <c r="AU769" s="787"/>
      <c r="AV769" s="787"/>
      <c r="AW769" s="787"/>
      <c r="AX769" s="784"/>
      <c r="AY769" s="1286"/>
    </row>
    <row r="770" spans="1:51" ht="27" x14ac:dyDescent="0.25">
      <c r="A770" s="1195"/>
      <c r="B770" s="833"/>
      <c r="C770" s="1198"/>
      <c r="D770" s="136" t="s">
        <v>43</v>
      </c>
      <c r="E770" s="142"/>
      <c r="F770" s="143"/>
      <c r="G770" s="459">
        <v>4</v>
      </c>
      <c r="H770" s="459">
        <v>10</v>
      </c>
      <c r="I770" s="459">
        <v>10</v>
      </c>
      <c r="J770" s="445">
        <v>11</v>
      </c>
      <c r="K770" s="445">
        <v>13</v>
      </c>
      <c r="L770" s="445">
        <v>15</v>
      </c>
      <c r="M770" s="445">
        <v>15</v>
      </c>
      <c r="N770" s="447">
        <v>15</v>
      </c>
      <c r="O770" s="445">
        <v>18</v>
      </c>
      <c r="P770" s="458">
        <v>23</v>
      </c>
      <c r="Q770" s="445">
        <v>23</v>
      </c>
      <c r="R770" s="447">
        <v>30</v>
      </c>
      <c r="S770" s="447"/>
      <c r="T770" s="459">
        <v>4</v>
      </c>
      <c r="U770" s="459">
        <v>10</v>
      </c>
      <c r="V770" s="459">
        <v>10</v>
      </c>
      <c r="W770" s="447">
        <v>11</v>
      </c>
      <c r="X770" s="447">
        <v>13</v>
      </c>
      <c r="Y770" s="445">
        <v>15</v>
      </c>
      <c r="Z770" s="447">
        <v>15</v>
      </c>
      <c r="AA770" s="447">
        <v>15</v>
      </c>
      <c r="AB770" s="1255">
        <v>18</v>
      </c>
      <c r="AC770" s="447">
        <v>23</v>
      </c>
      <c r="AD770" s="445">
        <v>23</v>
      </c>
      <c r="AE770" s="1225">
        <v>30</v>
      </c>
      <c r="AF770" s="1283"/>
      <c r="AG770" s="1230"/>
      <c r="AH770" s="1292"/>
      <c r="AI770" s="1292"/>
      <c r="AJ770" s="789"/>
      <c r="AK770" s="789"/>
      <c r="AL770" s="810"/>
      <c r="AM770" s="810"/>
      <c r="AN770" s="791"/>
      <c r="AO770" s="805"/>
      <c r="AP770" s="805"/>
      <c r="AQ770" s="787"/>
      <c r="AR770" s="787"/>
      <c r="AS770" s="787"/>
      <c r="AT770" s="787"/>
      <c r="AU770" s="787"/>
      <c r="AV770" s="787"/>
      <c r="AW770" s="787"/>
      <c r="AX770" s="784"/>
      <c r="AY770" s="1286"/>
    </row>
    <row r="771" spans="1:51" ht="27.75" thickBot="1" x14ac:dyDescent="0.3">
      <c r="A771" s="1195"/>
      <c r="B771" s="833"/>
      <c r="C771" s="1199"/>
      <c r="D771" s="140" t="s">
        <v>45</v>
      </c>
      <c r="E771" s="244"/>
      <c r="F771" s="245"/>
      <c r="G771" s="456">
        <v>17484700</v>
      </c>
      <c r="H771" s="456">
        <v>43711750</v>
      </c>
      <c r="I771" s="456">
        <v>43711750</v>
      </c>
      <c r="J771" s="456">
        <v>42976622.5625</v>
      </c>
      <c r="K771" s="456">
        <f>+K770*$K$671/$K$670</f>
        <v>47001475.895833336</v>
      </c>
      <c r="L771" s="456">
        <f>+L770*$L$671/$L$670</f>
        <v>66544986.46875</v>
      </c>
      <c r="M771" s="456">
        <f>+M770*$M$671/$M$670</f>
        <v>54232472.1875</v>
      </c>
      <c r="N771" s="456">
        <f>+N770*$N$671/$N$670</f>
        <v>68891689.59375</v>
      </c>
      <c r="O771" s="456">
        <f>+O770*$O$671/$O$670</f>
        <v>82670027.512500003</v>
      </c>
      <c r="P771" s="456">
        <f>+P770*$P$671/$P$670</f>
        <v>105633924.04375</v>
      </c>
      <c r="Q771" s="456">
        <f>+Q770*$Q$671/$Q$670</f>
        <v>105633924.04375</v>
      </c>
      <c r="R771" s="456">
        <f>+R770*$R$671/$R$670</f>
        <v>133089972.9375</v>
      </c>
      <c r="S771" s="454"/>
      <c r="T771" s="458"/>
      <c r="U771" s="456">
        <v>15339000</v>
      </c>
      <c r="V771" s="456">
        <v>77063111.111111104</v>
      </c>
      <c r="W771" s="456">
        <v>76292480</v>
      </c>
      <c r="X771" s="456">
        <f>+X770*$X$671/$X$670</f>
        <v>81967127.272727266</v>
      </c>
      <c r="Y771" s="456">
        <f>+Y770*$Y$671/$Y$670</f>
        <v>91258947.368421048</v>
      </c>
      <c r="Z771" s="456">
        <f>+Z770*$Z$671/$Z$670</f>
        <v>88165423.728813559</v>
      </c>
      <c r="AA771" s="456">
        <f>+AA770*$AA$671/$AA$670</f>
        <v>85274754.098360658</v>
      </c>
      <c r="AB771" s="456">
        <f>+AB770*$AB$671/$AB$670</f>
        <v>131443578.94736843</v>
      </c>
      <c r="AC771" s="456">
        <f>+AC770*$AC$671/$AC$670</f>
        <v>123430216.03773585</v>
      </c>
      <c r="AD771" s="456">
        <f>+AD770*$AD$671/$AD$670</f>
        <v>101546380</v>
      </c>
      <c r="AE771" s="456">
        <f>+AE770*$AE$671/$AE$670</f>
        <v>119231043.75</v>
      </c>
      <c r="AF771" s="1288"/>
      <c r="AG771" s="1230"/>
      <c r="AH771" s="1294"/>
      <c r="AI771" s="1294"/>
      <c r="AJ771" s="790"/>
      <c r="AK771" s="790"/>
      <c r="AL771" s="810"/>
      <c r="AM771" s="810"/>
      <c r="AN771" s="791"/>
      <c r="AO771" s="805"/>
      <c r="AP771" s="805"/>
      <c r="AQ771" s="787"/>
      <c r="AR771" s="787"/>
      <c r="AS771" s="787"/>
      <c r="AT771" s="787"/>
      <c r="AU771" s="787"/>
      <c r="AV771" s="787"/>
      <c r="AW771" s="787"/>
      <c r="AX771" s="785"/>
      <c r="AY771" s="1286"/>
    </row>
    <row r="772" spans="1:51" ht="18" customHeight="1" x14ac:dyDescent="0.25">
      <c r="A772" s="1195"/>
      <c r="B772" s="833"/>
      <c r="C772" s="810" t="s">
        <v>330</v>
      </c>
      <c r="D772" s="141" t="s">
        <v>41</v>
      </c>
      <c r="E772" s="142"/>
      <c r="F772" s="143"/>
      <c r="G772" s="445"/>
      <c r="H772" s="445"/>
      <c r="I772" s="445"/>
      <c r="J772" s="445"/>
      <c r="K772" s="445"/>
      <c r="L772" s="445"/>
      <c r="M772" s="445"/>
      <c r="N772" s="455"/>
      <c r="O772" s="445"/>
      <c r="P772" s="458"/>
      <c r="Q772" s="445">
        <v>1</v>
      </c>
      <c r="R772" s="447">
        <v>1</v>
      </c>
      <c r="S772" s="454"/>
      <c r="T772" s="445"/>
      <c r="U772" s="454"/>
      <c r="V772" s="454"/>
      <c r="W772" s="454"/>
      <c r="X772" s="454"/>
      <c r="Y772" s="445"/>
      <c r="Z772" s="454"/>
      <c r="AA772" s="455"/>
      <c r="AB772" s="1254"/>
      <c r="AC772" s="447"/>
      <c r="AD772" s="445">
        <v>1</v>
      </c>
      <c r="AE772" s="1235">
        <v>1</v>
      </c>
      <c r="AF772" s="1278" t="s">
        <v>1297</v>
      </c>
      <c r="AG772" s="1230" t="str">
        <f>+C772</f>
        <v>LA CANDELARIA</v>
      </c>
      <c r="AH772" s="788" t="s">
        <v>1049</v>
      </c>
      <c r="AI772" s="788" t="s">
        <v>539</v>
      </c>
      <c r="AJ772" s="788" t="s">
        <v>1154</v>
      </c>
      <c r="AK772" s="788" t="s">
        <v>315</v>
      </c>
      <c r="AL772" s="810" t="s">
        <v>225</v>
      </c>
      <c r="AM772" s="810" t="s">
        <v>547</v>
      </c>
      <c r="AN772" s="791">
        <v>9246.1862296873496</v>
      </c>
      <c r="AO772" s="783">
        <v>9672.2722137930195</v>
      </c>
      <c r="AP772" s="783">
        <v>18918</v>
      </c>
      <c r="AQ772" s="787" t="s">
        <v>317</v>
      </c>
      <c r="AR772" s="787" t="s">
        <v>317</v>
      </c>
      <c r="AS772" s="787" t="s">
        <v>317</v>
      </c>
      <c r="AT772" s="787" t="s">
        <v>317</v>
      </c>
      <c r="AU772" s="787" t="s">
        <v>317</v>
      </c>
      <c r="AV772" s="787" t="s">
        <v>317</v>
      </c>
      <c r="AW772" s="787" t="s">
        <v>317</v>
      </c>
      <c r="AX772" s="791">
        <v>9246.1862296873496</v>
      </c>
      <c r="AY772" s="1281" t="s">
        <v>1050</v>
      </c>
    </row>
    <row r="773" spans="1:51" ht="18" customHeight="1" x14ac:dyDescent="0.25">
      <c r="A773" s="1195"/>
      <c r="B773" s="833"/>
      <c r="C773" s="810"/>
      <c r="D773" s="132" t="s">
        <v>3</v>
      </c>
      <c r="E773" s="239"/>
      <c r="F773" s="240"/>
      <c r="G773" s="456"/>
      <c r="H773" s="456"/>
      <c r="I773" s="456"/>
      <c r="J773" s="456"/>
      <c r="K773" s="456"/>
      <c r="L773" s="456"/>
      <c r="M773" s="456"/>
      <c r="N773" s="1282"/>
      <c r="O773" s="456"/>
      <c r="P773" s="458"/>
      <c r="Q773" s="456">
        <f>+Q772*$Q$671/$Q$670</f>
        <v>4592779.3062500004</v>
      </c>
      <c r="R773" s="456">
        <f>+R772*$R$671/$R$670</f>
        <v>4436332.4312500004</v>
      </c>
      <c r="S773" s="457"/>
      <c r="T773" s="456"/>
      <c r="U773" s="457"/>
      <c r="V773" s="457"/>
      <c r="W773" s="457"/>
      <c r="X773" s="457"/>
      <c r="Y773" s="456"/>
      <c r="Z773" s="457"/>
      <c r="AA773" s="1282"/>
      <c r="AB773" s="1293"/>
      <c r="AC773" s="1287"/>
      <c r="AD773" s="456">
        <f>+AD772*$AD$671/$AD$670</f>
        <v>4415060</v>
      </c>
      <c r="AE773" s="456">
        <f>+AE772*$AE$671/$AE$670</f>
        <v>3974368.125</v>
      </c>
      <c r="AF773" s="1283"/>
      <c r="AG773" s="1230"/>
      <c r="AH773" s="789"/>
      <c r="AI773" s="789"/>
      <c r="AJ773" s="789"/>
      <c r="AK773" s="789"/>
      <c r="AL773" s="810"/>
      <c r="AM773" s="810"/>
      <c r="AN773" s="791"/>
      <c r="AO773" s="784"/>
      <c r="AP773" s="784"/>
      <c r="AQ773" s="787"/>
      <c r="AR773" s="787"/>
      <c r="AS773" s="787"/>
      <c r="AT773" s="787"/>
      <c r="AU773" s="787"/>
      <c r="AV773" s="787"/>
      <c r="AW773" s="787"/>
      <c r="AX773" s="791"/>
      <c r="AY773" s="1286"/>
    </row>
    <row r="774" spans="1:51" ht="27" customHeight="1" x14ac:dyDescent="0.25">
      <c r="A774" s="1195"/>
      <c r="B774" s="833"/>
      <c r="C774" s="810"/>
      <c r="D774" s="136" t="s">
        <v>42</v>
      </c>
      <c r="E774" s="239"/>
      <c r="F774" s="240"/>
      <c r="G774" s="456"/>
      <c r="H774" s="456"/>
      <c r="I774" s="456"/>
      <c r="J774" s="456"/>
      <c r="K774" s="456"/>
      <c r="L774" s="456"/>
      <c r="M774" s="456"/>
      <c r="N774" s="1282"/>
      <c r="O774" s="456"/>
      <c r="P774" s="458"/>
      <c r="Q774" s="456"/>
      <c r="R774" s="1287"/>
      <c r="S774" s="457"/>
      <c r="T774" s="456"/>
      <c r="U774" s="457"/>
      <c r="V774" s="457"/>
      <c r="W774" s="457"/>
      <c r="X774" s="457"/>
      <c r="Y774" s="456"/>
      <c r="Z774" s="457"/>
      <c r="AA774" s="1282"/>
      <c r="AB774" s="1293"/>
      <c r="AC774" s="1287"/>
      <c r="AD774" s="456"/>
      <c r="AE774" s="1226"/>
      <c r="AF774" s="1283"/>
      <c r="AG774" s="1230"/>
      <c r="AH774" s="789"/>
      <c r="AI774" s="789"/>
      <c r="AJ774" s="789"/>
      <c r="AK774" s="789"/>
      <c r="AL774" s="810"/>
      <c r="AM774" s="810"/>
      <c r="AN774" s="791"/>
      <c r="AO774" s="784"/>
      <c r="AP774" s="784"/>
      <c r="AQ774" s="787"/>
      <c r="AR774" s="787"/>
      <c r="AS774" s="787"/>
      <c r="AT774" s="787"/>
      <c r="AU774" s="787"/>
      <c r="AV774" s="787"/>
      <c r="AW774" s="787"/>
      <c r="AX774" s="791"/>
      <c r="AY774" s="1286"/>
    </row>
    <row r="775" spans="1:51" ht="27" customHeight="1" x14ac:dyDescent="0.25">
      <c r="A775" s="1195"/>
      <c r="B775" s="833"/>
      <c r="C775" s="810"/>
      <c r="D775" s="132" t="s">
        <v>4</v>
      </c>
      <c r="E775" s="239"/>
      <c r="F775" s="240"/>
      <c r="G775" s="456"/>
      <c r="H775" s="456"/>
      <c r="I775" s="456"/>
      <c r="J775" s="456"/>
      <c r="K775" s="456"/>
      <c r="L775" s="456"/>
      <c r="M775" s="456"/>
      <c r="N775" s="1282"/>
      <c r="O775" s="456"/>
      <c r="P775" s="458"/>
      <c r="Q775" s="456"/>
      <c r="R775" s="1287"/>
      <c r="S775" s="457"/>
      <c r="T775" s="456"/>
      <c r="U775" s="457"/>
      <c r="V775" s="457"/>
      <c r="W775" s="457"/>
      <c r="X775" s="457"/>
      <c r="Y775" s="456"/>
      <c r="Z775" s="457"/>
      <c r="AA775" s="1282"/>
      <c r="AB775" s="1293"/>
      <c r="AC775" s="1287"/>
      <c r="AD775" s="456"/>
      <c r="AE775" s="1226"/>
      <c r="AF775" s="1283"/>
      <c r="AG775" s="1230"/>
      <c r="AH775" s="789"/>
      <c r="AI775" s="789"/>
      <c r="AJ775" s="789"/>
      <c r="AK775" s="789"/>
      <c r="AL775" s="810"/>
      <c r="AM775" s="810"/>
      <c r="AN775" s="791"/>
      <c r="AO775" s="784"/>
      <c r="AP775" s="784"/>
      <c r="AQ775" s="787"/>
      <c r="AR775" s="787"/>
      <c r="AS775" s="787"/>
      <c r="AT775" s="787"/>
      <c r="AU775" s="787"/>
      <c r="AV775" s="787"/>
      <c r="AW775" s="787"/>
      <c r="AX775" s="791"/>
      <c r="AY775" s="1286"/>
    </row>
    <row r="776" spans="1:51" ht="27" customHeight="1" x14ac:dyDescent="0.25">
      <c r="A776" s="1195"/>
      <c r="B776" s="833"/>
      <c r="C776" s="810"/>
      <c r="D776" s="136" t="s">
        <v>43</v>
      </c>
      <c r="E776" s="142"/>
      <c r="F776" s="143"/>
      <c r="G776" s="445"/>
      <c r="H776" s="445"/>
      <c r="I776" s="445"/>
      <c r="J776" s="445"/>
      <c r="K776" s="445"/>
      <c r="L776" s="445"/>
      <c r="M776" s="445"/>
      <c r="N776" s="447"/>
      <c r="O776" s="445"/>
      <c r="P776" s="458"/>
      <c r="Q776" s="445">
        <v>1</v>
      </c>
      <c r="R776" s="447">
        <v>1</v>
      </c>
      <c r="S776" s="447"/>
      <c r="T776" s="445"/>
      <c r="U776" s="447"/>
      <c r="V776" s="447"/>
      <c r="W776" s="447"/>
      <c r="X776" s="447"/>
      <c r="Y776" s="445"/>
      <c r="Z776" s="447"/>
      <c r="AA776" s="447"/>
      <c r="AB776" s="1255"/>
      <c r="AC776" s="447"/>
      <c r="AD776" s="445">
        <v>1</v>
      </c>
      <c r="AE776" s="1225">
        <v>1</v>
      </c>
      <c r="AF776" s="1283"/>
      <c r="AG776" s="1230"/>
      <c r="AH776" s="789"/>
      <c r="AI776" s="789"/>
      <c r="AJ776" s="789"/>
      <c r="AK776" s="789"/>
      <c r="AL776" s="810"/>
      <c r="AM776" s="810"/>
      <c r="AN776" s="791"/>
      <c r="AO776" s="784"/>
      <c r="AP776" s="784"/>
      <c r="AQ776" s="787"/>
      <c r="AR776" s="787"/>
      <c r="AS776" s="787"/>
      <c r="AT776" s="787"/>
      <c r="AU776" s="787"/>
      <c r="AV776" s="787"/>
      <c r="AW776" s="787"/>
      <c r="AX776" s="791"/>
      <c r="AY776" s="1286"/>
    </row>
    <row r="777" spans="1:51" ht="27.75" customHeight="1" thickBot="1" x14ac:dyDescent="0.3">
      <c r="A777" s="1195"/>
      <c r="B777" s="833"/>
      <c r="C777" s="810"/>
      <c r="D777" s="140" t="s">
        <v>45</v>
      </c>
      <c r="E777" s="244"/>
      <c r="F777" s="245"/>
      <c r="G777" s="458"/>
      <c r="H777" s="458"/>
      <c r="I777" s="458"/>
      <c r="J777" s="458"/>
      <c r="K777" s="458"/>
      <c r="L777" s="458"/>
      <c r="M777" s="458"/>
      <c r="N777" s="455"/>
      <c r="O777" s="458"/>
      <c r="P777" s="458"/>
      <c r="Q777" s="456">
        <f>+Q776*$Q$671/$Q$670</f>
        <v>4592779.3062500004</v>
      </c>
      <c r="R777" s="456">
        <f>+R776*$R$671/$R$670</f>
        <v>4436332.4312500004</v>
      </c>
      <c r="S777" s="454"/>
      <c r="T777" s="458"/>
      <c r="U777" s="454"/>
      <c r="V777" s="454"/>
      <c r="W777" s="454"/>
      <c r="X777" s="454"/>
      <c r="Y777" s="458"/>
      <c r="Z777" s="454"/>
      <c r="AA777" s="455"/>
      <c r="AB777" s="1254"/>
      <c r="AC777" s="1287"/>
      <c r="AD777" s="456">
        <f>+AD776*$AD$671/$AD$670</f>
        <v>4415060</v>
      </c>
      <c r="AE777" s="456">
        <f>+AE776*$AE$671/$AE$670</f>
        <v>3974368.125</v>
      </c>
      <c r="AF777" s="1288"/>
      <c r="AG777" s="1230"/>
      <c r="AH777" s="790"/>
      <c r="AI777" s="790"/>
      <c r="AJ777" s="790"/>
      <c r="AK777" s="790"/>
      <c r="AL777" s="810"/>
      <c r="AM777" s="810"/>
      <c r="AN777" s="791"/>
      <c r="AO777" s="785"/>
      <c r="AP777" s="785"/>
      <c r="AQ777" s="787"/>
      <c r="AR777" s="787"/>
      <c r="AS777" s="787"/>
      <c r="AT777" s="787"/>
      <c r="AU777" s="787"/>
      <c r="AV777" s="787"/>
      <c r="AW777" s="787"/>
      <c r="AX777" s="791"/>
      <c r="AY777" s="1286"/>
    </row>
    <row r="778" spans="1:51" ht="18" hidden="1" customHeight="1" x14ac:dyDescent="0.25">
      <c r="A778" s="1195"/>
      <c r="B778" s="833"/>
      <c r="C778" s="1197" t="s">
        <v>585</v>
      </c>
      <c r="D778" s="141" t="s">
        <v>41</v>
      </c>
      <c r="E778" s="142"/>
      <c r="F778" s="143"/>
      <c r="G778" s="445"/>
      <c r="H778" s="445"/>
      <c r="I778" s="445"/>
      <c r="J778" s="445"/>
      <c r="K778" s="445"/>
      <c r="L778" s="445"/>
      <c r="M778" s="445"/>
      <c r="N778" s="455"/>
      <c r="O778" s="445"/>
      <c r="P778" s="458"/>
      <c r="Q778" s="445"/>
      <c r="R778" s="447"/>
      <c r="S778" s="454"/>
      <c r="T778" s="445"/>
      <c r="U778" s="454"/>
      <c r="V778" s="454"/>
      <c r="W778" s="454"/>
      <c r="X778" s="454"/>
      <c r="Y778" s="445"/>
      <c r="Z778" s="454"/>
      <c r="AA778" s="455"/>
      <c r="AB778" s="1254"/>
      <c r="AC778" s="447"/>
      <c r="AD778" s="445"/>
      <c r="AE778" s="1238"/>
      <c r="AF778" s="1295"/>
      <c r="AG778" s="1230" t="str">
        <f>+C778</f>
        <v>RAFAEL URIBE</v>
      </c>
      <c r="AH778" s="788" t="s">
        <v>350</v>
      </c>
      <c r="AI778" s="788" t="s">
        <v>350</v>
      </c>
      <c r="AJ778" s="788" t="s">
        <v>350</v>
      </c>
      <c r="AK778" s="788" t="s">
        <v>315</v>
      </c>
      <c r="AL778" s="810"/>
      <c r="AM778" s="810" t="s">
        <v>547</v>
      </c>
      <c r="AN778" s="823">
        <v>8185614</v>
      </c>
      <c r="AO778" s="805">
        <v>8185614</v>
      </c>
      <c r="AP778" s="805"/>
      <c r="AQ778" s="787" t="s">
        <v>317</v>
      </c>
      <c r="AR778" s="787" t="s">
        <v>317</v>
      </c>
      <c r="AS778" s="787" t="s">
        <v>317</v>
      </c>
      <c r="AT778" s="787" t="s">
        <v>317</v>
      </c>
      <c r="AU778" s="787" t="s">
        <v>317</v>
      </c>
      <c r="AV778" s="787" t="s">
        <v>317</v>
      </c>
      <c r="AW778" s="787" t="s">
        <v>317</v>
      </c>
      <c r="AX778" s="783">
        <v>8185614</v>
      </c>
      <c r="AY778" s="1281"/>
    </row>
    <row r="779" spans="1:51" ht="18" hidden="1" customHeight="1" x14ac:dyDescent="0.25">
      <c r="A779" s="1195"/>
      <c r="B779" s="833"/>
      <c r="C779" s="1198"/>
      <c r="D779" s="132" t="s">
        <v>3</v>
      </c>
      <c r="E779" s="239"/>
      <c r="F779" s="240"/>
      <c r="G779" s="456"/>
      <c r="H779" s="456"/>
      <c r="I779" s="456"/>
      <c r="J779" s="456"/>
      <c r="K779" s="456"/>
      <c r="L779" s="456"/>
      <c r="M779" s="456"/>
      <c r="N779" s="1282"/>
      <c r="O779" s="456"/>
      <c r="P779" s="458"/>
      <c r="Q779" s="456"/>
      <c r="R779" s="1287"/>
      <c r="S779" s="457"/>
      <c r="T779" s="456"/>
      <c r="U779" s="457"/>
      <c r="V779" s="457"/>
      <c r="W779" s="457"/>
      <c r="X779" s="457"/>
      <c r="Y779" s="456"/>
      <c r="Z779" s="457"/>
      <c r="AA779" s="1282"/>
      <c r="AB779" s="1293"/>
      <c r="AC779" s="1287"/>
      <c r="AD779" s="456"/>
      <c r="AE779" s="1226"/>
      <c r="AF779" s="1296"/>
      <c r="AG779" s="1230"/>
      <c r="AH779" s="789"/>
      <c r="AI779" s="789"/>
      <c r="AJ779" s="789"/>
      <c r="AK779" s="789"/>
      <c r="AL779" s="810"/>
      <c r="AM779" s="810"/>
      <c r="AN779" s="823"/>
      <c r="AO779" s="805"/>
      <c r="AP779" s="805"/>
      <c r="AQ779" s="787"/>
      <c r="AR779" s="787"/>
      <c r="AS779" s="787"/>
      <c r="AT779" s="787"/>
      <c r="AU779" s="787"/>
      <c r="AV779" s="787"/>
      <c r="AW779" s="787"/>
      <c r="AX779" s="784"/>
      <c r="AY779" s="1286"/>
    </row>
    <row r="780" spans="1:51" ht="27" hidden="1" customHeight="1" x14ac:dyDescent="0.25">
      <c r="A780" s="1195"/>
      <c r="B780" s="833"/>
      <c r="C780" s="1198"/>
      <c r="D780" s="136" t="s">
        <v>42</v>
      </c>
      <c r="E780" s="239"/>
      <c r="F780" s="240"/>
      <c r="G780" s="456"/>
      <c r="H780" s="456"/>
      <c r="I780" s="456"/>
      <c r="J780" s="456"/>
      <c r="K780" s="456"/>
      <c r="L780" s="456"/>
      <c r="M780" s="456"/>
      <c r="N780" s="1282"/>
      <c r="O780" s="456"/>
      <c r="P780" s="458"/>
      <c r="Q780" s="456"/>
      <c r="R780" s="1287"/>
      <c r="S780" s="457"/>
      <c r="T780" s="456"/>
      <c r="U780" s="457"/>
      <c r="V780" s="457"/>
      <c r="W780" s="457"/>
      <c r="X780" s="457"/>
      <c r="Y780" s="456"/>
      <c r="Z780" s="457"/>
      <c r="AA780" s="1282"/>
      <c r="AB780" s="1293"/>
      <c r="AC780" s="1287"/>
      <c r="AD780" s="456"/>
      <c r="AE780" s="1226"/>
      <c r="AF780" s="1296"/>
      <c r="AG780" s="1230"/>
      <c r="AH780" s="789"/>
      <c r="AI780" s="789"/>
      <c r="AJ780" s="789"/>
      <c r="AK780" s="789"/>
      <c r="AL780" s="810"/>
      <c r="AM780" s="810"/>
      <c r="AN780" s="823"/>
      <c r="AO780" s="805"/>
      <c r="AP780" s="805"/>
      <c r="AQ780" s="787"/>
      <c r="AR780" s="787"/>
      <c r="AS780" s="787"/>
      <c r="AT780" s="787"/>
      <c r="AU780" s="787"/>
      <c r="AV780" s="787"/>
      <c r="AW780" s="787"/>
      <c r="AX780" s="784"/>
      <c r="AY780" s="1286"/>
    </row>
    <row r="781" spans="1:51" ht="27" hidden="1" customHeight="1" x14ac:dyDescent="0.25">
      <c r="A781" s="1195"/>
      <c r="B781" s="833"/>
      <c r="C781" s="1198"/>
      <c r="D781" s="132" t="s">
        <v>4</v>
      </c>
      <c r="E781" s="239"/>
      <c r="F781" s="240"/>
      <c r="G781" s="456"/>
      <c r="H781" s="456"/>
      <c r="I781" s="456"/>
      <c r="J781" s="456"/>
      <c r="K781" s="456"/>
      <c r="L781" s="456"/>
      <c r="M781" s="456"/>
      <c r="N781" s="1282"/>
      <c r="O781" s="456"/>
      <c r="P781" s="458"/>
      <c r="Q781" s="456"/>
      <c r="R781" s="1287"/>
      <c r="S781" s="457"/>
      <c r="T781" s="456"/>
      <c r="U781" s="457"/>
      <c r="V781" s="457"/>
      <c r="W781" s="457"/>
      <c r="X781" s="457"/>
      <c r="Y781" s="456"/>
      <c r="Z781" s="457"/>
      <c r="AA781" s="1282"/>
      <c r="AB781" s="1293"/>
      <c r="AC781" s="1287"/>
      <c r="AD781" s="456"/>
      <c r="AE781" s="1226"/>
      <c r="AF781" s="1296"/>
      <c r="AG781" s="1230"/>
      <c r="AH781" s="789"/>
      <c r="AI781" s="789"/>
      <c r="AJ781" s="789"/>
      <c r="AK781" s="789"/>
      <c r="AL781" s="810"/>
      <c r="AM781" s="810"/>
      <c r="AN781" s="823"/>
      <c r="AO781" s="805"/>
      <c r="AP781" s="805"/>
      <c r="AQ781" s="787"/>
      <c r="AR781" s="787"/>
      <c r="AS781" s="787"/>
      <c r="AT781" s="787"/>
      <c r="AU781" s="787"/>
      <c r="AV781" s="787"/>
      <c r="AW781" s="787"/>
      <c r="AX781" s="784"/>
      <c r="AY781" s="1286"/>
    </row>
    <row r="782" spans="1:51" ht="27" hidden="1" customHeight="1" x14ac:dyDescent="0.25">
      <c r="A782" s="1195"/>
      <c r="B782" s="833"/>
      <c r="C782" s="1198"/>
      <c r="D782" s="136" t="s">
        <v>43</v>
      </c>
      <c r="E782" s="142"/>
      <c r="F782" s="143"/>
      <c r="G782" s="445"/>
      <c r="H782" s="445"/>
      <c r="I782" s="445"/>
      <c r="J782" s="445"/>
      <c r="K782" s="445"/>
      <c r="L782" s="445"/>
      <c r="M782" s="445"/>
      <c r="N782" s="447"/>
      <c r="O782" s="445"/>
      <c r="P782" s="458"/>
      <c r="Q782" s="445"/>
      <c r="R782" s="447"/>
      <c r="S782" s="447"/>
      <c r="T782" s="445"/>
      <c r="U782" s="447"/>
      <c r="V782" s="447"/>
      <c r="W782" s="447"/>
      <c r="X782" s="447"/>
      <c r="Y782" s="445"/>
      <c r="Z782" s="447"/>
      <c r="AA782" s="447"/>
      <c r="AB782" s="1255"/>
      <c r="AC782" s="447"/>
      <c r="AD782" s="445"/>
      <c r="AE782" s="1225"/>
      <c r="AF782" s="1297"/>
      <c r="AG782" s="1230"/>
      <c r="AH782" s="789"/>
      <c r="AI782" s="789"/>
      <c r="AJ782" s="789"/>
      <c r="AK782" s="789"/>
      <c r="AL782" s="810"/>
      <c r="AM782" s="810"/>
      <c r="AN782" s="823"/>
      <c r="AO782" s="805"/>
      <c r="AP782" s="805"/>
      <c r="AQ782" s="787"/>
      <c r="AR782" s="787"/>
      <c r="AS782" s="787"/>
      <c r="AT782" s="787"/>
      <c r="AU782" s="787"/>
      <c r="AV782" s="787"/>
      <c r="AW782" s="787"/>
      <c r="AX782" s="784"/>
      <c r="AY782" s="1286"/>
    </row>
    <row r="783" spans="1:51" ht="29.45" hidden="1" customHeight="1" thickBot="1" x14ac:dyDescent="0.3">
      <c r="A783" s="1195"/>
      <c r="B783" s="833"/>
      <c r="C783" s="1199"/>
      <c r="D783" s="140" t="s">
        <v>45</v>
      </c>
      <c r="E783" s="244"/>
      <c r="F783" s="245"/>
      <c r="G783" s="458"/>
      <c r="H783" s="458"/>
      <c r="I783" s="458"/>
      <c r="J783" s="458"/>
      <c r="K783" s="458"/>
      <c r="L783" s="458"/>
      <c r="M783" s="458"/>
      <c r="N783" s="455"/>
      <c r="O783" s="458"/>
      <c r="P783" s="458"/>
      <c r="Q783" s="458"/>
      <c r="R783" s="454"/>
      <c r="S783" s="454"/>
      <c r="T783" s="458"/>
      <c r="U783" s="454"/>
      <c r="V783" s="454"/>
      <c r="W783" s="454"/>
      <c r="X783" s="454"/>
      <c r="Y783" s="458"/>
      <c r="Z783" s="454"/>
      <c r="AA783" s="455"/>
      <c r="AB783" s="1254"/>
      <c r="AC783" s="1287"/>
      <c r="AD783" s="458"/>
      <c r="AE783" s="1238"/>
      <c r="AF783" s="1295"/>
      <c r="AG783" s="1230"/>
      <c r="AH783" s="790"/>
      <c r="AI783" s="790"/>
      <c r="AJ783" s="790"/>
      <c r="AK783" s="790"/>
      <c r="AL783" s="810"/>
      <c r="AM783" s="810"/>
      <c r="AN783" s="823"/>
      <c r="AO783" s="805"/>
      <c r="AP783" s="805"/>
      <c r="AQ783" s="787"/>
      <c r="AR783" s="787"/>
      <c r="AS783" s="787"/>
      <c r="AT783" s="787"/>
      <c r="AU783" s="787"/>
      <c r="AV783" s="787"/>
      <c r="AW783" s="787"/>
      <c r="AX783" s="785"/>
      <c r="AY783" s="1286"/>
    </row>
    <row r="784" spans="1:51" ht="18" customHeight="1" x14ac:dyDescent="0.25">
      <c r="A784" s="1195"/>
      <c r="B784" s="833"/>
      <c r="C784" s="810" t="s">
        <v>1316</v>
      </c>
      <c r="D784" s="141" t="s">
        <v>41</v>
      </c>
      <c r="E784" s="142"/>
      <c r="F784" s="143"/>
      <c r="G784" s="459">
        <v>1</v>
      </c>
      <c r="H784" s="459">
        <v>2</v>
      </c>
      <c r="I784" s="459">
        <v>2</v>
      </c>
      <c r="J784" s="445">
        <v>2</v>
      </c>
      <c r="K784" s="445">
        <v>2</v>
      </c>
      <c r="L784" s="445">
        <v>2</v>
      </c>
      <c r="M784" s="445">
        <v>2</v>
      </c>
      <c r="N784" s="455">
        <v>2</v>
      </c>
      <c r="O784" s="445">
        <v>2</v>
      </c>
      <c r="P784" s="458">
        <v>4</v>
      </c>
      <c r="Q784" s="445">
        <v>4</v>
      </c>
      <c r="R784" s="447">
        <v>4</v>
      </c>
      <c r="S784" s="454"/>
      <c r="T784" s="459">
        <v>1</v>
      </c>
      <c r="U784" s="459">
        <v>2</v>
      </c>
      <c r="V784" s="459">
        <v>2</v>
      </c>
      <c r="W784" s="454">
        <v>2</v>
      </c>
      <c r="X784" s="454">
        <v>2</v>
      </c>
      <c r="Y784" s="445">
        <v>2</v>
      </c>
      <c r="Z784" s="455">
        <v>2</v>
      </c>
      <c r="AA784" s="455">
        <v>2</v>
      </c>
      <c r="AB784" s="1254">
        <v>2</v>
      </c>
      <c r="AC784" s="447">
        <v>4</v>
      </c>
      <c r="AD784" s="445">
        <v>4</v>
      </c>
      <c r="AE784" s="1235">
        <v>4</v>
      </c>
      <c r="AF784" s="1278" t="s">
        <v>1065</v>
      </c>
      <c r="AG784" s="1298" t="str">
        <f>+C784</f>
        <v>19-CIUDAD BOLIVAR</v>
      </c>
      <c r="AH784" s="1291" t="s">
        <v>957</v>
      </c>
      <c r="AI784" s="1291" t="s">
        <v>958</v>
      </c>
      <c r="AJ784" s="788" t="s">
        <v>1154</v>
      </c>
      <c r="AK784" s="788" t="s">
        <v>315</v>
      </c>
      <c r="AL784" s="788" t="s">
        <v>589</v>
      </c>
      <c r="AM784" s="788" t="s">
        <v>547</v>
      </c>
      <c r="AN784" s="878">
        <v>628526</v>
      </c>
      <c r="AO784" s="805">
        <v>306776</v>
      </c>
      <c r="AP784" s="805">
        <v>321750</v>
      </c>
      <c r="AQ784" s="1272" t="s">
        <v>317</v>
      </c>
      <c r="AR784" s="1272" t="s">
        <v>317</v>
      </c>
      <c r="AS784" s="1272" t="s">
        <v>317</v>
      </c>
      <c r="AT784" s="1272" t="s">
        <v>317</v>
      </c>
      <c r="AU784" s="1272" t="s">
        <v>317</v>
      </c>
      <c r="AV784" s="1272" t="s">
        <v>317</v>
      </c>
      <c r="AW784" s="787" t="s">
        <v>317</v>
      </c>
      <c r="AX784" s="783">
        <v>628526</v>
      </c>
      <c r="AY784" s="1281" t="s">
        <v>959</v>
      </c>
    </row>
    <row r="785" spans="1:51" ht="18" customHeight="1" x14ac:dyDescent="0.25">
      <c r="A785" s="1195"/>
      <c r="B785" s="833"/>
      <c r="C785" s="810"/>
      <c r="D785" s="132" t="s">
        <v>3</v>
      </c>
      <c r="E785" s="239"/>
      <c r="F785" s="240"/>
      <c r="G785" s="456">
        <v>4371175</v>
      </c>
      <c r="H785" s="456">
        <v>8742350</v>
      </c>
      <c r="I785" s="456">
        <v>8742350</v>
      </c>
      <c r="J785" s="456">
        <v>7813931.375</v>
      </c>
      <c r="K785" s="456">
        <f>+K784*$K$671/$K$670</f>
        <v>7230996.291666667</v>
      </c>
      <c r="L785" s="456">
        <f>+L784*$L$671/$L$670</f>
        <v>8872664.8625000007</v>
      </c>
      <c r="M785" s="456">
        <f>+M784*$M$671/$M$670</f>
        <v>7230996.291666667</v>
      </c>
      <c r="N785" s="456">
        <f>+N784*$N$671/$N$670</f>
        <v>9185558.6125000007</v>
      </c>
      <c r="O785" s="456">
        <f>+O784*$O$671/$O$670</f>
        <v>9185558.6125000007</v>
      </c>
      <c r="P785" s="456">
        <f>+P784*$P$671/$P$670</f>
        <v>18371117.225000001</v>
      </c>
      <c r="Q785" s="456">
        <f>+Q784*$Q$671/$Q$670</f>
        <v>18371117.225000001</v>
      </c>
      <c r="R785" s="456">
        <f>+R784*$R$671/$R$670</f>
        <v>17745329.725000001</v>
      </c>
      <c r="S785" s="457"/>
      <c r="T785" s="456"/>
      <c r="U785" s="456">
        <v>3067800</v>
      </c>
      <c r="V785" s="456">
        <v>15412622.222222222</v>
      </c>
      <c r="W785" s="456">
        <v>13871360</v>
      </c>
      <c r="X785" s="456">
        <f>+X784*$X$671/$X$670</f>
        <v>12610327.272727273</v>
      </c>
      <c r="Y785" s="456">
        <f>+Y784*$Y$671/$Y$670</f>
        <v>12167859.649122806</v>
      </c>
      <c r="Z785" s="456">
        <f>+Z784*$Z$671/$Z$670</f>
        <v>11755389.830508474</v>
      </c>
      <c r="AA785" s="456">
        <f>+AA784*$AA$671/$AA$670</f>
        <v>11369967.213114753</v>
      </c>
      <c r="AB785" s="456">
        <f>+AB784*$AB$671/$AB$670</f>
        <v>14604842.105263159</v>
      </c>
      <c r="AC785" s="456">
        <f>+AC784*$AC$671/$AC$670</f>
        <v>21466124.528301887</v>
      </c>
      <c r="AD785" s="456">
        <f>+AD784*$AD$671/$AD$670</f>
        <v>17660240</v>
      </c>
      <c r="AE785" s="456">
        <f>+AE784*$AE$671/$AE$670</f>
        <v>15897472.5</v>
      </c>
      <c r="AF785" s="1283"/>
      <c r="AG785" s="1298"/>
      <c r="AH785" s="1292"/>
      <c r="AI785" s="1292"/>
      <c r="AJ785" s="789"/>
      <c r="AK785" s="789"/>
      <c r="AL785" s="789"/>
      <c r="AM785" s="789"/>
      <c r="AN785" s="879"/>
      <c r="AO785" s="805"/>
      <c r="AP785" s="805"/>
      <c r="AQ785" s="1274"/>
      <c r="AR785" s="1274"/>
      <c r="AS785" s="1274"/>
      <c r="AT785" s="1274"/>
      <c r="AU785" s="1274"/>
      <c r="AV785" s="1274"/>
      <c r="AW785" s="787"/>
      <c r="AX785" s="784"/>
      <c r="AY785" s="1286"/>
    </row>
    <row r="786" spans="1:51" ht="27" customHeight="1" x14ac:dyDescent="0.25">
      <c r="A786" s="1195"/>
      <c r="B786" s="833"/>
      <c r="C786" s="810"/>
      <c r="D786" s="136" t="s">
        <v>42</v>
      </c>
      <c r="E786" s="239"/>
      <c r="F786" s="240"/>
      <c r="G786" s="456"/>
      <c r="H786" s="456"/>
      <c r="I786" s="456"/>
      <c r="J786" s="456"/>
      <c r="K786" s="456"/>
      <c r="L786" s="456"/>
      <c r="M786" s="456"/>
      <c r="N786" s="1282"/>
      <c r="O786" s="456"/>
      <c r="P786" s="458"/>
      <c r="Q786" s="456"/>
      <c r="R786" s="1287"/>
      <c r="S786" s="457"/>
      <c r="T786" s="456"/>
      <c r="U786" s="456"/>
      <c r="V786" s="456"/>
      <c r="W786" s="457"/>
      <c r="X786" s="457"/>
      <c r="Y786" s="456"/>
      <c r="Z786" s="457"/>
      <c r="AA786" s="1282"/>
      <c r="AB786" s="1293"/>
      <c r="AC786" s="1287"/>
      <c r="AD786" s="456"/>
      <c r="AE786" s="1226"/>
      <c r="AF786" s="1283"/>
      <c r="AG786" s="1298"/>
      <c r="AH786" s="1292"/>
      <c r="AI786" s="1292"/>
      <c r="AJ786" s="789"/>
      <c r="AK786" s="789"/>
      <c r="AL786" s="789"/>
      <c r="AM786" s="789"/>
      <c r="AN786" s="879"/>
      <c r="AO786" s="805"/>
      <c r="AP786" s="805"/>
      <c r="AQ786" s="1274"/>
      <c r="AR786" s="1274"/>
      <c r="AS786" s="1274"/>
      <c r="AT786" s="1274"/>
      <c r="AU786" s="1274"/>
      <c r="AV786" s="1274"/>
      <c r="AW786" s="787"/>
      <c r="AX786" s="784"/>
      <c r="AY786" s="1286"/>
    </row>
    <row r="787" spans="1:51" ht="27" customHeight="1" x14ac:dyDescent="0.25">
      <c r="A787" s="1195"/>
      <c r="B787" s="833"/>
      <c r="C787" s="810"/>
      <c r="D787" s="132" t="s">
        <v>4</v>
      </c>
      <c r="E787" s="239"/>
      <c r="F787" s="240"/>
      <c r="G787" s="456"/>
      <c r="H787" s="456">
        <v>7723875.0909090908</v>
      </c>
      <c r="I787" s="456"/>
      <c r="J787" s="456"/>
      <c r="K787" s="456"/>
      <c r="L787" s="456"/>
      <c r="M787" s="456"/>
      <c r="N787" s="1282"/>
      <c r="O787" s="456"/>
      <c r="P787" s="458"/>
      <c r="Q787" s="456"/>
      <c r="R787" s="1287"/>
      <c r="S787" s="457"/>
      <c r="T787" s="456">
        <v>1758853.75</v>
      </c>
      <c r="U787" s="456">
        <v>7723875.0909090908</v>
      </c>
      <c r="V787" s="456"/>
      <c r="W787" s="457"/>
      <c r="X787" s="457"/>
      <c r="Y787" s="456"/>
      <c r="Z787" s="457"/>
      <c r="AA787" s="1282"/>
      <c r="AB787" s="1293"/>
      <c r="AC787" s="1287"/>
      <c r="AD787" s="456"/>
      <c r="AE787" s="1226"/>
      <c r="AF787" s="1283"/>
      <c r="AG787" s="1298"/>
      <c r="AH787" s="1292"/>
      <c r="AI787" s="1292"/>
      <c r="AJ787" s="789"/>
      <c r="AK787" s="789"/>
      <c r="AL787" s="789"/>
      <c r="AM787" s="789"/>
      <c r="AN787" s="879"/>
      <c r="AO787" s="805"/>
      <c r="AP787" s="805"/>
      <c r="AQ787" s="1274"/>
      <c r="AR787" s="1274"/>
      <c r="AS787" s="1274"/>
      <c r="AT787" s="1274"/>
      <c r="AU787" s="1274"/>
      <c r="AV787" s="1274"/>
      <c r="AW787" s="787"/>
      <c r="AX787" s="784"/>
      <c r="AY787" s="1286"/>
    </row>
    <row r="788" spans="1:51" ht="27" customHeight="1" x14ac:dyDescent="0.25">
      <c r="A788" s="1195"/>
      <c r="B788" s="833"/>
      <c r="C788" s="810"/>
      <c r="D788" s="136" t="s">
        <v>43</v>
      </c>
      <c r="E788" s="142"/>
      <c r="F788" s="143"/>
      <c r="G788" s="459">
        <v>1</v>
      </c>
      <c r="H788" s="459">
        <v>2</v>
      </c>
      <c r="I788" s="459">
        <v>2</v>
      </c>
      <c r="J788" s="445">
        <v>2</v>
      </c>
      <c r="K788" s="445">
        <v>2</v>
      </c>
      <c r="L788" s="445">
        <v>2</v>
      </c>
      <c r="M788" s="445">
        <v>2</v>
      </c>
      <c r="N788" s="447">
        <v>2</v>
      </c>
      <c r="O788" s="445">
        <v>2</v>
      </c>
      <c r="P788" s="458">
        <v>4</v>
      </c>
      <c r="Q788" s="445">
        <v>4</v>
      </c>
      <c r="R788" s="447">
        <v>4</v>
      </c>
      <c r="S788" s="447"/>
      <c r="T788" s="459">
        <v>1</v>
      </c>
      <c r="U788" s="459">
        <v>2</v>
      </c>
      <c r="V788" s="459">
        <v>2</v>
      </c>
      <c r="W788" s="447">
        <v>2</v>
      </c>
      <c r="X788" s="450">
        <v>2</v>
      </c>
      <c r="Y788" s="445">
        <v>2</v>
      </c>
      <c r="Z788" s="447">
        <v>2</v>
      </c>
      <c r="AA788" s="447">
        <v>2</v>
      </c>
      <c r="AB788" s="1255">
        <v>2</v>
      </c>
      <c r="AC788" s="447">
        <v>4</v>
      </c>
      <c r="AD788" s="445">
        <v>4</v>
      </c>
      <c r="AE788" s="1225">
        <v>4</v>
      </c>
      <c r="AF788" s="1283"/>
      <c r="AG788" s="1298"/>
      <c r="AH788" s="1292"/>
      <c r="AI788" s="1292"/>
      <c r="AJ788" s="789"/>
      <c r="AK788" s="789"/>
      <c r="AL788" s="789"/>
      <c r="AM788" s="789"/>
      <c r="AN788" s="879"/>
      <c r="AO788" s="805"/>
      <c r="AP788" s="805"/>
      <c r="AQ788" s="1274"/>
      <c r="AR788" s="1274"/>
      <c r="AS788" s="1274"/>
      <c r="AT788" s="1274"/>
      <c r="AU788" s="1274"/>
      <c r="AV788" s="1274"/>
      <c r="AW788" s="787"/>
      <c r="AX788" s="784"/>
      <c r="AY788" s="1286"/>
    </row>
    <row r="789" spans="1:51" ht="27.75" customHeight="1" thickBot="1" x14ac:dyDescent="0.3">
      <c r="A789" s="1195"/>
      <c r="B789" s="833"/>
      <c r="C789" s="810"/>
      <c r="D789" s="140" t="s">
        <v>45</v>
      </c>
      <c r="E789" s="244"/>
      <c r="F789" s="245"/>
      <c r="G789" s="456">
        <v>4371175</v>
      </c>
      <c r="H789" s="456">
        <v>8742350</v>
      </c>
      <c r="I789" s="456">
        <v>8742350</v>
      </c>
      <c r="J789" s="456">
        <v>7813931.375</v>
      </c>
      <c r="K789" s="456">
        <f>+K788*$K$671/$K$670</f>
        <v>7230996.291666667</v>
      </c>
      <c r="L789" s="456">
        <f>+L788*$L$671/$L$670</f>
        <v>8872664.8625000007</v>
      </c>
      <c r="M789" s="456">
        <f>+M788*$M$671/$M$670</f>
        <v>7230996.291666667</v>
      </c>
      <c r="N789" s="456">
        <f>+N788*$N$671/$N$670</f>
        <v>9185558.6125000007</v>
      </c>
      <c r="O789" s="456">
        <f>+O788*$O$671/$O$670</f>
        <v>9185558.6125000007</v>
      </c>
      <c r="P789" s="456">
        <f>+P788*$P$671/$P$670</f>
        <v>18371117.225000001</v>
      </c>
      <c r="Q789" s="456">
        <f>+Q788*$Q$671/$Q$670</f>
        <v>18371117.225000001</v>
      </c>
      <c r="R789" s="456">
        <f>+R788*$R$671/$R$670</f>
        <v>17745329.725000001</v>
      </c>
      <c r="S789" s="454"/>
      <c r="T789" s="458"/>
      <c r="U789" s="456">
        <v>3067800</v>
      </c>
      <c r="V789" s="456">
        <v>15412622.222222222</v>
      </c>
      <c r="W789" s="456">
        <v>13871360</v>
      </c>
      <c r="X789" s="456">
        <f>+X788*$X$671/$X$670</f>
        <v>12610327.272727273</v>
      </c>
      <c r="Y789" s="456">
        <f>+Y788*$Y$671/$Y$670</f>
        <v>12167859.649122806</v>
      </c>
      <c r="Z789" s="456">
        <f>+Z788*$Z$671/$Z$670</f>
        <v>11755389.830508474</v>
      </c>
      <c r="AA789" s="456">
        <f>+AA788*$AA$671/$AA$670</f>
        <v>11369967.213114753</v>
      </c>
      <c r="AB789" s="456">
        <f>+AB788*$AB$671/$AB$670</f>
        <v>14604842.105263159</v>
      </c>
      <c r="AC789" s="456">
        <f>+AC788*$AC$671/$AC$670</f>
        <v>21466124.528301887</v>
      </c>
      <c r="AD789" s="456">
        <f>+AD788*$AD$671/$AD$670</f>
        <v>17660240</v>
      </c>
      <c r="AE789" s="456">
        <f>+AE788*$AE$671/$AE$670</f>
        <v>15897472.5</v>
      </c>
      <c r="AF789" s="1288"/>
      <c r="AG789" s="1298"/>
      <c r="AH789" s="1294"/>
      <c r="AI789" s="1294"/>
      <c r="AJ789" s="790"/>
      <c r="AK789" s="790"/>
      <c r="AL789" s="790"/>
      <c r="AM789" s="790"/>
      <c r="AN789" s="880"/>
      <c r="AO789" s="805"/>
      <c r="AP789" s="805"/>
      <c r="AQ789" s="1276"/>
      <c r="AR789" s="1276"/>
      <c r="AS789" s="1276"/>
      <c r="AT789" s="1276"/>
      <c r="AU789" s="1276"/>
      <c r="AV789" s="1276"/>
      <c r="AW789" s="787"/>
      <c r="AX789" s="785"/>
      <c r="AY789" s="1286"/>
    </row>
    <row r="790" spans="1:51" ht="18" customHeight="1" x14ac:dyDescent="0.25">
      <c r="A790" s="1195"/>
      <c r="B790" s="833"/>
      <c r="C790" s="1200" t="s">
        <v>409</v>
      </c>
      <c r="D790" s="141" t="s">
        <v>41</v>
      </c>
      <c r="E790" s="142"/>
      <c r="F790" s="143"/>
      <c r="G790" s="459">
        <v>140</v>
      </c>
      <c r="H790" s="459">
        <v>120</v>
      </c>
      <c r="I790" s="459">
        <v>115</v>
      </c>
      <c r="J790" s="445">
        <v>110</v>
      </c>
      <c r="K790" s="445">
        <v>105</v>
      </c>
      <c r="L790" s="445">
        <v>103</v>
      </c>
      <c r="M790" s="445">
        <v>101</v>
      </c>
      <c r="N790" s="448">
        <v>99</v>
      </c>
      <c r="O790" s="445">
        <v>84</v>
      </c>
      <c r="P790" s="1225">
        <v>54</v>
      </c>
      <c r="Q790" s="445">
        <v>20</v>
      </c>
      <c r="R790" s="447"/>
      <c r="S790" s="446"/>
      <c r="T790" s="446"/>
      <c r="U790" s="446"/>
      <c r="V790" s="446"/>
      <c r="W790" s="446"/>
      <c r="X790" s="446"/>
      <c r="Y790" s="445"/>
      <c r="Z790" s="446"/>
      <c r="AA790" s="448"/>
      <c r="AB790" s="1224"/>
      <c r="AC790" s="447"/>
      <c r="AD790" s="1226"/>
      <c r="AE790" s="446"/>
      <c r="AF790" s="1299"/>
      <c r="AG790" s="872" t="s">
        <v>591</v>
      </c>
      <c r="AH790" s="788" t="s">
        <v>350</v>
      </c>
      <c r="AI790" s="788" t="s">
        <v>350</v>
      </c>
      <c r="AJ790" s="788" t="s">
        <v>350</v>
      </c>
      <c r="AK790" s="788" t="s">
        <v>315</v>
      </c>
      <c r="AL790" s="788"/>
      <c r="AM790" s="788" t="s">
        <v>547</v>
      </c>
      <c r="AN790" s="805">
        <v>7804660</v>
      </c>
      <c r="AO790" s="783">
        <v>3721767</v>
      </c>
      <c r="AP790" s="783">
        <v>4082893</v>
      </c>
      <c r="AQ790" s="802" t="s">
        <v>317</v>
      </c>
      <c r="AR790" s="802" t="s">
        <v>317</v>
      </c>
      <c r="AS790" s="802" t="s">
        <v>317</v>
      </c>
      <c r="AT790" s="802" t="s">
        <v>317</v>
      </c>
      <c r="AU790" s="1272" t="s">
        <v>317</v>
      </c>
      <c r="AV790" s="1272" t="s">
        <v>317</v>
      </c>
      <c r="AW790" s="1272" t="s">
        <v>317</v>
      </c>
      <c r="AX790" s="783">
        <v>7804660</v>
      </c>
      <c r="AY790" s="1214"/>
    </row>
    <row r="791" spans="1:51" ht="18" x14ac:dyDescent="0.25">
      <c r="A791" s="1195"/>
      <c r="B791" s="833"/>
      <c r="C791" s="1201"/>
      <c r="D791" s="132" t="s">
        <v>3</v>
      </c>
      <c r="E791" s="142"/>
      <c r="F791" s="143"/>
      <c r="G791" s="456">
        <v>611964500</v>
      </c>
      <c r="H791" s="456">
        <v>524541000</v>
      </c>
      <c r="I791" s="456">
        <v>502685125</v>
      </c>
      <c r="J791" s="456">
        <v>429766225.625</v>
      </c>
      <c r="K791" s="456">
        <f>+K790*$K$671/$K$670</f>
        <v>379627305.3125</v>
      </c>
      <c r="L791" s="456">
        <f>+L790*$L$671/$L$670</f>
        <v>456942240.41874999</v>
      </c>
      <c r="M791" s="456">
        <f>+M790*$M$671/$M$670</f>
        <v>365165312.72916669</v>
      </c>
      <c r="N791" s="456">
        <f>+N790*$N$671/$N$670</f>
        <v>454685151.31875002</v>
      </c>
      <c r="O791" s="456">
        <f>+O790*$O$671/$O$670</f>
        <v>385793461.72500002</v>
      </c>
      <c r="P791" s="456">
        <f>+P790*$P$671/$P$670</f>
        <v>248010082.53749999</v>
      </c>
      <c r="Q791" s="456">
        <f>+Q790*$Q$671/$Q$670</f>
        <v>91855586.125</v>
      </c>
      <c r="R791" s="456"/>
      <c r="S791" s="446"/>
      <c r="T791" s="446"/>
      <c r="U791" s="446"/>
      <c r="V791" s="446"/>
      <c r="W791" s="446"/>
      <c r="X791" s="446"/>
      <c r="Y791" s="445"/>
      <c r="Z791" s="446"/>
      <c r="AA791" s="448"/>
      <c r="AB791" s="1224"/>
      <c r="AC791" s="447"/>
      <c r="AD791" s="1226"/>
      <c r="AE791" s="446"/>
      <c r="AF791" s="1299"/>
      <c r="AG791" s="873"/>
      <c r="AH791" s="789"/>
      <c r="AI791" s="789"/>
      <c r="AJ791" s="789"/>
      <c r="AK791" s="789"/>
      <c r="AL791" s="789"/>
      <c r="AM791" s="789"/>
      <c r="AN791" s="805"/>
      <c r="AO791" s="784"/>
      <c r="AP791" s="784"/>
      <c r="AQ791" s="803"/>
      <c r="AR791" s="803"/>
      <c r="AS791" s="803"/>
      <c r="AT791" s="803"/>
      <c r="AU791" s="1274"/>
      <c r="AV791" s="1274"/>
      <c r="AW791" s="1274"/>
      <c r="AX791" s="784"/>
      <c r="AY791" s="1214"/>
    </row>
    <row r="792" spans="1:51" ht="27" x14ac:dyDescent="0.25">
      <c r="A792" s="1195"/>
      <c r="B792" s="833"/>
      <c r="C792" s="1201"/>
      <c r="D792" s="136" t="s">
        <v>42</v>
      </c>
      <c r="E792" s="142"/>
      <c r="F792" s="143"/>
      <c r="G792" s="445"/>
      <c r="H792" s="445"/>
      <c r="I792" s="445"/>
      <c r="J792" s="445"/>
      <c r="K792" s="445"/>
      <c r="L792" s="445"/>
      <c r="M792" s="445"/>
      <c r="N792" s="448"/>
      <c r="O792" s="445"/>
      <c r="P792" s="1225"/>
      <c r="Q792" s="445"/>
      <c r="R792" s="450">
        <f>R676+R694+R712+R760+R772</f>
        <v>7</v>
      </c>
      <c r="S792" s="446"/>
      <c r="T792" s="446"/>
      <c r="U792" s="446"/>
      <c r="V792" s="446"/>
      <c r="W792" s="446"/>
      <c r="X792" s="446"/>
      <c r="Y792" s="445"/>
      <c r="Z792" s="446"/>
      <c r="AA792" s="448"/>
      <c r="AB792" s="1224"/>
      <c r="AC792" s="447"/>
      <c r="AD792" s="1226"/>
      <c r="AE792" s="450">
        <f>AE676+AE694+AE712+AE760+AE772</f>
        <v>7</v>
      </c>
      <c r="AF792" s="1299"/>
      <c r="AG792" s="873"/>
      <c r="AH792" s="789"/>
      <c r="AI792" s="789"/>
      <c r="AJ792" s="789"/>
      <c r="AK792" s="789"/>
      <c r="AL792" s="789"/>
      <c r="AM792" s="789"/>
      <c r="AN792" s="805"/>
      <c r="AO792" s="784"/>
      <c r="AP792" s="784"/>
      <c r="AQ792" s="803"/>
      <c r="AR792" s="803"/>
      <c r="AS792" s="803"/>
      <c r="AT792" s="803"/>
      <c r="AU792" s="1274"/>
      <c r="AV792" s="1274"/>
      <c r="AW792" s="1274"/>
      <c r="AX792" s="784"/>
      <c r="AY792" s="1214"/>
    </row>
    <row r="793" spans="1:51" ht="19.149999999999999" customHeight="1" x14ac:dyDescent="0.25">
      <c r="A793" s="1195"/>
      <c r="B793" s="833"/>
      <c r="C793" s="1201"/>
      <c r="D793" s="132" t="s">
        <v>4</v>
      </c>
      <c r="E793" s="142"/>
      <c r="F793" s="143"/>
      <c r="G793" s="445"/>
      <c r="H793" s="445">
        <v>164188018</v>
      </c>
      <c r="I793" s="445"/>
      <c r="J793" s="445"/>
      <c r="K793" s="445"/>
      <c r="L793" s="445"/>
      <c r="M793" s="445"/>
      <c r="N793" s="448"/>
      <c r="O793" s="445"/>
      <c r="P793" s="1225"/>
      <c r="Q793" s="445"/>
      <c r="R793" s="450">
        <f>R677+R695+R713+R761+R773</f>
        <v>31054327.018750004</v>
      </c>
      <c r="S793" s="446"/>
      <c r="T793" s="446"/>
      <c r="U793" s="446"/>
      <c r="V793" s="446"/>
      <c r="W793" s="446"/>
      <c r="X793" s="446"/>
      <c r="Y793" s="445"/>
      <c r="Z793" s="446"/>
      <c r="AA793" s="448"/>
      <c r="AB793" s="1224"/>
      <c r="AC793" s="447"/>
      <c r="AD793" s="1226"/>
      <c r="AE793" s="450">
        <f>AE677+AE695+AE713+AE761+AE773</f>
        <v>27820576.875</v>
      </c>
      <c r="AF793" s="1299"/>
      <c r="AG793" s="873"/>
      <c r="AH793" s="789"/>
      <c r="AI793" s="789"/>
      <c r="AJ793" s="789"/>
      <c r="AK793" s="789"/>
      <c r="AL793" s="789"/>
      <c r="AM793" s="789"/>
      <c r="AN793" s="805"/>
      <c r="AO793" s="784"/>
      <c r="AP793" s="784"/>
      <c r="AQ793" s="803"/>
      <c r="AR793" s="803"/>
      <c r="AS793" s="803"/>
      <c r="AT793" s="803"/>
      <c r="AU793" s="1274"/>
      <c r="AV793" s="1274"/>
      <c r="AW793" s="1274"/>
      <c r="AX793" s="784"/>
      <c r="AY793" s="1214"/>
    </row>
    <row r="794" spans="1:51" ht="27" x14ac:dyDescent="0.25">
      <c r="A794" s="1195"/>
      <c r="B794" s="833"/>
      <c r="C794" s="1201"/>
      <c r="D794" s="136" t="s">
        <v>43</v>
      </c>
      <c r="E794" s="142"/>
      <c r="F794" s="143"/>
      <c r="G794" s="459">
        <v>140</v>
      </c>
      <c r="H794" s="459">
        <v>120</v>
      </c>
      <c r="I794" s="459">
        <v>115</v>
      </c>
      <c r="J794" s="445">
        <v>110</v>
      </c>
      <c r="K794" s="445">
        <v>105</v>
      </c>
      <c r="L794" s="445">
        <v>103</v>
      </c>
      <c r="M794" s="445">
        <v>101</v>
      </c>
      <c r="N794" s="448">
        <v>99</v>
      </c>
      <c r="O794" s="445">
        <v>84</v>
      </c>
      <c r="P794" s="1225">
        <v>54</v>
      </c>
      <c r="Q794" s="445">
        <v>20</v>
      </c>
      <c r="R794" s="447"/>
      <c r="S794" s="446"/>
      <c r="T794" s="446"/>
      <c r="U794" s="446"/>
      <c r="V794" s="446"/>
      <c r="W794" s="446"/>
      <c r="X794" s="450"/>
      <c r="Y794" s="445"/>
      <c r="Z794" s="446"/>
      <c r="AA794" s="448"/>
      <c r="AB794" s="1224"/>
      <c r="AC794" s="447"/>
      <c r="AD794" s="1226"/>
      <c r="AE794" s="450"/>
      <c r="AF794" s="1299"/>
      <c r="AG794" s="873"/>
      <c r="AH794" s="789"/>
      <c r="AI794" s="789"/>
      <c r="AJ794" s="789"/>
      <c r="AK794" s="789"/>
      <c r="AL794" s="789"/>
      <c r="AM794" s="789"/>
      <c r="AN794" s="805"/>
      <c r="AO794" s="784"/>
      <c r="AP794" s="784"/>
      <c r="AQ794" s="803"/>
      <c r="AR794" s="803"/>
      <c r="AS794" s="803"/>
      <c r="AT794" s="803"/>
      <c r="AU794" s="1274"/>
      <c r="AV794" s="1274"/>
      <c r="AW794" s="1274"/>
      <c r="AX794" s="784"/>
      <c r="AY794" s="1214"/>
    </row>
    <row r="795" spans="1:51" ht="27.75" thickBot="1" x14ac:dyDescent="0.3">
      <c r="A795" s="1195"/>
      <c r="B795" s="833"/>
      <c r="C795" s="1202"/>
      <c r="D795" s="140" t="s">
        <v>45</v>
      </c>
      <c r="E795" s="142"/>
      <c r="F795" s="143"/>
      <c r="G795" s="456">
        <v>611964500</v>
      </c>
      <c r="H795" s="456">
        <v>524541000</v>
      </c>
      <c r="I795" s="456">
        <v>502685125</v>
      </c>
      <c r="J795" s="456">
        <v>429766225.625</v>
      </c>
      <c r="K795" s="456">
        <f>+K794*$K$671/$K$670</f>
        <v>379627305.3125</v>
      </c>
      <c r="L795" s="456">
        <f>+L794*$L$671/$L$670</f>
        <v>456942240.41874999</v>
      </c>
      <c r="M795" s="456">
        <f>+M794*$M$671/$M$670</f>
        <v>365165312.72916669</v>
      </c>
      <c r="N795" s="456">
        <f>+N794*$N$671/$N$670</f>
        <v>454685151.31875002</v>
      </c>
      <c r="O795" s="456">
        <f>+O794*$O$671/$O$670</f>
        <v>385793461.72500002</v>
      </c>
      <c r="P795" s="456">
        <f>+P794*$P$671/$P$670</f>
        <v>248010082.53749999</v>
      </c>
      <c r="Q795" s="456">
        <f>+Q794*$Q$671/$Q$670</f>
        <v>91855586.125</v>
      </c>
      <c r="R795" s="447"/>
      <c r="S795" s="446"/>
      <c r="T795" s="446"/>
      <c r="U795" s="446"/>
      <c r="V795" s="446"/>
      <c r="W795" s="446"/>
      <c r="X795" s="450"/>
      <c r="Y795" s="445"/>
      <c r="Z795" s="446"/>
      <c r="AA795" s="448"/>
      <c r="AB795" s="1224"/>
      <c r="AC795" s="447"/>
      <c r="AD795" s="1226"/>
      <c r="AE795" s="446"/>
      <c r="AF795" s="1299"/>
      <c r="AG795" s="874"/>
      <c r="AH795" s="790"/>
      <c r="AI795" s="790"/>
      <c r="AJ795" s="790"/>
      <c r="AK795" s="790"/>
      <c r="AL795" s="790"/>
      <c r="AM795" s="790"/>
      <c r="AN795" s="805"/>
      <c r="AO795" s="785"/>
      <c r="AP795" s="785"/>
      <c r="AQ795" s="804"/>
      <c r="AR795" s="804"/>
      <c r="AS795" s="804"/>
      <c r="AT795" s="804"/>
      <c r="AU795" s="1276"/>
      <c r="AV795" s="1276"/>
      <c r="AW795" s="1276"/>
      <c r="AX795" s="785"/>
      <c r="AY795" s="1214"/>
    </row>
    <row r="796" spans="1:51" ht="18" customHeight="1" x14ac:dyDescent="0.25">
      <c r="A796" s="1195"/>
      <c r="B796" s="833"/>
      <c r="C796" s="809" t="s">
        <v>410</v>
      </c>
      <c r="D796" s="141" t="s">
        <v>41</v>
      </c>
      <c r="E796" s="142"/>
      <c r="F796" s="143"/>
      <c r="G796" s="445">
        <v>160</v>
      </c>
      <c r="H796" s="445">
        <v>160</v>
      </c>
      <c r="I796" s="445">
        <v>160</v>
      </c>
      <c r="J796" s="447">
        <v>160</v>
      </c>
      <c r="K796" s="445">
        <f>+K790+K784+K766+K754+K748+K742+K736+K730+K724+K718+K706+K688+K682</f>
        <v>160</v>
      </c>
      <c r="L796" s="445">
        <f>+L790+L784+L766+L754+L748+L742+L736+L730+L724+L718+L706+L688+L682</f>
        <v>160</v>
      </c>
      <c r="M796" s="445">
        <f>+M790+M784+M766+M754+M748+M742+M736+M730+M724+M718+M706+M688+M682</f>
        <v>160</v>
      </c>
      <c r="N796" s="445">
        <f>+N790+N784+N766+N754+N748+N742+N736+N730+N724+N718+N706+N688+N682</f>
        <v>160</v>
      </c>
      <c r="O796" s="445">
        <f>+O790+O784+O766+O754+O748+O742+O736+O730+O724+O718+O706+O688+O682</f>
        <v>160</v>
      </c>
      <c r="P796" s="445">
        <f>P676+P682+P688+P706+P712+P718+P724+P730+P736+P742+P748+P754+P760+P766+P772+P784+P790</f>
        <v>159</v>
      </c>
      <c r="Q796" s="445">
        <f>Q676+Q682+Q688+Q706+Q712+Q718+Q724+Q730+Q736+Q742+Q748+Q754+Q760+Q766+Q772+Q784+Q790</f>
        <v>160</v>
      </c>
      <c r="R796" s="445">
        <f>R676+R682+R688+R706+R712+R718+R724+R730+R736+R742+R748+R754+R760+R766+R772+R784+R790+R694</f>
        <v>160</v>
      </c>
      <c r="S796" s="832" t="s">
        <v>856</v>
      </c>
      <c r="T796" s="445">
        <v>20</v>
      </c>
      <c r="U796" s="445">
        <v>40</v>
      </c>
      <c r="V796" s="445">
        <v>45</v>
      </c>
      <c r="W796" s="447">
        <v>50</v>
      </c>
      <c r="X796" s="445">
        <f>+X790+X784+X766+X754+X748+X742+X736+X730+X724+X718+X706+X688+X682</f>
        <v>55</v>
      </c>
      <c r="Y796" s="445">
        <f>+Y790+Y784+Y766+Y754+Y748+Y742+Y736+Y730+Y724+Y718+Y706+Y688+Y682</f>
        <v>57</v>
      </c>
      <c r="Z796" s="445">
        <f>+Z790+Z784+Z766+Z754+Z748+Z742+Z736+Z730+Z724+Z718+Z706+Z688+Z682</f>
        <v>59</v>
      </c>
      <c r="AA796" s="445">
        <f>+AA790+AA784+AA766+AA754+AA748+AA742+AA736+AA730+AA724+AA718+AA706+AA688+AA682</f>
        <v>61</v>
      </c>
      <c r="AB796" s="445">
        <f>+AB790+AB784+AB766+AB754+AB748+AB742+AB736+AB730+AB724+AB718+AB706+AB688+AB682</f>
        <v>76</v>
      </c>
      <c r="AC796" s="445">
        <f>AC682+AC688+AC706+AC712+AC718+AC724+AC730+AC736+AC742+AC748+AC754+AC760+AC766+AC784</f>
        <v>104</v>
      </c>
      <c r="AD796" s="445">
        <f>AD676+AD682+AD688+AD706+AD712+AD718+AD724+AD730+AD736+AD742+AD748+AD754+AD760+AD766+AD772+AD784+AD790</f>
        <v>140</v>
      </c>
      <c r="AE796" s="445">
        <f>AE676+AE682+AE688+AE706+AE712+AE718+AE724+AE730+AE736+AE742+AE748+AE754+AE760+AE766+AE772+AE784+AE790+AE694</f>
        <v>160</v>
      </c>
      <c r="AF796" s="1252"/>
      <c r="AG796" s="1230" t="s">
        <v>591</v>
      </c>
      <c r="AH796" s="788" t="s">
        <v>350</v>
      </c>
      <c r="AI796" s="788" t="s">
        <v>350</v>
      </c>
      <c r="AJ796" s="788" t="s">
        <v>350</v>
      </c>
      <c r="AK796" s="788" t="s">
        <v>315</v>
      </c>
      <c r="AL796" s="810"/>
      <c r="AM796" s="810" t="s">
        <v>547</v>
      </c>
      <c r="AN796" s="805">
        <v>7804660</v>
      </c>
      <c r="AO796" s="783">
        <v>3721767</v>
      </c>
      <c r="AP796" s="783">
        <v>4082893</v>
      </c>
      <c r="AQ796" s="787" t="s">
        <v>317</v>
      </c>
      <c r="AR796" s="787" t="s">
        <v>317</v>
      </c>
      <c r="AS796" s="787" t="s">
        <v>317</v>
      </c>
      <c r="AT796" s="787" t="s">
        <v>317</v>
      </c>
      <c r="AU796" s="787" t="s">
        <v>317</v>
      </c>
      <c r="AV796" s="787" t="s">
        <v>317</v>
      </c>
      <c r="AW796" s="787" t="s">
        <v>317</v>
      </c>
      <c r="AX796" s="783">
        <v>7804660</v>
      </c>
      <c r="AY796" s="1214"/>
    </row>
    <row r="797" spans="1:51" ht="18" x14ac:dyDescent="0.25">
      <c r="A797" s="1195"/>
      <c r="B797" s="833"/>
      <c r="C797" s="809"/>
      <c r="D797" s="132" t="s">
        <v>3</v>
      </c>
      <c r="E797" s="142"/>
      <c r="F797" s="143"/>
      <c r="G797" s="445">
        <v>699388000</v>
      </c>
      <c r="H797" s="445">
        <v>699388000</v>
      </c>
      <c r="I797" s="445">
        <v>699388000</v>
      </c>
      <c r="J797" s="447">
        <v>625114510</v>
      </c>
      <c r="K797" s="445">
        <f t="shared" ref="K797:O801" si="34">+K791+K785+K767+K755+K749+K743+K737+K731+K725+K719+K707+K689+K683</f>
        <v>578479703.33333325</v>
      </c>
      <c r="L797" s="445">
        <f t="shared" si="34"/>
        <v>709813188.99999988</v>
      </c>
      <c r="M797" s="445">
        <f t="shared" si="34"/>
        <v>578479703.33333337</v>
      </c>
      <c r="N797" s="445">
        <f t="shared" si="34"/>
        <v>734844689.00000012</v>
      </c>
      <c r="O797" s="445">
        <f t="shared" si="34"/>
        <v>734844689.00000012</v>
      </c>
      <c r="P797" s="445">
        <f t="shared" ref="P797:P801" si="35">P677+P683+P689+P707+P713+P719+P725+P731+P737+P743+P749+P755+P761+P767+P773+P785+P791</f>
        <v>725659130.38749993</v>
      </c>
      <c r="Q797" s="445">
        <f t="shared" ref="Q797:Q801" si="36">Q677+Q683+Q689+Q707+Q713+Q719+Q725+Q731+Q737+Q743+Q749+Q755+Q761+Q767+Q773+Q785+Q791</f>
        <v>734844689.00000012</v>
      </c>
      <c r="R797" s="445">
        <f t="shared" ref="R797:R801" si="37">R677+R683+R689+R707+R713+R719+R725+R731+R737+R743+R749+R755+R761+R767+R773+R785+R791+R695</f>
        <v>709813188.99999988</v>
      </c>
      <c r="S797" s="833"/>
      <c r="T797" s="445">
        <v>0</v>
      </c>
      <c r="U797" s="445">
        <v>61356000</v>
      </c>
      <c r="V797" s="445">
        <v>346784000</v>
      </c>
      <c r="W797" s="447">
        <v>346784000</v>
      </c>
      <c r="X797" s="445">
        <f t="shared" ref="X797:AB801" si="38">+X791+X785+X767+X755+X749+X743+X737+X731+X725+X719+X707+X689+X683</f>
        <v>346783999.99999994</v>
      </c>
      <c r="Y797" s="445">
        <f t="shared" si="38"/>
        <v>346784000.00000006</v>
      </c>
      <c r="Z797" s="445">
        <f t="shared" si="38"/>
        <v>346784000</v>
      </c>
      <c r="AA797" s="445">
        <f t="shared" si="38"/>
        <v>346784000</v>
      </c>
      <c r="AB797" s="445">
        <f t="shared" si="38"/>
        <v>554984000</v>
      </c>
      <c r="AC797" s="445">
        <f t="shared" ref="AC797:AC801" si="39">AC683+AC689+AC707+AC713+AC719+AC725+AC731+AC737+AC743+AC749+AC755+AC761+AC767+AC785</f>
        <v>558119237.73584902</v>
      </c>
      <c r="AD797" s="445">
        <f t="shared" ref="AD797:AD801" si="40">AD677+AD683+AD689+AD707+AD713+AD719+AD725+AD731+AD737+AD743+AD749+AD755+AD761+AD767+AD773+AD785+AD791</f>
        <v>618108400</v>
      </c>
      <c r="AE797" s="445">
        <f t="shared" ref="AE797:AE801" si="41">AE677+AE683+AE689+AE707+AE713+AE719+AE725+AE731+AE737+AE743+AE749+AE755+AE761+AE767+AE773+AE785+AE791+AE695</f>
        <v>635898900</v>
      </c>
      <c r="AF797" s="1252"/>
      <c r="AG797" s="1230"/>
      <c r="AH797" s="789"/>
      <c r="AI797" s="789"/>
      <c r="AJ797" s="789"/>
      <c r="AK797" s="789"/>
      <c r="AL797" s="810"/>
      <c r="AM797" s="810"/>
      <c r="AN797" s="805"/>
      <c r="AO797" s="784"/>
      <c r="AP797" s="784"/>
      <c r="AQ797" s="787"/>
      <c r="AR797" s="787"/>
      <c r="AS797" s="787"/>
      <c r="AT797" s="787"/>
      <c r="AU797" s="787"/>
      <c r="AV797" s="787"/>
      <c r="AW797" s="787"/>
      <c r="AX797" s="784"/>
      <c r="AY797" s="1214"/>
    </row>
    <row r="798" spans="1:51" ht="27" x14ac:dyDescent="0.25">
      <c r="A798" s="1195"/>
      <c r="B798" s="833"/>
      <c r="C798" s="809"/>
      <c r="D798" s="136" t="s">
        <v>42</v>
      </c>
      <c r="E798" s="142"/>
      <c r="F798" s="143"/>
      <c r="G798" s="445">
        <v>0</v>
      </c>
      <c r="H798" s="445">
        <v>0</v>
      </c>
      <c r="I798" s="445">
        <v>0</v>
      </c>
      <c r="J798" s="447">
        <v>0</v>
      </c>
      <c r="K798" s="445">
        <f t="shared" si="34"/>
        <v>0</v>
      </c>
      <c r="L798" s="445">
        <f t="shared" si="34"/>
        <v>0</v>
      </c>
      <c r="M798" s="445">
        <f t="shared" si="34"/>
        <v>0</v>
      </c>
      <c r="N798" s="445">
        <f t="shared" si="34"/>
        <v>0</v>
      </c>
      <c r="O798" s="445">
        <f t="shared" si="34"/>
        <v>0</v>
      </c>
      <c r="P798" s="445">
        <f t="shared" si="35"/>
        <v>0</v>
      </c>
      <c r="Q798" s="445">
        <f t="shared" si="36"/>
        <v>0</v>
      </c>
      <c r="R798" s="445">
        <f t="shared" si="37"/>
        <v>7</v>
      </c>
      <c r="S798" s="833"/>
      <c r="T798" s="445">
        <v>0</v>
      </c>
      <c r="U798" s="445">
        <v>0</v>
      </c>
      <c r="V798" s="445">
        <v>0</v>
      </c>
      <c r="W798" s="447">
        <v>0</v>
      </c>
      <c r="X798" s="445">
        <f t="shared" si="38"/>
        <v>0</v>
      </c>
      <c r="Y798" s="445">
        <f t="shared" si="38"/>
        <v>0</v>
      </c>
      <c r="Z798" s="445">
        <f t="shared" si="38"/>
        <v>0</v>
      </c>
      <c r="AA798" s="445">
        <f t="shared" si="38"/>
        <v>0</v>
      </c>
      <c r="AB798" s="445">
        <f t="shared" si="38"/>
        <v>0</v>
      </c>
      <c r="AC798" s="445">
        <f t="shared" si="39"/>
        <v>0</v>
      </c>
      <c r="AD798" s="445">
        <f t="shared" si="40"/>
        <v>0</v>
      </c>
      <c r="AE798" s="445">
        <f t="shared" si="41"/>
        <v>7</v>
      </c>
      <c r="AF798" s="1252"/>
      <c r="AG798" s="1230"/>
      <c r="AH798" s="789"/>
      <c r="AI798" s="789"/>
      <c r="AJ798" s="789"/>
      <c r="AK798" s="789"/>
      <c r="AL798" s="810"/>
      <c r="AM798" s="810"/>
      <c r="AN798" s="805"/>
      <c r="AO798" s="784"/>
      <c r="AP798" s="784"/>
      <c r="AQ798" s="787"/>
      <c r="AR798" s="787"/>
      <c r="AS798" s="787"/>
      <c r="AT798" s="787"/>
      <c r="AU798" s="787"/>
      <c r="AV798" s="787"/>
      <c r="AW798" s="787"/>
      <c r="AX798" s="784"/>
      <c r="AY798" s="1214"/>
    </row>
    <row r="799" spans="1:51" ht="19.149999999999999" customHeight="1" x14ac:dyDescent="0.25">
      <c r="A799" s="1195"/>
      <c r="B799" s="833"/>
      <c r="C799" s="809"/>
      <c r="D799" s="132" t="s">
        <v>4</v>
      </c>
      <c r="E799" s="142"/>
      <c r="F799" s="143"/>
      <c r="G799" s="445">
        <v>0</v>
      </c>
      <c r="H799" s="445">
        <v>249150644</v>
      </c>
      <c r="I799" s="445">
        <v>0</v>
      </c>
      <c r="J799" s="447">
        <v>0</v>
      </c>
      <c r="K799" s="445">
        <f t="shared" si="34"/>
        <v>0</v>
      </c>
      <c r="L799" s="445">
        <f t="shared" si="34"/>
        <v>0</v>
      </c>
      <c r="M799" s="445">
        <f t="shared" si="34"/>
        <v>0</v>
      </c>
      <c r="N799" s="445">
        <f t="shared" si="34"/>
        <v>0</v>
      </c>
      <c r="O799" s="445">
        <f t="shared" si="34"/>
        <v>0</v>
      </c>
      <c r="P799" s="445">
        <f t="shared" si="35"/>
        <v>0</v>
      </c>
      <c r="Q799" s="445">
        <f t="shared" si="36"/>
        <v>0</v>
      </c>
      <c r="R799" s="445">
        <f t="shared" si="37"/>
        <v>31054327.018750004</v>
      </c>
      <c r="S799" s="833"/>
      <c r="T799" s="445">
        <v>35177075</v>
      </c>
      <c r="U799" s="445">
        <v>84962626.000000015</v>
      </c>
      <c r="V799" s="445">
        <v>0</v>
      </c>
      <c r="W799" s="447">
        <v>0</v>
      </c>
      <c r="X799" s="445">
        <f t="shared" si="38"/>
        <v>0</v>
      </c>
      <c r="Y799" s="445">
        <f t="shared" si="38"/>
        <v>0</v>
      </c>
      <c r="Z799" s="445">
        <f t="shared" si="38"/>
        <v>0</v>
      </c>
      <c r="AA799" s="445">
        <f t="shared" si="38"/>
        <v>0</v>
      </c>
      <c r="AB799" s="445">
        <f t="shared" si="38"/>
        <v>0</v>
      </c>
      <c r="AC799" s="445">
        <f t="shared" si="39"/>
        <v>0</v>
      </c>
      <c r="AD799" s="445">
        <f t="shared" si="40"/>
        <v>0</v>
      </c>
      <c r="AE799" s="445">
        <f t="shared" si="41"/>
        <v>27820576.875</v>
      </c>
      <c r="AF799" s="1252"/>
      <c r="AG799" s="1230"/>
      <c r="AH799" s="789"/>
      <c r="AI799" s="789"/>
      <c r="AJ799" s="789"/>
      <c r="AK799" s="789"/>
      <c r="AL799" s="810"/>
      <c r="AM799" s="810"/>
      <c r="AN799" s="805"/>
      <c r="AO799" s="784"/>
      <c r="AP799" s="784"/>
      <c r="AQ799" s="787"/>
      <c r="AR799" s="787"/>
      <c r="AS799" s="787"/>
      <c r="AT799" s="787"/>
      <c r="AU799" s="787"/>
      <c r="AV799" s="787"/>
      <c r="AW799" s="787"/>
      <c r="AX799" s="784"/>
      <c r="AY799" s="1214"/>
    </row>
    <row r="800" spans="1:51" ht="27" x14ac:dyDescent="0.25">
      <c r="A800" s="1195"/>
      <c r="B800" s="833"/>
      <c r="C800" s="809"/>
      <c r="D800" s="136" t="s">
        <v>43</v>
      </c>
      <c r="E800" s="142"/>
      <c r="F800" s="143"/>
      <c r="G800" s="445">
        <v>160</v>
      </c>
      <c r="H800" s="445">
        <v>160</v>
      </c>
      <c r="I800" s="445">
        <v>160</v>
      </c>
      <c r="J800" s="447">
        <v>160</v>
      </c>
      <c r="K800" s="445">
        <f t="shared" si="34"/>
        <v>160</v>
      </c>
      <c r="L800" s="445">
        <f t="shared" si="34"/>
        <v>160</v>
      </c>
      <c r="M800" s="445">
        <f t="shared" si="34"/>
        <v>160</v>
      </c>
      <c r="N800" s="445">
        <f t="shared" si="34"/>
        <v>160</v>
      </c>
      <c r="O800" s="445">
        <f t="shared" si="34"/>
        <v>160</v>
      </c>
      <c r="P800" s="445">
        <f t="shared" si="35"/>
        <v>159</v>
      </c>
      <c r="Q800" s="445">
        <f t="shared" si="36"/>
        <v>160</v>
      </c>
      <c r="R800" s="445">
        <f t="shared" si="37"/>
        <v>160</v>
      </c>
      <c r="S800" s="833"/>
      <c r="T800" s="445">
        <v>20</v>
      </c>
      <c r="U800" s="445">
        <v>40</v>
      </c>
      <c r="V800" s="445">
        <v>45</v>
      </c>
      <c r="W800" s="447">
        <v>50</v>
      </c>
      <c r="X800" s="445">
        <f t="shared" si="38"/>
        <v>55</v>
      </c>
      <c r="Y800" s="445">
        <f t="shared" si="38"/>
        <v>57</v>
      </c>
      <c r="Z800" s="445">
        <f t="shared" si="38"/>
        <v>59</v>
      </c>
      <c r="AA800" s="445">
        <f t="shared" si="38"/>
        <v>61</v>
      </c>
      <c r="AB800" s="445">
        <f t="shared" si="38"/>
        <v>76</v>
      </c>
      <c r="AC800" s="445">
        <f t="shared" si="39"/>
        <v>104</v>
      </c>
      <c r="AD800" s="445">
        <f t="shared" si="40"/>
        <v>140</v>
      </c>
      <c r="AE800" s="445">
        <f t="shared" si="41"/>
        <v>160</v>
      </c>
      <c r="AF800" s="1252"/>
      <c r="AG800" s="1230"/>
      <c r="AH800" s="789"/>
      <c r="AI800" s="789"/>
      <c r="AJ800" s="789"/>
      <c r="AK800" s="789"/>
      <c r="AL800" s="810"/>
      <c r="AM800" s="810"/>
      <c r="AN800" s="805"/>
      <c r="AO800" s="784"/>
      <c r="AP800" s="784"/>
      <c r="AQ800" s="787"/>
      <c r="AR800" s="787"/>
      <c r="AS800" s="787"/>
      <c r="AT800" s="787"/>
      <c r="AU800" s="787"/>
      <c r="AV800" s="787"/>
      <c r="AW800" s="787"/>
      <c r="AX800" s="784"/>
      <c r="AY800" s="1214"/>
    </row>
    <row r="801" spans="1:51" ht="27.75" thickBot="1" x14ac:dyDescent="0.3">
      <c r="A801" s="1196"/>
      <c r="B801" s="1193"/>
      <c r="C801" s="809"/>
      <c r="D801" s="140" t="s">
        <v>45</v>
      </c>
      <c r="E801" s="142"/>
      <c r="F801" s="143"/>
      <c r="G801" s="445">
        <v>699388000</v>
      </c>
      <c r="H801" s="445">
        <v>699388000</v>
      </c>
      <c r="I801" s="445">
        <v>699388000</v>
      </c>
      <c r="J801" s="447">
        <v>625114510</v>
      </c>
      <c r="K801" s="445">
        <f t="shared" si="34"/>
        <v>578479703.33333325</v>
      </c>
      <c r="L801" s="445">
        <f t="shared" si="34"/>
        <v>709813188.99999988</v>
      </c>
      <c r="M801" s="445">
        <f t="shared" si="34"/>
        <v>578479703.33333337</v>
      </c>
      <c r="N801" s="445">
        <f t="shared" si="34"/>
        <v>734844689.00000012</v>
      </c>
      <c r="O801" s="445">
        <f t="shared" si="34"/>
        <v>734844689.00000012</v>
      </c>
      <c r="P801" s="445">
        <f t="shared" si="35"/>
        <v>725659130.38749993</v>
      </c>
      <c r="Q801" s="445">
        <f t="shared" si="36"/>
        <v>734844689.00000012</v>
      </c>
      <c r="R801" s="445">
        <f t="shared" si="37"/>
        <v>709813188.99999988</v>
      </c>
      <c r="S801" s="834"/>
      <c r="T801" s="445">
        <v>0</v>
      </c>
      <c r="U801" s="445">
        <v>61356000</v>
      </c>
      <c r="V801" s="445">
        <v>346784000</v>
      </c>
      <c r="W801" s="447">
        <v>346784000</v>
      </c>
      <c r="X801" s="445">
        <f t="shared" si="38"/>
        <v>346783999.99999994</v>
      </c>
      <c r="Y801" s="445">
        <f t="shared" si="38"/>
        <v>316364350.87719303</v>
      </c>
      <c r="Z801" s="445">
        <f t="shared" si="38"/>
        <v>346784000</v>
      </c>
      <c r="AA801" s="445">
        <f t="shared" si="38"/>
        <v>346784000</v>
      </c>
      <c r="AB801" s="445">
        <f t="shared" si="38"/>
        <v>554984000</v>
      </c>
      <c r="AC801" s="445">
        <f t="shared" si="39"/>
        <v>558119237.73584902</v>
      </c>
      <c r="AD801" s="445">
        <f t="shared" si="40"/>
        <v>618108400</v>
      </c>
      <c r="AE801" s="445">
        <f t="shared" si="41"/>
        <v>635898900</v>
      </c>
      <c r="AF801" s="1252"/>
      <c r="AG801" s="1230"/>
      <c r="AH801" s="790"/>
      <c r="AI801" s="790"/>
      <c r="AJ801" s="790"/>
      <c r="AK801" s="789"/>
      <c r="AL801" s="810"/>
      <c r="AM801" s="810"/>
      <c r="AN801" s="805"/>
      <c r="AO801" s="785"/>
      <c r="AP801" s="785"/>
      <c r="AQ801" s="787"/>
      <c r="AR801" s="787"/>
      <c r="AS801" s="787"/>
      <c r="AT801" s="787"/>
      <c r="AU801" s="787"/>
      <c r="AV801" s="787"/>
      <c r="AW801" s="787"/>
      <c r="AX801" s="785"/>
      <c r="AY801" s="1214"/>
    </row>
    <row r="802" spans="1:51" ht="33.75" customHeight="1" x14ac:dyDescent="0.25">
      <c r="A802" s="1194">
        <v>6</v>
      </c>
      <c r="B802" s="1190" t="s">
        <v>294</v>
      </c>
      <c r="C802" s="809" t="s">
        <v>592</v>
      </c>
      <c r="D802" s="141" t="s">
        <v>41</v>
      </c>
      <c r="E802" s="251">
        <v>20</v>
      </c>
      <c r="F802" s="251">
        <v>20</v>
      </c>
      <c r="G802" s="459">
        <v>20</v>
      </c>
      <c r="H802" s="459">
        <v>20</v>
      </c>
      <c r="I802" s="459">
        <v>20</v>
      </c>
      <c r="J802" s="459">
        <v>20</v>
      </c>
      <c r="K802" s="459">
        <v>20</v>
      </c>
      <c r="L802" s="459">
        <f>+INVERSIÓN!BA45</f>
        <v>20</v>
      </c>
      <c r="M802" s="459">
        <v>20</v>
      </c>
      <c r="N802" s="455">
        <v>20</v>
      </c>
      <c r="O802" s="445">
        <v>20</v>
      </c>
      <c r="P802" s="445">
        <v>20</v>
      </c>
      <c r="Q802" s="445">
        <v>20</v>
      </c>
      <c r="R802" s="447">
        <v>20</v>
      </c>
      <c r="S802" s="454"/>
      <c r="T802" s="454">
        <v>1</v>
      </c>
      <c r="U802" s="454">
        <v>2</v>
      </c>
      <c r="V802" s="454">
        <v>3</v>
      </c>
      <c r="W802" s="454">
        <v>5</v>
      </c>
      <c r="X802" s="454">
        <v>7</v>
      </c>
      <c r="Y802" s="454">
        <v>9</v>
      </c>
      <c r="Z802" s="454">
        <v>11</v>
      </c>
      <c r="AA802" s="455">
        <v>13</v>
      </c>
      <c r="AB802" s="1254">
        <v>15</v>
      </c>
      <c r="AC802" s="1225">
        <v>17</v>
      </c>
      <c r="AD802" s="455">
        <v>19</v>
      </c>
      <c r="AE802" s="1235">
        <v>20</v>
      </c>
      <c r="AF802" s="454" t="s">
        <v>593</v>
      </c>
      <c r="AG802" s="872" t="s">
        <v>594</v>
      </c>
      <c r="AH802" s="788" t="s">
        <v>70</v>
      </c>
      <c r="AI802" s="788" t="s">
        <v>70</v>
      </c>
      <c r="AJ802" s="788" t="s">
        <v>70</v>
      </c>
      <c r="AK802" s="792" t="s">
        <v>315</v>
      </c>
      <c r="AL802" s="788" t="s">
        <v>225</v>
      </c>
      <c r="AM802" s="788" t="s">
        <v>547</v>
      </c>
      <c r="AN802" s="783">
        <v>7804660</v>
      </c>
      <c r="AO802" s="783">
        <v>3721767</v>
      </c>
      <c r="AP802" s="783">
        <v>4082893</v>
      </c>
      <c r="AQ802" s="802" t="s">
        <v>317</v>
      </c>
      <c r="AR802" s="802" t="s">
        <v>317</v>
      </c>
      <c r="AS802" s="802" t="s">
        <v>317</v>
      </c>
      <c r="AT802" s="802" t="s">
        <v>317</v>
      </c>
      <c r="AU802" s="802" t="s">
        <v>317</v>
      </c>
      <c r="AV802" s="802" t="s">
        <v>317</v>
      </c>
      <c r="AW802" s="802" t="s">
        <v>317</v>
      </c>
      <c r="AX802" s="783">
        <v>7804660</v>
      </c>
      <c r="AY802" s="1300" t="s">
        <v>595</v>
      </c>
    </row>
    <row r="803" spans="1:51" ht="27.75" customHeight="1" x14ac:dyDescent="0.25">
      <c r="A803" s="1195"/>
      <c r="B803" s="833"/>
      <c r="C803" s="809"/>
      <c r="D803" s="132" t="s">
        <v>3</v>
      </c>
      <c r="E803" s="251">
        <v>349839000</v>
      </c>
      <c r="F803" s="251">
        <v>349839000</v>
      </c>
      <c r="G803" s="459">
        <v>349839000</v>
      </c>
      <c r="H803" s="459">
        <v>349839000</v>
      </c>
      <c r="I803" s="459">
        <v>349839000</v>
      </c>
      <c r="J803" s="459">
        <v>313790000</v>
      </c>
      <c r="K803" s="456">
        <v>313790000</v>
      </c>
      <c r="L803" s="459">
        <f>+INVERSIÓN!BA46</f>
        <v>333790000</v>
      </c>
      <c r="M803" s="459">
        <v>313790000</v>
      </c>
      <c r="N803" s="455">
        <v>333790000</v>
      </c>
      <c r="O803" s="455">
        <v>333790000</v>
      </c>
      <c r="P803" s="455">
        <v>333790000</v>
      </c>
      <c r="Q803" s="445">
        <v>333790000</v>
      </c>
      <c r="R803" s="447">
        <v>333790000</v>
      </c>
      <c r="S803" s="1301"/>
      <c r="T803" s="454">
        <v>0</v>
      </c>
      <c r="U803" s="454">
        <v>313790000</v>
      </c>
      <c r="V803" s="454">
        <v>313790000</v>
      </c>
      <c r="W803" s="454">
        <v>313790000</v>
      </c>
      <c r="X803" s="454">
        <v>313790000</v>
      </c>
      <c r="Y803" s="454">
        <v>313790000</v>
      </c>
      <c r="Z803" s="454">
        <v>313790000</v>
      </c>
      <c r="AA803" s="455">
        <v>313790000</v>
      </c>
      <c r="AB803" s="1254">
        <v>324104000</v>
      </c>
      <c r="AC803" s="1225">
        <v>338020000</v>
      </c>
      <c r="AD803" s="455">
        <v>326986000</v>
      </c>
      <c r="AE803" s="1235">
        <v>332503400</v>
      </c>
      <c r="AF803" s="1256" t="s">
        <v>1199</v>
      </c>
      <c r="AG803" s="873"/>
      <c r="AH803" s="789"/>
      <c r="AI803" s="789"/>
      <c r="AJ803" s="789"/>
      <c r="AK803" s="793"/>
      <c r="AL803" s="789"/>
      <c r="AM803" s="789"/>
      <c r="AN803" s="784"/>
      <c r="AO803" s="784"/>
      <c r="AP803" s="784"/>
      <c r="AQ803" s="803"/>
      <c r="AR803" s="803"/>
      <c r="AS803" s="803"/>
      <c r="AT803" s="803"/>
      <c r="AU803" s="803"/>
      <c r="AV803" s="803"/>
      <c r="AW803" s="803"/>
      <c r="AX803" s="784"/>
      <c r="AY803" s="1302"/>
    </row>
    <row r="804" spans="1:51" ht="27" x14ac:dyDescent="0.25">
      <c r="A804" s="1195"/>
      <c r="B804" s="833"/>
      <c r="C804" s="809"/>
      <c r="D804" s="136" t="s">
        <v>42</v>
      </c>
      <c r="E804" s="251" t="e">
        <v>#REF!</v>
      </c>
      <c r="F804" s="251" t="e">
        <v>#REF!</v>
      </c>
      <c r="G804" s="459" t="e">
        <v>#REF!</v>
      </c>
      <c r="H804" s="459" t="e">
        <v>#REF!</v>
      </c>
      <c r="I804" s="459">
        <v>0</v>
      </c>
      <c r="J804" s="459">
        <v>0</v>
      </c>
      <c r="K804" s="456">
        <v>0</v>
      </c>
      <c r="L804" s="456">
        <v>0</v>
      </c>
      <c r="M804" s="459">
        <v>0</v>
      </c>
      <c r="N804" s="455">
        <v>0</v>
      </c>
      <c r="O804" s="455">
        <v>0</v>
      </c>
      <c r="P804" s="455">
        <v>0</v>
      </c>
      <c r="Q804" s="445">
        <v>0</v>
      </c>
      <c r="R804" s="445">
        <v>0</v>
      </c>
      <c r="S804" s="1303"/>
      <c r="T804" s="454">
        <v>0</v>
      </c>
      <c r="U804" s="454">
        <v>0</v>
      </c>
      <c r="V804" s="454">
        <v>0</v>
      </c>
      <c r="W804" s="454">
        <v>0</v>
      </c>
      <c r="X804" s="454">
        <v>0</v>
      </c>
      <c r="Y804" s="454">
        <v>0</v>
      </c>
      <c r="Z804" s="454">
        <v>0</v>
      </c>
      <c r="AA804" s="455">
        <v>0</v>
      </c>
      <c r="AB804" s="1254">
        <v>0</v>
      </c>
      <c r="AC804" s="1225">
        <v>0</v>
      </c>
      <c r="AD804" s="1225">
        <v>0</v>
      </c>
      <c r="AE804" s="1235">
        <v>0</v>
      </c>
      <c r="AF804" s="1261"/>
      <c r="AG804" s="873"/>
      <c r="AH804" s="789"/>
      <c r="AI804" s="789"/>
      <c r="AJ804" s="789"/>
      <c r="AK804" s="793"/>
      <c r="AL804" s="789"/>
      <c r="AM804" s="789"/>
      <c r="AN804" s="784"/>
      <c r="AO804" s="784"/>
      <c r="AP804" s="784"/>
      <c r="AQ804" s="803"/>
      <c r="AR804" s="803"/>
      <c r="AS804" s="803"/>
      <c r="AT804" s="803"/>
      <c r="AU804" s="803"/>
      <c r="AV804" s="803"/>
      <c r="AW804" s="803"/>
      <c r="AX804" s="784"/>
      <c r="AY804" s="1302"/>
    </row>
    <row r="805" spans="1:51" ht="19.149999999999999" customHeight="1" x14ac:dyDescent="0.25">
      <c r="A805" s="1195"/>
      <c r="B805" s="833"/>
      <c r="C805" s="809"/>
      <c r="D805" s="132" t="s">
        <v>4</v>
      </c>
      <c r="E805" s="251">
        <v>30874233</v>
      </c>
      <c r="F805" s="251">
        <v>30874233</v>
      </c>
      <c r="G805" s="459">
        <v>30874233</v>
      </c>
      <c r="H805" s="459">
        <v>30874233</v>
      </c>
      <c r="I805" s="459">
        <v>30874233</v>
      </c>
      <c r="J805" s="459">
        <v>30874233</v>
      </c>
      <c r="K805" s="456">
        <v>30874233</v>
      </c>
      <c r="L805" s="456">
        <f>+INVERSIÓN!BA49</f>
        <v>30874233</v>
      </c>
      <c r="M805" s="459">
        <v>30874233</v>
      </c>
      <c r="N805" s="455">
        <v>30874233</v>
      </c>
      <c r="O805" s="455">
        <v>30874233</v>
      </c>
      <c r="P805" s="455">
        <v>30874233</v>
      </c>
      <c r="Q805" s="445">
        <v>30874233</v>
      </c>
      <c r="R805" s="445">
        <v>30874233</v>
      </c>
      <c r="S805" s="1303"/>
      <c r="T805" s="454">
        <v>13317533</v>
      </c>
      <c r="U805" s="454">
        <v>30874233</v>
      </c>
      <c r="V805" s="454">
        <v>30874233</v>
      </c>
      <c r="W805" s="454">
        <v>30874233</v>
      </c>
      <c r="X805" s="454">
        <v>30874233</v>
      </c>
      <c r="Y805" s="454">
        <v>30874233</v>
      </c>
      <c r="Z805" s="454">
        <v>30874233</v>
      </c>
      <c r="AA805" s="455">
        <v>30874233</v>
      </c>
      <c r="AB805" s="1254">
        <v>30874233</v>
      </c>
      <c r="AC805" s="1225">
        <v>30874233</v>
      </c>
      <c r="AD805" s="1225">
        <v>30874233</v>
      </c>
      <c r="AE805" s="1225">
        <v>30874233</v>
      </c>
      <c r="AF805" s="1261"/>
      <c r="AG805" s="873"/>
      <c r="AH805" s="789"/>
      <c r="AI805" s="789"/>
      <c r="AJ805" s="789"/>
      <c r="AK805" s="793"/>
      <c r="AL805" s="789"/>
      <c r="AM805" s="789"/>
      <c r="AN805" s="784"/>
      <c r="AO805" s="784"/>
      <c r="AP805" s="784"/>
      <c r="AQ805" s="803"/>
      <c r="AR805" s="803"/>
      <c r="AS805" s="803"/>
      <c r="AT805" s="803"/>
      <c r="AU805" s="803"/>
      <c r="AV805" s="803"/>
      <c r="AW805" s="803"/>
      <c r="AX805" s="784"/>
      <c r="AY805" s="1302"/>
    </row>
    <row r="806" spans="1:51" ht="28.5" customHeight="1" x14ac:dyDescent="0.25">
      <c r="A806" s="1195"/>
      <c r="B806" s="833"/>
      <c r="C806" s="809"/>
      <c r="D806" s="136" t="s">
        <v>43</v>
      </c>
      <c r="E806" s="251">
        <v>20</v>
      </c>
      <c r="F806" s="251">
        <v>20</v>
      </c>
      <c r="G806" s="459">
        <v>20</v>
      </c>
      <c r="H806" s="459">
        <v>20</v>
      </c>
      <c r="I806" s="459">
        <v>20</v>
      </c>
      <c r="J806" s="459">
        <v>20</v>
      </c>
      <c r="K806" s="459">
        <v>20</v>
      </c>
      <c r="L806" s="456">
        <f>+INVERSIÓN!BA50</f>
        <v>20</v>
      </c>
      <c r="M806" s="459">
        <v>20</v>
      </c>
      <c r="N806" s="455">
        <v>20</v>
      </c>
      <c r="O806" s="455">
        <v>20</v>
      </c>
      <c r="P806" s="455">
        <v>20</v>
      </c>
      <c r="Q806" s="445">
        <v>20</v>
      </c>
      <c r="R806" s="445">
        <v>20</v>
      </c>
      <c r="S806" s="1303"/>
      <c r="T806" s="454">
        <v>1</v>
      </c>
      <c r="U806" s="454">
        <v>2</v>
      </c>
      <c r="V806" s="454">
        <v>3</v>
      </c>
      <c r="W806" s="454">
        <v>5</v>
      </c>
      <c r="X806" s="447">
        <v>7</v>
      </c>
      <c r="Y806" s="454">
        <v>9</v>
      </c>
      <c r="Z806" s="454">
        <v>13</v>
      </c>
      <c r="AA806" s="455">
        <v>13</v>
      </c>
      <c r="AB806" s="1254">
        <v>15</v>
      </c>
      <c r="AC806" s="1225">
        <v>17</v>
      </c>
      <c r="AD806" s="1225">
        <v>19</v>
      </c>
      <c r="AE806" s="1235">
        <v>20</v>
      </c>
      <c r="AF806" s="1261"/>
      <c r="AG806" s="873"/>
      <c r="AH806" s="789"/>
      <c r="AI806" s="789"/>
      <c r="AJ806" s="789"/>
      <c r="AK806" s="793"/>
      <c r="AL806" s="789"/>
      <c r="AM806" s="789"/>
      <c r="AN806" s="784"/>
      <c r="AO806" s="784"/>
      <c r="AP806" s="784"/>
      <c r="AQ806" s="803"/>
      <c r="AR806" s="803"/>
      <c r="AS806" s="803"/>
      <c r="AT806" s="803"/>
      <c r="AU806" s="803"/>
      <c r="AV806" s="803"/>
      <c r="AW806" s="803"/>
      <c r="AX806" s="784"/>
      <c r="AY806" s="1302"/>
    </row>
    <row r="807" spans="1:51" ht="27.75" thickBot="1" x14ac:dyDescent="0.3">
      <c r="A807" s="1195"/>
      <c r="B807" s="833"/>
      <c r="C807" s="809"/>
      <c r="D807" s="140" t="s">
        <v>45</v>
      </c>
      <c r="E807" s="251">
        <v>380713233</v>
      </c>
      <c r="F807" s="251">
        <v>380713233</v>
      </c>
      <c r="G807" s="459">
        <v>380713233</v>
      </c>
      <c r="H807" s="459">
        <v>380713233</v>
      </c>
      <c r="I807" s="459">
        <v>380713233</v>
      </c>
      <c r="J807" s="459">
        <v>344664233</v>
      </c>
      <c r="K807" s="458">
        <v>344664233</v>
      </c>
      <c r="L807" s="456">
        <f>+INVERSIÓN!BA51</f>
        <v>364664233</v>
      </c>
      <c r="M807" s="459">
        <v>344664233</v>
      </c>
      <c r="N807" s="455">
        <f>+N803+N805</f>
        <v>364664233</v>
      </c>
      <c r="O807" s="455">
        <f>+O803+O805</f>
        <v>364664233</v>
      </c>
      <c r="P807" s="455">
        <f>+P803+P805</f>
        <v>364664233</v>
      </c>
      <c r="Q807" s="445">
        <v>364664233</v>
      </c>
      <c r="R807" s="445">
        <f>+R803+R805</f>
        <v>364664233</v>
      </c>
      <c r="S807" s="1303"/>
      <c r="T807" s="454">
        <v>13317533</v>
      </c>
      <c r="U807" s="454">
        <v>344664233</v>
      </c>
      <c r="V807" s="454">
        <v>344664233</v>
      </c>
      <c r="W807" s="454">
        <v>344664233</v>
      </c>
      <c r="X807" s="454">
        <v>344664233</v>
      </c>
      <c r="Y807" s="454">
        <v>344664233</v>
      </c>
      <c r="Z807" s="454">
        <v>344664233</v>
      </c>
      <c r="AA807" s="455">
        <f>+AA803+AA805</f>
        <v>344664233</v>
      </c>
      <c r="AB807" s="455">
        <f>+AB803+AB805</f>
        <v>354978233</v>
      </c>
      <c r="AC807" s="455">
        <f>+AC803+AC805</f>
        <v>368894233</v>
      </c>
      <c r="AD807" s="455">
        <f>+AD803+AD805</f>
        <v>357860233</v>
      </c>
      <c r="AE807" s="1235">
        <f>+AE803+AE805</f>
        <v>363377633</v>
      </c>
      <c r="AF807" s="1270"/>
      <c r="AG807" s="874"/>
      <c r="AH807" s="790"/>
      <c r="AI807" s="790"/>
      <c r="AJ807" s="790"/>
      <c r="AK807" s="794"/>
      <c r="AL807" s="790"/>
      <c r="AM807" s="790"/>
      <c r="AN807" s="785"/>
      <c r="AO807" s="785"/>
      <c r="AP807" s="785"/>
      <c r="AQ807" s="804"/>
      <c r="AR807" s="804"/>
      <c r="AS807" s="804"/>
      <c r="AT807" s="804"/>
      <c r="AU807" s="804"/>
      <c r="AV807" s="804"/>
      <c r="AW807" s="804"/>
      <c r="AX807" s="785"/>
      <c r="AY807" s="1304"/>
    </row>
    <row r="808" spans="1:51" ht="25.5" customHeight="1" x14ac:dyDescent="0.25">
      <c r="A808" s="1195"/>
      <c r="B808" s="833"/>
      <c r="C808" s="1197" t="s">
        <v>319</v>
      </c>
      <c r="D808" s="141" t="s">
        <v>41</v>
      </c>
      <c r="E808" s="251"/>
      <c r="F808" s="251"/>
      <c r="G808" s="458"/>
      <c r="H808" s="458"/>
      <c r="I808" s="458"/>
      <c r="J808" s="458">
        <v>1</v>
      </c>
      <c r="K808" s="458">
        <v>2</v>
      </c>
      <c r="L808" s="458">
        <v>2</v>
      </c>
      <c r="M808" s="459">
        <v>3</v>
      </c>
      <c r="N808" s="455">
        <v>3</v>
      </c>
      <c r="O808" s="445">
        <v>3</v>
      </c>
      <c r="P808" s="458">
        <v>3</v>
      </c>
      <c r="Q808" s="458">
        <v>4</v>
      </c>
      <c r="R808" s="454">
        <v>4</v>
      </c>
      <c r="S808" s="454" t="s">
        <v>1051</v>
      </c>
      <c r="T808" s="454"/>
      <c r="U808" s="454"/>
      <c r="V808" s="454"/>
      <c r="W808" s="454">
        <v>1</v>
      </c>
      <c r="X808" s="454">
        <v>2</v>
      </c>
      <c r="Y808" s="454">
        <v>2</v>
      </c>
      <c r="Z808" s="454">
        <v>3</v>
      </c>
      <c r="AA808" s="455">
        <v>3</v>
      </c>
      <c r="AB808" s="1254">
        <v>3</v>
      </c>
      <c r="AC808" s="1305">
        <v>3</v>
      </c>
      <c r="AD808" s="1306">
        <v>4</v>
      </c>
      <c r="AE808" s="454">
        <v>4</v>
      </c>
      <c r="AF808" s="1278" t="s">
        <v>1067</v>
      </c>
      <c r="AG808" s="1257" t="s">
        <v>319</v>
      </c>
      <c r="AH808" s="810" t="s">
        <v>857</v>
      </c>
      <c r="AI808" s="810" t="s">
        <v>858</v>
      </c>
      <c r="AJ808" s="788" t="s">
        <v>1052</v>
      </c>
      <c r="AK808" s="809" t="s">
        <v>315</v>
      </c>
      <c r="AL808" s="810" t="s">
        <v>225</v>
      </c>
      <c r="AM808" s="810" t="s">
        <v>547</v>
      </c>
      <c r="AN808" s="805">
        <v>563173</v>
      </c>
      <c r="AO808" s="805">
        <v>13</v>
      </c>
      <c r="AP808" s="805">
        <v>6</v>
      </c>
      <c r="AQ808" s="786" t="s">
        <v>317</v>
      </c>
      <c r="AR808" s="786" t="s">
        <v>317</v>
      </c>
      <c r="AS808" s="786" t="s">
        <v>317</v>
      </c>
      <c r="AT808" s="786" t="s">
        <v>1053</v>
      </c>
      <c r="AU808" s="786" t="s">
        <v>1054</v>
      </c>
      <c r="AV808" s="786" t="s">
        <v>317</v>
      </c>
      <c r="AW808" s="786" t="s">
        <v>317</v>
      </c>
      <c r="AX808" s="783">
        <v>7715777</v>
      </c>
      <c r="AY808" s="1300" t="s">
        <v>688</v>
      </c>
    </row>
    <row r="809" spans="1:51" ht="26.25" customHeight="1" x14ac:dyDescent="0.25">
      <c r="A809" s="1195"/>
      <c r="B809" s="833"/>
      <c r="C809" s="1198"/>
      <c r="D809" s="132" t="s">
        <v>3</v>
      </c>
      <c r="E809" s="251"/>
      <c r="F809" s="251"/>
      <c r="G809" s="458"/>
      <c r="H809" s="458"/>
      <c r="I809" s="458"/>
      <c r="J809" s="458">
        <v>15689500</v>
      </c>
      <c r="K809" s="458">
        <f>+K808*$K$803/$K$802</f>
        <v>31379000</v>
      </c>
      <c r="L809" s="458">
        <f>+L808*$L$803/$L$802</f>
        <v>33379000</v>
      </c>
      <c r="M809" s="458">
        <f>+M808*$M$803/$M$802</f>
        <v>47068500</v>
      </c>
      <c r="N809" s="458">
        <f>+N808*$N$803/$N$802</f>
        <v>50068500</v>
      </c>
      <c r="O809" s="458">
        <f>+O808*$O$803/$O$802</f>
        <v>50068500</v>
      </c>
      <c r="P809" s="458">
        <f>+P808*$P$803/$P$802</f>
        <v>50068500</v>
      </c>
      <c r="Q809" s="458">
        <f>+Q808*$Q$803/$Q$802</f>
        <v>66758000</v>
      </c>
      <c r="R809" s="458">
        <f>+R808*$R$803/$R$802</f>
        <v>66758000</v>
      </c>
      <c r="S809" s="1307"/>
      <c r="T809" s="454"/>
      <c r="U809" s="454"/>
      <c r="V809" s="454"/>
      <c r="W809" s="458">
        <v>62758000</v>
      </c>
      <c r="X809" s="458">
        <f>+X808*$X$803/$X$802</f>
        <v>89654285.714285716</v>
      </c>
      <c r="Y809" s="458">
        <f>+Y808*$Y$803/$Y$802</f>
        <v>69731111.111111104</v>
      </c>
      <c r="Z809" s="458">
        <f>+Z808*$Z$803/$Z$802</f>
        <v>85579090.909090906</v>
      </c>
      <c r="AA809" s="458">
        <f>+AA808*$AA$803/$AA$802</f>
        <v>72413076.923076928</v>
      </c>
      <c r="AB809" s="458">
        <f>+AB808*$AB$803/$AB$802</f>
        <v>64820800</v>
      </c>
      <c r="AC809" s="458">
        <f>+AC808*$AC$803/$AC$802</f>
        <v>59650588.235294119</v>
      </c>
      <c r="AD809" s="458">
        <f>+AD808*$AD$803/$AD$802</f>
        <v>68839157.894736841</v>
      </c>
      <c r="AE809" s="458">
        <f>+AE808*$AE$803/$AE$802</f>
        <v>66500680</v>
      </c>
      <c r="AF809" s="1283"/>
      <c r="AG809" s="1257"/>
      <c r="AH809" s="810"/>
      <c r="AI809" s="810"/>
      <c r="AJ809" s="789"/>
      <c r="AK809" s="809"/>
      <c r="AL809" s="810"/>
      <c r="AM809" s="810"/>
      <c r="AN809" s="805"/>
      <c r="AO809" s="805"/>
      <c r="AP809" s="805"/>
      <c r="AQ809" s="786"/>
      <c r="AR809" s="786"/>
      <c r="AS809" s="786"/>
      <c r="AT809" s="786"/>
      <c r="AU809" s="786"/>
      <c r="AV809" s="786"/>
      <c r="AW809" s="786"/>
      <c r="AX809" s="784"/>
      <c r="AY809" s="1302"/>
    </row>
    <row r="810" spans="1:51" ht="27.75" customHeight="1" x14ac:dyDescent="0.25">
      <c r="A810" s="1195"/>
      <c r="B810" s="833"/>
      <c r="C810" s="1198"/>
      <c r="D810" s="136" t="s">
        <v>42</v>
      </c>
      <c r="E810" s="251"/>
      <c r="F810" s="251"/>
      <c r="G810" s="458"/>
      <c r="H810" s="458"/>
      <c r="I810" s="458"/>
      <c r="J810" s="458"/>
      <c r="K810" s="458"/>
      <c r="L810" s="458"/>
      <c r="M810" s="459"/>
      <c r="N810" s="455"/>
      <c r="O810" s="445"/>
      <c r="P810" s="458"/>
      <c r="Q810" s="458"/>
      <c r="R810" s="454"/>
      <c r="S810" s="1307"/>
      <c r="T810" s="454"/>
      <c r="U810" s="454"/>
      <c r="V810" s="454"/>
      <c r="W810" s="454"/>
      <c r="X810" s="454"/>
      <c r="Y810" s="454"/>
      <c r="Z810" s="454"/>
      <c r="AA810" s="455"/>
      <c r="AB810" s="1254"/>
      <c r="AC810" s="458"/>
      <c r="AD810" s="458"/>
      <c r="AE810" s="454"/>
      <c r="AF810" s="1283"/>
      <c r="AG810" s="1257"/>
      <c r="AH810" s="810"/>
      <c r="AI810" s="810"/>
      <c r="AJ810" s="789"/>
      <c r="AK810" s="809"/>
      <c r="AL810" s="810"/>
      <c r="AM810" s="810"/>
      <c r="AN810" s="805"/>
      <c r="AO810" s="805"/>
      <c r="AP810" s="805"/>
      <c r="AQ810" s="786"/>
      <c r="AR810" s="786"/>
      <c r="AS810" s="786"/>
      <c r="AT810" s="786"/>
      <c r="AU810" s="786"/>
      <c r="AV810" s="786"/>
      <c r="AW810" s="786"/>
      <c r="AX810" s="784"/>
      <c r="AY810" s="1302"/>
    </row>
    <row r="811" spans="1:51" ht="27.75" customHeight="1" x14ac:dyDescent="0.25">
      <c r="A811" s="1195"/>
      <c r="B811" s="833"/>
      <c r="C811" s="1198"/>
      <c r="D811" s="132" t="s">
        <v>4</v>
      </c>
      <c r="E811" s="251"/>
      <c r="F811" s="251"/>
      <c r="G811" s="458"/>
      <c r="H811" s="458"/>
      <c r="I811" s="458"/>
      <c r="J811" s="458"/>
      <c r="K811" s="458"/>
      <c r="L811" s="458"/>
      <c r="M811" s="459"/>
      <c r="N811" s="455"/>
      <c r="O811" s="445"/>
      <c r="P811" s="458"/>
      <c r="Q811" s="458"/>
      <c r="R811" s="454"/>
      <c r="S811" s="1307"/>
      <c r="T811" s="454"/>
      <c r="U811" s="454"/>
      <c r="V811" s="454"/>
      <c r="W811" s="454"/>
      <c r="X811" s="454"/>
      <c r="Y811" s="454"/>
      <c r="Z811" s="454"/>
      <c r="AA811" s="455"/>
      <c r="AB811" s="1254"/>
      <c r="AC811" s="1305"/>
      <c r="AD811" s="1306"/>
      <c r="AE811" s="454"/>
      <c r="AF811" s="1283"/>
      <c r="AG811" s="1257"/>
      <c r="AH811" s="810"/>
      <c r="AI811" s="810"/>
      <c r="AJ811" s="789"/>
      <c r="AK811" s="809"/>
      <c r="AL811" s="810"/>
      <c r="AM811" s="810"/>
      <c r="AN811" s="805"/>
      <c r="AO811" s="805"/>
      <c r="AP811" s="805"/>
      <c r="AQ811" s="786"/>
      <c r="AR811" s="786"/>
      <c r="AS811" s="786"/>
      <c r="AT811" s="786"/>
      <c r="AU811" s="786"/>
      <c r="AV811" s="786"/>
      <c r="AW811" s="786"/>
      <c r="AX811" s="784"/>
      <c r="AY811" s="1302"/>
    </row>
    <row r="812" spans="1:51" ht="27.75" customHeight="1" x14ac:dyDescent="0.25">
      <c r="A812" s="1195"/>
      <c r="B812" s="833"/>
      <c r="C812" s="1198"/>
      <c r="D812" s="136" t="s">
        <v>43</v>
      </c>
      <c r="E812" s="251"/>
      <c r="F812" s="251"/>
      <c r="G812" s="458"/>
      <c r="H812" s="458"/>
      <c r="I812" s="458"/>
      <c r="J812" s="458">
        <v>1</v>
      </c>
      <c r="K812" s="458">
        <v>2</v>
      </c>
      <c r="L812" s="458">
        <v>2</v>
      </c>
      <c r="M812" s="459">
        <v>3</v>
      </c>
      <c r="N812" s="455">
        <v>3</v>
      </c>
      <c r="O812" s="445">
        <v>3</v>
      </c>
      <c r="P812" s="458">
        <v>3</v>
      </c>
      <c r="Q812" s="458">
        <v>4</v>
      </c>
      <c r="R812" s="454">
        <v>4</v>
      </c>
      <c r="S812" s="454" t="s">
        <v>1051</v>
      </c>
      <c r="T812" s="454"/>
      <c r="U812" s="454"/>
      <c r="V812" s="454"/>
      <c r="W812" s="454">
        <v>1</v>
      </c>
      <c r="X812" s="454">
        <v>2</v>
      </c>
      <c r="Y812" s="454">
        <v>2</v>
      </c>
      <c r="Z812" s="454">
        <v>3</v>
      </c>
      <c r="AA812" s="455">
        <v>3</v>
      </c>
      <c r="AB812" s="1254">
        <v>3</v>
      </c>
      <c r="AC812" s="1305">
        <v>3</v>
      </c>
      <c r="AD812" s="1306">
        <v>4</v>
      </c>
      <c r="AE812" s="454">
        <v>4</v>
      </c>
      <c r="AF812" s="1283"/>
      <c r="AG812" s="1257"/>
      <c r="AH812" s="810"/>
      <c r="AI812" s="810"/>
      <c r="AJ812" s="789"/>
      <c r="AK812" s="809"/>
      <c r="AL812" s="810"/>
      <c r="AM812" s="810"/>
      <c r="AN812" s="805"/>
      <c r="AO812" s="805"/>
      <c r="AP812" s="805"/>
      <c r="AQ812" s="786"/>
      <c r="AR812" s="786"/>
      <c r="AS812" s="786"/>
      <c r="AT812" s="786"/>
      <c r="AU812" s="786"/>
      <c r="AV812" s="786"/>
      <c r="AW812" s="786"/>
      <c r="AX812" s="784"/>
      <c r="AY812" s="1302"/>
    </row>
    <row r="813" spans="1:51" ht="27.75" customHeight="1" thickBot="1" x14ac:dyDescent="0.3">
      <c r="A813" s="1195"/>
      <c r="B813" s="833"/>
      <c r="C813" s="1199"/>
      <c r="D813" s="140" t="s">
        <v>45</v>
      </c>
      <c r="E813" s="251"/>
      <c r="F813" s="251"/>
      <c r="G813" s="458"/>
      <c r="H813" s="458"/>
      <c r="I813" s="458"/>
      <c r="J813" s="458">
        <v>15689500</v>
      </c>
      <c r="K813" s="458">
        <f>+K812*$K$803/$K$802</f>
        <v>31379000</v>
      </c>
      <c r="L813" s="458">
        <f>+L812*$L$803/$L$802</f>
        <v>33379000</v>
      </c>
      <c r="M813" s="458">
        <f>+M812*$M$803/$M$802</f>
        <v>47068500</v>
      </c>
      <c r="N813" s="458">
        <f>+N812*$N$803/$N$802</f>
        <v>50068500</v>
      </c>
      <c r="O813" s="458">
        <f>+O812*$O$803/$O$802</f>
        <v>50068500</v>
      </c>
      <c r="P813" s="458">
        <f>+P812*$P$803/$P$802</f>
        <v>50068500</v>
      </c>
      <c r="Q813" s="458">
        <f>+Q812*$Q$803/$Q$802</f>
        <v>66758000</v>
      </c>
      <c r="R813" s="458">
        <f>+R812*$R$803/$R$802</f>
        <v>66758000</v>
      </c>
      <c r="S813" s="454"/>
      <c r="T813" s="454"/>
      <c r="U813" s="454"/>
      <c r="V813" s="454"/>
      <c r="W813" s="458">
        <v>62758000</v>
      </c>
      <c r="X813" s="458">
        <f>+X812*$X$803/$X$802</f>
        <v>89654285.714285716</v>
      </c>
      <c r="Y813" s="458">
        <f>+Y812*$Y$803/$Y$802</f>
        <v>69731111.111111104</v>
      </c>
      <c r="Z813" s="458">
        <f>+Z812*$Z$803/$Z$802</f>
        <v>85579090.909090906</v>
      </c>
      <c r="AA813" s="458">
        <f>+AA812*$AA$803/$AA$802</f>
        <v>72413076.923076928</v>
      </c>
      <c r="AB813" s="458">
        <f>+AB812*$AB$803/$AB$802</f>
        <v>64820800</v>
      </c>
      <c r="AC813" s="458">
        <f>+AC812*$AC$803/$AC$802</f>
        <v>59650588.235294119</v>
      </c>
      <c r="AD813" s="458">
        <f>+AD812*$AD$803/$AD$802</f>
        <v>68839157.894736841</v>
      </c>
      <c r="AE813" s="458">
        <f>+AE812*$AE$803/$AE$802</f>
        <v>66500680</v>
      </c>
      <c r="AF813" s="1283"/>
      <c r="AG813" s="1257"/>
      <c r="AH813" s="810"/>
      <c r="AI813" s="810"/>
      <c r="AJ813" s="790"/>
      <c r="AK813" s="809"/>
      <c r="AL813" s="810"/>
      <c r="AM813" s="810"/>
      <c r="AN813" s="805"/>
      <c r="AO813" s="805"/>
      <c r="AP813" s="805"/>
      <c r="AQ813" s="786"/>
      <c r="AR813" s="786"/>
      <c r="AS813" s="786"/>
      <c r="AT813" s="786"/>
      <c r="AU813" s="786"/>
      <c r="AV813" s="786"/>
      <c r="AW813" s="786"/>
      <c r="AX813" s="785"/>
      <c r="AY813" s="1304"/>
    </row>
    <row r="814" spans="1:51" ht="24" hidden="1" customHeight="1" x14ac:dyDescent="0.25">
      <c r="A814" s="1195"/>
      <c r="B814" s="833"/>
      <c r="C814" s="1197" t="s">
        <v>394</v>
      </c>
      <c r="D814" s="141" t="s">
        <v>41</v>
      </c>
      <c r="E814" s="251"/>
      <c r="F814" s="251"/>
      <c r="G814" s="458"/>
      <c r="H814" s="458"/>
      <c r="I814" s="458"/>
      <c r="J814" s="458"/>
      <c r="K814" s="458"/>
      <c r="L814" s="458"/>
      <c r="M814" s="459"/>
      <c r="N814" s="455"/>
      <c r="O814" s="445"/>
      <c r="P814" s="458"/>
      <c r="Q814" s="458"/>
      <c r="R814" s="454"/>
      <c r="S814" s="454"/>
      <c r="T814" s="454"/>
      <c r="U814" s="454"/>
      <c r="V814" s="454"/>
      <c r="W814" s="454"/>
      <c r="X814" s="454"/>
      <c r="Y814" s="454"/>
      <c r="Z814" s="454"/>
      <c r="AA814" s="455"/>
      <c r="AB814" s="1254"/>
      <c r="AC814" s="458"/>
      <c r="AD814" s="458" t="e">
        <v>#REF!</v>
      </c>
      <c r="AE814" s="454"/>
      <c r="AF814" s="1308"/>
      <c r="AG814" s="1194" t="s">
        <v>394</v>
      </c>
      <c r="AH814" s="788" t="s">
        <v>70</v>
      </c>
      <c r="AI814" s="788" t="s">
        <v>70</v>
      </c>
      <c r="AJ814" s="788" t="s">
        <v>70</v>
      </c>
      <c r="AK814" s="792" t="s">
        <v>315</v>
      </c>
      <c r="AL814" s="788" t="s">
        <v>225</v>
      </c>
      <c r="AM814" s="788" t="s">
        <v>547</v>
      </c>
      <c r="AN814" s="783">
        <v>251571</v>
      </c>
      <c r="AO814" s="783">
        <v>118748</v>
      </c>
      <c r="AP814" s="783">
        <v>132822</v>
      </c>
      <c r="AQ814" s="786" t="s">
        <v>317</v>
      </c>
      <c r="AR814" s="786" t="s">
        <v>317</v>
      </c>
      <c r="AS814" s="786" t="s">
        <v>317</v>
      </c>
      <c r="AT814" s="786" t="s">
        <v>317</v>
      </c>
      <c r="AU814" s="786" t="s">
        <v>317</v>
      </c>
      <c r="AV814" s="786" t="s">
        <v>317</v>
      </c>
      <c r="AW814" s="786" t="s">
        <v>317</v>
      </c>
      <c r="AX814" s="783">
        <v>7715777</v>
      </c>
      <c r="AY814" s="1309" t="s">
        <v>597</v>
      </c>
    </row>
    <row r="815" spans="1:51" ht="37.5" hidden="1" customHeight="1" x14ac:dyDescent="0.25">
      <c r="A815" s="1195"/>
      <c r="B815" s="833"/>
      <c r="C815" s="1198"/>
      <c r="D815" s="132" t="s">
        <v>3</v>
      </c>
      <c r="E815" s="251"/>
      <c r="F815" s="251"/>
      <c r="G815" s="458"/>
      <c r="H815" s="458"/>
      <c r="I815" s="458"/>
      <c r="J815" s="458"/>
      <c r="K815" s="458"/>
      <c r="L815" s="458"/>
      <c r="M815" s="459"/>
      <c r="N815" s="455"/>
      <c r="O815" s="445"/>
      <c r="P815" s="458"/>
      <c r="Q815" s="458"/>
      <c r="R815" s="458"/>
      <c r="S815" s="454"/>
      <c r="T815" s="454"/>
      <c r="U815" s="454"/>
      <c r="V815" s="454"/>
      <c r="W815" s="454">
        <v>5</v>
      </c>
      <c r="X815" s="454"/>
      <c r="Y815" s="454"/>
      <c r="Z815" s="454"/>
      <c r="AA815" s="455"/>
      <c r="AB815" s="1254"/>
      <c r="AC815" s="458"/>
      <c r="AD815" s="1306"/>
      <c r="AE815" s="458"/>
      <c r="AF815" s="1310"/>
      <c r="AG815" s="1195"/>
      <c r="AH815" s="789"/>
      <c r="AI815" s="789"/>
      <c r="AJ815" s="789"/>
      <c r="AK815" s="793"/>
      <c r="AL815" s="789"/>
      <c r="AM815" s="789"/>
      <c r="AN815" s="784"/>
      <c r="AO815" s="784"/>
      <c r="AP815" s="784"/>
      <c r="AQ815" s="786"/>
      <c r="AR815" s="786"/>
      <c r="AS815" s="786"/>
      <c r="AT815" s="786"/>
      <c r="AU815" s="786"/>
      <c r="AV815" s="786"/>
      <c r="AW815" s="786"/>
      <c r="AX815" s="784"/>
      <c r="AY815" s="1309"/>
    </row>
    <row r="816" spans="1:51" ht="27.75" hidden="1" customHeight="1" x14ac:dyDescent="0.25">
      <c r="A816" s="1195"/>
      <c r="B816" s="833"/>
      <c r="C816" s="1198"/>
      <c r="D816" s="136" t="s">
        <v>42</v>
      </c>
      <c r="E816" s="251"/>
      <c r="F816" s="251"/>
      <c r="G816" s="458"/>
      <c r="H816" s="458"/>
      <c r="I816" s="458"/>
      <c r="J816" s="458"/>
      <c r="K816" s="458"/>
      <c r="L816" s="458"/>
      <c r="M816" s="459"/>
      <c r="N816" s="455"/>
      <c r="O816" s="445"/>
      <c r="P816" s="458"/>
      <c r="Q816" s="458"/>
      <c r="R816" s="454"/>
      <c r="S816" s="454"/>
      <c r="T816" s="454"/>
      <c r="U816" s="454"/>
      <c r="V816" s="454"/>
      <c r="W816" s="454">
        <v>5</v>
      </c>
      <c r="X816" s="454"/>
      <c r="Y816" s="454"/>
      <c r="Z816" s="454"/>
      <c r="AA816" s="455"/>
      <c r="AB816" s="1254"/>
      <c r="AC816" s="458"/>
      <c r="AD816" s="1306"/>
      <c r="AE816" s="454"/>
      <c r="AF816" s="1310"/>
      <c r="AG816" s="1195"/>
      <c r="AH816" s="789"/>
      <c r="AI816" s="789"/>
      <c r="AJ816" s="789"/>
      <c r="AK816" s="793"/>
      <c r="AL816" s="789"/>
      <c r="AM816" s="789"/>
      <c r="AN816" s="784"/>
      <c r="AO816" s="784"/>
      <c r="AP816" s="784"/>
      <c r="AQ816" s="786"/>
      <c r="AR816" s="786"/>
      <c r="AS816" s="786"/>
      <c r="AT816" s="786"/>
      <c r="AU816" s="786"/>
      <c r="AV816" s="786"/>
      <c r="AW816" s="786"/>
      <c r="AX816" s="784"/>
      <c r="AY816" s="1309"/>
    </row>
    <row r="817" spans="1:51" ht="27.75" hidden="1" customHeight="1" x14ac:dyDescent="0.25">
      <c r="A817" s="1195"/>
      <c r="B817" s="833"/>
      <c r="C817" s="1198"/>
      <c r="D817" s="132" t="s">
        <v>4</v>
      </c>
      <c r="E817" s="251"/>
      <c r="F817" s="251"/>
      <c r="G817" s="458"/>
      <c r="H817" s="458"/>
      <c r="I817" s="458"/>
      <c r="J817" s="458"/>
      <c r="K817" s="458"/>
      <c r="L817" s="458"/>
      <c r="M817" s="459"/>
      <c r="N817" s="455"/>
      <c r="O817" s="445"/>
      <c r="P817" s="458"/>
      <c r="Q817" s="458"/>
      <c r="R817" s="454"/>
      <c r="S817" s="454"/>
      <c r="T817" s="454"/>
      <c r="U817" s="454"/>
      <c r="V817" s="454"/>
      <c r="W817" s="454">
        <v>5</v>
      </c>
      <c r="X817" s="454"/>
      <c r="Y817" s="454"/>
      <c r="Z817" s="454"/>
      <c r="AA817" s="455"/>
      <c r="AB817" s="1254"/>
      <c r="AC817" s="458"/>
      <c r="AD817" s="1306"/>
      <c r="AE817" s="454"/>
      <c r="AF817" s="1310"/>
      <c r="AG817" s="1195"/>
      <c r="AH817" s="789"/>
      <c r="AI817" s="789"/>
      <c r="AJ817" s="789"/>
      <c r="AK817" s="793"/>
      <c r="AL817" s="789"/>
      <c r="AM817" s="789"/>
      <c r="AN817" s="784"/>
      <c r="AO817" s="784"/>
      <c r="AP817" s="784"/>
      <c r="AQ817" s="786"/>
      <c r="AR817" s="786"/>
      <c r="AS817" s="786"/>
      <c r="AT817" s="786"/>
      <c r="AU817" s="786"/>
      <c r="AV817" s="786"/>
      <c r="AW817" s="786"/>
      <c r="AX817" s="784"/>
      <c r="AY817" s="1309"/>
    </row>
    <row r="818" spans="1:51" ht="27.75" hidden="1" customHeight="1" x14ac:dyDescent="0.25">
      <c r="A818" s="1195"/>
      <c r="B818" s="833"/>
      <c r="C818" s="1198"/>
      <c r="D818" s="136" t="s">
        <v>43</v>
      </c>
      <c r="E818" s="251"/>
      <c r="F818" s="251"/>
      <c r="G818" s="458"/>
      <c r="H818" s="458"/>
      <c r="I818" s="458"/>
      <c r="J818" s="458"/>
      <c r="K818" s="458"/>
      <c r="L818" s="458"/>
      <c r="M818" s="459"/>
      <c r="N818" s="455"/>
      <c r="O818" s="445"/>
      <c r="P818" s="458"/>
      <c r="Q818" s="458"/>
      <c r="R818" s="454"/>
      <c r="S818" s="454"/>
      <c r="T818" s="454"/>
      <c r="U818" s="454"/>
      <c r="V818" s="454"/>
      <c r="W818" s="454">
        <v>5</v>
      </c>
      <c r="X818" s="454"/>
      <c r="Y818" s="454"/>
      <c r="Z818" s="454"/>
      <c r="AA818" s="455"/>
      <c r="AB818" s="1254"/>
      <c r="AC818" s="458"/>
      <c r="AD818" s="1306"/>
      <c r="AE818" s="454"/>
      <c r="AF818" s="1310"/>
      <c r="AG818" s="1195"/>
      <c r="AH818" s="789"/>
      <c r="AI818" s="789"/>
      <c r="AJ818" s="789"/>
      <c r="AK818" s="793"/>
      <c r="AL818" s="789"/>
      <c r="AM818" s="789"/>
      <c r="AN818" s="784"/>
      <c r="AO818" s="784"/>
      <c r="AP818" s="784"/>
      <c r="AQ818" s="786"/>
      <c r="AR818" s="786"/>
      <c r="AS818" s="786"/>
      <c r="AT818" s="786"/>
      <c r="AU818" s="786"/>
      <c r="AV818" s="786"/>
      <c r="AW818" s="786"/>
      <c r="AX818" s="784"/>
      <c r="AY818" s="1309"/>
    </row>
    <row r="819" spans="1:51" ht="27.75" hidden="1" customHeight="1" thickBot="1" x14ac:dyDescent="0.3">
      <c r="A819" s="1195"/>
      <c r="B819" s="833"/>
      <c r="C819" s="1199"/>
      <c r="D819" s="140" t="s">
        <v>45</v>
      </c>
      <c r="E819" s="251"/>
      <c r="F819" s="251"/>
      <c r="G819" s="458"/>
      <c r="H819" s="458"/>
      <c r="I819" s="458"/>
      <c r="J819" s="458"/>
      <c r="K819" s="458"/>
      <c r="L819" s="458"/>
      <c r="M819" s="459"/>
      <c r="N819" s="455"/>
      <c r="O819" s="445"/>
      <c r="P819" s="458"/>
      <c r="Q819" s="458"/>
      <c r="R819" s="458"/>
      <c r="S819" s="454"/>
      <c r="T819" s="454"/>
      <c r="U819" s="454"/>
      <c r="V819" s="454"/>
      <c r="W819" s="454">
        <v>5</v>
      </c>
      <c r="X819" s="454"/>
      <c r="Y819" s="454"/>
      <c r="Z819" s="454"/>
      <c r="AA819" s="455"/>
      <c r="AB819" s="1254"/>
      <c r="AC819" s="458"/>
      <c r="AD819" s="1306"/>
      <c r="AE819" s="458"/>
      <c r="AF819" s="1310"/>
      <c r="AG819" s="1196"/>
      <c r="AH819" s="790"/>
      <c r="AI819" s="790"/>
      <c r="AJ819" s="790"/>
      <c r="AK819" s="794"/>
      <c r="AL819" s="790"/>
      <c r="AM819" s="790"/>
      <c r="AN819" s="785"/>
      <c r="AO819" s="785"/>
      <c r="AP819" s="785"/>
      <c r="AQ819" s="786"/>
      <c r="AR819" s="786"/>
      <c r="AS819" s="786"/>
      <c r="AT819" s="786"/>
      <c r="AU819" s="786"/>
      <c r="AV819" s="786"/>
      <c r="AW819" s="786"/>
      <c r="AX819" s="785"/>
      <c r="AY819" s="1309"/>
    </row>
    <row r="820" spans="1:51" ht="36" hidden="1" customHeight="1" x14ac:dyDescent="0.25">
      <c r="A820" s="1195"/>
      <c r="B820" s="833"/>
      <c r="C820" s="1197" t="s">
        <v>329</v>
      </c>
      <c r="D820" s="141" t="s">
        <v>41</v>
      </c>
      <c r="E820" s="251"/>
      <c r="F820" s="251"/>
      <c r="G820" s="458"/>
      <c r="H820" s="458"/>
      <c r="I820" s="458"/>
      <c r="J820" s="458"/>
      <c r="K820" s="458"/>
      <c r="L820" s="458"/>
      <c r="M820" s="459"/>
      <c r="N820" s="455"/>
      <c r="O820" s="458"/>
      <c r="P820" s="458"/>
      <c r="Q820" s="458">
        <v>1</v>
      </c>
      <c r="R820" s="454"/>
      <c r="S820" s="454"/>
      <c r="T820" s="454"/>
      <c r="U820" s="454"/>
      <c r="V820" s="454"/>
      <c r="W820" s="454">
        <v>5</v>
      </c>
      <c r="X820" s="454"/>
      <c r="Y820" s="454"/>
      <c r="Z820" s="454"/>
      <c r="AA820" s="455"/>
      <c r="AB820" s="1254"/>
      <c r="AC820" s="1305"/>
      <c r="AD820" s="1306">
        <v>1</v>
      </c>
      <c r="AE820" s="454"/>
      <c r="AF820" s="1310"/>
      <c r="AG820" s="1194" t="s">
        <v>329</v>
      </c>
      <c r="AH820" s="810" t="s">
        <v>70</v>
      </c>
      <c r="AI820" s="810" t="s">
        <v>70</v>
      </c>
      <c r="AJ820" s="810" t="s">
        <v>70</v>
      </c>
      <c r="AK820" s="809" t="s">
        <v>315</v>
      </c>
      <c r="AL820" s="810" t="s">
        <v>225</v>
      </c>
      <c r="AM820" s="810" t="s">
        <v>547</v>
      </c>
      <c r="AN820" s="805">
        <v>18703</v>
      </c>
      <c r="AO820" s="805">
        <v>9562</v>
      </c>
      <c r="AP820" s="805">
        <v>9141</v>
      </c>
      <c r="AQ820" s="786" t="s">
        <v>317</v>
      </c>
      <c r="AR820" s="786" t="s">
        <v>317</v>
      </c>
      <c r="AS820" s="786" t="s">
        <v>317</v>
      </c>
      <c r="AT820" s="786" t="s">
        <v>317</v>
      </c>
      <c r="AU820" s="786" t="s">
        <v>317</v>
      </c>
      <c r="AV820" s="786" t="s">
        <v>317</v>
      </c>
      <c r="AW820" s="786" t="s">
        <v>317</v>
      </c>
      <c r="AX820" s="783">
        <v>7715778</v>
      </c>
      <c r="AY820" s="1309" t="s">
        <v>595</v>
      </c>
    </row>
    <row r="821" spans="1:51" ht="18.75" hidden="1" customHeight="1" x14ac:dyDescent="0.25">
      <c r="A821" s="1195"/>
      <c r="B821" s="833"/>
      <c r="C821" s="1198"/>
      <c r="D821" s="132" t="s">
        <v>3</v>
      </c>
      <c r="E821" s="251"/>
      <c r="F821" s="251"/>
      <c r="G821" s="458"/>
      <c r="H821" s="458"/>
      <c r="I821" s="458"/>
      <c r="J821" s="458"/>
      <c r="K821" s="458"/>
      <c r="L821" s="458"/>
      <c r="M821" s="459"/>
      <c r="N821" s="455"/>
      <c r="O821" s="458"/>
      <c r="P821" s="458"/>
      <c r="Q821" s="458">
        <v>10962400</v>
      </c>
      <c r="R821" s="458"/>
      <c r="S821" s="454"/>
      <c r="T821" s="454"/>
      <c r="U821" s="454"/>
      <c r="V821" s="454"/>
      <c r="W821" s="454">
        <v>5</v>
      </c>
      <c r="X821" s="454"/>
      <c r="Y821" s="454"/>
      <c r="Z821" s="454"/>
      <c r="AA821" s="455"/>
      <c r="AB821" s="458"/>
      <c r="AC821" s="458"/>
      <c r="AD821" s="458">
        <v>10077333.333333334</v>
      </c>
      <c r="AE821" s="458"/>
      <c r="AF821" s="1310"/>
      <c r="AG821" s="1195"/>
      <c r="AH821" s="810"/>
      <c r="AI821" s="810"/>
      <c r="AJ821" s="810"/>
      <c r="AK821" s="809"/>
      <c r="AL821" s="810"/>
      <c r="AM821" s="810"/>
      <c r="AN821" s="805"/>
      <c r="AO821" s="805"/>
      <c r="AP821" s="805"/>
      <c r="AQ821" s="786"/>
      <c r="AR821" s="786"/>
      <c r="AS821" s="786"/>
      <c r="AT821" s="786"/>
      <c r="AU821" s="786"/>
      <c r="AV821" s="786"/>
      <c r="AW821" s="786"/>
      <c r="AX821" s="784"/>
      <c r="AY821" s="1309"/>
    </row>
    <row r="822" spans="1:51" ht="27.75" hidden="1" customHeight="1" x14ac:dyDescent="0.25">
      <c r="A822" s="1195"/>
      <c r="B822" s="833"/>
      <c r="C822" s="1198"/>
      <c r="D822" s="136" t="s">
        <v>42</v>
      </c>
      <c r="E822" s="251"/>
      <c r="F822" s="251"/>
      <c r="G822" s="458"/>
      <c r="H822" s="458"/>
      <c r="I822" s="458"/>
      <c r="J822" s="458"/>
      <c r="K822" s="458"/>
      <c r="L822" s="458"/>
      <c r="M822" s="459"/>
      <c r="N822" s="455"/>
      <c r="O822" s="458"/>
      <c r="P822" s="458"/>
      <c r="Q822" s="458"/>
      <c r="R822" s="454"/>
      <c r="S822" s="454"/>
      <c r="T822" s="454"/>
      <c r="U822" s="454"/>
      <c r="V822" s="454"/>
      <c r="W822" s="454">
        <v>5</v>
      </c>
      <c r="X822" s="454"/>
      <c r="Y822" s="454"/>
      <c r="Z822" s="454"/>
      <c r="AA822" s="455"/>
      <c r="AB822" s="1254"/>
      <c r="AC822" s="1305"/>
      <c r="AD822" s="1306"/>
      <c r="AE822" s="454"/>
      <c r="AF822" s="1310"/>
      <c r="AG822" s="1195"/>
      <c r="AH822" s="810"/>
      <c r="AI822" s="810"/>
      <c r="AJ822" s="810"/>
      <c r="AK822" s="809"/>
      <c r="AL822" s="810"/>
      <c r="AM822" s="810"/>
      <c r="AN822" s="805"/>
      <c r="AO822" s="805"/>
      <c r="AP822" s="805"/>
      <c r="AQ822" s="786"/>
      <c r="AR822" s="786"/>
      <c r="AS822" s="786"/>
      <c r="AT822" s="786"/>
      <c r="AU822" s="786"/>
      <c r="AV822" s="786"/>
      <c r="AW822" s="786"/>
      <c r="AX822" s="784"/>
      <c r="AY822" s="1309"/>
    </row>
    <row r="823" spans="1:51" ht="27.75" hidden="1" customHeight="1" x14ac:dyDescent="0.25">
      <c r="A823" s="1195"/>
      <c r="B823" s="833"/>
      <c r="C823" s="1198"/>
      <c r="D823" s="132" t="s">
        <v>4</v>
      </c>
      <c r="E823" s="251"/>
      <c r="F823" s="251"/>
      <c r="G823" s="458"/>
      <c r="H823" s="458"/>
      <c r="I823" s="458"/>
      <c r="J823" s="458"/>
      <c r="K823" s="458"/>
      <c r="L823" s="458"/>
      <c r="M823" s="459"/>
      <c r="N823" s="455"/>
      <c r="O823" s="458"/>
      <c r="P823" s="458"/>
      <c r="Q823" s="458"/>
      <c r="R823" s="454"/>
      <c r="S823" s="454"/>
      <c r="T823" s="454"/>
      <c r="U823" s="454"/>
      <c r="V823" s="454"/>
      <c r="W823" s="454">
        <v>5</v>
      </c>
      <c r="X823" s="454"/>
      <c r="Y823" s="454"/>
      <c r="Z823" s="454"/>
      <c r="AA823" s="455"/>
      <c r="AB823" s="1254"/>
      <c r="AC823" s="1305"/>
      <c r="AD823" s="1306"/>
      <c r="AE823" s="454"/>
      <c r="AF823" s="1310"/>
      <c r="AG823" s="1195"/>
      <c r="AH823" s="810"/>
      <c r="AI823" s="810"/>
      <c r="AJ823" s="810"/>
      <c r="AK823" s="809"/>
      <c r="AL823" s="810"/>
      <c r="AM823" s="810"/>
      <c r="AN823" s="805"/>
      <c r="AO823" s="805"/>
      <c r="AP823" s="805"/>
      <c r="AQ823" s="786"/>
      <c r="AR823" s="786"/>
      <c r="AS823" s="786"/>
      <c r="AT823" s="786"/>
      <c r="AU823" s="786"/>
      <c r="AV823" s="786"/>
      <c r="AW823" s="786"/>
      <c r="AX823" s="784"/>
      <c r="AY823" s="1309"/>
    </row>
    <row r="824" spans="1:51" ht="27.75" hidden="1" customHeight="1" x14ac:dyDescent="0.25">
      <c r="A824" s="1195"/>
      <c r="B824" s="833"/>
      <c r="C824" s="1198"/>
      <c r="D824" s="136" t="s">
        <v>43</v>
      </c>
      <c r="E824" s="251"/>
      <c r="F824" s="251"/>
      <c r="G824" s="458"/>
      <c r="H824" s="458"/>
      <c r="I824" s="458"/>
      <c r="J824" s="458"/>
      <c r="K824" s="458"/>
      <c r="L824" s="458"/>
      <c r="M824" s="459"/>
      <c r="N824" s="455"/>
      <c r="O824" s="458"/>
      <c r="P824" s="458"/>
      <c r="Q824" s="458">
        <v>1</v>
      </c>
      <c r="R824" s="454"/>
      <c r="S824" s="454"/>
      <c r="T824" s="454"/>
      <c r="U824" s="454"/>
      <c r="V824" s="454"/>
      <c r="W824" s="454">
        <v>5</v>
      </c>
      <c r="X824" s="454"/>
      <c r="Y824" s="454"/>
      <c r="Z824" s="454"/>
      <c r="AA824" s="455"/>
      <c r="AB824" s="1254"/>
      <c r="AC824" s="1305"/>
      <c r="AD824" s="1306">
        <v>1</v>
      </c>
      <c r="AE824" s="454"/>
      <c r="AF824" s="1310"/>
      <c r="AG824" s="1195"/>
      <c r="AH824" s="810"/>
      <c r="AI824" s="810"/>
      <c r="AJ824" s="810"/>
      <c r="AK824" s="809"/>
      <c r="AL824" s="810"/>
      <c r="AM824" s="810"/>
      <c r="AN824" s="805"/>
      <c r="AO824" s="805"/>
      <c r="AP824" s="805"/>
      <c r="AQ824" s="786"/>
      <c r="AR824" s="786"/>
      <c r="AS824" s="786"/>
      <c r="AT824" s="786"/>
      <c r="AU824" s="786"/>
      <c r="AV824" s="786"/>
      <c r="AW824" s="786"/>
      <c r="AX824" s="784"/>
      <c r="AY824" s="1309"/>
    </row>
    <row r="825" spans="1:51" ht="27.75" hidden="1" customHeight="1" thickBot="1" x14ac:dyDescent="0.3">
      <c r="A825" s="1195"/>
      <c r="B825" s="833"/>
      <c r="C825" s="1199"/>
      <c r="D825" s="140" t="s">
        <v>45</v>
      </c>
      <c r="E825" s="251"/>
      <c r="F825" s="251"/>
      <c r="G825" s="458"/>
      <c r="H825" s="458"/>
      <c r="I825" s="458"/>
      <c r="J825" s="458"/>
      <c r="K825" s="458"/>
      <c r="L825" s="458"/>
      <c r="M825" s="459"/>
      <c r="N825" s="455"/>
      <c r="O825" s="458"/>
      <c r="P825" s="458"/>
      <c r="Q825" s="458">
        <v>10962400</v>
      </c>
      <c r="R825" s="458"/>
      <c r="S825" s="454"/>
      <c r="T825" s="454"/>
      <c r="U825" s="454"/>
      <c r="V825" s="454"/>
      <c r="W825" s="454">
        <v>5</v>
      </c>
      <c r="X825" s="454"/>
      <c r="Y825" s="454"/>
      <c r="Z825" s="454"/>
      <c r="AA825" s="455"/>
      <c r="AB825" s="1254"/>
      <c r="AC825" s="458"/>
      <c r="AD825" s="458">
        <v>10077333.333333334</v>
      </c>
      <c r="AE825" s="458"/>
      <c r="AF825" s="1310"/>
      <c r="AG825" s="1196"/>
      <c r="AH825" s="810"/>
      <c r="AI825" s="810"/>
      <c r="AJ825" s="810"/>
      <c r="AK825" s="809"/>
      <c r="AL825" s="810"/>
      <c r="AM825" s="810"/>
      <c r="AN825" s="805"/>
      <c r="AO825" s="805"/>
      <c r="AP825" s="805"/>
      <c r="AQ825" s="786"/>
      <c r="AR825" s="786"/>
      <c r="AS825" s="786"/>
      <c r="AT825" s="786"/>
      <c r="AU825" s="786"/>
      <c r="AV825" s="786"/>
      <c r="AW825" s="786"/>
      <c r="AX825" s="785"/>
      <c r="AY825" s="1309"/>
    </row>
    <row r="826" spans="1:51" ht="36" customHeight="1" x14ac:dyDescent="0.25">
      <c r="A826" s="1195"/>
      <c r="B826" s="833"/>
      <c r="C826" s="1197" t="s">
        <v>1310</v>
      </c>
      <c r="D826" s="141" t="s">
        <v>41</v>
      </c>
      <c r="E826" s="251"/>
      <c r="F826" s="251"/>
      <c r="G826" s="454">
        <v>1</v>
      </c>
      <c r="H826" s="458">
        <v>1</v>
      </c>
      <c r="I826" s="458">
        <v>1</v>
      </c>
      <c r="J826" s="458">
        <v>2</v>
      </c>
      <c r="K826" s="458">
        <v>3</v>
      </c>
      <c r="L826" s="458">
        <v>3</v>
      </c>
      <c r="M826" s="459">
        <v>3</v>
      </c>
      <c r="N826" s="455">
        <v>3</v>
      </c>
      <c r="O826" s="458">
        <v>3</v>
      </c>
      <c r="P826" s="458">
        <v>4</v>
      </c>
      <c r="Q826" s="458">
        <v>4</v>
      </c>
      <c r="R826" s="454">
        <v>4</v>
      </c>
      <c r="S826" s="454"/>
      <c r="T826" s="454">
        <v>1</v>
      </c>
      <c r="U826" s="454">
        <v>1</v>
      </c>
      <c r="V826" s="454">
        <v>1</v>
      </c>
      <c r="W826" s="454">
        <v>2</v>
      </c>
      <c r="X826" s="454">
        <v>3</v>
      </c>
      <c r="Y826" s="454">
        <v>3</v>
      </c>
      <c r="Z826" s="454">
        <v>3</v>
      </c>
      <c r="AA826" s="455">
        <v>3</v>
      </c>
      <c r="AB826" s="1254">
        <v>3</v>
      </c>
      <c r="AC826" s="1305">
        <v>4</v>
      </c>
      <c r="AD826" s="1306">
        <v>4</v>
      </c>
      <c r="AE826" s="454">
        <v>4</v>
      </c>
      <c r="AF826" s="1311" t="s">
        <v>1298</v>
      </c>
      <c r="AG826" s="1219" t="s">
        <v>378</v>
      </c>
      <c r="AH826" s="788" t="s">
        <v>960</v>
      </c>
      <c r="AI826" s="788" t="s">
        <v>961</v>
      </c>
      <c r="AJ826" s="810" t="s">
        <v>962</v>
      </c>
      <c r="AK826" s="792" t="s">
        <v>315</v>
      </c>
      <c r="AL826" s="788" t="s">
        <v>599</v>
      </c>
      <c r="AM826" s="810" t="s">
        <v>547</v>
      </c>
      <c r="AN826" s="805">
        <v>1229903</v>
      </c>
      <c r="AO826" s="805">
        <v>3</v>
      </c>
      <c r="AP826" s="805">
        <v>7</v>
      </c>
      <c r="AQ826" s="786" t="s">
        <v>317</v>
      </c>
      <c r="AR826" s="786" t="s">
        <v>317</v>
      </c>
      <c r="AS826" s="786" t="s">
        <v>691</v>
      </c>
      <c r="AT826" s="786" t="s">
        <v>692</v>
      </c>
      <c r="AU826" s="786" t="s">
        <v>693</v>
      </c>
      <c r="AV826" s="786" t="s">
        <v>694</v>
      </c>
      <c r="AW826" s="786">
        <v>1</v>
      </c>
      <c r="AX826" s="783">
        <v>1229903</v>
      </c>
      <c r="AY826" s="1300" t="s">
        <v>688</v>
      </c>
    </row>
    <row r="827" spans="1:51" ht="25.5" customHeight="1" x14ac:dyDescent="0.25">
      <c r="A827" s="1195"/>
      <c r="B827" s="833"/>
      <c r="C827" s="1198"/>
      <c r="D827" s="132" t="s">
        <v>3</v>
      </c>
      <c r="E827" s="251"/>
      <c r="F827" s="251"/>
      <c r="G827" s="454">
        <v>17491950</v>
      </c>
      <c r="H827" s="458">
        <v>17491950</v>
      </c>
      <c r="I827" s="458">
        <v>17491950</v>
      </c>
      <c r="J827" s="458">
        <v>31379000</v>
      </c>
      <c r="K827" s="458">
        <f>+K826*$K$803/$K$802</f>
        <v>47068500</v>
      </c>
      <c r="L827" s="458">
        <f>+L826*$L$803/$L$802</f>
        <v>50068500</v>
      </c>
      <c r="M827" s="458">
        <f>+M826*$M$803/$M$802</f>
        <v>47068500</v>
      </c>
      <c r="N827" s="458">
        <f>+N826*$N$803/$N$802</f>
        <v>50068500</v>
      </c>
      <c r="O827" s="458">
        <f>+O826*$O$803/$O$802</f>
        <v>50068500</v>
      </c>
      <c r="P827" s="458">
        <f>+P826*$P$803/$P$802</f>
        <v>66758000</v>
      </c>
      <c r="Q827" s="458">
        <f>+Q826*$Q$803/$Q$802</f>
        <v>66758000</v>
      </c>
      <c r="R827" s="458">
        <f>+R826*$R$803/$R$802</f>
        <v>66758000</v>
      </c>
      <c r="S827" s="454"/>
      <c r="T827" s="454"/>
      <c r="U827" s="458">
        <v>156895000</v>
      </c>
      <c r="V827" s="458">
        <v>104596666.66666667</v>
      </c>
      <c r="W827" s="458">
        <v>125516000</v>
      </c>
      <c r="X827" s="458">
        <f>+X826*$X$803/$X$802</f>
        <v>134481428.57142857</v>
      </c>
      <c r="Y827" s="458">
        <f>+Y826*$Y$803/$Y$802</f>
        <v>104596666.66666667</v>
      </c>
      <c r="Z827" s="458">
        <f>+Z826*$Z$803/$Z$802</f>
        <v>85579090.909090906</v>
      </c>
      <c r="AA827" s="458">
        <f>+AA826*$AA$803/$AA$802</f>
        <v>72413076.923076928</v>
      </c>
      <c r="AB827" s="458">
        <f>+AB826*$AB$803/$AB$802</f>
        <v>64820800</v>
      </c>
      <c r="AC827" s="458">
        <f>+AC826*$AC$803/$AC$802</f>
        <v>79534117.64705883</v>
      </c>
      <c r="AD827" s="458">
        <f>+AD826*$AD$803/$AD$802</f>
        <v>68839157.894736841</v>
      </c>
      <c r="AE827" s="458">
        <f>+AE826*$AE$803/$AE$802</f>
        <v>66500680</v>
      </c>
      <c r="AF827" s="1312"/>
      <c r="AG827" s="1220"/>
      <c r="AH827" s="789"/>
      <c r="AI827" s="789"/>
      <c r="AJ827" s="810"/>
      <c r="AK827" s="793"/>
      <c r="AL827" s="789"/>
      <c r="AM827" s="810"/>
      <c r="AN827" s="805"/>
      <c r="AO827" s="805"/>
      <c r="AP827" s="805"/>
      <c r="AQ827" s="786"/>
      <c r="AR827" s="786"/>
      <c r="AS827" s="786"/>
      <c r="AT827" s="786"/>
      <c r="AU827" s="786"/>
      <c r="AV827" s="786"/>
      <c r="AW827" s="786"/>
      <c r="AX827" s="784"/>
      <c r="AY827" s="1302"/>
    </row>
    <row r="828" spans="1:51" ht="27" x14ac:dyDescent="0.25">
      <c r="A828" s="1195"/>
      <c r="B828" s="833"/>
      <c r="C828" s="1198"/>
      <c r="D828" s="136" t="s">
        <v>42</v>
      </c>
      <c r="E828" s="251"/>
      <c r="F828" s="251"/>
      <c r="G828" s="454"/>
      <c r="H828" s="458"/>
      <c r="I828" s="458"/>
      <c r="J828" s="458"/>
      <c r="K828" s="458"/>
      <c r="L828" s="458"/>
      <c r="M828" s="459"/>
      <c r="N828" s="455"/>
      <c r="O828" s="458"/>
      <c r="P828" s="458"/>
      <c r="Q828" s="458"/>
      <c r="R828" s="454"/>
      <c r="S828" s="454"/>
      <c r="T828" s="454"/>
      <c r="U828" s="454"/>
      <c r="V828" s="454"/>
      <c r="W828" s="454"/>
      <c r="X828" s="454"/>
      <c r="Y828" s="454"/>
      <c r="Z828" s="454"/>
      <c r="AA828" s="455"/>
      <c r="AB828" s="1254"/>
      <c r="AC828" s="1305"/>
      <c r="AD828" s="1306"/>
      <c r="AE828" s="454"/>
      <c r="AF828" s="1312"/>
      <c r="AG828" s="1220"/>
      <c r="AH828" s="789"/>
      <c r="AI828" s="789"/>
      <c r="AJ828" s="810"/>
      <c r="AK828" s="793"/>
      <c r="AL828" s="789"/>
      <c r="AM828" s="810"/>
      <c r="AN828" s="805"/>
      <c r="AO828" s="805"/>
      <c r="AP828" s="805"/>
      <c r="AQ828" s="786"/>
      <c r="AR828" s="786"/>
      <c r="AS828" s="786"/>
      <c r="AT828" s="786"/>
      <c r="AU828" s="786"/>
      <c r="AV828" s="786"/>
      <c r="AW828" s="786"/>
      <c r="AX828" s="784"/>
      <c r="AY828" s="1302"/>
    </row>
    <row r="829" spans="1:51" ht="19.149999999999999" customHeight="1" x14ac:dyDescent="0.25">
      <c r="A829" s="1195"/>
      <c r="B829" s="833"/>
      <c r="C829" s="1198"/>
      <c r="D829" s="132" t="s">
        <v>4</v>
      </c>
      <c r="E829" s="251"/>
      <c r="F829" s="251"/>
      <c r="G829" s="454"/>
      <c r="H829" s="454">
        <v>15437116.5</v>
      </c>
      <c r="I829" s="458"/>
      <c r="J829" s="458"/>
      <c r="K829" s="458"/>
      <c r="L829" s="458"/>
      <c r="M829" s="459"/>
      <c r="N829" s="455"/>
      <c r="O829" s="458"/>
      <c r="P829" s="458"/>
      <c r="Q829" s="458"/>
      <c r="R829" s="454"/>
      <c r="S829" s="454"/>
      <c r="T829" s="454">
        <v>13317533</v>
      </c>
      <c r="U829" s="454">
        <v>15437116.5</v>
      </c>
      <c r="V829" s="454"/>
      <c r="W829" s="454"/>
      <c r="X829" s="454"/>
      <c r="Y829" s="454"/>
      <c r="Z829" s="454"/>
      <c r="AA829" s="455"/>
      <c r="AB829" s="1254"/>
      <c r="AC829" s="1305"/>
      <c r="AD829" s="1306"/>
      <c r="AE829" s="454"/>
      <c r="AF829" s="1312"/>
      <c r="AG829" s="1220"/>
      <c r="AH829" s="789"/>
      <c r="AI829" s="789"/>
      <c r="AJ829" s="810"/>
      <c r="AK829" s="793"/>
      <c r="AL829" s="789"/>
      <c r="AM829" s="810"/>
      <c r="AN829" s="805"/>
      <c r="AO829" s="805"/>
      <c r="AP829" s="805"/>
      <c r="AQ829" s="786"/>
      <c r="AR829" s="786"/>
      <c r="AS829" s="786"/>
      <c r="AT829" s="786"/>
      <c r="AU829" s="786"/>
      <c r="AV829" s="786"/>
      <c r="AW829" s="786"/>
      <c r="AX829" s="784"/>
      <c r="AY829" s="1302"/>
    </row>
    <row r="830" spans="1:51" ht="27" x14ac:dyDescent="0.25">
      <c r="A830" s="1195"/>
      <c r="B830" s="833"/>
      <c r="C830" s="1198"/>
      <c r="D830" s="136" t="s">
        <v>43</v>
      </c>
      <c r="E830" s="251"/>
      <c r="F830" s="251"/>
      <c r="G830" s="454">
        <v>1</v>
      </c>
      <c r="H830" s="458">
        <v>1</v>
      </c>
      <c r="I830" s="458">
        <v>1</v>
      </c>
      <c r="J830" s="458">
        <v>2</v>
      </c>
      <c r="K830" s="458">
        <v>3</v>
      </c>
      <c r="L830" s="458">
        <v>3</v>
      </c>
      <c r="M830" s="459">
        <v>3</v>
      </c>
      <c r="N830" s="455">
        <v>3</v>
      </c>
      <c r="O830" s="458">
        <v>3</v>
      </c>
      <c r="P830" s="458">
        <v>4</v>
      </c>
      <c r="Q830" s="458">
        <v>4</v>
      </c>
      <c r="R830" s="454">
        <v>4</v>
      </c>
      <c r="S830" s="454"/>
      <c r="T830" s="454">
        <v>1</v>
      </c>
      <c r="U830" s="454">
        <v>1</v>
      </c>
      <c r="V830" s="458">
        <v>1</v>
      </c>
      <c r="W830" s="454">
        <v>2</v>
      </c>
      <c r="X830" s="454">
        <v>3</v>
      </c>
      <c r="Y830" s="454">
        <v>3</v>
      </c>
      <c r="Z830" s="454">
        <v>3</v>
      </c>
      <c r="AA830" s="455">
        <v>3</v>
      </c>
      <c r="AB830" s="1254">
        <v>3</v>
      </c>
      <c r="AC830" s="1305">
        <v>4</v>
      </c>
      <c r="AD830" s="1306">
        <v>4</v>
      </c>
      <c r="AE830" s="454">
        <v>4</v>
      </c>
      <c r="AF830" s="1312"/>
      <c r="AG830" s="1220"/>
      <c r="AH830" s="789"/>
      <c r="AI830" s="789"/>
      <c r="AJ830" s="810"/>
      <c r="AK830" s="793"/>
      <c r="AL830" s="789"/>
      <c r="AM830" s="810"/>
      <c r="AN830" s="805"/>
      <c r="AO830" s="805"/>
      <c r="AP830" s="805"/>
      <c r="AQ830" s="786"/>
      <c r="AR830" s="786"/>
      <c r="AS830" s="786"/>
      <c r="AT830" s="786"/>
      <c r="AU830" s="786"/>
      <c r="AV830" s="786"/>
      <c r="AW830" s="786"/>
      <c r="AX830" s="784"/>
      <c r="AY830" s="1302"/>
    </row>
    <row r="831" spans="1:51" ht="27.75" thickBot="1" x14ac:dyDescent="0.3">
      <c r="A831" s="1195"/>
      <c r="B831" s="833"/>
      <c r="C831" s="1199"/>
      <c r="D831" s="140" t="s">
        <v>45</v>
      </c>
      <c r="E831" s="251"/>
      <c r="F831" s="251"/>
      <c r="G831" s="454">
        <v>17491950</v>
      </c>
      <c r="H831" s="458">
        <v>17491950</v>
      </c>
      <c r="I831" s="458">
        <v>17491950</v>
      </c>
      <c r="J831" s="458">
        <v>31379000</v>
      </c>
      <c r="K831" s="458">
        <f>+K830*$K$803/$K$802</f>
        <v>47068500</v>
      </c>
      <c r="L831" s="458">
        <f>+L830*$L$803/$L$802</f>
        <v>50068500</v>
      </c>
      <c r="M831" s="458">
        <f>+M830*$M$803/$M$802</f>
        <v>47068500</v>
      </c>
      <c r="N831" s="458">
        <f>+N830*$N$803/$N$802</f>
        <v>50068500</v>
      </c>
      <c r="O831" s="458">
        <f>+O830*$O$803/$O$802</f>
        <v>50068500</v>
      </c>
      <c r="P831" s="458">
        <f>+P830*$P$803/$P$802</f>
        <v>66758000</v>
      </c>
      <c r="Q831" s="458">
        <f>+Q830*$Q$803/$Q$802</f>
        <v>66758000</v>
      </c>
      <c r="R831" s="458">
        <f>+R830*$R$803/$R$802</f>
        <v>66758000</v>
      </c>
      <c r="S831" s="454"/>
      <c r="T831" s="454"/>
      <c r="U831" s="458">
        <v>156895000</v>
      </c>
      <c r="V831" s="458">
        <v>104596666.66666667</v>
      </c>
      <c r="W831" s="458">
        <v>125516000</v>
      </c>
      <c r="X831" s="458">
        <f>+X830*$X$803/$X$802</f>
        <v>134481428.57142857</v>
      </c>
      <c r="Y831" s="458">
        <f>+Y830*$Y$803/$Y$802</f>
        <v>104596666.66666667</v>
      </c>
      <c r="Z831" s="458">
        <f>+Z830*$Z$803/$Z$802</f>
        <v>85579090.909090906</v>
      </c>
      <c r="AA831" s="458">
        <f>+AA830*$AA$803/$AA$802</f>
        <v>72413076.923076928</v>
      </c>
      <c r="AB831" s="458">
        <f>+AB830*$AB$803/$AB$802</f>
        <v>64820800</v>
      </c>
      <c r="AC831" s="458">
        <f>+AC830*$AC$803/$AC$802</f>
        <v>79534117.64705883</v>
      </c>
      <c r="AD831" s="458">
        <f>+AD830*$AD$803/$AD$802</f>
        <v>68839157.894736841</v>
      </c>
      <c r="AE831" s="458">
        <f>+AE830*$AE$803/$AE$802</f>
        <v>66500680</v>
      </c>
      <c r="AF831" s="1313"/>
      <c r="AG831" s="1221"/>
      <c r="AH831" s="790"/>
      <c r="AI831" s="790"/>
      <c r="AJ831" s="810"/>
      <c r="AK831" s="794"/>
      <c r="AL831" s="790"/>
      <c r="AM831" s="810"/>
      <c r="AN831" s="805"/>
      <c r="AO831" s="805"/>
      <c r="AP831" s="805"/>
      <c r="AQ831" s="786"/>
      <c r="AR831" s="786"/>
      <c r="AS831" s="786"/>
      <c r="AT831" s="786"/>
      <c r="AU831" s="786"/>
      <c r="AV831" s="786"/>
      <c r="AW831" s="786"/>
      <c r="AX831" s="785"/>
      <c r="AY831" s="1304"/>
    </row>
    <row r="832" spans="1:51" ht="36" customHeight="1" x14ac:dyDescent="0.25">
      <c r="A832" s="1195"/>
      <c r="B832" s="833"/>
      <c r="C832" s="1197" t="s">
        <v>1318</v>
      </c>
      <c r="D832" s="141" t="s">
        <v>41</v>
      </c>
      <c r="E832" s="251"/>
      <c r="F832" s="251"/>
      <c r="G832" s="458"/>
      <c r="H832" s="458"/>
      <c r="I832" s="458">
        <v>1</v>
      </c>
      <c r="J832" s="458">
        <v>1</v>
      </c>
      <c r="K832" s="458">
        <v>1</v>
      </c>
      <c r="L832" s="458">
        <v>1</v>
      </c>
      <c r="M832" s="459">
        <v>2</v>
      </c>
      <c r="N832" s="455">
        <v>2</v>
      </c>
      <c r="O832" s="458">
        <v>2</v>
      </c>
      <c r="P832" s="458">
        <v>2</v>
      </c>
      <c r="Q832" s="458">
        <v>2</v>
      </c>
      <c r="R832" s="454">
        <v>2</v>
      </c>
      <c r="S832" s="454"/>
      <c r="T832" s="454"/>
      <c r="U832" s="454"/>
      <c r="V832" s="454">
        <v>1</v>
      </c>
      <c r="W832" s="454">
        <v>1</v>
      </c>
      <c r="X832" s="454">
        <v>1</v>
      </c>
      <c r="Y832" s="454">
        <v>1</v>
      </c>
      <c r="Z832" s="454">
        <v>2</v>
      </c>
      <c r="AA832" s="455">
        <v>2</v>
      </c>
      <c r="AB832" s="1254">
        <v>2</v>
      </c>
      <c r="AC832" s="1305">
        <v>2</v>
      </c>
      <c r="AD832" s="1306">
        <v>2</v>
      </c>
      <c r="AE832" s="454">
        <v>2</v>
      </c>
      <c r="AF832" s="1311" t="s">
        <v>1298</v>
      </c>
      <c r="AG832" s="1194" t="s">
        <v>334</v>
      </c>
      <c r="AH832" s="788" t="s">
        <v>601</v>
      </c>
      <c r="AI832" s="788" t="s">
        <v>860</v>
      </c>
      <c r="AJ832" s="788" t="s">
        <v>859</v>
      </c>
      <c r="AK832" s="792" t="s">
        <v>315</v>
      </c>
      <c r="AL832" s="788" t="s">
        <v>225</v>
      </c>
      <c r="AM832" s="788" t="s">
        <v>547</v>
      </c>
      <c r="AN832" s="783">
        <v>163231</v>
      </c>
      <c r="AO832" s="783">
        <v>4</v>
      </c>
      <c r="AP832" s="783">
        <v>2</v>
      </c>
      <c r="AQ832" s="802" t="s">
        <v>317</v>
      </c>
      <c r="AR832" s="802" t="s">
        <v>317</v>
      </c>
      <c r="AS832" s="802" t="s">
        <v>317</v>
      </c>
      <c r="AT832" s="802" t="s">
        <v>861</v>
      </c>
      <c r="AU832" s="802" t="s">
        <v>862</v>
      </c>
      <c r="AV832" s="802" t="s">
        <v>317</v>
      </c>
      <c r="AW832" s="802" t="s">
        <v>317</v>
      </c>
      <c r="AX832" s="783">
        <v>163231</v>
      </c>
      <c r="AY832" s="1300" t="s">
        <v>595</v>
      </c>
    </row>
    <row r="833" spans="1:51" ht="18.75" customHeight="1" x14ac:dyDescent="0.25">
      <c r="A833" s="1195"/>
      <c r="B833" s="833"/>
      <c r="C833" s="1198"/>
      <c r="D833" s="132" t="s">
        <v>3</v>
      </c>
      <c r="E833" s="251"/>
      <c r="F833" s="251"/>
      <c r="G833" s="458"/>
      <c r="H833" s="458"/>
      <c r="I833" s="458">
        <v>17491950</v>
      </c>
      <c r="J833" s="458">
        <v>15689500</v>
      </c>
      <c r="K833" s="458">
        <f>+K832*$K$803/$K$802</f>
        <v>15689500</v>
      </c>
      <c r="L833" s="458">
        <f>+L832*$L$803/$L$802</f>
        <v>16689500</v>
      </c>
      <c r="M833" s="458">
        <f>+M832*$M$803/$M$802</f>
        <v>31379000</v>
      </c>
      <c r="N833" s="458">
        <f>+N832*$N$803/$N$802</f>
        <v>33379000</v>
      </c>
      <c r="O833" s="458">
        <f>+O832*$O$803/$O$802</f>
        <v>33379000</v>
      </c>
      <c r="P833" s="458">
        <f>+P832*$P$803/$P$802</f>
        <v>33379000</v>
      </c>
      <c r="Q833" s="458">
        <f>+Q832*$Q$803/$Q$802</f>
        <v>33379000</v>
      </c>
      <c r="R833" s="458">
        <f>+R832*$R$803/$R$802</f>
        <v>33379000</v>
      </c>
      <c r="S833" s="454"/>
      <c r="T833" s="454"/>
      <c r="U833" s="454"/>
      <c r="V833" s="458">
        <v>104596666.66666667</v>
      </c>
      <c r="W833" s="458">
        <v>62758000</v>
      </c>
      <c r="X833" s="458">
        <f>+X832*$X$803/$X$802</f>
        <v>44827142.857142858</v>
      </c>
      <c r="Y833" s="458">
        <f>+Y832*$Y$803/$Y$802</f>
        <v>34865555.555555552</v>
      </c>
      <c r="Z833" s="458">
        <f>+Z832*$Z$803/$Z$802</f>
        <v>57052727.272727273</v>
      </c>
      <c r="AA833" s="458">
        <f>+AA832*$AA$803/$AA$802</f>
        <v>48275384.615384616</v>
      </c>
      <c r="AB833" s="458">
        <f>+AB832*$AB$803/$AB$802</f>
        <v>43213866.666666664</v>
      </c>
      <c r="AC833" s="458">
        <f>+AC832*$AC$803/$AC$802</f>
        <v>39767058.823529415</v>
      </c>
      <c r="AD833" s="458">
        <f>+AD832*$AD$803/$AD$802</f>
        <v>34419578.947368421</v>
      </c>
      <c r="AE833" s="458">
        <f>+AE832*$AE$803/$AE$802</f>
        <v>33250340</v>
      </c>
      <c r="AF833" s="1312"/>
      <c r="AG833" s="1195"/>
      <c r="AH833" s="789"/>
      <c r="AI833" s="789"/>
      <c r="AJ833" s="789"/>
      <c r="AK833" s="793"/>
      <c r="AL833" s="789"/>
      <c r="AM833" s="789"/>
      <c r="AN833" s="784"/>
      <c r="AO833" s="784"/>
      <c r="AP833" s="784"/>
      <c r="AQ833" s="803"/>
      <c r="AR833" s="803"/>
      <c r="AS833" s="803"/>
      <c r="AT833" s="803"/>
      <c r="AU833" s="803"/>
      <c r="AV833" s="803"/>
      <c r="AW833" s="803"/>
      <c r="AX833" s="784"/>
      <c r="AY833" s="1302"/>
    </row>
    <row r="834" spans="1:51" ht="27.75" customHeight="1" x14ac:dyDescent="0.25">
      <c r="A834" s="1195"/>
      <c r="B834" s="833"/>
      <c r="C834" s="1198"/>
      <c r="D834" s="136" t="s">
        <v>42</v>
      </c>
      <c r="E834" s="251"/>
      <c r="F834" s="251"/>
      <c r="G834" s="458"/>
      <c r="H834" s="458"/>
      <c r="I834" s="458"/>
      <c r="J834" s="458"/>
      <c r="K834" s="458"/>
      <c r="L834" s="458"/>
      <c r="M834" s="459"/>
      <c r="N834" s="455"/>
      <c r="O834" s="458"/>
      <c r="P834" s="458"/>
      <c r="Q834" s="458"/>
      <c r="R834" s="454"/>
      <c r="S834" s="454"/>
      <c r="T834" s="454"/>
      <c r="U834" s="454"/>
      <c r="V834" s="454"/>
      <c r="W834" s="454"/>
      <c r="X834" s="454"/>
      <c r="Y834" s="454"/>
      <c r="Z834" s="454"/>
      <c r="AA834" s="455"/>
      <c r="AB834" s="1254"/>
      <c r="AC834" s="1305"/>
      <c r="AD834" s="1306"/>
      <c r="AE834" s="454"/>
      <c r="AF834" s="1312"/>
      <c r="AG834" s="1195"/>
      <c r="AH834" s="789"/>
      <c r="AI834" s="789"/>
      <c r="AJ834" s="789"/>
      <c r="AK834" s="793"/>
      <c r="AL834" s="789"/>
      <c r="AM834" s="789"/>
      <c r="AN834" s="784"/>
      <c r="AO834" s="784"/>
      <c r="AP834" s="784"/>
      <c r="AQ834" s="803"/>
      <c r="AR834" s="803"/>
      <c r="AS834" s="803"/>
      <c r="AT834" s="803"/>
      <c r="AU834" s="803"/>
      <c r="AV834" s="803"/>
      <c r="AW834" s="803"/>
      <c r="AX834" s="784"/>
      <c r="AY834" s="1302"/>
    </row>
    <row r="835" spans="1:51" ht="27.75" customHeight="1" x14ac:dyDescent="0.25">
      <c r="A835" s="1195"/>
      <c r="B835" s="833"/>
      <c r="C835" s="1198"/>
      <c r="D835" s="132" t="s">
        <v>4</v>
      </c>
      <c r="E835" s="251"/>
      <c r="F835" s="251"/>
      <c r="G835" s="458"/>
      <c r="H835" s="458"/>
      <c r="I835" s="458"/>
      <c r="J835" s="458"/>
      <c r="K835" s="458"/>
      <c r="L835" s="458"/>
      <c r="M835" s="459"/>
      <c r="N835" s="455"/>
      <c r="O835" s="458"/>
      <c r="P835" s="458"/>
      <c r="Q835" s="458"/>
      <c r="R835" s="454"/>
      <c r="S835" s="454"/>
      <c r="T835" s="454"/>
      <c r="U835" s="454"/>
      <c r="V835" s="454"/>
      <c r="W835" s="454"/>
      <c r="X835" s="454"/>
      <c r="Y835" s="454"/>
      <c r="Z835" s="454"/>
      <c r="AA835" s="455"/>
      <c r="AB835" s="1254"/>
      <c r="AC835" s="1305"/>
      <c r="AD835" s="1306"/>
      <c r="AE835" s="454"/>
      <c r="AF835" s="1312"/>
      <c r="AG835" s="1195"/>
      <c r="AH835" s="789"/>
      <c r="AI835" s="789"/>
      <c r="AJ835" s="789"/>
      <c r="AK835" s="793"/>
      <c r="AL835" s="789"/>
      <c r="AM835" s="789"/>
      <c r="AN835" s="784"/>
      <c r="AO835" s="784"/>
      <c r="AP835" s="784"/>
      <c r="AQ835" s="803"/>
      <c r="AR835" s="803"/>
      <c r="AS835" s="803"/>
      <c r="AT835" s="803"/>
      <c r="AU835" s="803"/>
      <c r="AV835" s="803"/>
      <c r="AW835" s="803"/>
      <c r="AX835" s="784"/>
      <c r="AY835" s="1302"/>
    </row>
    <row r="836" spans="1:51" ht="27.75" customHeight="1" x14ac:dyDescent="0.25">
      <c r="A836" s="1195"/>
      <c r="B836" s="833"/>
      <c r="C836" s="1198"/>
      <c r="D836" s="136" t="s">
        <v>43</v>
      </c>
      <c r="E836" s="251"/>
      <c r="F836" s="251"/>
      <c r="G836" s="458"/>
      <c r="H836" s="458"/>
      <c r="I836" s="458">
        <v>1</v>
      </c>
      <c r="J836" s="458">
        <v>1</v>
      </c>
      <c r="K836" s="458">
        <v>1</v>
      </c>
      <c r="L836" s="458">
        <v>1</v>
      </c>
      <c r="M836" s="459">
        <v>2</v>
      </c>
      <c r="N836" s="455">
        <v>2</v>
      </c>
      <c r="O836" s="458">
        <v>2</v>
      </c>
      <c r="P836" s="458">
        <v>2</v>
      </c>
      <c r="Q836" s="458">
        <v>2</v>
      </c>
      <c r="R836" s="454">
        <v>2</v>
      </c>
      <c r="S836" s="454"/>
      <c r="T836" s="454"/>
      <c r="U836" s="454"/>
      <c r="V836" s="454">
        <v>1</v>
      </c>
      <c r="W836" s="454">
        <v>1</v>
      </c>
      <c r="X836" s="454">
        <v>1</v>
      </c>
      <c r="Y836" s="454">
        <v>1</v>
      </c>
      <c r="Z836" s="454">
        <v>2</v>
      </c>
      <c r="AA836" s="455">
        <v>2</v>
      </c>
      <c r="AB836" s="1254">
        <v>2</v>
      </c>
      <c r="AC836" s="1305">
        <v>2</v>
      </c>
      <c r="AD836" s="1306">
        <v>2</v>
      </c>
      <c r="AE836" s="454">
        <v>2</v>
      </c>
      <c r="AF836" s="1312"/>
      <c r="AG836" s="1195"/>
      <c r="AH836" s="789"/>
      <c r="AI836" s="789"/>
      <c r="AJ836" s="789"/>
      <c r="AK836" s="793"/>
      <c r="AL836" s="789"/>
      <c r="AM836" s="789"/>
      <c r="AN836" s="784"/>
      <c r="AO836" s="784"/>
      <c r="AP836" s="784"/>
      <c r="AQ836" s="803"/>
      <c r="AR836" s="803"/>
      <c r="AS836" s="803"/>
      <c r="AT836" s="803"/>
      <c r="AU836" s="803"/>
      <c r="AV836" s="803"/>
      <c r="AW836" s="803"/>
      <c r="AX836" s="784"/>
      <c r="AY836" s="1302"/>
    </row>
    <row r="837" spans="1:51" ht="27.75" customHeight="1" thickBot="1" x14ac:dyDescent="0.3">
      <c r="A837" s="1195"/>
      <c r="B837" s="833"/>
      <c r="C837" s="1199"/>
      <c r="D837" s="140" t="s">
        <v>45</v>
      </c>
      <c r="E837" s="251"/>
      <c r="F837" s="251"/>
      <c r="G837" s="458"/>
      <c r="H837" s="458"/>
      <c r="I837" s="458">
        <v>17491950</v>
      </c>
      <c r="J837" s="458">
        <v>15689500</v>
      </c>
      <c r="K837" s="458">
        <f>+K836*$K$803/$K$802</f>
        <v>15689500</v>
      </c>
      <c r="L837" s="458">
        <f>+L836*$L$803/$L$802</f>
        <v>16689500</v>
      </c>
      <c r="M837" s="458">
        <f>+M836*$M$803/$M$802</f>
        <v>31379000</v>
      </c>
      <c r="N837" s="458">
        <f>+N836*$N$803/$N$802</f>
        <v>33379000</v>
      </c>
      <c r="O837" s="458">
        <f>+O836*$O$803/$O$802</f>
        <v>33379000</v>
      </c>
      <c r="P837" s="458">
        <f>+P836*$P$803/$P$802</f>
        <v>33379000</v>
      </c>
      <c r="Q837" s="458">
        <f>+Q836*$Q$803/$Q$802</f>
        <v>33379000</v>
      </c>
      <c r="R837" s="458">
        <f>+R836*$R$803/$R$802</f>
        <v>33379000</v>
      </c>
      <c r="S837" s="454"/>
      <c r="T837" s="454"/>
      <c r="U837" s="454"/>
      <c r="V837" s="458">
        <v>104596666.66666667</v>
      </c>
      <c r="W837" s="458">
        <v>62758000</v>
      </c>
      <c r="X837" s="458">
        <f>+X836*$X$803/$X$802</f>
        <v>44827142.857142858</v>
      </c>
      <c r="Y837" s="458">
        <f>+Y836*$Y$803/$Y$802</f>
        <v>34865555.555555552</v>
      </c>
      <c r="Z837" s="458">
        <f>+Z836*$Z$803/$Z$802</f>
        <v>57052727.272727273</v>
      </c>
      <c r="AA837" s="458">
        <f>+AA836*$AA$803/$AA$802</f>
        <v>48275384.615384616</v>
      </c>
      <c r="AB837" s="458">
        <f>+AB836*$AB$803/$AB$802</f>
        <v>43213866.666666664</v>
      </c>
      <c r="AC837" s="458">
        <f>+AC836*$AC$803/$AC$802</f>
        <v>39767058.823529415</v>
      </c>
      <c r="AD837" s="458">
        <f>+AD836*$AD$803/$AD$802</f>
        <v>34419578.947368421</v>
      </c>
      <c r="AE837" s="458">
        <f>+AE836*$AE$803/$AE$802</f>
        <v>33250340</v>
      </c>
      <c r="AF837" s="1313"/>
      <c r="AG837" s="1196"/>
      <c r="AH837" s="790"/>
      <c r="AI837" s="790"/>
      <c r="AJ837" s="790"/>
      <c r="AK837" s="794"/>
      <c r="AL837" s="790"/>
      <c r="AM837" s="790"/>
      <c r="AN837" s="785"/>
      <c r="AO837" s="785"/>
      <c r="AP837" s="785"/>
      <c r="AQ837" s="804"/>
      <c r="AR837" s="804"/>
      <c r="AS837" s="804"/>
      <c r="AT837" s="804"/>
      <c r="AU837" s="804"/>
      <c r="AV837" s="804"/>
      <c r="AW837" s="804"/>
      <c r="AX837" s="785"/>
      <c r="AY837" s="1304"/>
    </row>
    <row r="838" spans="1:51" ht="66" customHeight="1" x14ac:dyDescent="0.25">
      <c r="A838" s="1195"/>
      <c r="B838" s="833"/>
      <c r="C838" s="1197" t="s">
        <v>373</v>
      </c>
      <c r="D838" s="141" t="s">
        <v>41</v>
      </c>
      <c r="E838" s="251"/>
      <c r="F838" s="251"/>
      <c r="G838" s="458"/>
      <c r="H838" s="458"/>
      <c r="I838" s="458"/>
      <c r="J838" s="458"/>
      <c r="K838" s="458"/>
      <c r="L838" s="458"/>
      <c r="M838" s="458"/>
      <c r="N838" s="458"/>
      <c r="O838" s="458"/>
      <c r="P838" s="458"/>
      <c r="Q838" s="458"/>
      <c r="R838" s="458">
        <v>1</v>
      </c>
      <c r="S838" s="454" t="s">
        <v>1184</v>
      </c>
      <c r="T838" s="454"/>
      <c r="U838" s="454"/>
      <c r="V838" s="458"/>
      <c r="W838" s="458"/>
      <c r="X838" s="458"/>
      <c r="Y838" s="458"/>
      <c r="Z838" s="458"/>
      <c r="AA838" s="458"/>
      <c r="AB838" s="458"/>
      <c r="AC838" s="458"/>
      <c r="AD838" s="458"/>
      <c r="AE838" s="458">
        <v>1</v>
      </c>
      <c r="AF838" s="1312" t="s">
        <v>1184</v>
      </c>
      <c r="AG838" s="788" t="s">
        <v>373</v>
      </c>
      <c r="AH838" s="788" t="s">
        <v>1185</v>
      </c>
      <c r="AI838" s="788" t="s">
        <v>1186</v>
      </c>
      <c r="AJ838" s="788" t="s">
        <v>1187</v>
      </c>
      <c r="AK838" s="792" t="s">
        <v>315</v>
      </c>
      <c r="AL838" s="788" t="s">
        <v>225</v>
      </c>
      <c r="AM838" s="788" t="s">
        <v>547</v>
      </c>
      <c r="AN838" s="783">
        <v>444273.23446652899</v>
      </c>
      <c r="AO838" s="788">
        <v>0</v>
      </c>
      <c r="AP838" s="788">
        <v>5</v>
      </c>
      <c r="AQ838" s="802" t="s">
        <v>317</v>
      </c>
      <c r="AR838" s="802" t="s">
        <v>317</v>
      </c>
      <c r="AS838" s="802" t="s">
        <v>317</v>
      </c>
      <c r="AT838" s="802" t="s">
        <v>317</v>
      </c>
      <c r="AU838" s="802" t="s">
        <v>317</v>
      </c>
      <c r="AV838" s="802" t="s">
        <v>317</v>
      </c>
      <c r="AW838" s="802" t="s">
        <v>317</v>
      </c>
      <c r="AX838" s="783">
        <v>444273.23446652899</v>
      </c>
      <c r="AY838" s="1300" t="s">
        <v>595</v>
      </c>
    </row>
    <row r="839" spans="1:51" ht="27.75" customHeight="1" x14ac:dyDescent="0.25">
      <c r="A839" s="1195"/>
      <c r="B839" s="833"/>
      <c r="C839" s="1198"/>
      <c r="D839" s="132" t="s">
        <v>3</v>
      </c>
      <c r="E839" s="251"/>
      <c r="F839" s="251"/>
      <c r="G839" s="458"/>
      <c r="H839" s="458"/>
      <c r="I839" s="458"/>
      <c r="J839" s="458"/>
      <c r="K839" s="458"/>
      <c r="L839" s="458"/>
      <c r="M839" s="458"/>
      <c r="N839" s="458"/>
      <c r="O839" s="458"/>
      <c r="P839" s="458"/>
      <c r="Q839" s="458"/>
      <c r="R839" s="458">
        <f>+R838*$R$803/$R$802</f>
        <v>16689500</v>
      </c>
      <c r="S839" s="454"/>
      <c r="T839" s="454"/>
      <c r="U839" s="454"/>
      <c r="V839" s="458"/>
      <c r="W839" s="458"/>
      <c r="X839" s="458"/>
      <c r="Y839" s="458"/>
      <c r="Z839" s="458"/>
      <c r="AA839" s="458"/>
      <c r="AB839" s="458"/>
      <c r="AC839" s="458"/>
      <c r="AD839" s="458"/>
      <c r="AE839" s="458">
        <f>+AE838*$AE$803/$AE$802</f>
        <v>16625170</v>
      </c>
      <c r="AF839" s="1312"/>
      <c r="AG839" s="789"/>
      <c r="AH839" s="789"/>
      <c r="AI839" s="789"/>
      <c r="AJ839" s="789"/>
      <c r="AK839" s="793"/>
      <c r="AL839" s="789"/>
      <c r="AM839" s="789"/>
      <c r="AN839" s="784"/>
      <c r="AO839" s="789"/>
      <c r="AP839" s="789"/>
      <c r="AQ839" s="803"/>
      <c r="AR839" s="803"/>
      <c r="AS839" s="803"/>
      <c r="AT839" s="803"/>
      <c r="AU839" s="803"/>
      <c r="AV839" s="803"/>
      <c r="AW839" s="803"/>
      <c r="AX839" s="784"/>
      <c r="AY839" s="1302"/>
    </row>
    <row r="840" spans="1:51" ht="27.75" customHeight="1" x14ac:dyDescent="0.25">
      <c r="A840" s="1195"/>
      <c r="B840" s="833"/>
      <c r="C840" s="1198"/>
      <c r="D840" s="136" t="s">
        <v>42</v>
      </c>
      <c r="E840" s="251"/>
      <c r="F840" s="251"/>
      <c r="G840" s="458"/>
      <c r="H840" s="458"/>
      <c r="I840" s="458"/>
      <c r="J840" s="458"/>
      <c r="K840" s="458"/>
      <c r="L840" s="458"/>
      <c r="M840" s="458"/>
      <c r="N840" s="458"/>
      <c r="O840" s="458"/>
      <c r="P840" s="458"/>
      <c r="Q840" s="458"/>
      <c r="R840" s="458"/>
      <c r="S840" s="454"/>
      <c r="T840" s="454"/>
      <c r="U840" s="454"/>
      <c r="V840" s="458"/>
      <c r="W840" s="458"/>
      <c r="X840" s="458"/>
      <c r="Y840" s="458"/>
      <c r="Z840" s="458"/>
      <c r="AA840" s="458"/>
      <c r="AB840" s="458"/>
      <c r="AC840" s="458"/>
      <c r="AD840" s="458"/>
      <c r="AE840" s="458"/>
      <c r="AF840" s="1312"/>
      <c r="AG840" s="789"/>
      <c r="AH840" s="789"/>
      <c r="AI840" s="789"/>
      <c r="AJ840" s="789"/>
      <c r="AK840" s="793"/>
      <c r="AL840" s="789"/>
      <c r="AM840" s="789"/>
      <c r="AN840" s="784"/>
      <c r="AO840" s="789"/>
      <c r="AP840" s="789"/>
      <c r="AQ840" s="803"/>
      <c r="AR840" s="803"/>
      <c r="AS840" s="803"/>
      <c r="AT840" s="803"/>
      <c r="AU840" s="803"/>
      <c r="AV840" s="803"/>
      <c r="AW840" s="803"/>
      <c r="AX840" s="784"/>
      <c r="AY840" s="1302"/>
    </row>
    <row r="841" spans="1:51" ht="27.75" customHeight="1" x14ac:dyDescent="0.25">
      <c r="A841" s="1195"/>
      <c r="B841" s="833"/>
      <c r="C841" s="1198"/>
      <c r="D841" s="132" t="s">
        <v>4</v>
      </c>
      <c r="E841" s="251"/>
      <c r="F841" s="251"/>
      <c r="G841" s="458"/>
      <c r="H841" s="458"/>
      <c r="I841" s="458"/>
      <c r="J841" s="458"/>
      <c r="K841" s="458"/>
      <c r="L841" s="458"/>
      <c r="M841" s="458"/>
      <c r="N841" s="458"/>
      <c r="O841" s="458"/>
      <c r="P841" s="458"/>
      <c r="Q841" s="458"/>
      <c r="R841" s="458"/>
      <c r="S841" s="454"/>
      <c r="T841" s="454"/>
      <c r="U841" s="454"/>
      <c r="V841" s="458"/>
      <c r="W841" s="458"/>
      <c r="X841" s="458"/>
      <c r="Y841" s="458"/>
      <c r="Z841" s="458"/>
      <c r="AA841" s="458"/>
      <c r="AB841" s="458"/>
      <c r="AC841" s="458"/>
      <c r="AD841" s="458"/>
      <c r="AE841" s="458"/>
      <c r="AF841" s="1312"/>
      <c r="AG841" s="789"/>
      <c r="AH841" s="789"/>
      <c r="AI841" s="789"/>
      <c r="AJ841" s="789"/>
      <c r="AK841" s="793"/>
      <c r="AL841" s="789"/>
      <c r="AM841" s="789"/>
      <c r="AN841" s="784"/>
      <c r="AO841" s="789"/>
      <c r="AP841" s="789"/>
      <c r="AQ841" s="803"/>
      <c r="AR841" s="803"/>
      <c r="AS841" s="803"/>
      <c r="AT841" s="803"/>
      <c r="AU841" s="803"/>
      <c r="AV841" s="803"/>
      <c r="AW841" s="803"/>
      <c r="AX841" s="784"/>
      <c r="AY841" s="1302"/>
    </row>
    <row r="842" spans="1:51" ht="27.75" customHeight="1" x14ac:dyDescent="0.25">
      <c r="A842" s="1195"/>
      <c r="B842" s="833"/>
      <c r="C842" s="1198"/>
      <c r="D842" s="136" t="s">
        <v>43</v>
      </c>
      <c r="E842" s="251"/>
      <c r="F842" s="251"/>
      <c r="G842" s="458"/>
      <c r="H842" s="458"/>
      <c r="I842" s="458"/>
      <c r="J842" s="458"/>
      <c r="K842" s="458"/>
      <c r="L842" s="458"/>
      <c r="M842" s="458"/>
      <c r="N842" s="458"/>
      <c r="O842" s="458"/>
      <c r="P842" s="458"/>
      <c r="Q842" s="458"/>
      <c r="R842" s="458">
        <v>1</v>
      </c>
      <c r="S842" s="454"/>
      <c r="T842" s="454"/>
      <c r="U842" s="454"/>
      <c r="V842" s="458"/>
      <c r="W842" s="458"/>
      <c r="X842" s="458"/>
      <c r="Y842" s="458"/>
      <c r="Z842" s="458"/>
      <c r="AA842" s="458"/>
      <c r="AB842" s="458"/>
      <c r="AC842" s="458"/>
      <c r="AD842" s="458"/>
      <c r="AE842" s="458">
        <v>1</v>
      </c>
      <c r="AF842" s="1312"/>
      <c r="AG842" s="789"/>
      <c r="AH842" s="789"/>
      <c r="AI842" s="789"/>
      <c r="AJ842" s="789"/>
      <c r="AK842" s="793"/>
      <c r="AL842" s="789"/>
      <c r="AM842" s="789"/>
      <c r="AN842" s="784"/>
      <c r="AO842" s="789"/>
      <c r="AP842" s="789"/>
      <c r="AQ842" s="803"/>
      <c r="AR842" s="803"/>
      <c r="AS842" s="803"/>
      <c r="AT842" s="803"/>
      <c r="AU842" s="803"/>
      <c r="AV842" s="803"/>
      <c r="AW842" s="803"/>
      <c r="AX842" s="784"/>
      <c r="AY842" s="1302"/>
    </row>
    <row r="843" spans="1:51" ht="27.75" customHeight="1" thickBot="1" x14ac:dyDescent="0.3">
      <c r="A843" s="1195"/>
      <c r="B843" s="833"/>
      <c r="C843" s="1199"/>
      <c r="D843" s="140" t="s">
        <v>45</v>
      </c>
      <c r="E843" s="251"/>
      <c r="F843" s="251"/>
      <c r="G843" s="458"/>
      <c r="H843" s="458"/>
      <c r="I843" s="458"/>
      <c r="J843" s="458"/>
      <c r="K843" s="458"/>
      <c r="L843" s="458"/>
      <c r="M843" s="458"/>
      <c r="N843" s="458"/>
      <c r="O843" s="458"/>
      <c r="P843" s="458"/>
      <c r="Q843" s="458"/>
      <c r="R843" s="458">
        <f>+R842*$R$803/$R$802</f>
        <v>16689500</v>
      </c>
      <c r="S843" s="454"/>
      <c r="T843" s="454"/>
      <c r="U843" s="454"/>
      <c r="V843" s="458"/>
      <c r="W843" s="458"/>
      <c r="X843" s="458"/>
      <c r="Y843" s="458"/>
      <c r="Z843" s="458"/>
      <c r="AA843" s="458"/>
      <c r="AB843" s="458"/>
      <c r="AC843" s="458"/>
      <c r="AD843" s="458"/>
      <c r="AE843" s="458">
        <f>+AE842*$AE$803/$AE$802</f>
        <v>16625170</v>
      </c>
      <c r="AF843" s="1313"/>
      <c r="AG843" s="790"/>
      <c r="AH843" s="790"/>
      <c r="AI843" s="790"/>
      <c r="AJ843" s="790"/>
      <c r="AK843" s="794"/>
      <c r="AL843" s="790"/>
      <c r="AM843" s="790"/>
      <c r="AN843" s="785"/>
      <c r="AO843" s="790"/>
      <c r="AP843" s="790"/>
      <c r="AQ843" s="804"/>
      <c r="AR843" s="804"/>
      <c r="AS843" s="804"/>
      <c r="AT843" s="804"/>
      <c r="AU843" s="804"/>
      <c r="AV843" s="804"/>
      <c r="AW843" s="804"/>
      <c r="AX843" s="785"/>
      <c r="AY843" s="1304"/>
    </row>
    <row r="844" spans="1:51" ht="36" customHeight="1" x14ac:dyDescent="0.25">
      <c r="A844" s="1195"/>
      <c r="B844" s="833"/>
      <c r="C844" s="1197" t="s">
        <v>1308</v>
      </c>
      <c r="D844" s="141" t="s">
        <v>41</v>
      </c>
      <c r="E844" s="251"/>
      <c r="F844" s="251"/>
      <c r="G844" s="458"/>
      <c r="H844" s="458">
        <v>1</v>
      </c>
      <c r="I844" s="458">
        <v>1</v>
      </c>
      <c r="J844" s="458">
        <v>1</v>
      </c>
      <c r="K844" s="458">
        <v>1</v>
      </c>
      <c r="L844" s="458">
        <v>2</v>
      </c>
      <c r="M844" s="459">
        <v>2</v>
      </c>
      <c r="N844" s="455">
        <v>2</v>
      </c>
      <c r="O844" s="458">
        <v>2</v>
      </c>
      <c r="P844" s="458">
        <v>2</v>
      </c>
      <c r="Q844" s="458">
        <v>2</v>
      </c>
      <c r="R844" s="454">
        <v>2</v>
      </c>
      <c r="S844" s="454"/>
      <c r="T844" s="454"/>
      <c r="U844" s="454">
        <v>1</v>
      </c>
      <c r="V844" s="454">
        <v>1</v>
      </c>
      <c r="W844" s="454">
        <v>1</v>
      </c>
      <c r="X844" s="454">
        <v>1</v>
      </c>
      <c r="Y844" s="454">
        <v>2</v>
      </c>
      <c r="Z844" s="454">
        <v>2</v>
      </c>
      <c r="AA844" s="455">
        <v>2</v>
      </c>
      <c r="AB844" s="1254">
        <v>2</v>
      </c>
      <c r="AC844" s="1305">
        <v>2</v>
      </c>
      <c r="AD844" s="1306">
        <v>2</v>
      </c>
      <c r="AE844" s="454">
        <v>2</v>
      </c>
      <c r="AF844" s="1311" t="s">
        <v>1298</v>
      </c>
      <c r="AG844" s="1194" t="s">
        <v>361</v>
      </c>
      <c r="AH844" s="788" t="s">
        <v>824</v>
      </c>
      <c r="AI844" s="788" t="s">
        <v>825</v>
      </c>
      <c r="AJ844" s="788" t="s">
        <v>823</v>
      </c>
      <c r="AK844" s="792" t="s">
        <v>315</v>
      </c>
      <c r="AL844" s="788" t="s">
        <v>225</v>
      </c>
      <c r="AM844" s="788" t="s">
        <v>547</v>
      </c>
      <c r="AN844" s="783">
        <v>1080200</v>
      </c>
      <c r="AO844" s="783">
        <v>517025</v>
      </c>
      <c r="AP844" s="783">
        <v>563175</v>
      </c>
      <c r="AQ844" s="802" t="s">
        <v>317</v>
      </c>
      <c r="AR844" s="802" t="s">
        <v>317</v>
      </c>
      <c r="AS844" s="802" t="s">
        <v>317</v>
      </c>
      <c r="AT844" s="802" t="s">
        <v>317</v>
      </c>
      <c r="AU844" s="802" t="s">
        <v>317</v>
      </c>
      <c r="AV844" s="802" t="s">
        <v>317</v>
      </c>
      <c r="AW844" s="802" t="s">
        <v>317</v>
      </c>
      <c r="AX844" s="783">
        <v>1080200</v>
      </c>
      <c r="AY844" s="1300" t="s">
        <v>595</v>
      </c>
    </row>
    <row r="845" spans="1:51" ht="18" x14ac:dyDescent="0.25">
      <c r="A845" s="1195"/>
      <c r="B845" s="833"/>
      <c r="C845" s="1198"/>
      <c r="D845" s="132" t="s">
        <v>3</v>
      </c>
      <c r="E845" s="251"/>
      <c r="F845" s="251"/>
      <c r="G845" s="458"/>
      <c r="H845" s="458">
        <v>17491950</v>
      </c>
      <c r="I845" s="458">
        <v>17491950</v>
      </c>
      <c r="J845" s="458">
        <v>15689500</v>
      </c>
      <c r="K845" s="458">
        <f>+K844*$K$803/$K$802</f>
        <v>15689500</v>
      </c>
      <c r="L845" s="458">
        <f>+L844*$L$803/$L$802</f>
        <v>33379000</v>
      </c>
      <c r="M845" s="458">
        <f>+M844*$M$803/$M$802</f>
        <v>31379000</v>
      </c>
      <c r="N845" s="458">
        <f>+N844*$N$803/$N$802</f>
        <v>33379000</v>
      </c>
      <c r="O845" s="458">
        <f>+O844*$O$803/$O$802</f>
        <v>33379000</v>
      </c>
      <c r="P845" s="458">
        <f>+P844*$P$803/$P$802</f>
        <v>33379000</v>
      </c>
      <c r="Q845" s="458">
        <f>+Q844*$Q$803/$Q$802</f>
        <v>33379000</v>
      </c>
      <c r="R845" s="458">
        <f>+R844*$R$803/$R$802</f>
        <v>33379000</v>
      </c>
      <c r="S845" s="454"/>
      <c r="T845" s="454"/>
      <c r="U845" s="458">
        <v>156895000</v>
      </c>
      <c r="V845" s="458">
        <v>104596666.66666667</v>
      </c>
      <c r="W845" s="458">
        <v>62758000</v>
      </c>
      <c r="X845" s="458">
        <f>+X844*$X$803/$X$802</f>
        <v>44827142.857142858</v>
      </c>
      <c r="Y845" s="458">
        <f>+Y844*$Y$803/$Y$802</f>
        <v>69731111.111111104</v>
      </c>
      <c r="Z845" s="458">
        <f>+Z844*$Z$803/$Z$802</f>
        <v>57052727.272727273</v>
      </c>
      <c r="AA845" s="458">
        <f>+AA844*$AA$803/$AA$802</f>
        <v>48275384.615384616</v>
      </c>
      <c r="AB845" s="458">
        <f>+AB844*$AB$803/$AB$802</f>
        <v>43213866.666666664</v>
      </c>
      <c r="AC845" s="458">
        <f>+AC844*$AC$803/$AC$802</f>
        <v>39767058.823529415</v>
      </c>
      <c r="AD845" s="458">
        <f>+AD844*$AD$803/$AD$802</f>
        <v>34419578.947368421</v>
      </c>
      <c r="AE845" s="458">
        <f>+AE844*$AE$803/$AE$802</f>
        <v>33250340</v>
      </c>
      <c r="AF845" s="1312"/>
      <c r="AG845" s="1195"/>
      <c r="AH845" s="789"/>
      <c r="AI845" s="789"/>
      <c r="AJ845" s="789"/>
      <c r="AK845" s="793"/>
      <c r="AL845" s="789"/>
      <c r="AM845" s="789"/>
      <c r="AN845" s="784"/>
      <c r="AO845" s="784"/>
      <c r="AP845" s="784"/>
      <c r="AQ845" s="803"/>
      <c r="AR845" s="803"/>
      <c r="AS845" s="803"/>
      <c r="AT845" s="803"/>
      <c r="AU845" s="803"/>
      <c r="AV845" s="803"/>
      <c r="AW845" s="803"/>
      <c r="AX845" s="784"/>
      <c r="AY845" s="1302"/>
    </row>
    <row r="846" spans="1:51" ht="27" x14ac:dyDescent="0.25">
      <c r="A846" s="1195"/>
      <c r="B846" s="833"/>
      <c r="C846" s="1198"/>
      <c r="D846" s="136" t="s">
        <v>42</v>
      </c>
      <c r="E846" s="251"/>
      <c r="F846" s="251"/>
      <c r="G846" s="458"/>
      <c r="H846" s="458"/>
      <c r="I846" s="458"/>
      <c r="J846" s="458"/>
      <c r="K846" s="458"/>
      <c r="L846" s="458"/>
      <c r="M846" s="459"/>
      <c r="N846" s="455"/>
      <c r="O846" s="458"/>
      <c r="P846" s="458"/>
      <c r="Q846" s="458"/>
      <c r="R846" s="454"/>
      <c r="S846" s="454"/>
      <c r="T846" s="454"/>
      <c r="U846" s="454"/>
      <c r="V846" s="454"/>
      <c r="W846" s="454"/>
      <c r="X846" s="454"/>
      <c r="Y846" s="454"/>
      <c r="Z846" s="454"/>
      <c r="AA846" s="455"/>
      <c r="AB846" s="1254"/>
      <c r="AC846" s="1305"/>
      <c r="AD846" s="1306"/>
      <c r="AE846" s="454"/>
      <c r="AF846" s="1312"/>
      <c r="AG846" s="1195"/>
      <c r="AH846" s="789"/>
      <c r="AI846" s="789"/>
      <c r="AJ846" s="789"/>
      <c r="AK846" s="793"/>
      <c r="AL846" s="789"/>
      <c r="AM846" s="789"/>
      <c r="AN846" s="784"/>
      <c r="AO846" s="784"/>
      <c r="AP846" s="784"/>
      <c r="AQ846" s="803"/>
      <c r="AR846" s="803"/>
      <c r="AS846" s="803"/>
      <c r="AT846" s="803"/>
      <c r="AU846" s="803"/>
      <c r="AV846" s="803"/>
      <c r="AW846" s="803"/>
      <c r="AX846" s="784"/>
      <c r="AY846" s="1302"/>
    </row>
    <row r="847" spans="1:51" ht="28.9" customHeight="1" x14ac:dyDescent="0.25">
      <c r="A847" s="1195"/>
      <c r="B847" s="833"/>
      <c r="C847" s="1198"/>
      <c r="D847" s="132" t="s">
        <v>4</v>
      </c>
      <c r="E847" s="251"/>
      <c r="F847" s="251"/>
      <c r="G847" s="458"/>
      <c r="H847" s="454">
        <v>15437116.5</v>
      </c>
      <c r="I847" s="458"/>
      <c r="J847" s="458"/>
      <c r="K847" s="458"/>
      <c r="L847" s="458"/>
      <c r="M847" s="459"/>
      <c r="N847" s="455"/>
      <c r="O847" s="458"/>
      <c r="P847" s="458"/>
      <c r="Q847" s="458"/>
      <c r="R847" s="454"/>
      <c r="S847" s="454"/>
      <c r="T847" s="454"/>
      <c r="U847" s="454">
        <v>15437116.5</v>
      </c>
      <c r="V847" s="454"/>
      <c r="W847" s="454"/>
      <c r="X847" s="454"/>
      <c r="Y847" s="454"/>
      <c r="Z847" s="454"/>
      <c r="AA847" s="455"/>
      <c r="AB847" s="1254"/>
      <c r="AC847" s="1305"/>
      <c r="AD847" s="1306"/>
      <c r="AE847" s="454"/>
      <c r="AF847" s="1312"/>
      <c r="AG847" s="1195"/>
      <c r="AH847" s="789"/>
      <c r="AI847" s="789"/>
      <c r="AJ847" s="789"/>
      <c r="AK847" s="793"/>
      <c r="AL847" s="789"/>
      <c r="AM847" s="789"/>
      <c r="AN847" s="784"/>
      <c r="AO847" s="784"/>
      <c r="AP847" s="784"/>
      <c r="AQ847" s="803"/>
      <c r="AR847" s="803"/>
      <c r="AS847" s="803"/>
      <c r="AT847" s="803"/>
      <c r="AU847" s="803"/>
      <c r="AV847" s="803"/>
      <c r="AW847" s="803"/>
      <c r="AX847" s="784"/>
      <c r="AY847" s="1302"/>
    </row>
    <row r="848" spans="1:51" ht="27" x14ac:dyDescent="0.25">
      <c r="A848" s="1195"/>
      <c r="B848" s="833"/>
      <c r="C848" s="1198"/>
      <c r="D848" s="136" t="s">
        <v>43</v>
      </c>
      <c r="E848" s="251"/>
      <c r="F848" s="251"/>
      <c r="G848" s="458"/>
      <c r="H848" s="458">
        <v>1</v>
      </c>
      <c r="I848" s="458">
        <v>1</v>
      </c>
      <c r="J848" s="458">
        <v>1</v>
      </c>
      <c r="K848" s="458">
        <v>1</v>
      </c>
      <c r="L848" s="458">
        <v>2</v>
      </c>
      <c r="M848" s="459">
        <v>2</v>
      </c>
      <c r="N848" s="455">
        <v>2</v>
      </c>
      <c r="O848" s="458">
        <v>2</v>
      </c>
      <c r="P848" s="458">
        <v>2</v>
      </c>
      <c r="Q848" s="458">
        <v>2</v>
      </c>
      <c r="R848" s="454">
        <v>2</v>
      </c>
      <c r="S848" s="454"/>
      <c r="T848" s="454"/>
      <c r="U848" s="454">
        <v>1</v>
      </c>
      <c r="V848" s="454">
        <v>1</v>
      </c>
      <c r="W848" s="454">
        <v>1</v>
      </c>
      <c r="X848" s="454">
        <v>1</v>
      </c>
      <c r="Y848" s="454">
        <v>2</v>
      </c>
      <c r="Z848" s="454">
        <v>2</v>
      </c>
      <c r="AA848" s="455">
        <v>2</v>
      </c>
      <c r="AB848" s="1254">
        <v>2</v>
      </c>
      <c r="AC848" s="1305">
        <v>2</v>
      </c>
      <c r="AD848" s="1306">
        <v>2</v>
      </c>
      <c r="AE848" s="454">
        <v>2</v>
      </c>
      <c r="AF848" s="1312"/>
      <c r="AG848" s="1195"/>
      <c r="AH848" s="789"/>
      <c r="AI848" s="789"/>
      <c r="AJ848" s="789"/>
      <c r="AK848" s="793"/>
      <c r="AL848" s="789"/>
      <c r="AM848" s="789"/>
      <c r="AN848" s="784"/>
      <c r="AO848" s="784"/>
      <c r="AP848" s="784"/>
      <c r="AQ848" s="803"/>
      <c r="AR848" s="803"/>
      <c r="AS848" s="803"/>
      <c r="AT848" s="803"/>
      <c r="AU848" s="803"/>
      <c r="AV848" s="803"/>
      <c r="AW848" s="803"/>
      <c r="AX848" s="784"/>
      <c r="AY848" s="1302"/>
    </row>
    <row r="849" spans="1:144" ht="27.75" thickBot="1" x14ac:dyDescent="0.3">
      <c r="A849" s="1195"/>
      <c r="B849" s="833"/>
      <c r="C849" s="1199"/>
      <c r="D849" s="140" t="s">
        <v>45</v>
      </c>
      <c r="E849" s="251"/>
      <c r="F849" s="251"/>
      <c r="G849" s="458"/>
      <c r="H849" s="458">
        <v>17491950</v>
      </c>
      <c r="I849" s="458">
        <v>17491950</v>
      </c>
      <c r="J849" s="458">
        <v>15689500</v>
      </c>
      <c r="K849" s="458">
        <f>+K848*$K$803/$K$802</f>
        <v>15689500</v>
      </c>
      <c r="L849" s="458">
        <f>+L848*$L$803/$L$802</f>
        <v>33379000</v>
      </c>
      <c r="M849" s="458">
        <f>+M848*$M$803/$M$802</f>
        <v>31379000</v>
      </c>
      <c r="N849" s="458">
        <f>+N848*$N$803/$N$802</f>
        <v>33379000</v>
      </c>
      <c r="O849" s="458">
        <f>+O848*$O$803/$O$802</f>
        <v>33379000</v>
      </c>
      <c r="P849" s="458">
        <f>+P848*$P$803/$P$802</f>
        <v>33379000</v>
      </c>
      <c r="Q849" s="458">
        <f>+Q848*$Q$803/$Q$802</f>
        <v>33379000</v>
      </c>
      <c r="R849" s="458">
        <f>+R848*$R$803/$R$802</f>
        <v>33379000</v>
      </c>
      <c r="S849" s="454"/>
      <c r="T849" s="454"/>
      <c r="U849" s="458">
        <v>156895000</v>
      </c>
      <c r="V849" s="458">
        <v>104596666.66666667</v>
      </c>
      <c r="W849" s="458">
        <v>62758000</v>
      </c>
      <c r="X849" s="458">
        <f>+X848*$X$803/$X$802</f>
        <v>44827142.857142858</v>
      </c>
      <c r="Y849" s="458">
        <f>+Y848*$Y$803/$Y$802</f>
        <v>69731111.111111104</v>
      </c>
      <c r="Z849" s="458">
        <f>+Z848*$Z$803/$Z$802</f>
        <v>57052727.272727273</v>
      </c>
      <c r="AA849" s="458">
        <f>+AA848*$AA$803/$AA$802</f>
        <v>48275384.615384616</v>
      </c>
      <c r="AB849" s="458">
        <f>+AB848*$AB$803/$AB$802</f>
        <v>43213866.666666664</v>
      </c>
      <c r="AC849" s="458">
        <f>+AC848*$AC$803/$AC$802</f>
        <v>39767058.823529415</v>
      </c>
      <c r="AD849" s="458">
        <f>+AD848*$AD$803/$AD$802</f>
        <v>34419578.947368421</v>
      </c>
      <c r="AE849" s="458">
        <f>+AE848*$AE$803/$AE$802</f>
        <v>33250340</v>
      </c>
      <c r="AF849" s="1313"/>
      <c r="AG849" s="1196"/>
      <c r="AH849" s="790"/>
      <c r="AI849" s="790"/>
      <c r="AJ849" s="790"/>
      <c r="AK849" s="794"/>
      <c r="AL849" s="790"/>
      <c r="AM849" s="790"/>
      <c r="AN849" s="785"/>
      <c r="AO849" s="785"/>
      <c r="AP849" s="785"/>
      <c r="AQ849" s="804"/>
      <c r="AR849" s="804"/>
      <c r="AS849" s="804"/>
      <c r="AT849" s="804"/>
      <c r="AU849" s="804"/>
      <c r="AV849" s="804"/>
      <c r="AW849" s="804"/>
      <c r="AX849" s="785"/>
      <c r="AY849" s="1304"/>
    </row>
    <row r="850" spans="1:144" ht="78" customHeight="1" x14ac:dyDescent="0.25">
      <c r="A850" s="1195"/>
      <c r="B850" s="833"/>
      <c r="C850" s="1197" t="s">
        <v>1312</v>
      </c>
      <c r="D850" s="141" t="s">
        <v>41</v>
      </c>
      <c r="E850" s="251"/>
      <c r="F850" s="461"/>
      <c r="G850" s="458"/>
      <c r="H850" s="458"/>
      <c r="I850" s="458"/>
      <c r="J850" s="458"/>
      <c r="K850" s="458"/>
      <c r="L850" s="458">
        <v>1</v>
      </c>
      <c r="M850" s="459">
        <v>1</v>
      </c>
      <c r="N850" s="455">
        <v>2</v>
      </c>
      <c r="O850" s="458">
        <v>3</v>
      </c>
      <c r="P850" s="458">
        <v>4</v>
      </c>
      <c r="Q850" s="458">
        <v>4</v>
      </c>
      <c r="R850" s="458">
        <v>4</v>
      </c>
      <c r="S850" s="454"/>
      <c r="T850" s="454"/>
      <c r="U850" s="458"/>
      <c r="V850" s="458"/>
      <c r="W850" s="458"/>
      <c r="X850" s="458"/>
      <c r="Y850" s="454">
        <v>1</v>
      </c>
      <c r="Z850" s="454">
        <v>1</v>
      </c>
      <c r="AA850" s="455">
        <v>2</v>
      </c>
      <c r="AB850" s="1254">
        <v>3</v>
      </c>
      <c r="AC850" s="458">
        <v>4</v>
      </c>
      <c r="AD850" s="458">
        <v>4</v>
      </c>
      <c r="AE850" s="458">
        <v>4</v>
      </c>
      <c r="AF850" s="1278" t="s">
        <v>1299</v>
      </c>
      <c r="AG850" s="1194" t="s">
        <v>386</v>
      </c>
      <c r="AH850" s="788" t="s">
        <v>963</v>
      </c>
      <c r="AI850" s="788" t="s">
        <v>964</v>
      </c>
      <c r="AJ850" s="788" t="s">
        <v>962</v>
      </c>
      <c r="AK850" s="792" t="s">
        <v>315</v>
      </c>
      <c r="AL850" s="788" t="s">
        <v>225</v>
      </c>
      <c r="AM850" s="788" t="s">
        <v>547</v>
      </c>
      <c r="AN850" s="788">
        <v>153162</v>
      </c>
      <c r="AO850" s="788">
        <v>71661</v>
      </c>
      <c r="AP850" s="788">
        <v>81501</v>
      </c>
      <c r="AQ850" s="802" t="s">
        <v>317</v>
      </c>
      <c r="AR850" s="802" t="s">
        <v>921</v>
      </c>
      <c r="AS850" s="802">
        <v>1</v>
      </c>
      <c r="AT850" s="802" t="s">
        <v>317</v>
      </c>
      <c r="AU850" s="802" t="s">
        <v>317</v>
      </c>
      <c r="AV850" s="802" t="s">
        <v>317</v>
      </c>
      <c r="AW850" s="802" t="s">
        <v>317</v>
      </c>
      <c r="AX850" s="788">
        <v>153162</v>
      </c>
      <c r="AY850" s="1300" t="s">
        <v>595</v>
      </c>
    </row>
    <row r="851" spans="1:144" ht="18" x14ac:dyDescent="0.25">
      <c r="A851" s="1195"/>
      <c r="B851" s="833"/>
      <c r="C851" s="1198"/>
      <c r="D851" s="132" t="s">
        <v>3</v>
      </c>
      <c r="E851" s="251"/>
      <c r="F851" s="461"/>
      <c r="G851" s="458"/>
      <c r="H851" s="458"/>
      <c r="I851" s="458"/>
      <c r="J851" s="458"/>
      <c r="K851" s="458"/>
      <c r="L851" s="458">
        <f>+L850*$L$803/$L$802</f>
        <v>16689500</v>
      </c>
      <c r="M851" s="458">
        <f>+M850*$M$803/$M$802</f>
        <v>15689500</v>
      </c>
      <c r="N851" s="458">
        <f>+N850*$N$803/$N$802</f>
        <v>33379000</v>
      </c>
      <c r="O851" s="458">
        <f>+O850*$O$803/$O$802</f>
        <v>50068500</v>
      </c>
      <c r="P851" s="458">
        <f>+P850*$P$803/$P$802</f>
        <v>66758000</v>
      </c>
      <c r="Q851" s="458">
        <f>+Q850*$Q$803/$Q$802</f>
        <v>66758000</v>
      </c>
      <c r="R851" s="458">
        <f>+R850*$R$803/$R$802</f>
        <v>66758000</v>
      </c>
      <c r="S851" s="454"/>
      <c r="T851" s="454"/>
      <c r="U851" s="458"/>
      <c r="V851" s="458"/>
      <c r="W851" s="458"/>
      <c r="X851" s="458"/>
      <c r="Y851" s="458">
        <f>+Y850*$Y$803/$Y$802</f>
        <v>34865555.555555552</v>
      </c>
      <c r="Z851" s="458">
        <f>+Z850*$Z$803/$Z$802</f>
        <v>28526363.636363637</v>
      </c>
      <c r="AA851" s="458">
        <f>+AA850*$AA$803/$AA$802</f>
        <v>48275384.615384616</v>
      </c>
      <c r="AB851" s="458">
        <f>+AB850*$AB$803/$AB$802</f>
        <v>64820800</v>
      </c>
      <c r="AC851" s="458">
        <f>+AC850*$AC$803/$AC$802</f>
        <v>79534117.64705883</v>
      </c>
      <c r="AD851" s="458">
        <f>+AD850*$AD$803/$AD$802</f>
        <v>68839157.894736841</v>
      </c>
      <c r="AE851" s="458">
        <f>+AE850*$AE$803/$AE$802</f>
        <v>66500680</v>
      </c>
      <c r="AF851" s="1283"/>
      <c r="AG851" s="1195"/>
      <c r="AH851" s="789"/>
      <c r="AI851" s="789"/>
      <c r="AJ851" s="789"/>
      <c r="AK851" s="793"/>
      <c r="AL851" s="789"/>
      <c r="AM851" s="789"/>
      <c r="AN851" s="789"/>
      <c r="AO851" s="789"/>
      <c r="AP851" s="789"/>
      <c r="AQ851" s="803"/>
      <c r="AR851" s="803"/>
      <c r="AS851" s="803"/>
      <c r="AT851" s="803"/>
      <c r="AU851" s="803"/>
      <c r="AV851" s="803"/>
      <c r="AW851" s="803"/>
      <c r="AX851" s="789"/>
      <c r="AY851" s="1302"/>
    </row>
    <row r="852" spans="1:144" ht="27" x14ac:dyDescent="0.25">
      <c r="A852" s="1195"/>
      <c r="B852" s="833"/>
      <c r="C852" s="1198"/>
      <c r="D852" s="136" t="s">
        <v>42</v>
      </c>
      <c r="E852" s="251"/>
      <c r="F852" s="461"/>
      <c r="G852" s="458"/>
      <c r="H852" s="458"/>
      <c r="I852" s="458"/>
      <c r="J852" s="458"/>
      <c r="K852" s="458"/>
      <c r="L852" s="458"/>
      <c r="M852" s="459"/>
      <c r="N852" s="455"/>
      <c r="O852" s="458"/>
      <c r="P852" s="458"/>
      <c r="Q852" s="458"/>
      <c r="R852" s="458"/>
      <c r="S852" s="454"/>
      <c r="T852" s="454"/>
      <c r="U852" s="458"/>
      <c r="V852" s="458"/>
      <c r="W852" s="458"/>
      <c r="X852" s="458"/>
      <c r="Y852" s="454"/>
      <c r="Z852" s="454"/>
      <c r="AA852" s="455"/>
      <c r="AB852" s="1254"/>
      <c r="AC852" s="458"/>
      <c r="AD852" s="458"/>
      <c r="AE852" s="458"/>
      <c r="AF852" s="1283"/>
      <c r="AG852" s="1195"/>
      <c r="AH852" s="789"/>
      <c r="AI852" s="789"/>
      <c r="AJ852" s="789"/>
      <c r="AK852" s="793"/>
      <c r="AL852" s="789"/>
      <c r="AM852" s="789"/>
      <c r="AN852" s="789"/>
      <c r="AO852" s="789"/>
      <c r="AP852" s="789"/>
      <c r="AQ852" s="803"/>
      <c r="AR852" s="803"/>
      <c r="AS852" s="803"/>
      <c r="AT852" s="803"/>
      <c r="AU852" s="803"/>
      <c r="AV852" s="803"/>
      <c r="AW852" s="803"/>
      <c r="AX852" s="789"/>
      <c r="AY852" s="1302"/>
    </row>
    <row r="853" spans="1:144" ht="19.149999999999999" customHeight="1" x14ac:dyDescent="0.25">
      <c r="A853" s="1195"/>
      <c r="B853" s="833"/>
      <c r="C853" s="1198"/>
      <c r="D853" s="132" t="s">
        <v>4</v>
      </c>
      <c r="E853" s="251"/>
      <c r="F853" s="461"/>
      <c r="G853" s="458"/>
      <c r="H853" s="458"/>
      <c r="I853" s="458"/>
      <c r="J853" s="458"/>
      <c r="K853" s="458"/>
      <c r="L853" s="458"/>
      <c r="M853" s="459"/>
      <c r="N853" s="455"/>
      <c r="O853" s="458"/>
      <c r="P853" s="458"/>
      <c r="Q853" s="458"/>
      <c r="R853" s="458"/>
      <c r="S853" s="454"/>
      <c r="T853" s="454"/>
      <c r="U853" s="458"/>
      <c r="V853" s="458"/>
      <c r="W853" s="458"/>
      <c r="X853" s="458"/>
      <c r="Y853" s="454"/>
      <c r="Z853" s="454"/>
      <c r="AA853" s="455"/>
      <c r="AB853" s="1254"/>
      <c r="AC853" s="458"/>
      <c r="AD853" s="458"/>
      <c r="AE853" s="458"/>
      <c r="AF853" s="1283"/>
      <c r="AG853" s="1195"/>
      <c r="AH853" s="789"/>
      <c r="AI853" s="789"/>
      <c r="AJ853" s="789"/>
      <c r="AK853" s="793"/>
      <c r="AL853" s="789"/>
      <c r="AM853" s="789"/>
      <c r="AN853" s="789"/>
      <c r="AO853" s="789"/>
      <c r="AP853" s="789"/>
      <c r="AQ853" s="803"/>
      <c r="AR853" s="803"/>
      <c r="AS853" s="803"/>
      <c r="AT853" s="803"/>
      <c r="AU853" s="803"/>
      <c r="AV853" s="803"/>
      <c r="AW853" s="803"/>
      <c r="AX853" s="789"/>
      <c r="AY853" s="1302"/>
    </row>
    <row r="854" spans="1:144" ht="27" x14ac:dyDescent="0.25">
      <c r="A854" s="1195"/>
      <c r="B854" s="833"/>
      <c r="C854" s="1198"/>
      <c r="D854" s="136" t="s">
        <v>43</v>
      </c>
      <c r="E854" s="251"/>
      <c r="F854" s="461"/>
      <c r="G854" s="458"/>
      <c r="H854" s="458"/>
      <c r="I854" s="458"/>
      <c r="J854" s="458"/>
      <c r="K854" s="458"/>
      <c r="L854" s="458">
        <v>1</v>
      </c>
      <c r="M854" s="459">
        <v>1</v>
      </c>
      <c r="N854" s="455">
        <v>2</v>
      </c>
      <c r="O854" s="458">
        <v>3</v>
      </c>
      <c r="P854" s="458">
        <v>4</v>
      </c>
      <c r="Q854" s="458">
        <v>4</v>
      </c>
      <c r="R854" s="458">
        <v>4</v>
      </c>
      <c r="S854" s="454"/>
      <c r="T854" s="454"/>
      <c r="U854" s="458"/>
      <c r="V854" s="458"/>
      <c r="W854" s="458"/>
      <c r="X854" s="458"/>
      <c r="Y854" s="454">
        <v>1</v>
      </c>
      <c r="Z854" s="454">
        <v>1</v>
      </c>
      <c r="AA854" s="455">
        <v>2</v>
      </c>
      <c r="AB854" s="1254">
        <v>3</v>
      </c>
      <c r="AC854" s="458">
        <v>4</v>
      </c>
      <c r="AD854" s="458">
        <v>4</v>
      </c>
      <c r="AE854" s="458">
        <v>4</v>
      </c>
      <c r="AF854" s="1283"/>
      <c r="AG854" s="1195"/>
      <c r="AH854" s="789"/>
      <c r="AI854" s="789"/>
      <c r="AJ854" s="789"/>
      <c r="AK854" s="793"/>
      <c r="AL854" s="789"/>
      <c r="AM854" s="789"/>
      <c r="AN854" s="789"/>
      <c r="AO854" s="789"/>
      <c r="AP854" s="789"/>
      <c r="AQ854" s="803"/>
      <c r="AR854" s="803"/>
      <c r="AS854" s="803"/>
      <c r="AT854" s="803"/>
      <c r="AU854" s="803"/>
      <c r="AV854" s="803"/>
      <c r="AW854" s="803"/>
      <c r="AX854" s="789"/>
      <c r="AY854" s="1302"/>
    </row>
    <row r="855" spans="1:144" ht="27.75" thickBot="1" x14ac:dyDescent="0.3">
      <c r="A855" s="1195"/>
      <c r="B855" s="833"/>
      <c r="C855" s="1199"/>
      <c r="D855" s="140" t="s">
        <v>45</v>
      </c>
      <c r="E855" s="251"/>
      <c r="F855" s="461"/>
      <c r="G855" s="458"/>
      <c r="H855" s="458"/>
      <c r="I855" s="458"/>
      <c r="J855" s="458"/>
      <c r="K855" s="458"/>
      <c r="L855" s="458">
        <f>+L854*$L$803/$L$802</f>
        <v>16689500</v>
      </c>
      <c r="M855" s="458">
        <f>+M854*$M$803/$M$802</f>
        <v>15689500</v>
      </c>
      <c r="N855" s="458">
        <f>+N854*$N$803/$N$802</f>
        <v>33379000</v>
      </c>
      <c r="O855" s="458">
        <f>+O854*$O$803/$O$802</f>
        <v>50068500</v>
      </c>
      <c r="P855" s="458">
        <f>+P854*$P$803/$P$802</f>
        <v>66758000</v>
      </c>
      <c r="Q855" s="458">
        <f>+Q854*$Q$803/$Q$802</f>
        <v>66758000</v>
      </c>
      <c r="R855" s="458">
        <f>+R854*$R$803/$R$802</f>
        <v>66758000</v>
      </c>
      <c r="S855" s="454"/>
      <c r="T855" s="454"/>
      <c r="U855" s="458"/>
      <c r="V855" s="458"/>
      <c r="W855" s="458"/>
      <c r="X855" s="458"/>
      <c r="Y855" s="458">
        <f>+Y854*$Y$803/$Y$802</f>
        <v>34865555.555555552</v>
      </c>
      <c r="Z855" s="458">
        <f>+Z854*$Z$803/$Z$802</f>
        <v>28526363.636363637</v>
      </c>
      <c r="AA855" s="458">
        <f>+AA854*$AA$803/$AA$802</f>
        <v>48275384.615384616</v>
      </c>
      <c r="AB855" s="458">
        <f>+AB854*$AB$803/$AB$802</f>
        <v>64820800</v>
      </c>
      <c r="AC855" s="458">
        <f>+AC854*$AC$803/$AC$802</f>
        <v>79534117.64705883</v>
      </c>
      <c r="AD855" s="458">
        <f>+AD854*$AD$803/$AD$802</f>
        <v>68839157.894736841</v>
      </c>
      <c r="AE855" s="458">
        <f>+AE854*$AE$803/$AE$802</f>
        <v>66500680</v>
      </c>
      <c r="AF855" s="1288"/>
      <c r="AG855" s="1196"/>
      <c r="AH855" s="790"/>
      <c r="AI855" s="790"/>
      <c r="AJ855" s="790"/>
      <c r="AK855" s="794"/>
      <c r="AL855" s="790"/>
      <c r="AM855" s="790"/>
      <c r="AN855" s="790"/>
      <c r="AO855" s="790"/>
      <c r="AP855" s="790"/>
      <c r="AQ855" s="804"/>
      <c r="AR855" s="804"/>
      <c r="AS855" s="804"/>
      <c r="AT855" s="804"/>
      <c r="AU855" s="804"/>
      <c r="AV855" s="804"/>
      <c r="AW855" s="804"/>
      <c r="AX855" s="790"/>
      <c r="AY855" s="1304"/>
    </row>
    <row r="856" spans="1:144" s="481" customFormat="1" ht="64.900000000000006" customHeight="1" x14ac:dyDescent="0.25">
      <c r="A856" s="1195"/>
      <c r="B856" s="833"/>
      <c r="C856" s="1197" t="s">
        <v>1311</v>
      </c>
      <c r="D856" s="141" t="s">
        <v>41</v>
      </c>
      <c r="E856" s="258"/>
      <c r="F856" s="207"/>
      <c r="G856" s="458"/>
      <c r="H856" s="458"/>
      <c r="I856" s="458"/>
      <c r="J856" s="458"/>
      <c r="K856" s="458"/>
      <c r="L856" s="458"/>
      <c r="M856" s="458"/>
      <c r="N856" s="445">
        <v>1</v>
      </c>
      <c r="O856" s="458">
        <v>1</v>
      </c>
      <c r="P856" s="458">
        <v>1</v>
      </c>
      <c r="Q856" s="458">
        <v>1</v>
      </c>
      <c r="R856" s="458">
        <v>1</v>
      </c>
      <c r="S856" s="454"/>
      <c r="T856" s="454"/>
      <c r="U856" s="458"/>
      <c r="V856" s="458"/>
      <c r="W856" s="458"/>
      <c r="X856" s="458"/>
      <c r="Y856" s="458"/>
      <c r="Z856" s="458"/>
      <c r="AA856" s="455">
        <v>1</v>
      </c>
      <c r="AB856" s="1254">
        <v>1</v>
      </c>
      <c r="AC856" s="458">
        <v>1</v>
      </c>
      <c r="AD856" s="458">
        <v>1</v>
      </c>
      <c r="AE856" s="458">
        <v>1</v>
      </c>
      <c r="AF856" s="1278" t="s">
        <v>1300</v>
      </c>
      <c r="AG856" s="1194" t="s">
        <v>383</v>
      </c>
      <c r="AH856" s="788" t="s">
        <v>526</v>
      </c>
      <c r="AI856" s="788" t="s">
        <v>882</v>
      </c>
      <c r="AJ856" s="788" t="s">
        <v>883</v>
      </c>
      <c r="AK856" s="792" t="s">
        <v>315</v>
      </c>
      <c r="AL856" s="788" t="s">
        <v>225</v>
      </c>
      <c r="AM856" s="788" t="s">
        <v>547</v>
      </c>
      <c r="AN856" s="788">
        <v>138605</v>
      </c>
      <c r="AO856" s="788">
        <v>65262</v>
      </c>
      <c r="AP856" s="1314">
        <v>73342.037997114603</v>
      </c>
      <c r="AQ856" s="788" t="s">
        <v>317</v>
      </c>
      <c r="AR856" s="788" t="s">
        <v>884</v>
      </c>
      <c r="AS856" s="788" t="s">
        <v>885</v>
      </c>
      <c r="AT856" s="788" t="s">
        <v>886</v>
      </c>
      <c r="AU856" s="788" t="s">
        <v>887</v>
      </c>
      <c r="AV856" s="788" t="s">
        <v>317</v>
      </c>
      <c r="AW856" s="788" t="s">
        <v>317</v>
      </c>
      <c r="AX856" s="788">
        <v>138605</v>
      </c>
      <c r="AY856" s="1300" t="s">
        <v>595</v>
      </c>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row>
    <row r="857" spans="1:144" s="481" customFormat="1" ht="18" x14ac:dyDescent="0.25">
      <c r="A857" s="1195"/>
      <c r="B857" s="833"/>
      <c r="C857" s="1198"/>
      <c r="D857" s="132" t="s">
        <v>3</v>
      </c>
      <c r="E857" s="258"/>
      <c r="F857" s="207"/>
      <c r="G857" s="458"/>
      <c r="H857" s="458"/>
      <c r="I857" s="458"/>
      <c r="J857" s="458"/>
      <c r="K857" s="458"/>
      <c r="L857" s="458"/>
      <c r="M857" s="458"/>
      <c r="N857" s="458">
        <f>+N856*$N$803/$N$802</f>
        <v>16689500</v>
      </c>
      <c r="O857" s="458">
        <f>+O856*$O$803/$O$802</f>
        <v>16689500</v>
      </c>
      <c r="P857" s="458">
        <f>+P856*$P$803/$P$802</f>
        <v>16689500</v>
      </c>
      <c r="Q857" s="458">
        <f>+Q856*$Q$803/$Q$802</f>
        <v>16689500</v>
      </c>
      <c r="R857" s="458">
        <f>+R856*$R$803/$R$802</f>
        <v>16689500</v>
      </c>
      <c r="S857" s="454"/>
      <c r="T857" s="454"/>
      <c r="U857" s="458"/>
      <c r="V857" s="458"/>
      <c r="W857" s="458"/>
      <c r="X857" s="458"/>
      <c r="Y857" s="458"/>
      <c r="Z857" s="458"/>
      <c r="AA857" s="458">
        <f>+AA856*$AA$803/$AA$802</f>
        <v>24137692.307692308</v>
      </c>
      <c r="AB857" s="458">
        <f>+AB856*$AB$803/$AB$802</f>
        <v>21606933.333333332</v>
      </c>
      <c r="AC857" s="458">
        <f>+AC856*$AC$803/$AC$802</f>
        <v>19883529.411764707</v>
      </c>
      <c r="AD857" s="458">
        <f>+AD856*$AD$803/$AD$802</f>
        <v>17209789.47368421</v>
      </c>
      <c r="AE857" s="458">
        <f>+AE856*$AE$803/$AE$802</f>
        <v>16625170</v>
      </c>
      <c r="AF857" s="1283"/>
      <c r="AG857" s="1195"/>
      <c r="AH857" s="789"/>
      <c r="AI857" s="789"/>
      <c r="AJ857" s="789"/>
      <c r="AK857" s="793"/>
      <c r="AL857" s="789"/>
      <c r="AM857" s="789"/>
      <c r="AN857" s="789"/>
      <c r="AO857" s="789"/>
      <c r="AP857" s="1315"/>
      <c r="AQ857" s="789"/>
      <c r="AR857" s="789"/>
      <c r="AS857" s="789"/>
      <c r="AT857" s="789"/>
      <c r="AU857" s="789"/>
      <c r="AV857" s="789"/>
      <c r="AW857" s="789"/>
      <c r="AX857" s="789"/>
      <c r="AY857" s="1302"/>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row>
    <row r="858" spans="1:144" s="481" customFormat="1" ht="27" x14ac:dyDescent="0.25">
      <c r="A858" s="1195"/>
      <c r="B858" s="833"/>
      <c r="C858" s="1198"/>
      <c r="D858" s="136" t="s">
        <v>42</v>
      </c>
      <c r="E858" s="258"/>
      <c r="F858" s="207"/>
      <c r="G858" s="458"/>
      <c r="H858" s="458"/>
      <c r="I858" s="458"/>
      <c r="J858" s="458"/>
      <c r="K858" s="458"/>
      <c r="L858" s="458"/>
      <c r="M858" s="458"/>
      <c r="N858" s="445"/>
      <c r="O858" s="458"/>
      <c r="P858" s="458"/>
      <c r="Q858" s="458"/>
      <c r="R858" s="458"/>
      <c r="S858" s="454"/>
      <c r="T858" s="454"/>
      <c r="U858" s="458"/>
      <c r="V858" s="458"/>
      <c r="W858" s="458"/>
      <c r="X858" s="458"/>
      <c r="Y858" s="458"/>
      <c r="Z858" s="458"/>
      <c r="AA858" s="455"/>
      <c r="AB858" s="1254"/>
      <c r="AC858" s="458"/>
      <c r="AD858" s="458"/>
      <c r="AE858" s="458"/>
      <c r="AF858" s="1283"/>
      <c r="AG858" s="1195"/>
      <c r="AH858" s="789"/>
      <c r="AI858" s="789"/>
      <c r="AJ858" s="789"/>
      <c r="AK858" s="793"/>
      <c r="AL858" s="789"/>
      <c r="AM858" s="789"/>
      <c r="AN858" s="789"/>
      <c r="AO858" s="789"/>
      <c r="AP858" s="1315"/>
      <c r="AQ858" s="789"/>
      <c r="AR858" s="789"/>
      <c r="AS858" s="789"/>
      <c r="AT858" s="789"/>
      <c r="AU858" s="789"/>
      <c r="AV858" s="789"/>
      <c r="AW858" s="789"/>
      <c r="AX858" s="789"/>
      <c r="AY858" s="1302"/>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row>
    <row r="859" spans="1:144" s="481" customFormat="1" ht="19.149999999999999" customHeight="1" x14ac:dyDescent="0.25">
      <c r="A859" s="1195"/>
      <c r="B859" s="833"/>
      <c r="C859" s="1198"/>
      <c r="D859" s="132" t="s">
        <v>4</v>
      </c>
      <c r="E859" s="258"/>
      <c r="F859" s="207"/>
      <c r="G859" s="458"/>
      <c r="H859" s="458"/>
      <c r="I859" s="458"/>
      <c r="J859" s="458"/>
      <c r="K859" s="458"/>
      <c r="L859" s="458"/>
      <c r="M859" s="458"/>
      <c r="N859" s="445"/>
      <c r="O859" s="458"/>
      <c r="P859" s="458"/>
      <c r="Q859" s="458"/>
      <c r="R859" s="458"/>
      <c r="S859" s="454"/>
      <c r="T859" s="454"/>
      <c r="U859" s="458"/>
      <c r="V859" s="458"/>
      <c r="W859" s="458"/>
      <c r="X859" s="458"/>
      <c r="Y859" s="458"/>
      <c r="Z859" s="458"/>
      <c r="AA859" s="455"/>
      <c r="AB859" s="1254"/>
      <c r="AC859" s="458"/>
      <c r="AD859" s="458"/>
      <c r="AE859" s="458"/>
      <c r="AF859" s="1283"/>
      <c r="AG859" s="1195"/>
      <c r="AH859" s="789"/>
      <c r="AI859" s="789"/>
      <c r="AJ859" s="789"/>
      <c r="AK859" s="793"/>
      <c r="AL859" s="789"/>
      <c r="AM859" s="789"/>
      <c r="AN859" s="789"/>
      <c r="AO859" s="789"/>
      <c r="AP859" s="1315"/>
      <c r="AQ859" s="789"/>
      <c r="AR859" s="789"/>
      <c r="AS859" s="789"/>
      <c r="AT859" s="789"/>
      <c r="AU859" s="789"/>
      <c r="AV859" s="789"/>
      <c r="AW859" s="789"/>
      <c r="AX859" s="789"/>
      <c r="AY859" s="1302"/>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row>
    <row r="860" spans="1:144" s="481" customFormat="1" ht="27" x14ac:dyDescent="0.25">
      <c r="A860" s="1195"/>
      <c r="B860" s="833"/>
      <c r="C860" s="1198"/>
      <c r="D860" s="136" t="s">
        <v>43</v>
      </c>
      <c r="E860" s="258"/>
      <c r="F860" s="207"/>
      <c r="G860" s="458"/>
      <c r="H860" s="458"/>
      <c r="I860" s="458"/>
      <c r="J860" s="458"/>
      <c r="K860" s="458"/>
      <c r="L860" s="458"/>
      <c r="M860" s="458"/>
      <c r="N860" s="445">
        <v>1</v>
      </c>
      <c r="O860" s="458">
        <v>1</v>
      </c>
      <c r="P860" s="458">
        <v>1</v>
      </c>
      <c r="Q860" s="458">
        <v>1</v>
      </c>
      <c r="R860" s="458">
        <v>1</v>
      </c>
      <c r="S860" s="454"/>
      <c r="T860" s="454"/>
      <c r="U860" s="458"/>
      <c r="V860" s="458"/>
      <c r="W860" s="458"/>
      <c r="X860" s="458"/>
      <c r="Y860" s="458"/>
      <c r="Z860" s="458"/>
      <c r="AA860" s="455">
        <v>1</v>
      </c>
      <c r="AB860" s="1254">
        <v>1</v>
      </c>
      <c r="AC860" s="458">
        <v>1</v>
      </c>
      <c r="AD860" s="458">
        <v>1</v>
      </c>
      <c r="AE860" s="458">
        <v>1</v>
      </c>
      <c r="AF860" s="1283"/>
      <c r="AG860" s="1195"/>
      <c r="AH860" s="789"/>
      <c r="AI860" s="789"/>
      <c r="AJ860" s="789"/>
      <c r="AK860" s="793"/>
      <c r="AL860" s="789"/>
      <c r="AM860" s="789"/>
      <c r="AN860" s="789"/>
      <c r="AO860" s="789"/>
      <c r="AP860" s="1315"/>
      <c r="AQ860" s="789"/>
      <c r="AR860" s="789"/>
      <c r="AS860" s="789"/>
      <c r="AT860" s="789"/>
      <c r="AU860" s="789"/>
      <c r="AV860" s="789"/>
      <c r="AW860" s="789"/>
      <c r="AX860" s="789"/>
      <c r="AY860" s="1302"/>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row>
    <row r="861" spans="1:144" s="481" customFormat="1" ht="27.75" thickBot="1" x14ac:dyDescent="0.3">
      <c r="A861" s="1195"/>
      <c r="B861" s="833"/>
      <c r="C861" s="1199"/>
      <c r="D861" s="140" t="s">
        <v>45</v>
      </c>
      <c r="E861" s="258"/>
      <c r="F861" s="207"/>
      <c r="G861" s="458"/>
      <c r="H861" s="458"/>
      <c r="I861" s="458"/>
      <c r="J861" s="458"/>
      <c r="K861" s="458"/>
      <c r="L861" s="458"/>
      <c r="M861" s="458"/>
      <c r="N861" s="458">
        <f>+N860*$N$803/$N$802</f>
        <v>16689500</v>
      </c>
      <c r="O861" s="458">
        <f>+O860*$O$803/$O$802</f>
        <v>16689500</v>
      </c>
      <c r="P861" s="458">
        <f>+P860*$P$803/$P$802</f>
        <v>16689500</v>
      </c>
      <c r="Q861" s="458">
        <f>+Q860*$Q$803/$Q$802</f>
        <v>16689500</v>
      </c>
      <c r="R861" s="458">
        <f>+R860*$R$803/$R$802</f>
        <v>16689500</v>
      </c>
      <c r="S861" s="454"/>
      <c r="T861" s="454"/>
      <c r="U861" s="458"/>
      <c r="V861" s="458"/>
      <c r="W861" s="458"/>
      <c r="X861" s="458"/>
      <c r="Y861" s="458"/>
      <c r="Z861" s="458"/>
      <c r="AA861" s="458">
        <f>+AA860*$AA$803/$AA$802</f>
        <v>24137692.307692308</v>
      </c>
      <c r="AB861" s="458">
        <f>+AB860*$AB$803/$AB$802</f>
        <v>21606933.333333332</v>
      </c>
      <c r="AC861" s="458">
        <f>+AC860*$AC$803/$AC$802</f>
        <v>19883529.411764707</v>
      </c>
      <c r="AD861" s="458">
        <f>+AD860*$AD$803/$AD$802</f>
        <v>17209789.47368421</v>
      </c>
      <c r="AE861" s="458">
        <f>+AE860*$AE$803/$AE$802</f>
        <v>16625170</v>
      </c>
      <c r="AF861" s="1288"/>
      <c r="AG861" s="1196"/>
      <c r="AH861" s="790"/>
      <c r="AI861" s="790"/>
      <c r="AJ861" s="790"/>
      <c r="AK861" s="794"/>
      <c r="AL861" s="790"/>
      <c r="AM861" s="790"/>
      <c r="AN861" s="790"/>
      <c r="AO861" s="790"/>
      <c r="AP861" s="1316"/>
      <c r="AQ861" s="790"/>
      <c r="AR861" s="790"/>
      <c r="AS861" s="790"/>
      <c r="AT861" s="790"/>
      <c r="AU861" s="790"/>
      <c r="AV861" s="790"/>
      <c r="AW861" s="790"/>
      <c r="AX861" s="790"/>
      <c r="AY861" s="1304"/>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row>
    <row r="862" spans="1:144" s="481" customFormat="1" ht="66" customHeight="1" x14ac:dyDescent="0.25">
      <c r="A862" s="1195"/>
      <c r="B862" s="833"/>
      <c r="C862" s="1197" t="s">
        <v>1314</v>
      </c>
      <c r="D862" s="141" t="s">
        <v>41</v>
      </c>
      <c r="E862" s="251"/>
      <c r="F862" s="461"/>
      <c r="G862" s="458"/>
      <c r="H862" s="458"/>
      <c r="I862" s="458"/>
      <c r="J862" s="458"/>
      <c r="K862" s="458"/>
      <c r="L862" s="458"/>
      <c r="M862" s="458"/>
      <c r="N862" s="458"/>
      <c r="O862" s="458">
        <v>1</v>
      </c>
      <c r="P862" s="458">
        <v>1</v>
      </c>
      <c r="Q862" s="458">
        <v>2</v>
      </c>
      <c r="R862" s="458">
        <v>2</v>
      </c>
      <c r="S862" s="454" t="s">
        <v>1051</v>
      </c>
      <c r="T862" s="454"/>
      <c r="U862" s="458"/>
      <c r="V862" s="458"/>
      <c r="W862" s="458"/>
      <c r="X862" s="458"/>
      <c r="Y862" s="458"/>
      <c r="Z862" s="458"/>
      <c r="AA862" s="458"/>
      <c r="AB862" s="1254">
        <v>1</v>
      </c>
      <c r="AC862" s="458">
        <v>1</v>
      </c>
      <c r="AD862" s="458">
        <v>2</v>
      </c>
      <c r="AE862" s="458">
        <v>2</v>
      </c>
      <c r="AF862" s="1278" t="s">
        <v>1066</v>
      </c>
      <c r="AG862" s="1194" t="s">
        <v>394</v>
      </c>
      <c r="AH862" s="788" t="s">
        <v>512</v>
      </c>
      <c r="AI862" s="788" t="s">
        <v>922</v>
      </c>
      <c r="AJ862" s="788" t="s">
        <v>1052</v>
      </c>
      <c r="AK862" s="792" t="s">
        <v>315</v>
      </c>
      <c r="AL862" s="788" t="s">
        <v>225</v>
      </c>
      <c r="AM862" s="788" t="s">
        <v>547</v>
      </c>
      <c r="AN862" s="1314">
        <v>254468.54850706499</v>
      </c>
      <c r="AO862" s="1314">
        <v>11</v>
      </c>
      <c r="AP862" s="1314">
        <v>16</v>
      </c>
      <c r="AQ862" s="788" t="s">
        <v>317</v>
      </c>
      <c r="AR862" s="788" t="s">
        <v>884</v>
      </c>
      <c r="AS862" s="788" t="s">
        <v>923</v>
      </c>
      <c r="AT862" s="802" t="s">
        <v>317</v>
      </c>
      <c r="AU862" s="788" t="s">
        <v>924</v>
      </c>
      <c r="AV862" s="788" t="s">
        <v>317</v>
      </c>
      <c r="AW862" s="788" t="s">
        <v>317</v>
      </c>
      <c r="AX862" s="788">
        <v>254469</v>
      </c>
      <c r="AY862" s="1300" t="s">
        <v>595</v>
      </c>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row>
    <row r="863" spans="1:144" s="481" customFormat="1" ht="18" x14ac:dyDescent="0.25">
      <c r="A863" s="1195"/>
      <c r="B863" s="833"/>
      <c r="C863" s="1198"/>
      <c r="D863" s="132" t="s">
        <v>3</v>
      </c>
      <c r="E863" s="251"/>
      <c r="F863" s="461"/>
      <c r="G863" s="458"/>
      <c r="H863" s="458"/>
      <c r="I863" s="458"/>
      <c r="J863" s="458"/>
      <c r="K863" s="458"/>
      <c r="L863" s="458"/>
      <c r="M863" s="458"/>
      <c r="N863" s="458"/>
      <c r="O863" s="458">
        <f>+O862*$O$803/$O$802</f>
        <v>16689500</v>
      </c>
      <c r="P863" s="458">
        <f>+P862*$P$803/$P$802</f>
        <v>16689500</v>
      </c>
      <c r="Q863" s="458">
        <f>+Q862*$Q$803/$Q$802</f>
        <v>33379000</v>
      </c>
      <c r="R863" s="458">
        <f>+R862*$R$803/$R$802</f>
        <v>33379000</v>
      </c>
      <c r="S863" s="454"/>
      <c r="T863" s="454"/>
      <c r="U863" s="458"/>
      <c r="V863" s="458"/>
      <c r="W863" s="458"/>
      <c r="X863" s="458"/>
      <c r="Y863" s="458"/>
      <c r="Z863" s="458"/>
      <c r="AA863" s="458"/>
      <c r="AB863" s="458">
        <f>+AB862*$AB$803/$AB$802</f>
        <v>21606933.333333332</v>
      </c>
      <c r="AC863" s="458">
        <f>+AC862*$AC$803/$AC$802</f>
        <v>19883529.411764707</v>
      </c>
      <c r="AD863" s="458">
        <f>+AD862*$AD$803/$AD$802</f>
        <v>34419578.947368421</v>
      </c>
      <c r="AE863" s="458">
        <f>+AE862*$AE$803/$AE$802</f>
        <v>33250340</v>
      </c>
      <c r="AF863" s="1283"/>
      <c r="AG863" s="1195"/>
      <c r="AH863" s="789"/>
      <c r="AI863" s="789"/>
      <c r="AJ863" s="789"/>
      <c r="AK863" s="793"/>
      <c r="AL863" s="789"/>
      <c r="AM863" s="789"/>
      <c r="AN863" s="1315"/>
      <c r="AO863" s="1315"/>
      <c r="AP863" s="1315"/>
      <c r="AQ863" s="789"/>
      <c r="AR863" s="789"/>
      <c r="AS863" s="789"/>
      <c r="AT863" s="803"/>
      <c r="AU863" s="789"/>
      <c r="AV863" s="789"/>
      <c r="AW863" s="789"/>
      <c r="AX863" s="789"/>
      <c r="AY863" s="1302"/>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row>
    <row r="864" spans="1:144" s="481" customFormat="1" ht="27" x14ac:dyDescent="0.25">
      <c r="A864" s="1195"/>
      <c r="B864" s="833"/>
      <c r="C864" s="1198"/>
      <c r="D864" s="136" t="s">
        <v>42</v>
      </c>
      <c r="E864" s="251"/>
      <c r="F864" s="461"/>
      <c r="G864" s="458"/>
      <c r="H864" s="458"/>
      <c r="I864" s="458"/>
      <c r="J864" s="458"/>
      <c r="K864" s="458"/>
      <c r="L864" s="458"/>
      <c r="M864" s="458"/>
      <c r="N864" s="458"/>
      <c r="O864" s="458"/>
      <c r="P864" s="458"/>
      <c r="Q864" s="458"/>
      <c r="R864" s="458"/>
      <c r="S864" s="454"/>
      <c r="T864" s="454"/>
      <c r="U864" s="458"/>
      <c r="V864" s="458"/>
      <c r="W864" s="458"/>
      <c r="X864" s="458"/>
      <c r="Y864" s="458"/>
      <c r="Z864" s="458"/>
      <c r="AA864" s="458"/>
      <c r="AB864" s="1254"/>
      <c r="AC864" s="458"/>
      <c r="AD864" s="458"/>
      <c r="AE864" s="458"/>
      <c r="AF864" s="1283"/>
      <c r="AG864" s="1195"/>
      <c r="AH864" s="789"/>
      <c r="AI864" s="789"/>
      <c r="AJ864" s="789"/>
      <c r="AK864" s="793"/>
      <c r="AL864" s="789"/>
      <c r="AM864" s="789"/>
      <c r="AN864" s="1315"/>
      <c r="AO864" s="1315"/>
      <c r="AP864" s="1315"/>
      <c r="AQ864" s="789"/>
      <c r="AR864" s="789"/>
      <c r="AS864" s="789"/>
      <c r="AT864" s="803"/>
      <c r="AU864" s="789"/>
      <c r="AV864" s="789"/>
      <c r="AW864" s="789"/>
      <c r="AX864" s="789"/>
      <c r="AY864" s="1302"/>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row>
    <row r="865" spans="1:144" s="481" customFormat="1" ht="63.75" x14ac:dyDescent="0.25">
      <c r="A865" s="1195"/>
      <c r="B865" s="833"/>
      <c r="C865" s="1198"/>
      <c r="D865" s="132" t="s">
        <v>4</v>
      </c>
      <c r="E865" s="251"/>
      <c r="F865" s="461"/>
      <c r="G865" s="458"/>
      <c r="H865" s="458"/>
      <c r="I865" s="458"/>
      <c r="J865" s="458"/>
      <c r="K865" s="458"/>
      <c r="L865" s="458"/>
      <c r="M865" s="458"/>
      <c r="N865" s="458"/>
      <c r="O865" s="458"/>
      <c r="P865" s="458"/>
      <c r="Q865" s="458"/>
      <c r="R865" s="458"/>
      <c r="S865" s="454" t="s">
        <v>1051</v>
      </c>
      <c r="T865" s="454"/>
      <c r="U865" s="458"/>
      <c r="V865" s="458"/>
      <c r="W865" s="458"/>
      <c r="X865" s="458"/>
      <c r="Y865" s="458"/>
      <c r="Z865" s="458"/>
      <c r="AA865" s="458"/>
      <c r="AB865" s="1254"/>
      <c r="AC865" s="458"/>
      <c r="AD865" s="458"/>
      <c r="AE865" s="458"/>
      <c r="AF865" s="1283"/>
      <c r="AG865" s="1195"/>
      <c r="AH865" s="789"/>
      <c r="AI865" s="789"/>
      <c r="AJ865" s="789"/>
      <c r="AK865" s="793"/>
      <c r="AL865" s="789"/>
      <c r="AM865" s="789"/>
      <c r="AN865" s="1315"/>
      <c r="AO865" s="1315"/>
      <c r="AP865" s="1315"/>
      <c r="AQ865" s="789"/>
      <c r="AR865" s="789"/>
      <c r="AS865" s="789"/>
      <c r="AT865" s="803"/>
      <c r="AU865" s="789"/>
      <c r="AV865" s="789"/>
      <c r="AW865" s="789"/>
      <c r="AX865" s="789"/>
      <c r="AY865" s="1302"/>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row>
    <row r="866" spans="1:144" s="481" customFormat="1" ht="27" x14ac:dyDescent="0.25">
      <c r="A866" s="1195"/>
      <c r="B866" s="833"/>
      <c r="C866" s="1198"/>
      <c r="D866" s="136" t="s">
        <v>43</v>
      </c>
      <c r="E866" s="251"/>
      <c r="F866" s="461"/>
      <c r="G866" s="458"/>
      <c r="H866" s="458"/>
      <c r="I866" s="458"/>
      <c r="J866" s="458"/>
      <c r="K866" s="458"/>
      <c r="L866" s="458"/>
      <c r="M866" s="458"/>
      <c r="N866" s="458"/>
      <c r="O866" s="458">
        <v>1</v>
      </c>
      <c r="P866" s="458">
        <v>1</v>
      </c>
      <c r="Q866" s="458">
        <v>2</v>
      </c>
      <c r="R866" s="458">
        <v>2</v>
      </c>
      <c r="S866" s="454"/>
      <c r="T866" s="454"/>
      <c r="U866" s="458"/>
      <c r="V866" s="458"/>
      <c r="W866" s="458"/>
      <c r="X866" s="458"/>
      <c r="Y866" s="458"/>
      <c r="Z866" s="458"/>
      <c r="AA866" s="458"/>
      <c r="AB866" s="1254">
        <v>1</v>
      </c>
      <c r="AC866" s="458">
        <v>1</v>
      </c>
      <c r="AD866" s="458">
        <v>2</v>
      </c>
      <c r="AE866" s="458">
        <v>2</v>
      </c>
      <c r="AF866" s="1283"/>
      <c r="AG866" s="1195"/>
      <c r="AH866" s="789"/>
      <c r="AI866" s="789"/>
      <c r="AJ866" s="789"/>
      <c r="AK866" s="793"/>
      <c r="AL866" s="789"/>
      <c r="AM866" s="789"/>
      <c r="AN866" s="1315"/>
      <c r="AO866" s="1315"/>
      <c r="AP866" s="1315"/>
      <c r="AQ866" s="789"/>
      <c r="AR866" s="789"/>
      <c r="AS866" s="789"/>
      <c r="AT866" s="803"/>
      <c r="AU866" s="789"/>
      <c r="AV866" s="789"/>
      <c r="AW866" s="789"/>
      <c r="AX866" s="789"/>
      <c r="AY866" s="1302"/>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row>
    <row r="867" spans="1:144" s="481" customFormat="1" ht="27.75" thickBot="1" x14ac:dyDescent="0.3">
      <c r="A867" s="1195"/>
      <c r="B867" s="833"/>
      <c r="C867" s="1199"/>
      <c r="D867" s="140" t="s">
        <v>45</v>
      </c>
      <c r="E867" s="251"/>
      <c r="F867" s="461"/>
      <c r="G867" s="458"/>
      <c r="H867" s="458"/>
      <c r="I867" s="458"/>
      <c r="J867" s="458"/>
      <c r="K867" s="458"/>
      <c r="L867" s="458"/>
      <c r="M867" s="458"/>
      <c r="N867" s="458"/>
      <c r="O867" s="458">
        <f>+O866*$O$803/$O$802</f>
        <v>16689500</v>
      </c>
      <c r="P867" s="458">
        <f>+P866*$P$803/$P$802</f>
        <v>16689500</v>
      </c>
      <c r="Q867" s="458">
        <f>+Q866*$Q$803/$Q$802</f>
        <v>33379000</v>
      </c>
      <c r="R867" s="458">
        <f>+R866*$R$803/$R$802</f>
        <v>33379000</v>
      </c>
      <c r="S867" s="454"/>
      <c r="T867" s="454"/>
      <c r="U867" s="458"/>
      <c r="V867" s="458"/>
      <c r="W867" s="458"/>
      <c r="X867" s="458"/>
      <c r="Y867" s="458"/>
      <c r="Z867" s="458"/>
      <c r="AA867" s="458"/>
      <c r="AB867" s="458">
        <f>+AB866*$AB$803/$AB$802</f>
        <v>21606933.333333332</v>
      </c>
      <c r="AC867" s="458">
        <f>+AC866*$AC$803/$AC$802</f>
        <v>19883529.411764707</v>
      </c>
      <c r="AD867" s="458">
        <f>+AD866*$AD$803/$AD$802</f>
        <v>34419578.947368421</v>
      </c>
      <c r="AE867" s="458">
        <f>+AE866*$AE$803/$AE$802</f>
        <v>33250340</v>
      </c>
      <c r="AF867" s="1288"/>
      <c r="AG867" s="1196"/>
      <c r="AH867" s="790"/>
      <c r="AI867" s="790"/>
      <c r="AJ867" s="790"/>
      <c r="AK867" s="794"/>
      <c r="AL867" s="790"/>
      <c r="AM867" s="790"/>
      <c r="AN867" s="1316"/>
      <c r="AO867" s="1316"/>
      <c r="AP867" s="1316"/>
      <c r="AQ867" s="790"/>
      <c r="AR867" s="790"/>
      <c r="AS867" s="790"/>
      <c r="AT867" s="804"/>
      <c r="AU867" s="790"/>
      <c r="AV867" s="790"/>
      <c r="AW867" s="790"/>
      <c r="AX867" s="790"/>
      <c r="AY867" s="1304"/>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row>
    <row r="868" spans="1:144" ht="18" customHeight="1" x14ac:dyDescent="0.25">
      <c r="A868" s="1195"/>
      <c r="B868" s="833"/>
      <c r="C868" s="809" t="s">
        <v>409</v>
      </c>
      <c r="D868" s="141" t="s">
        <v>41</v>
      </c>
      <c r="E868" s="142"/>
      <c r="F868" s="143"/>
      <c r="G868" s="445">
        <v>19</v>
      </c>
      <c r="H868" s="445">
        <v>18</v>
      </c>
      <c r="I868" s="445">
        <v>17</v>
      </c>
      <c r="J868" s="458">
        <v>15</v>
      </c>
      <c r="K868" s="445">
        <v>13</v>
      </c>
      <c r="L868" s="445">
        <v>11</v>
      </c>
      <c r="M868" s="445">
        <v>9</v>
      </c>
      <c r="N868" s="448">
        <v>7</v>
      </c>
      <c r="O868" s="445">
        <v>5</v>
      </c>
      <c r="P868" s="445">
        <v>3</v>
      </c>
      <c r="Q868" s="445">
        <v>1</v>
      </c>
      <c r="R868" s="447">
        <f>R838</f>
        <v>1</v>
      </c>
      <c r="S868" s="446"/>
      <c r="T868" s="446"/>
      <c r="U868" s="446"/>
      <c r="V868" s="446"/>
      <c r="W868" s="446"/>
      <c r="X868" s="446"/>
      <c r="Y868" s="446"/>
      <c r="Z868" s="446"/>
      <c r="AA868" s="448"/>
      <c r="AB868" s="1224"/>
      <c r="AC868" s="1225"/>
      <c r="AD868" s="1226">
        <v>1</v>
      </c>
      <c r="AE868" s="447">
        <f>AE838</f>
        <v>1</v>
      </c>
      <c r="AF868" s="1252"/>
      <c r="AG868" s="1230" t="s">
        <v>541</v>
      </c>
      <c r="AH868" s="810" t="s">
        <v>70</v>
      </c>
      <c r="AI868" s="810" t="s">
        <v>70</v>
      </c>
      <c r="AJ868" s="810" t="s">
        <v>70</v>
      </c>
      <c r="AK868" s="809" t="s">
        <v>315</v>
      </c>
      <c r="AL868" s="810"/>
      <c r="AM868" s="810" t="s">
        <v>547</v>
      </c>
      <c r="AN868" s="805">
        <v>7804660</v>
      </c>
      <c r="AO868" s="783">
        <v>3721767</v>
      </c>
      <c r="AP868" s="783">
        <v>4082893</v>
      </c>
      <c r="AQ868" s="786" t="s">
        <v>317</v>
      </c>
      <c r="AR868" s="786" t="s">
        <v>317</v>
      </c>
      <c r="AS868" s="786" t="s">
        <v>317</v>
      </c>
      <c r="AT868" s="786" t="s">
        <v>317</v>
      </c>
      <c r="AU868" s="786" t="s">
        <v>317</v>
      </c>
      <c r="AV868" s="786" t="s">
        <v>317</v>
      </c>
      <c r="AW868" s="786" t="s">
        <v>317</v>
      </c>
      <c r="AX868" s="783">
        <v>7804660</v>
      </c>
      <c r="AY868" s="1309" t="s">
        <v>595</v>
      </c>
    </row>
    <row r="869" spans="1:144" ht="18" x14ac:dyDescent="0.25">
      <c r="A869" s="1195"/>
      <c r="B869" s="833"/>
      <c r="C869" s="809"/>
      <c r="D869" s="132" t="s">
        <v>3</v>
      </c>
      <c r="E869" s="142"/>
      <c r="F869" s="143"/>
      <c r="G869" s="454">
        <v>332347050</v>
      </c>
      <c r="H869" s="458">
        <v>314855100</v>
      </c>
      <c r="I869" s="458">
        <v>297363150</v>
      </c>
      <c r="J869" s="458">
        <v>235342500</v>
      </c>
      <c r="K869" s="458">
        <f>+K868*$K$803/$K$802</f>
        <v>203963500</v>
      </c>
      <c r="L869" s="458">
        <f>+L868*$L$803/$L$802</f>
        <v>183584500</v>
      </c>
      <c r="M869" s="458">
        <f>+M868*$M$803/$M$802</f>
        <v>141205500</v>
      </c>
      <c r="N869" s="458">
        <f>+N868*$N$803/$N$802</f>
        <v>116826500</v>
      </c>
      <c r="O869" s="458">
        <f>+O868*$O$803/$O$802</f>
        <v>83447500</v>
      </c>
      <c r="P869" s="458">
        <f>+P868*$P$803/$P$802</f>
        <v>50068500</v>
      </c>
      <c r="Q869" s="458">
        <f>+Q868*$Q$803/$Q$802</f>
        <v>16689500</v>
      </c>
      <c r="R869" s="447">
        <f>R839</f>
        <v>16689500</v>
      </c>
      <c r="S869" s="446"/>
      <c r="T869" s="446"/>
      <c r="U869" s="446"/>
      <c r="V869" s="446"/>
      <c r="W869" s="446"/>
      <c r="X869" s="446"/>
      <c r="Y869" s="446"/>
      <c r="Z869" s="446"/>
      <c r="AA869" s="448"/>
      <c r="AB869" s="1224"/>
      <c r="AC869" s="1225"/>
      <c r="AD869" s="458">
        <f>+AD868*$AD$803/$AD$802</f>
        <v>17209789.47368421</v>
      </c>
      <c r="AE869" s="447">
        <f>AE839</f>
        <v>16625170</v>
      </c>
      <c r="AF869" s="1252"/>
      <c r="AG869" s="1230"/>
      <c r="AH869" s="810"/>
      <c r="AI869" s="810"/>
      <c r="AJ869" s="810"/>
      <c r="AK869" s="809"/>
      <c r="AL869" s="810"/>
      <c r="AM869" s="810"/>
      <c r="AN869" s="805"/>
      <c r="AO869" s="784"/>
      <c r="AP869" s="784"/>
      <c r="AQ869" s="786"/>
      <c r="AR869" s="786"/>
      <c r="AS869" s="786"/>
      <c r="AT869" s="786"/>
      <c r="AU869" s="786"/>
      <c r="AV869" s="786"/>
      <c r="AW869" s="786"/>
      <c r="AX869" s="784"/>
      <c r="AY869" s="1309"/>
    </row>
    <row r="870" spans="1:144" ht="27" x14ac:dyDescent="0.25">
      <c r="A870" s="1195"/>
      <c r="B870" s="833"/>
      <c r="C870" s="809"/>
      <c r="D870" s="136" t="s">
        <v>42</v>
      </c>
      <c r="E870" s="142"/>
      <c r="F870" s="143"/>
      <c r="G870" s="445"/>
      <c r="H870" s="445"/>
      <c r="I870" s="445"/>
      <c r="J870" s="445"/>
      <c r="K870" s="445"/>
      <c r="L870" s="445"/>
      <c r="M870" s="445"/>
      <c r="N870" s="448"/>
      <c r="O870" s="445"/>
      <c r="P870" s="445"/>
      <c r="Q870" s="445"/>
      <c r="R870" s="447"/>
      <c r="S870" s="446"/>
      <c r="T870" s="446"/>
      <c r="U870" s="446"/>
      <c r="V870" s="446"/>
      <c r="W870" s="446"/>
      <c r="X870" s="446"/>
      <c r="Y870" s="446"/>
      <c r="Z870" s="446"/>
      <c r="AA870" s="448"/>
      <c r="AB870" s="1224"/>
      <c r="AC870" s="1225"/>
      <c r="AD870" s="1226"/>
      <c r="AE870" s="446"/>
      <c r="AF870" s="1252"/>
      <c r="AG870" s="1230"/>
      <c r="AH870" s="810"/>
      <c r="AI870" s="810"/>
      <c r="AJ870" s="810"/>
      <c r="AK870" s="809"/>
      <c r="AL870" s="810"/>
      <c r="AM870" s="810"/>
      <c r="AN870" s="805"/>
      <c r="AO870" s="784"/>
      <c r="AP870" s="784"/>
      <c r="AQ870" s="786"/>
      <c r="AR870" s="786"/>
      <c r="AS870" s="786"/>
      <c r="AT870" s="786"/>
      <c r="AU870" s="786"/>
      <c r="AV870" s="786"/>
      <c r="AW870" s="786"/>
      <c r="AX870" s="784"/>
      <c r="AY870" s="1309"/>
    </row>
    <row r="871" spans="1:144" ht="27" x14ac:dyDescent="0.25">
      <c r="A871" s="1195"/>
      <c r="B871" s="833"/>
      <c r="C871" s="809"/>
      <c r="D871" s="132" t="s">
        <v>4</v>
      </c>
      <c r="E871" s="142"/>
      <c r="F871" s="143"/>
      <c r="G871" s="445"/>
      <c r="H871" s="445"/>
      <c r="I871" s="445"/>
      <c r="J871" s="445"/>
      <c r="K871" s="445"/>
      <c r="L871" s="445"/>
      <c r="M871" s="445"/>
      <c r="N871" s="448"/>
      <c r="O871" s="445"/>
      <c r="P871" s="445"/>
      <c r="Q871" s="445"/>
      <c r="R871" s="447"/>
      <c r="S871" s="446"/>
      <c r="T871" s="446"/>
      <c r="U871" s="446"/>
      <c r="V871" s="446"/>
      <c r="W871" s="446"/>
      <c r="X871" s="446"/>
      <c r="Y871" s="446"/>
      <c r="Z871" s="446"/>
      <c r="AA871" s="448"/>
      <c r="AB871" s="1224"/>
      <c r="AC871" s="1225"/>
      <c r="AD871" s="1226"/>
      <c r="AE871" s="446"/>
      <c r="AF871" s="1252"/>
      <c r="AG871" s="1230"/>
      <c r="AH871" s="810"/>
      <c r="AI871" s="810"/>
      <c r="AJ871" s="810"/>
      <c r="AK871" s="809"/>
      <c r="AL871" s="810"/>
      <c r="AM871" s="810"/>
      <c r="AN871" s="805"/>
      <c r="AO871" s="784"/>
      <c r="AP871" s="784"/>
      <c r="AQ871" s="786"/>
      <c r="AR871" s="786"/>
      <c r="AS871" s="786"/>
      <c r="AT871" s="786"/>
      <c r="AU871" s="786"/>
      <c r="AV871" s="786"/>
      <c r="AW871" s="786"/>
      <c r="AX871" s="784"/>
      <c r="AY871" s="1309"/>
    </row>
    <row r="872" spans="1:144" ht="27" x14ac:dyDescent="0.25">
      <c r="A872" s="1195"/>
      <c r="B872" s="833"/>
      <c r="C872" s="809"/>
      <c r="D872" s="136" t="s">
        <v>43</v>
      </c>
      <c r="E872" s="142"/>
      <c r="F872" s="143"/>
      <c r="G872" s="445">
        <v>19</v>
      </c>
      <c r="H872" s="445">
        <v>18</v>
      </c>
      <c r="I872" s="445">
        <v>17</v>
      </c>
      <c r="J872" s="445">
        <v>15</v>
      </c>
      <c r="K872" s="445">
        <v>13</v>
      </c>
      <c r="L872" s="445">
        <v>11</v>
      </c>
      <c r="M872" s="445">
        <v>9</v>
      </c>
      <c r="N872" s="448">
        <v>7</v>
      </c>
      <c r="O872" s="445">
        <v>5</v>
      </c>
      <c r="P872" s="445">
        <v>3</v>
      </c>
      <c r="Q872" s="445">
        <v>1</v>
      </c>
      <c r="R872" s="447"/>
      <c r="S872" s="446"/>
      <c r="T872" s="446"/>
      <c r="U872" s="446"/>
      <c r="V872" s="446"/>
      <c r="W872" s="446"/>
      <c r="X872" s="446"/>
      <c r="Y872" s="446"/>
      <c r="Z872" s="446"/>
      <c r="AA872" s="448"/>
      <c r="AB872" s="1265"/>
      <c r="AC872" s="1225"/>
      <c r="AD872" s="1226">
        <v>1</v>
      </c>
      <c r="AE872" s="446"/>
      <c r="AF872" s="1252"/>
      <c r="AG872" s="1230"/>
      <c r="AH872" s="810"/>
      <c r="AI872" s="810"/>
      <c r="AJ872" s="810"/>
      <c r="AK872" s="809"/>
      <c r="AL872" s="810"/>
      <c r="AM872" s="810"/>
      <c r="AN872" s="805"/>
      <c r="AO872" s="784"/>
      <c r="AP872" s="784"/>
      <c r="AQ872" s="786"/>
      <c r="AR872" s="786"/>
      <c r="AS872" s="786"/>
      <c r="AT872" s="786"/>
      <c r="AU872" s="786"/>
      <c r="AV872" s="786"/>
      <c r="AW872" s="786"/>
      <c r="AX872" s="784"/>
      <c r="AY872" s="1309"/>
    </row>
    <row r="873" spans="1:144" ht="27.75" thickBot="1" x14ac:dyDescent="0.3">
      <c r="A873" s="1195"/>
      <c r="B873" s="833"/>
      <c r="C873" s="809"/>
      <c r="D873" s="140" t="s">
        <v>45</v>
      </c>
      <c r="E873" s="142"/>
      <c r="F873" s="143"/>
      <c r="G873" s="454">
        <v>332347050</v>
      </c>
      <c r="H873" s="458">
        <v>314855100</v>
      </c>
      <c r="I873" s="458">
        <v>297363150</v>
      </c>
      <c r="J873" s="458">
        <v>235342500</v>
      </c>
      <c r="K873" s="458">
        <f>+K872*$K$803/$K$802</f>
        <v>203963500</v>
      </c>
      <c r="L873" s="458">
        <f>+L872*$L$803/$L$802</f>
        <v>183584500</v>
      </c>
      <c r="M873" s="458">
        <f>+M872*$M$803/$M$802</f>
        <v>141205500</v>
      </c>
      <c r="N873" s="458">
        <f>+N872*$N$803/$N$802</f>
        <v>116826500</v>
      </c>
      <c r="O873" s="458">
        <f>+O872*$O$803/$O$802</f>
        <v>83447500</v>
      </c>
      <c r="P873" s="458">
        <f>+P872*$P$803/$P$802</f>
        <v>50068500</v>
      </c>
      <c r="Q873" s="458">
        <f>+Q872*$Q$803/$Q$802</f>
        <v>16689500</v>
      </c>
      <c r="R873" s="458"/>
      <c r="S873" s="446"/>
      <c r="T873" s="446"/>
      <c r="U873" s="446"/>
      <c r="V873" s="446"/>
      <c r="W873" s="446"/>
      <c r="X873" s="446"/>
      <c r="Y873" s="446"/>
      <c r="Z873" s="446"/>
      <c r="AA873" s="448"/>
      <c r="AB873" s="1265"/>
      <c r="AC873" s="1225"/>
      <c r="AD873" s="458">
        <f>+AD872*$AD$803/$AD$802</f>
        <v>17209789.47368421</v>
      </c>
      <c r="AE873" s="446"/>
      <c r="AF873" s="1252"/>
      <c r="AG873" s="1230"/>
      <c r="AH873" s="810"/>
      <c r="AI873" s="810"/>
      <c r="AJ873" s="810"/>
      <c r="AK873" s="809"/>
      <c r="AL873" s="810"/>
      <c r="AM873" s="810"/>
      <c r="AN873" s="805"/>
      <c r="AO873" s="785"/>
      <c r="AP873" s="785"/>
      <c r="AQ873" s="786"/>
      <c r="AR873" s="786"/>
      <c r="AS873" s="786"/>
      <c r="AT873" s="786"/>
      <c r="AU873" s="786"/>
      <c r="AV873" s="786"/>
      <c r="AW873" s="786"/>
      <c r="AX873" s="785"/>
      <c r="AY873" s="1309"/>
    </row>
    <row r="874" spans="1:144" ht="18" customHeight="1" x14ac:dyDescent="0.25">
      <c r="A874" s="1195"/>
      <c r="B874" s="833"/>
      <c r="C874" s="809" t="s">
        <v>410</v>
      </c>
      <c r="D874" s="141" t="s">
        <v>41</v>
      </c>
      <c r="E874" s="251">
        <v>20</v>
      </c>
      <c r="F874" s="251">
        <v>20</v>
      </c>
      <c r="G874" s="459">
        <v>20</v>
      </c>
      <c r="H874" s="459">
        <v>20</v>
      </c>
      <c r="I874" s="459">
        <v>20</v>
      </c>
      <c r="J874" s="445">
        <v>20</v>
      </c>
      <c r="K874" s="459">
        <f t="shared" ref="K874:K879" si="42">+K868+K844+K832+K826+K808</f>
        <v>20</v>
      </c>
      <c r="L874" s="459">
        <f t="shared" ref="L874:M879" si="43">+L868+L844+L832+L826+L850+L808</f>
        <v>20</v>
      </c>
      <c r="M874" s="459">
        <f t="shared" si="43"/>
        <v>20</v>
      </c>
      <c r="N874" s="459">
        <f t="shared" ref="N874:N879" si="44">+N868+N856+N844+N832+N826+N850+N808</f>
        <v>20</v>
      </c>
      <c r="O874" s="459">
        <f t="shared" ref="O874:Q879" si="45">+O868+O862+O856+O844+O832+O826+O850+O808</f>
        <v>20</v>
      </c>
      <c r="P874" s="459">
        <f t="shared" si="45"/>
        <v>20</v>
      </c>
      <c r="Q874" s="459">
        <f t="shared" si="45"/>
        <v>20</v>
      </c>
      <c r="R874" s="459">
        <f>+R868+R862+R856+R844+R832+R838+R826+R850+R808</f>
        <v>21</v>
      </c>
      <c r="S874" s="446"/>
      <c r="T874" s="459">
        <v>1</v>
      </c>
      <c r="U874" s="450">
        <v>2</v>
      </c>
      <c r="V874" s="459">
        <v>3</v>
      </c>
      <c r="W874" s="445">
        <v>5</v>
      </c>
      <c r="X874" s="459">
        <f t="shared" ref="X874:X879" si="46">+X868+X844+X832+X826+X808</f>
        <v>7</v>
      </c>
      <c r="Y874" s="459">
        <f t="shared" ref="Y874:Z879" si="47">+Y868+Y844+Y832+Y826+Y850+Y808</f>
        <v>9</v>
      </c>
      <c r="Z874" s="459">
        <f t="shared" si="47"/>
        <v>11</v>
      </c>
      <c r="AA874" s="459">
        <f t="shared" ref="AA874:AA879" si="48">+AA868+AA856+AA844+AA832+AA826+AA850+AA808</f>
        <v>13</v>
      </c>
      <c r="AB874" s="459">
        <f t="shared" ref="AB874:AB879" si="49">+AB868+AB856+AB862+AB844+AB832+AB826+AB850+AB808</f>
        <v>15</v>
      </c>
      <c r="AC874" s="459">
        <f t="shared" ref="AC874:AD879" si="50">+AC868+AC862+AC856+AC844+AC832+AC826+AC850+AC808</f>
        <v>17</v>
      </c>
      <c r="AD874" s="459">
        <f t="shared" si="50"/>
        <v>20</v>
      </c>
      <c r="AE874" s="459">
        <f>+AE868+AE862+AE856+AE844+AE832+AE838+AE826+AE850+AE808</f>
        <v>21</v>
      </c>
      <c r="AF874" s="1252"/>
      <c r="AG874" s="1230" t="s">
        <v>541</v>
      </c>
      <c r="AH874" s="810" t="s">
        <v>70</v>
      </c>
      <c r="AI874" s="810" t="s">
        <v>70</v>
      </c>
      <c r="AJ874" s="810" t="s">
        <v>70</v>
      </c>
      <c r="AK874" s="809" t="s">
        <v>315</v>
      </c>
      <c r="AL874" s="810" t="s">
        <v>70</v>
      </c>
      <c r="AM874" s="810" t="s">
        <v>547</v>
      </c>
      <c r="AN874" s="805">
        <v>7804660</v>
      </c>
      <c r="AO874" s="783">
        <v>3721767</v>
      </c>
      <c r="AP874" s="783">
        <v>4082893</v>
      </c>
      <c r="AQ874" s="787" t="s">
        <v>317</v>
      </c>
      <c r="AR874" s="787" t="s">
        <v>317</v>
      </c>
      <c r="AS874" s="787" t="s">
        <v>317</v>
      </c>
      <c r="AT874" s="787" t="s">
        <v>317</v>
      </c>
      <c r="AU874" s="787" t="s">
        <v>317</v>
      </c>
      <c r="AV874" s="787" t="s">
        <v>317</v>
      </c>
      <c r="AW874" s="787" t="s">
        <v>317</v>
      </c>
      <c r="AX874" s="783">
        <v>7804660</v>
      </c>
      <c r="AY874" s="1300" t="s">
        <v>611</v>
      </c>
    </row>
    <row r="875" spans="1:144" ht="18" x14ac:dyDescent="0.25">
      <c r="A875" s="1195"/>
      <c r="B875" s="833"/>
      <c r="C875" s="809"/>
      <c r="D875" s="132" t="s">
        <v>3</v>
      </c>
      <c r="E875" s="251">
        <v>349839000</v>
      </c>
      <c r="F875" s="251">
        <v>349839000</v>
      </c>
      <c r="G875" s="459">
        <v>349839000</v>
      </c>
      <c r="H875" s="459">
        <v>349839000</v>
      </c>
      <c r="I875" s="459">
        <v>349839000</v>
      </c>
      <c r="J875" s="445">
        <v>313790000</v>
      </c>
      <c r="K875" s="459">
        <f t="shared" si="42"/>
        <v>313790000</v>
      </c>
      <c r="L875" s="459">
        <f t="shared" si="43"/>
        <v>333790000</v>
      </c>
      <c r="M875" s="459">
        <f t="shared" si="43"/>
        <v>313790000</v>
      </c>
      <c r="N875" s="459">
        <f t="shared" si="44"/>
        <v>333790000</v>
      </c>
      <c r="O875" s="459">
        <f t="shared" si="45"/>
        <v>333790000</v>
      </c>
      <c r="P875" s="459">
        <f t="shared" si="45"/>
        <v>333790000</v>
      </c>
      <c r="Q875" s="459">
        <f t="shared" si="45"/>
        <v>333790000</v>
      </c>
      <c r="R875" s="459">
        <f t="shared" ref="R875:R879" si="51">+R869+R863+R857+R845+R833+R839+R827+R851+R809</f>
        <v>350479500</v>
      </c>
      <c r="S875" s="446"/>
      <c r="T875" s="459">
        <v>0</v>
      </c>
      <c r="U875" s="450">
        <v>313790000</v>
      </c>
      <c r="V875" s="459">
        <v>313790000</v>
      </c>
      <c r="W875" s="445">
        <v>313790000</v>
      </c>
      <c r="X875" s="459">
        <f t="shared" si="46"/>
        <v>313790000</v>
      </c>
      <c r="Y875" s="459">
        <f t="shared" si="47"/>
        <v>313790000</v>
      </c>
      <c r="Z875" s="459">
        <f t="shared" si="47"/>
        <v>313790000</v>
      </c>
      <c r="AA875" s="459">
        <f t="shared" si="48"/>
        <v>313790000</v>
      </c>
      <c r="AB875" s="459">
        <f t="shared" si="49"/>
        <v>324104000</v>
      </c>
      <c r="AC875" s="459">
        <f t="shared" si="50"/>
        <v>338020000</v>
      </c>
      <c r="AD875" s="459">
        <f t="shared" si="50"/>
        <v>344195789.47368419</v>
      </c>
      <c r="AE875" s="459">
        <f t="shared" ref="AE875:AE879" si="52">+AE869+AE863+AE857+AE845+AE833+AE839+AE827+AE851+AE809</f>
        <v>349128570</v>
      </c>
      <c r="AF875" s="1252"/>
      <c r="AG875" s="1230"/>
      <c r="AH875" s="810"/>
      <c r="AI875" s="810"/>
      <c r="AJ875" s="810"/>
      <c r="AK875" s="809"/>
      <c r="AL875" s="810"/>
      <c r="AM875" s="810"/>
      <c r="AN875" s="805"/>
      <c r="AO875" s="784"/>
      <c r="AP875" s="784"/>
      <c r="AQ875" s="787"/>
      <c r="AR875" s="787"/>
      <c r="AS875" s="787"/>
      <c r="AT875" s="787"/>
      <c r="AU875" s="787"/>
      <c r="AV875" s="787"/>
      <c r="AW875" s="787"/>
      <c r="AX875" s="784"/>
      <c r="AY875" s="1302"/>
    </row>
    <row r="876" spans="1:144" ht="27" x14ac:dyDescent="0.25">
      <c r="A876" s="1195"/>
      <c r="B876" s="833"/>
      <c r="C876" s="809"/>
      <c r="D876" s="136" t="s">
        <v>42</v>
      </c>
      <c r="E876" s="251" t="e">
        <v>#REF!</v>
      </c>
      <c r="F876" s="251" t="e">
        <v>#REF!</v>
      </c>
      <c r="G876" s="459">
        <v>0</v>
      </c>
      <c r="H876" s="459">
        <v>0</v>
      </c>
      <c r="I876" s="459">
        <v>0</v>
      </c>
      <c r="J876" s="445">
        <v>0</v>
      </c>
      <c r="K876" s="459">
        <f t="shared" si="42"/>
        <v>0</v>
      </c>
      <c r="L876" s="459">
        <f t="shared" si="43"/>
        <v>0</v>
      </c>
      <c r="M876" s="459">
        <f t="shared" si="43"/>
        <v>0</v>
      </c>
      <c r="N876" s="459">
        <f t="shared" si="44"/>
        <v>0</v>
      </c>
      <c r="O876" s="459">
        <f t="shared" si="45"/>
        <v>0</v>
      </c>
      <c r="P876" s="459">
        <f t="shared" si="45"/>
        <v>0</v>
      </c>
      <c r="Q876" s="459">
        <f t="shared" si="45"/>
        <v>0</v>
      </c>
      <c r="R876" s="459">
        <f t="shared" si="51"/>
        <v>0</v>
      </c>
      <c r="S876" s="446"/>
      <c r="T876" s="459">
        <v>0</v>
      </c>
      <c r="U876" s="450">
        <v>0</v>
      </c>
      <c r="V876" s="459">
        <v>0</v>
      </c>
      <c r="W876" s="445">
        <v>0</v>
      </c>
      <c r="X876" s="459">
        <f t="shared" si="46"/>
        <v>0</v>
      </c>
      <c r="Y876" s="459">
        <f t="shared" si="47"/>
        <v>0</v>
      </c>
      <c r="Z876" s="459">
        <f t="shared" si="47"/>
        <v>0</v>
      </c>
      <c r="AA876" s="459">
        <f t="shared" si="48"/>
        <v>0</v>
      </c>
      <c r="AB876" s="459">
        <f t="shared" si="49"/>
        <v>0</v>
      </c>
      <c r="AC876" s="459">
        <f t="shared" si="50"/>
        <v>0</v>
      </c>
      <c r="AD876" s="459">
        <f t="shared" si="50"/>
        <v>0</v>
      </c>
      <c r="AE876" s="459">
        <f t="shared" si="52"/>
        <v>0</v>
      </c>
      <c r="AF876" s="1252"/>
      <c r="AG876" s="1230"/>
      <c r="AH876" s="810"/>
      <c r="AI876" s="810"/>
      <c r="AJ876" s="810"/>
      <c r="AK876" s="809"/>
      <c r="AL876" s="810"/>
      <c r="AM876" s="810"/>
      <c r="AN876" s="805"/>
      <c r="AO876" s="784"/>
      <c r="AP876" s="784"/>
      <c r="AQ876" s="787"/>
      <c r="AR876" s="787"/>
      <c r="AS876" s="787"/>
      <c r="AT876" s="787"/>
      <c r="AU876" s="787"/>
      <c r="AV876" s="787"/>
      <c r="AW876" s="787"/>
      <c r="AX876" s="784"/>
      <c r="AY876" s="1302"/>
    </row>
    <row r="877" spans="1:144" ht="27" x14ac:dyDescent="0.25">
      <c r="A877" s="1195"/>
      <c r="B877" s="833"/>
      <c r="C877" s="809"/>
      <c r="D877" s="132" t="s">
        <v>4</v>
      </c>
      <c r="E877" s="251">
        <v>30874233</v>
      </c>
      <c r="F877" s="251">
        <v>30874233</v>
      </c>
      <c r="G877" s="459">
        <v>0</v>
      </c>
      <c r="H877" s="459">
        <v>30874233</v>
      </c>
      <c r="I877" s="459">
        <v>0</v>
      </c>
      <c r="J877" s="445">
        <v>0</v>
      </c>
      <c r="K877" s="459">
        <f t="shared" si="42"/>
        <v>0</v>
      </c>
      <c r="L877" s="459">
        <f t="shared" si="43"/>
        <v>0</v>
      </c>
      <c r="M877" s="459">
        <f t="shared" si="43"/>
        <v>0</v>
      </c>
      <c r="N877" s="459">
        <f t="shared" si="44"/>
        <v>0</v>
      </c>
      <c r="O877" s="459">
        <f t="shared" si="45"/>
        <v>0</v>
      </c>
      <c r="P877" s="459">
        <f t="shared" si="45"/>
        <v>0</v>
      </c>
      <c r="Q877" s="459">
        <f t="shared" si="45"/>
        <v>0</v>
      </c>
      <c r="R877" s="459">
        <f t="shared" si="51"/>
        <v>0</v>
      </c>
      <c r="S877" s="446"/>
      <c r="T877" s="459">
        <v>13317533</v>
      </c>
      <c r="U877" s="450">
        <v>30874233</v>
      </c>
      <c r="V877" s="459">
        <v>0</v>
      </c>
      <c r="W877" s="445">
        <v>0</v>
      </c>
      <c r="X877" s="459">
        <f t="shared" si="46"/>
        <v>0</v>
      </c>
      <c r="Y877" s="459">
        <f t="shared" si="47"/>
        <v>0</v>
      </c>
      <c r="Z877" s="459">
        <f t="shared" si="47"/>
        <v>0</v>
      </c>
      <c r="AA877" s="459">
        <f t="shared" si="48"/>
        <v>0</v>
      </c>
      <c r="AB877" s="459">
        <f t="shared" si="49"/>
        <v>0</v>
      </c>
      <c r="AC877" s="459">
        <f t="shared" si="50"/>
        <v>0</v>
      </c>
      <c r="AD877" s="459">
        <f t="shared" si="50"/>
        <v>0</v>
      </c>
      <c r="AE877" s="459">
        <f t="shared" si="52"/>
        <v>0</v>
      </c>
      <c r="AF877" s="1252"/>
      <c r="AG877" s="1230"/>
      <c r="AH877" s="810"/>
      <c r="AI877" s="810"/>
      <c r="AJ877" s="810"/>
      <c r="AK877" s="809"/>
      <c r="AL877" s="810"/>
      <c r="AM877" s="810"/>
      <c r="AN877" s="805"/>
      <c r="AO877" s="784"/>
      <c r="AP877" s="784"/>
      <c r="AQ877" s="787"/>
      <c r="AR877" s="787"/>
      <c r="AS877" s="787"/>
      <c r="AT877" s="787"/>
      <c r="AU877" s="787"/>
      <c r="AV877" s="787"/>
      <c r="AW877" s="787"/>
      <c r="AX877" s="784"/>
      <c r="AY877" s="1302"/>
    </row>
    <row r="878" spans="1:144" ht="27" x14ac:dyDescent="0.25">
      <c r="A878" s="1195"/>
      <c r="B878" s="833"/>
      <c r="C878" s="809"/>
      <c r="D878" s="136" t="s">
        <v>43</v>
      </c>
      <c r="E878" s="251">
        <v>20</v>
      </c>
      <c r="F878" s="251">
        <v>20</v>
      </c>
      <c r="G878" s="459">
        <v>20</v>
      </c>
      <c r="H878" s="459">
        <v>20</v>
      </c>
      <c r="I878" s="459">
        <v>20</v>
      </c>
      <c r="J878" s="445">
        <v>20</v>
      </c>
      <c r="K878" s="459">
        <f t="shared" si="42"/>
        <v>20</v>
      </c>
      <c r="L878" s="459">
        <f t="shared" si="43"/>
        <v>20</v>
      </c>
      <c r="M878" s="459">
        <f t="shared" si="43"/>
        <v>20</v>
      </c>
      <c r="N878" s="459">
        <f t="shared" si="44"/>
        <v>20</v>
      </c>
      <c r="O878" s="459">
        <f t="shared" si="45"/>
        <v>20</v>
      </c>
      <c r="P878" s="459">
        <f t="shared" si="45"/>
        <v>20</v>
      </c>
      <c r="Q878" s="459">
        <f t="shared" si="45"/>
        <v>20</v>
      </c>
      <c r="R878" s="459">
        <f t="shared" si="51"/>
        <v>20</v>
      </c>
      <c r="S878" s="446"/>
      <c r="T878" s="459">
        <v>1</v>
      </c>
      <c r="U878" s="450">
        <v>2</v>
      </c>
      <c r="V878" s="459">
        <v>3</v>
      </c>
      <c r="W878" s="445">
        <v>5</v>
      </c>
      <c r="X878" s="459">
        <f t="shared" si="46"/>
        <v>7</v>
      </c>
      <c r="Y878" s="459">
        <f t="shared" si="47"/>
        <v>9</v>
      </c>
      <c r="Z878" s="459">
        <f t="shared" si="47"/>
        <v>11</v>
      </c>
      <c r="AA878" s="459">
        <f t="shared" si="48"/>
        <v>13</v>
      </c>
      <c r="AB878" s="459">
        <f t="shared" si="49"/>
        <v>15</v>
      </c>
      <c r="AC878" s="459">
        <f t="shared" si="50"/>
        <v>17</v>
      </c>
      <c r="AD878" s="459">
        <f t="shared" si="50"/>
        <v>20</v>
      </c>
      <c r="AE878" s="459">
        <f t="shared" si="52"/>
        <v>20</v>
      </c>
      <c r="AF878" s="1252"/>
      <c r="AG878" s="1230"/>
      <c r="AH878" s="810"/>
      <c r="AI878" s="810"/>
      <c r="AJ878" s="810"/>
      <c r="AK878" s="809"/>
      <c r="AL878" s="810"/>
      <c r="AM878" s="810"/>
      <c r="AN878" s="805"/>
      <c r="AO878" s="784"/>
      <c r="AP878" s="784"/>
      <c r="AQ878" s="787"/>
      <c r="AR878" s="787"/>
      <c r="AS878" s="787"/>
      <c r="AT878" s="787"/>
      <c r="AU878" s="787"/>
      <c r="AV878" s="787"/>
      <c r="AW878" s="787"/>
      <c r="AX878" s="784"/>
      <c r="AY878" s="1302"/>
    </row>
    <row r="879" spans="1:144" ht="27.75" thickBot="1" x14ac:dyDescent="0.3">
      <c r="A879" s="1196"/>
      <c r="B879" s="1193"/>
      <c r="C879" s="809"/>
      <c r="D879" s="140" t="s">
        <v>45</v>
      </c>
      <c r="E879" s="251">
        <v>380713233</v>
      </c>
      <c r="F879" s="251">
        <v>380713233</v>
      </c>
      <c r="G879" s="459">
        <v>349839000</v>
      </c>
      <c r="H879" s="459">
        <v>349839000</v>
      </c>
      <c r="I879" s="459">
        <v>349839000</v>
      </c>
      <c r="J879" s="445">
        <v>313790000</v>
      </c>
      <c r="K879" s="459">
        <f t="shared" si="42"/>
        <v>313790000</v>
      </c>
      <c r="L879" s="459">
        <f t="shared" si="43"/>
        <v>333790000</v>
      </c>
      <c r="M879" s="459">
        <f t="shared" si="43"/>
        <v>313790000</v>
      </c>
      <c r="N879" s="459">
        <f t="shared" si="44"/>
        <v>333790000</v>
      </c>
      <c r="O879" s="459">
        <f t="shared" si="45"/>
        <v>333790000</v>
      </c>
      <c r="P879" s="459">
        <f t="shared" si="45"/>
        <v>333790000</v>
      </c>
      <c r="Q879" s="459">
        <f t="shared" si="45"/>
        <v>333790000</v>
      </c>
      <c r="R879" s="459">
        <f t="shared" si="51"/>
        <v>333790000</v>
      </c>
      <c r="S879" s="446"/>
      <c r="T879" s="459">
        <v>0</v>
      </c>
      <c r="U879" s="450">
        <v>313790000</v>
      </c>
      <c r="V879" s="459">
        <v>313790000</v>
      </c>
      <c r="W879" s="445">
        <v>313790000</v>
      </c>
      <c r="X879" s="459">
        <f t="shared" si="46"/>
        <v>313790000</v>
      </c>
      <c r="Y879" s="459">
        <f t="shared" si="47"/>
        <v>313790000</v>
      </c>
      <c r="Z879" s="459">
        <f t="shared" si="47"/>
        <v>313790000</v>
      </c>
      <c r="AA879" s="459">
        <f t="shared" si="48"/>
        <v>313790000</v>
      </c>
      <c r="AB879" s="459">
        <f t="shared" si="49"/>
        <v>324104000</v>
      </c>
      <c r="AC879" s="459">
        <f t="shared" si="50"/>
        <v>338020000</v>
      </c>
      <c r="AD879" s="459">
        <f t="shared" si="50"/>
        <v>344195789.47368419</v>
      </c>
      <c r="AE879" s="459">
        <f t="shared" si="52"/>
        <v>332503400</v>
      </c>
      <c r="AF879" s="1252"/>
      <c r="AG879" s="1230"/>
      <c r="AH879" s="810"/>
      <c r="AI879" s="810"/>
      <c r="AJ879" s="810"/>
      <c r="AK879" s="809"/>
      <c r="AL879" s="810"/>
      <c r="AM879" s="810"/>
      <c r="AN879" s="805"/>
      <c r="AO879" s="785"/>
      <c r="AP879" s="785"/>
      <c r="AQ879" s="787"/>
      <c r="AR879" s="787"/>
      <c r="AS879" s="787"/>
      <c r="AT879" s="787"/>
      <c r="AU879" s="787"/>
      <c r="AV879" s="787"/>
      <c r="AW879" s="787"/>
      <c r="AX879" s="785"/>
      <c r="AY879" s="1304"/>
    </row>
    <row r="880" spans="1:144" ht="18" customHeight="1" x14ac:dyDescent="0.25">
      <c r="A880" s="1194">
        <v>7</v>
      </c>
      <c r="B880" s="1190" t="s">
        <v>295</v>
      </c>
      <c r="C880" s="809" t="s">
        <v>609</v>
      </c>
      <c r="D880" s="141" t="s">
        <v>41</v>
      </c>
      <c r="E880" s="251">
        <v>0.6</v>
      </c>
      <c r="F880" s="251">
        <v>0.6</v>
      </c>
      <c r="G880" s="460">
        <v>0.6</v>
      </c>
      <c r="H880" s="460">
        <v>0.6</v>
      </c>
      <c r="I880" s="460">
        <v>0.6</v>
      </c>
      <c r="J880" s="460">
        <v>0.6</v>
      </c>
      <c r="K880" s="460">
        <v>0.6</v>
      </c>
      <c r="L880" s="460">
        <f>+INVERSIÓN!BA52</f>
        <v>0.60000000000000009</v>
      </c>
      <c r="M880" s="459">
        <v>0.60000000000000009</v>
      </c>
      <c r="N880" s="455">
        <v>0.60000000000000009</v>
      </c>
      <c r="O880" s="455">
        <v>0.60000000000000009</v>
      </c>
      <c r="P880" s="445">
        <v>0.6</v>
      </c>
      <c r="Q880" s="445">
        <v>0.6</v>
      </c>
      <c r="R880" s="445">
        <v>0.6</v>
      </c>
      <c r="S880" s="1253" t="s">
        <v>610</v>
      </c>
      <c r="T880" s="454">
        <v>0.06</v>
      </c>
      <c r="U880" s="454">
        <v>0.09</v>
      </c>
      <c r="V880" s="454">
        <v>0.15</v>
      </c>
      <c r="W880" s="454">
        <v>0.2</v>
      </c>
      <c r="X880" s="454">
        <v>0.25</v>
      </c>
      <c r="Y880" s="454">
        <v>0.3</v>
      </c>
      <c r="Z880" s="454">
        <v>0.35</v>
      </c>
      <c r="AA880" s="455">
        <v>0.39999999999999997</v>
      </c>
      <c r="AB880" s="1254">
        <v>0.44999999999999996</v>
      </c>
      <c r="AC880" s="1225">
        <v>0.5</v>
      </c>
      <c r="AD880" s="1225">
        <v>0.54999999999999993</v>
      </c>
      <c r="AE880" s="1238">
        <v>0.6</v>
      </c>
      <c r="AF880" s="1317" t="s">
        <v>610</v>
      </c>
      <c r="AG880" s="1230" t="s">
        <v>541</v>
      </c>
      <c r="AH880" s="810" t="s">
        <v>70</v>
      </c>
      <c r="AI880" s="810" t="s">
        <v>70</v>
      </c>
      <c r="AJ880" s="810" t="s">
        <v>70</v>
      </c>
      <c r="AK880" s="809" t="s">
        <v>315</v>
      </c>
      <c r="AL880" s="810" t="s">
        <v>70</v>
      </c>
      <c r="AM880" s="810" t="s">
        <v>547</v>
      </c>
      <c r="AN880" s="805">
        <v>7804660</v>
      </c>
      <c r="AO880" s="783">
        <v>3721767</v>
      </c>
      <c r="AP880" s="783">
        <v>4082893</v>
      </c>
      <c r="AQ880" s="787" t="s">
        <v>317</v>
      </c>
      <c r="AR880" s="787" t="s">
        <v>317</v>
      </c>
      <c r="AS880" s="787" t="s">
        <v>317</v>
      </c>
      <c r="AT880" s="787" t="s">
        <v>317</v>
      </c>
      <c r="AU880" s="787" t="s">
        <v>317</v>
      </c>
      <c r="AV880" s="787" t="s">
        <v>317</v>
      </c>
      <c r="AW880" s="787" t="s">
        <v>317</v>
      </c>
      <c r="AX880" s="783">
        <v>7804660</v>
      </c>
      <c r="AY880" s="1300" t="s">
        <v>611</v>
      </c>
    </row>
    <row r="881" spans="1:51" ht="18" x14ac:dyDescent="0.25">
      <c r="A881" s="1195"/>
      <c r="B881" s="833"/>
      <c r="C881" s="809"/>
      <c r="D881" s="132" t="s">
        <v>3</v>
      </c>
      <c r="E881" s="251">
        <v>482999000</v>
      </c>
      <c r="F881" s="251">
        <v>482999000</v>
      </c>
      <c r="G881" s="460">
        <v>482999000</v>
      </c>
      <c r="H881" s="460">
        <v>482999000</v>
      </c>
      <c r="I881" s="460">
        <v>482999000</v>
      </c>
      <c r="J881" s="460">
        <v>443325000</v>
      </c>
      <c r="K881" s="460">
        <v>435242000</v>
      </c>
      <c r="L881" s="460">
        <f>+INVERSIÓN!BA53</f>
        <v>447929500</v>
      </c>
      <c r="M881" s="459">
        <v>435242000</v>
      </c>
      <c r="N881" s="455">
        <v>443888000</v>
      </c>
      <c r="O881" s="455">
        <v>443888000</v>
      </c>
      <c r="P881" s="455">
        <v>443888000</v>
      </c>
      <c r="Q881" s="455">
        <v>443888000</v>
      </c>
      <c r="R881" s="455">
        <v>447929500</v>
      </c>
      <c r="S881" s="1260"/>
      <c r="T881" s="454">
        <v>0</v>
      </c>
      <c r="U881" s="454">
        <v>340880000</v>
      </c>
      <c r="V881" s="454">
        <v>435242000</v>
      </c>
      <c r="W881" s="454">
        <v>435242000</v>
      </c>
      <c r="X881" s="457">
        <v>435242000</v>
      </c>
      <c r="Y881" s="454">
        <v>435242000</v>
      </c>
      <c r="Z881" s="454">
        <v>435242000</v>
      </c>
      <c r="AA881" s="455">
        <v>443888000</v>
      </c>
      <c r="AB881" s="1254">
        <v>443888000</v>
      </c>
      <c r="AC881" s="1225">
        <v>443888000</v>
      </c>
      <c r="AD881" s="1225">
        <v>443888000</v>
      </c>
      <c r="AE881" s="1238">
        <v>447929500</v>
      </c>
      <c r="AF881" s="1318"/>
      <c r="AG881" s="1230"/>
      <c r="AH881" s="810"/>
      <c r="AI881" s="810"/>
      <c r="AJ881" s="810"/>
      <c r="AK881" s="809"/>
      <c r="AL881" s="810"/>
      <c r="AM881" s="810"/>
      <c r="AN881" s="805"/>
      <c r="AO881" s="784"/>
      <c r="AP881" s="784"/>
      <c r="AQ881" s="787"/>
      <c r="AR881" s="787"/>
      <c r="AS881" s="787"/>
      <c r="AT881" s="787"/>
      <c r="AU881" s="787"/>
      <c r="AV881" s="787"/>
      <c r="AW881" s="787"/>
      <c r="AX881" s="784"/>
      <c r="AY881" s="1302"/>
    </row>
    <row r="882" spans="1:51" ht="27" x14ac:dyDescent="0.25">
      <c r="A882" s="1195"/>
      <c r="B882" s="833"/>
      <c r="C882" s="809"/>
      <c r="D882" s="136" t="s">
        <v>42</v>
      </c>
      <c r="E882" s="251" t="e">
        <v>#REF!</v>
      </c>
      <c r="F882" s="251" t="e">
        <v>#REF!</v>
      </c>
      <c r="G882" s="460" t="e">
        <v>#REF!</v>
      </c>
      <c r="H882" s="460" t="e">
        <v>#REF!</v>
      </c>
      <c r="I882" s="460">
        <v>0</v>
      </c>
      <c r="J882" s="460">
        <v>0</v>
      </c>
      <c r="K882" s="460">
        <v>0</v>
      </c>
      <c r="L882" s="460">
        <v>0</v>
      </c>
      <c r="M882" s="459">
        <v>0</v>
      </c>
      <c r="N882" s="455">
        <v>0</v>
      </c>
      <c r="O882" s="455">
        <v>0</v>
      </c>
      <c r="P882" s="455">
        <v>0</v>
      </c>
      <c r="Q882" s="455">
        <v>0</v>
      </c>
      <c r="R882" s="455">
        <v>0</v>
      </c>
      <c r="S882" s="1260"/>
      <c r="T882" s="454">
        <v>0</v>
      </c>
      <c r="U882" s="454">
        <v>0</v>
      </c>
      <c r="V882" s="454">
        <v>0</v>
      </c>
      <c r="W882" s="454">
        <v>0</v>
      </c>
      <c r="X882" s="457">
        <v>0</v>
      </c>
      <c r="Y882" s="457">
        <v>0</v>
      </c>
      <c r="Z882" s="454">
        <v>0</v>
      </c>
      <c r="AA882" s="455">
        <v>0</v>
      </c>
      <c r="AB882" s="1254">
        <v>0</v>
      </c>
      <c r="AC882" s="1225">
        <v>0</v>
      </c>
      <c r="AD882" s="1225">
        <v>0</v>
      </c>
      <c r="AE882" s="1225">
        <v>0</v>
      </c>
      <c r="AF882" s="1318"/>
      <c r="AG882" s="1230"/>
      <c r="AH882" s="810"/>
      <c r="AI882" s="810"/>
      <c r="AJ882" s="810"/>
      <c r="AK882" s="809"/>
      <c r="AL882" s="810"/>
      <c r="AM882" s="810"/>
      <c r="AN882" s="805"/>
      <c r="AO882" s="784"/>
      <c r="AP882" s="784"/>
      <c r="AQ882" s="787"/>
      <c r="AR882" s="787"/>
      <c r="AS882" s="787"/>
      <c r="AT882" s="787"/>
      <c r="AU882" s="787"/>
      <c r="AV882" s="787"/>
      <c r="AW882" s="787"/>
      <c r="AX882" s="784"/>
      <c r="AY882" s="1302"/>
    </row>
    <row r="883" spans="1:51" ht="19.149999999999999" customHeight="1" x14ac:dyDescent="0.25">
      <c r="A883" s="1195"/>
      <c r="B883" s="833"/>
      <c r="C883" s="809"/>
      <c r="D883" s="132" t="s">
        <v>4</v>
      </c>
      <c r="E883" s="251">
        <v>45106067</v>
      </c>
      <c r="F883" s="251">
        <v>45106067</v>
      </c>
      <c r="G883" s="460">
        <v>45106067</v>
      </c>
      <c r="H883" s="460">
        <v>45106067</v>
      </c>
      <c r="I883" s="460">
        <v>45106067</v>
      </c>
      <c r="J883" s="460">
        <v>45106067</v>
      </c>
      <c r="K883" s="460">
        <v>45106067</v>
      </c>
      <c r="L883" s="460">
        <f>+INVERSIÓN!BA56</f>
        <v>45106067</v>
      </c>
      <c r="M883" s="459">
        <v>45106067</v>
      </c>
      <c r="N883" s="455">
        <v>45106067</v>
      </c>
      <c r="O883" s="455">
        <v>45106067</v>
      </c>
      <c r="P883" s="455">
        <v>45106067</v>
      </c>
      <c r="Q883" s="455">
        <v>45106067</v>
      </c>
      <c r="R883" s="455">
        <v>45106067</v>
      </c>
      <c r="S883" s="1260"/>
      <c r="T883" s="454">
        <v>18479500</v>
      </c>
      <c r="U883" s="454">
        <v>36465800</v>
      </c>
      <c r="V883" s="454">
        <v>45106067</v>
      </c>
      <c r="W883" s="454">
        <v>45106067</v>
      </c>
      <c r="X883" s="457">
        <v>45106067</v>
      </c>
      <c r="Y883" s="457">
        <v>45106067</v>
      </c>
      <c r="Z883" s="454">
        <v>45106067</v>
      </c>
      <c r="AA883" s="455">
        <v>45106067</v>
      </c>
      <c r="AB883" s="1254">
        <v>45106067</v>
      </c>
      <c r="AC883" s="1225">
        <v>45106067</v>
      </c>
      <c r="AD883" s="1225">
        <v>45106067</v>
      </c>
      <c r="AE883" s="1225">
        <v>45106067</v>
      </c>
      <c r="AF883" s="1318"/>
      <c r="AG883" s="1230"/>
      <c r="AH883" s="810"/>
      <c r="AI883" s="810"/>
      <c r="AJ883" s="810"/>
      <c r="AK883" s="809"/>
      <c r="AL883" s="810"/>
      <c r="AM883" s="810"/>
      <c r="AN883" s="805"/>
      <c r="AO883" s="784"/>
      <c r="AP883" s="784"/>
      <c r="AQ883" s="787"/>
      <c r="AR883" s="787"/>
      <c r="AS883" s="787"/>
      <c r="AT883" s="787"/>
      <c r="AU883" s="787"/>
      <c r="AV883" s="787"/>
      <c r="AW883" s="787"/>
      <c r="AX883" s="784"/>
      <c r="AY883" s="1302"/>
    </row>
    <row r="884" spans="1:51" ht="27" x14ac:dyDescent="0.25">
      <c r="A884" s="1195"/>
      <c r="B884" s="833"/>
      <c r="C884" s="809"/>
      <c r="D884" s="136" t="s">
        <v>43</v>
      </c>
      <c r="E884" s="251">
        <v>0.6</v>
      </c>
      <c r="F884" s="251">
        <v>0.6</v>
      </c>
      <c r="G884" s="460">
        <v>0.6</v>
      </c>
      <c r="H884" s="460">
        <v>0.6</v>
      </c>
      <c r="I884" s="460">
        <v>0.6</v>
      </c>
      <c r="J884" s="460">
        <v>0.6</v>
      </c>
      <c r="K884" s="460">
        <v>0.6</v>
      </c>
      <c r="L884" s="460">
        <f>+INVERSIÓN!BA57</f>
        <v>0.60000000000000009</v>
      </c>
      <c r="M884" s="459">
        <v>0.60000000000000009</v>
      </c>
      <c r="N884" s="455">
        <v>0.6</v>
      </c>
      <c r="O884" s="455">
        <v>0.6</v>
      </c>
      <c r="P884" s="455">
        <v>0.6</v>
      </c>
      <c r="Q884" s="455">
        <v>0.6</v>
      </c>
      <c r="R884" s="455">
        <v>0.6</v>
      </c>
      <c r="S884" s="1260"/>
      <c r="T884" s="454">
        <v>0.06</v>
      </c>
      <c r="U884" s="454">
        <v>0.09</v>
      </c>
      <c r="V884" s="454">
        <v>0.15</v>
      </c>
      <c r="W884" s="454">
        <v>0.2</v>
      </c>
      <c r="X884" s="447">
        <v>0.25</v>
      </c>
      <c r="Y884" s="450">
        <v>0.3</v>
      </c>
      <c r="Z884" s="454">
        <v>0.35</v>
      </c>
      <c r="AA884" s="455">
        <v>0.4</v>
      </c>
      <c r="AB884" s="1254">
        <v>0.45</v>
      </c>
      <c r="AC884" s="1225">
        <v>0.5</v>
      </c>
      <c r="AD884" s="1225">
        <v>0.5</v>
      </c>
      <c r="AE884" s="1238">
        <v>0.6</v>
      </c>
      <c r="AF884" s="1318"/>
      <c r="AG884" s="1230"/>
      <c r="AH884" s="810"/>
      <c r="AI884" s="810"/>
      <c r="AJ884" s="810"/>
      <c r="AK884" s="809"/>
      <c r="AL884" s="810"/>
      <c r="AM884" s="810"/>
      <c r="AN884" s="805"/>
      <c r="AO884" s="784"/>
      <c r="AP884" s="784"/>
      <c r="AQ884" s="787"/>
      <c r="AR884" s="787"/>
      <c r="AS884" s="787"/>
      <c r="AT884" s="787"/>
      <c r="AU884" s="787"/>
      <c r="AV884" s="787"/>
      <c r="AW884" s="787"/>
      <c r="AX884" s="784"/>
      <c r="AY884" s="1302"/>
    </row>
    <row r="885" spans="1:51" ht="27.75" thickBot="1" x14ac:dyDescent="0.3">
      <c r="A885" s="1195"/>
      <c r="B885" s="833"/>
      <c r="C885" s="809"/>
      <c r="D885" s="140" t="s">
        <v>45</v>
      </c>
      <c r="E885" s="251">
        <v>528105067</v>
      </c>
      <c r="F885" s="251">
        <v>528105067</v>
      </c>
      <c r="G885" s="460">
        <v>528105067</v>
      </c>
      <c r="H885" s="460">
        <v>528105067</v>
      </c>
      <c r="I885" s="460">
        <v>528105067</v>
      </c>
      <c r="J885" s="460">
        <v>488431067</v>
      </c>
      <c r="K885" s="460">
        <v>480348067</v>
      </c>
      <c r="L885" s="460">
        <f>+INVERSIÓN!BA58</f>
        <v>493035567</v>
      </c>
      <c r="M885" s="459">
        <v>480348067</v>
      </c>
      <c r="N885" s="455">
        <f>+N881+N883</f>
        <v>488994067</v>
      </c>
      <c r="O885" s="455">
        <f>+O881+O883</f>
        <v>488994067</v>
      </c>
      <c r="P885" s="455">
        <f>+P881+P883</f>
        <v>488994067</v>
      </c>
      <c r="Q885" s="455">
        <f>+Q881+Q883</f>
        <v>488994067</v>
      </c>
      <c r="R885" s="455">
        <f>+R881+R883</f>
        <v>493035567</v>
      </c>
      <c r="S885" s="1260"/>
      <c r="T885" s="454">
        <v>18479500</v>
      </c>
      <c r="U885" s="454">
        <v>377345800</v>
      </c>
      <c r="V885" s="454">
        <v>480348067</v>
      </c>
      <c r="W885" s="454">
        <v>480348067</v>
      </c>
      <c r="X885" s="454">
        <v>480348067</v>
      </c>
      <c r="Y885" s="457">
        <v>480348067</v>
      </c>
      <c r="Z885" s="454">
        <v>480348067</v>
      </c>
      <c r="AA885" s="455">
        <f>+AA881+AA883</f>
        <v>488994067</v>
      </c>
      <c r="AB885" s="1254">
        <f>+AB881+AB883</f>
        <v>488994067</v>
      </c>
      <c r="AC885" s="1254">
        <f>+AC881+AC883</f>
        <v>488994067</v>
      </c>
      <c r="AD885" s="1254">
        <f>+AD881+AD883</f>
        <v>488994067</v>
      </c>
      <c r="AE885" s="1254">
        <f>+AE881+AE883</f>
        <v>493035567</v>
      </c>
      <c r="AF885" s="1318"/>
      <c r="AG885" s="1230"/>
      <c r="AH885" s="810"/>
      <c r="AI885" s="810"/>
      <c r="AJ885" s="810"/>
      <c r="AK885" s="809"/>
      <c r="AL885" s="810"/>
      <c r="AM885" s="810"/>
      <c r="AN885" s="805"/>
      <c r="AO885" s="785"/>
      <c r="AP885" s="785"/>
      <c r="AQ885" s="787"/>
      <c r="AR885" s="787"/>
      <c r="AS885" s="787"/>
      <c r="AT885" s="787"/>
      <c r="AU885" s="787"/>
      <c r="AV885" s="787"/>
      <c r="AW885" s="787"/>
      <c r="AX885" s="785"/>
      <c r="AY885" s="1304"/>
    </row>
    <row r="886" spans="1:51" ht="18" customHeight="1" x14ac:dyDescent="0.25">
      <c r="A886" s="1195"/>
      <c r="B886" s="833"/>
      <c r="C886" s="809" t="s">
        <v>410</v>
      </c>
      <c r="D886" s="141" t="s">
        <v>41</v>
      </c>
      <c r="E886" s="251">
        <v>0.6</v>
      </c>
      <c r="F886" s="251">
        <v>0.6</v>
      </c>
      <c r="G886" s="459">
        <v>0.6</v>
      </c>
      <c r="H886" s="459">
        <v>0.6</v>
      </c>
      <c r="I886" s="459">
        <v>0.6</v>
      </c>
      <c r="J886" s="459">
        <v>0.6</v>
      </c>
      <c r="K886" s="459">
        <f>+K880</f>
        <v>0.6</v>
      </c>
      <c r="L886" s="459">
        <f>+L880</f>
        <v>0.60000000000000009</v>
      </c>
      <c r="M886" s="459">
        <f>+M880</f>
        <v>0.60000000000000009</v>
      </c>
      <c r="N886" s="459">
        <f>+N880</f>
        <v>0.60000000000000009</v>
      </c>
      <c r="O886" s="445">
        <f>+O880</f>
        <v>0.60000000000000009</v>
      </c>
      <c r="P886" s="445">
        <v>0.6</v>
      </c>
      <c r="Q886" s="445">
        <f t="shared" ref="Q886:R891" si="53">+Q880</f>
        <v>0.6</v>
      </c>
      <c r="R886" s="445">
        <f t="shared" si="53"/>
        <v>0.6</v>
      </c>
      <c r="S886" s="1260"/>
      <c r="T886" s="450">
        <v>0.06</v>
      </c>
      <c r="U886" s="450">
        <v>0.09</v>
      </c>
      <c r="V886" s="450">
        <v>0.15</v>
      </c>
      <c r="W886" s="450">
        <v>0.2</v>
      </c>
      <c r="X886" s="450">
        <f t="shared" ref="X886:AD886" si="54">+X880</f>
        <v>0.25</v>
      </c>
      <c r="Y886" s="450">
        <f t="shared" si="54"/>
        <v>0.3</v>
      </c>
      <c r="Z886" s="450">
        <f t="shared" si="54"/>
        <v>0.35</v>
      </c>
      <c r="AA886" s="450">
        <f t="shared" si="54"/>
        <v>0.39999999999999997</v>
      </c>
      <c r="AB886" s="1265">
        <f t="shared" si="54"/>
        <v>0.44999999999999996</v>
      </c>
      <c r="AC886" s="1265">
        <f t="shared" si="54"/>
        <v>0.5</v>
      </c>
      <c r="AD886" s="445">
        <f t="shared" si="54"/>
        <v>0.54999999999999993</v>
      </c>
      <c r="AE886" s="450">
        <f>+AE880</f>
        <v>0.6</v>
      </c>
      <c r="AF886" s="1318"/>
      <c r="AG886" s="1230" t="s">
        <v>541</v>
      </c>
      <c r="AH886" s="810" t="s">
        <v>70</v>
      </c>
      <c r="AI886" s="810" t="s">
        <v>70</v>
      </c>
      <c r="AJ886" s="810" t="s">
        <v>70</v>
      </c>
      <c r="AK886" s="809" t="s">
        <v>315</v>
      </c>
      <c r="AL886" s="810" t="s">
        <v>70</v>
      </c>
      <c r="AM886" s="810" t="s">
        <v>547</v>
      </c>
      <c r="AN886" s="805">
        <v>7804660</v>
      </c>
      <c r="AO886" s="783">
        <v>3721767</v>
      </c>
      <c r="AP886" s="783">
        <v>4082893</v>
      </c>
      <c r="AQ886" s="787" t="s">
        <v>317</v>
      </c>
      <c r="AR886" s="787" t="s">
        <v>317</v>
      </c>
      <c r="AS886" s="787" t="s">
        <v>317</v>
      </c>
      <c r="AT886" s="787" t="s">
        <v>317</v>
      </c>
      <c r="AU886" s="787" t="s">
        <v>317</v>
      </c>
      <c r="AV886" s="787" t="s">
        <v>317</v>
      </c>
      <c r="AW886" s="787" t="s">
        <v>317</v>
      </c>
      <c r="AX886" s="783">
        <v>7804660</v>
      </c>
      <c r="AY886" s="1319"/>
    </row>
    <row r="887" spans="1:51" ht="18" x14ac:dyDescent="0.25">
      <c r="A887" s="1195"/>
      <c r="B887" s="833"/>
      <c r="C887" s="809"/>
      <c r="D887" s="132" t="s">
        <v>3</v>
      </c>
      <c r="E887" s="251">
        <v>482999000</v>
      </c>
      <c r="F887" s="251">
        <v>482999000</v>
      </c>
      <c r="G887" s="459">
        <v>482999000</v>
      </c>
      <c r="H887" s="459">
        <v>482999000</v>
      </c>
      <c r="I887" s="459">
        <v>482999000</v>
      </c>
      <c r="J887" s="459">
        <v>443325000</v>
      </c>
      <c r="K887" s="459">
        <f t="shared" ref="K887:P891" si="55">+K881</f>
        <v>435242000</v>
      </c>
      <c r="L887" s="459">
        <f t="shared" si="55"/>
        <v>447929500</v>
      </c>
      <c r="M887" s="459">
        <f t="shared" si="55"/>
        <v>435242000</v>
      </c>
      <c r="N887" s="459">
        <f t="shared" si="55"/>
        <v>443888000</v>
      </c>
      <c r="O887" s="445">
        <f t="shared" si="55"/>
        <v>443888000</v>
      </c>
      <c r="P887" s="445">
        <f>+P881</f>
        <v>443888000</v>
      </c>
      <c r="Q887" s="445">
        <f t="shared" si="53"/>
        <v>443888000</v>
      </c>
      <c r="R887" s="445">
        <f t="shared" ref="R887" si="56">+R881</f>
        <v>447929500</v>
      </c>
      <c r="S887" s="1260"/>
      <c r="T887" s="450">
        <v>0</v>
      </c>
      <c r="U887" s="450">
        <v>340880000</v>
      </c>
      <c r="V887" s="450">
        <v>435242000</v>
      </c>
      <c r="W887" s="450">
        <v>435242000</v>
      </c>
      <c r="X887" s="450">
        <f t="shared" ref="X887:AE891" si="57">+X881</f>
        <v>435242000</v>
      </c>
      <c r="Y887" s="450">
        <f t="shared" si="57"/>
        <v>435242000</v>
      </c>
      <c r="Z887" s="450">
        <f t="shared" si="57"/>
        <v>435242000</v>
      </c>
      <c r="AA887" s="450">
        <f t="shared" si="57"/>
        <v>443888000</v>
      </c>
      <c r="AB887" s="1265">
        <f t="shared" si="57"/>
        <v>443888000</v>
      </c>
      <c r="AC887" s="1265">
        <f t="shared" si="57"/>
        <v>443888000</v>
      </c>
      <c r="AD887" s="445">
        <f t="shared" si="57"/>
        <v>443888000</v>
      </c>
      <c r="AE887" s="450">
        <f t="shared" si="57"/>
        <v>447929500</v>
      </c>
      <c r="AF887" s="1318"/>
      <c r="AG887" s="1230"/>
      <c r="AH887" s="810"/>
      <c r="AI887" s="810"/>
      <c r="AJ887" s="810"/>
      <c r="AK887" s="809"/>
      <c r="AL887" s="810"/>
      <c r="AM887" s="810"/>
      <c r="AN887" s="805"/>
      <c r="AO887" s="784"/>
      <c r="AP887" s="784"/>
      <c r="AQ887" s="787"/>
      <c r="AR887" s="787"/>
      <c r="AS887" s="787"/>
      <c r="AT887" s="787"/>
      <c r="AU887" s="787"/>
      <c r="AV887" s="787"/>
      <c r="AW887" s="787"/>
      <c r="AX887" s="784"/>
      <c r="AY887" s="1320"/>
    </row>
    <row r="888" spans="1:51" ht="27" x14ac:dyDescent="0.25">
      <c r="A888" s="1195"/>
      <c r="B888" s="833"/>
      <c r="C888" s="809"/>
      <c r="D888" s="136" t="s">
        <v>42</v>
      </c>
      <c r="E888" s="251" t="e">
        <v>#REF!</v>
      </c>
      <c r="F888" s="251" t="e">
        <v>#REF!</v>
      </c>
      <c r="G888" s="459">
        <v>0</v>
      </c>
      <c r="H888" s="459">
        <v>0</v>
      </c>
      <c r="I888" s="459">
        <v>0</v>
      </c>
      <c r="J888" s="459">
        <v>0</v>
      </c>
      <c r="K888" s="459">
        <f t="shared" si="55"/>
        <v>0</v>
      </c>
      <c r="L888" s="459">
        <f t="shared" si="55"/>
        <v>0</v>
      </c>
      <c r="M888" s="459">
        <f t="shared" si="55"/>
        <v>0</v>
      </c>
      <c r="N888" s="459">
        <f t="shared" si="55"/>
        <v>0</v>
      </c>
      <c r="O888" s="445">
        <f t="shared" si="55"/>
        <v>0</v>
      </c>
      <c r="P888" s="445">
        <f t="shared" si="55"/>
        <v>0</v>
      </c>
      <c r="Q888" s="445">
        <f t="shared" si="53"/>
        <v>0</v>
      </c>
      <c r="R888" s="445">
        <f t="shared" ref="R888" si="58">+R882</f>
        <v>0</v>
      </c>
      <c r="S888" s="1260"/>
      <c r="T888" s="450">
        <v>0</v>
      </c>
      <c r="U888" s="450">
        <v>0</v>
      </c>
      <c r="V888" s="450">
        <v>0</v>
      </c>
      <c r="W888" s="450">
        <v>0</v>
      </c>
      <c r="X888" s="450">
        <f t="shared" si="57"/>
        <v>0</v>
      </c>
      <c r="Y888" s="450">
        <f t="shared" si="57"/>
        <v>0</v>
      </c>
      <c r="Z888" s="450">
        <f t="shared" si="57"/>
        <v>0</v>
      </c>
      <c r="AA888" s="450">
        <f t="shared" si="57"/>
        <v>0</v>
      </c>
      <c r="AB888" s="1265">
        <f t="shared" si="57"/>
        <v>0</v>
      </c>
      <c r="AC888" s="1265">
        <f t="shared" si="57"/>
        <v>0</v>
      </c>
      <c r="AD888" s="445">
        <f t="shared" si="57"/>
        <v>0</v>
      </c>
      <c r="AE888" s="450">
        <f t="shared" si="57"/>
        <v>0</v>
      </c>
      <c r="AF888" s="1318"/>
      <c r="AG888" s="1230"/>
      <c r="AH888" s="810"/>
      <c r="AI888" s="810"/>
      <c r="AJ888" s="810"/>
      <c r="AK888" s="809"/>
      <c r="AL888" s="810"/>
      <c r="AM888" s="810"/>
      <c r="AN888" s="805"/>
      <c r="AO888" s="784"/>
      <c r="AP888" s="784"/>
      <c r="AQ888" s="787"/>
      <c r="AR888" s="787"/>
      <c r="AS888" s="787"/>
      <c r="AT888" s="787"/>
      <c r="AU888" s="787"/>
      <c r="AV888" s="787"/>
      <c r="AW888" s="787"/>
      <c r="AX888" s="784"/>
      <c r="AY888" s="1320"/>
    </row>
    <row r="889" spans="1:51" ht="19.149999999999999" customHeight="1" x14ac:dyDescent="0.25">
      <c r="A889" s="1195"/>
      <c r="B889" s="833"/>
      <c r="C889" s="809"/>
      <c r="D889" s="132" t="s">
        <v>4</v>
      </c>
      <c r="E889" s="251">
        <v>45106067</v>
      </c>
      <c r="F889" s="251">
        <v>45106067</v>
      </c>
      <c r="G889" s="459">
        <v>45106067</v>
      </c>
      <c r="H889" s="459">
        <v>45106067</v>
      </c>
      <c r="I889" s="459">
        <v>45106067</v>
      </c>
      <c r="J889" s="459">
        <v>45106067</v>
      </c>
      <c r="K889" s="459">
        <f t="shared" si="55"/>
        <v>45106067</v>
      </c>
      <c r="L889" s="459">
        <f t="shared" si="55"/>
        <v>45106067</v>
      </c>
      <c r="M889" s="459">
        <f t="shared" si="55"/>
        <v>45106067</v>
      </c>
      <c r="N889" s="459">
        <f t="shared" si="55"/>
        <v>45106067</v>
      </c>
      <c r="O889" s="445">
        <f t="shared" si="55"/>
        <v>45106067</v>
      </c>
      <c r="P889" s="445">
        <f t="shared" si="55"/>
        <v>45106067</v>
      </c>
      <c r="Q889" s="445">
        <f t="shared" si="53"/>
        <v>45106067</v>
      </c>
      <c r="R889" s="445">
        <f t="shared" ref="R889" si="59">+R883</f>
        <v>45106067</v>
      </c>
      <c r="S889" s="1260"/>
      <c r="T889" s="450">
        <v>18479500</v>
      </c>
      <c r="U889" s="450">
        <v>36465800</v>
      </c>
      <c r="V889" s="450">
        <v>45106067</v>
      </c>
      <c r="W889" s="450">
        <v>45106067</v>
      </c>
      <c r="X889" s="450">
        <f t="shared" si="57"/>
        <v>45106067</v>
      </c>
      <c r="Y889" s="450">
        <f t="shared" si="57"/>
        <v>45106067</v>
      </c>
      <c r="Z889" s="450">
        <f t="shared" si="57"/>
        <v>45106067</v>
      </c>
      <c r="AA889" s="450">
        <f t="shared" si="57"/>
        <v>45106067</v>
      </c>
      <c r="AB889" s="1265">
        <f t="shared" si="57"/>
        <v>45106067</v>
      </c>
      <c r="AC889" s="1265">
        <f t="shared" si="57"/>
        <v>45106067</v>
      </c>
      <c r="AD889" s="445">
        <f t="shared" si="57"/>
        <v>45106067</v>
      </c>
      <c r="AE889" s="450">
        <f t="shared" si="57"/>
        <v>45106067</v>
      </c>
      <c r="AF889" s="1318"/>
      <c r="AG889" s="1230"/>
      <c r="AH889" s="810"/>
      <c r="AI889" s="810"/>
      <c r="AJ889" s="810"/>
      <c r="AK889" s="809"/>
      <c r="AL889" s="810"/>
      <c r="AM889" s="810"/>
      <c r="AN889" s="805"/>
      <c r="AO889" s="784"/>
      <c r="AP889" s="784"/>
      <c r="AQ889" s="787"/>
      <c r="AR889" s="787"/>
      <c r="AS889" s="787"/>
      <c r="AT889" s="787"/>
      <c r="AU889" s="787"/>
      <c r="AV889" s="787"/>
      <c r="AW889" s="787"/>
      <c r="AX889" s="784"/>
      <c r="AY889" s="1320"/>
    </row>
    <row r="890" spans="1:51" ht="27" x14ac:dyDescent="0.25">
      <c r="A890" s="1195"/>
      <c r="B890" s="833"/>
      <c r="C890" s="809"/>
      <c r="D890" s="136" t="s">
        <v>43</v>
      </c>
      <c r="E890" s="251">
        <v>0.6</v>
      </c>
      <c r="F890" s="251">
        <v>0.6</v>
      </c>
      <c r="G890" s="459">
        <v>0.6</v>
      </c>
      <c r="H890" s="459">
        <v>0.6</v>
      </c>
      <c r="I890" s="459">
        <v>0.6</v>
      </c>
      <c r="J890" s="459">
        <v>0.6</v>
      </c>
      <c r="K890" s="459">
        <f t="shared" si="55"/>
        <v>0.6</v>
      </c>
      <c r="L890" s="459">
        <f t="shared" si="55"/>
        <v>0.60000000000000009</v>
      </c>
      <c r="M890" s="459">
        <f t="shared" si="55"/>
        <v>0.60000000000000009</v>
      </c>
      <c r="N890" s="459">
        <f t="shared" si="55"/>
        <v>0.6</v>
      </c>
      <c r="O890" s="445">
        <f t="shared" si="55"/>
        <v>0.6</v>
      </c>
      <c r="P890" s="445">
        <f t="shared" si="55"/>
        <v>0.6</v>
      </c>
      <c r="Q890" s="445">
        <f t="shared" si="53"/>
        <v>0.6</v>
      </c>
      <c r="R890" s="445">
        <f t="shared" ref="R890" si="60">+R884</f>
        <v>0.6</v>
      </c>
      <c r="S890" s="1260"/>
      <c r="T890" s="450">
        <v>0.06</v>
      </c>
      <c r="U890" s="450">
        <v>0.09</v>
      </c>
      <c r="V890" s="450">
        <v>0.15</v>
      </c>
      <c r="W890" s="450">
        <v>0.2</v>
      </c>
      <c r="X890" s="450">
        <f t="shared" si="57"/>
        <v>0.25</v>
      </c>
      <c r="Y890" s="450">
        <f t="shared" si="57"/>
        <v>0.3</v>
      </c>
      <c r="Z890" s="450">
        <f t="shared" si="57"/>
        <v>0.35</v>
      </c>
      <c r="AA890" s="450">
        <f t="shared" si="57"/>
        <v>0.4</v>
      </c>
      <c r="AB890" s="1265">
        <f t="shared" si="57"/>
        <v>0.45</v>
      </c>
      <c r="AC890" s="1265">
        <f t="shared" si="57"/>
        <v>0.5</v>
      </c>
      <c r="AD890" s="445">
        <f t="shared" si="57"/>
        <v>0.5</v>
      </c>
      <c r="AE890" s="450">
        <f t="shared" si="57"/>
        <v>0.6</v>
      </c>
      <c r="AF890" s="1318"/>
      <c r="AG890" s="1230"/>
      <c r="AH890" s="810"/>
      <c r="AI890" s="810"/>
      <c r="AJ890" s="810"/>
      <c r="AK890" s="809"/>
      <c r="AL890" s="810"/>
      <c r="AM890" s="810"/>
      <c r="AN890" s="805"/>
      <c r="AO890" s="784"/>
      <c r="AP890" s="784"/>
      <c r="AQ890" s="787"/>
      <c r="AR890" s="787"/>
      <c r="AS890" s="787"/>
      <c r="AT890" s="787"/>
      <c r="AU890" s="787"/>
      <c r="AV890" s="787"/>
      <c r="AW890" s="787"/>
      <c r="AX890" s="784"/>
      <c r="AY890" s="1320"/>
    </row>
    <row r="891" spans="1:51" ht="27.75" thickBot="1" x14ac:dyDescent="0.3">
      <c r="A891" s="1196"/>
      <c r="B891" s="1193"/>
      <c r="C891" s="809"/>
      <c r="D891" s="140" t="s">
        <v>45</v>
      </c>
      <c r="E891" s="251">
        <v>528105067</v>
      </c>
      <c r="F891" s="251">
        <v>528105067</v>
      </c>
      <c r="G891" s="459">
        <v>528105067</v>
      </c>
      <c r="H891" s="459">
        <v>528105067</v>
      </c>
      <c r="I891" s="459">
        <v>528105067</v>
      </c>
      <c r="J891" s="459">
        <v>488431067</v>
      </c>
      <c r="K891" s="459">
        <f t="shared" si="55"/>
        <v>480348067</v>
      </c>
      <c r="L891" s="459">
        <f t="shared" si="55"/>
        <v>493035567</v>
      </c>
      <c r="M891" s="459">
        <f t="shared" si="55"/>
        <v>480348067</v>
      </c>
      <c r="N891" s="459">
        <f t="shared" si="55"/>
        <v>488994067</v>
      </c>
      <c r="O891" s="445">
        <f t="shared" si="55"/>
        <v>488994067</v>
      </c>
      <c r="P891" s="445">
        <f t="shared" si="55"/>
        <v>488994067</v>
      </c>
      <c r="Q891" s="445">
        <f t="shared" si="53"/>
        <v>488994067</v>
      </c>
      <c r="R891" s="445">
        <f t="shared" ref="R891" si="61">+R885</f>
        <v>493035567</v>
      </c>
      <c r="S891" s="1267"/>
      <c r="T891" s="450">
        <v>18479500</v>
      </c>
      <c r="U891" s="450">
        <v>377345800</v>
      </c>
      <c r="V891" s="450">
        <v>480348067</v>
      </c>
      <c r="W891" s="450">
        <v>480348067</v>
      </c>
      <c r="X891" s="450">
        <f t="shared" si="57"/>
        <v>480348067</v>
      </c>
      <c r="Y891" s="450">
        <f t="shared" si="57"/>
        <v>480348067</v>
      </c>
      <c r="Z891" s="450">
        <f t="shared" si="57"/>
        <v>480348067</v>
      </c>
      <c r="AA891" s="450">
        <f t="shared" si="57"/>
        <v>488994067</v>
      </c>
      <c r="AB891" s="1265">
        <f t="shared" si="57"/>
        <v>488994067</v>
      </c>
      <c r="AC891" s="1265">
        <f t="shared" si="57"/>
        <v>488994067</v>
      </c>
      <c r="AD891" s="445">
        <f t="shared" si="57"/>
        <v>488994067</v>
      </c>
      <c r="AE891" s="450">
        <f t="shared" si="57"/>
        <v>493035567</v>
      </c>
      <c r="AF891" s="1321"/>
      <c r="AG891" s="1230"/>
      <c r="AH891" s="810"/>
      <c r="AI891" s="810"/>
      <c r="AJ891" s="810"/>
      <c r="AK891" s="809"/>
      <c r="AL891" s="810"/>
      <c r="AM891" s="810"/>
      <c r="AN891" s="805"/>
      <c r="AO891" s="785"/>
      <c r="AP891" s="785"/>
      <c r="AQ891" s="787"/>
      <c r="AR891" s="787"/>
      <c r="AS891" s="787"/>
      <c r="AT891" s="787"/>
      <c r="AU891" s="787"/>
      <c r="AV891" s="787"/>
      <c r="AW891" s="787"/>
      <c r="AX891" s="785"/>
      <c r="AY891" s="1322"/>
    </row>
    <row r="892" spans="1:51" s="3" customFormat="1" ht="26.25" customHeight="1" x14ac:dyDescent="0.25">
      <c r="A892" s="1194">
        <v>8</v>
      </c>
      <c r="B892" s="1190" t="s">
        <v>296</v>
      </c>
      <c r="C892" s="809" t="s">
        <v>612</v>
      </c>
      <c r="D892" s="141" t="s">
        <v>41</v>
      </c>
      <c r="E892" s="258">
        <v>1.4</v>
      </c>
      <c r="F892" s="258">
        <v>1.4</v>
      </c>
      <c r="G892" s="459">
        <v>1.4</v>
      </c>
      <c r="H892" s="459">
        <v>1.4</v>
      </c>
      <c r="I892" s="459">
        <v>1.4</v>
      </c>
      <c r="J892" s="459">
        <v>1.4</v>
      </c>
      <c r="K892" s="459">
        <v>1.4</v>
      </c>
      <c r="L892" s="459">
        <f>+INVERSIÓN!BA59</f>
        <v>1.4000000000000004</v>
      </c>
      <c r="M892" s="459">
        <v>1.4000000000000004</v>
      </c>
      <c r="N892" s="459">
        <v>1.4000000000000004</v>
      </c>
      <c r="O892" s="445">
        <v>1.4</v>
      </c>
      <c r="P892" s="445">
        <v>1.4</v>
      </c>
      <c r="Q892" s="445">
        <v>1.4</v>
      </c>
      <c r="R892" s="447">
        <v>1.4</v>
      </c>
      <c r="S892" s="1253" t="s">
        <v>1192</v>
      </c>
      <c r="T892" s="454">
        <v>7.0000000000000007E-2</v>
      </c>
      <c r="U892" s="1323">
        <v>0.19600000000000001</v>
      </c>
      <c r="V892" s="454">
        <v>0.32</v>
      </c>
      <c r="W892" s="454">
        <v>0.44800000000000001</v>
      </c>
      <c r="X892" s="454">
        <v>0.57400000000000007</v>
      </c>
      <c r="Y892" s="454">
        <v>0.70000000000000007</v>
      </c>
      <c r="Z892" s="1324">
        <v>0.82600000000000007</v>
      </c>
      <c r="AA892" s="1325">
        <v>0.95200000000000007</v>
      </c>
      <c r="AB892" s="1265">
        <v>1.0780000000000001</v>
      </c>
      <c r="AC892" s="1225">
        <v>1.2</v>
      </c>
      <c r="AD892" s="1225">
        <v>1.3320000000000001</v>
      </c>
      <c r="AE892" s="450">
        <v>1.4</v>
      </c>
      <c r="AF892" s="1253" t="s">
        <v>1192</v>
      </c>
      <c r="AG892" s="1230" t="s">
        <v>541</v>
      </c>
      <c r="AH892" s="810" t="s">
        <v>70</v>
      </c>
      <c r="AI892" s="810" t="s">
        <v>70</v>
      </c>
      <c r="AJ892" s="810" t="s">
        <v>70</v>
      </c>
      <c r="AK892" s="809" t="s">
        <v>315</v>
      </c>
      <c r="AL892" s="810"/>
      <c r="AM892" s="810" t="s">
        <v>547</v>
      </c>
      <c r="AN892" s="805">
        <v>7804660</v>
      </c>
      <c r="AO892" s="783">
        <v>3721767</v>
      </c>
      <c r="AP892" s="783">
        <v>4082893</v>
      </c>
      <c r="AQ892" s="787" t="s">
        <v>317</v>
      </c>
      <c r="AR892" s="787" t="s">
        <v>317</v>
      </c>
      <c r="AS892" s="787" t="s">
        <v>317</v>
      </c>
      <c r="AT892" s="787" t="s">
        <v>317</v>
      </c>
      <c r="AU892" s="787" t="s">
        <v>317</v>
      </c>
      <c r="AV892" s="787" t="s">
        <v>317</v>
      </c>
      <c r="AW892" s="787" t="s">
        <v>317</v>
      </c>
      <c r="AX892" s="783">
        <v>7804660</v>
      </c>
      <c r="AY892" s="1214"/>
    </row>
    <row r="893" spans="1:51" s="3" customFormat="1" ht="24.75" customHeight="1" x14ac:dyDescent="0.25">
      <c r="A893" s="1195"/>
      <c r="B893" s="833"/>
      <c r="C893" s="809"/>
      <c r="D893" s="132" t="s">
        <v>3</v>
      </c>
      <c r="E893" s="258">
        <v>159600000</v>
      </c>
      <c r="F893" s="258">
        <v>159600000</v>
      </c>
      <c r="G893" s="459">
        <v>250350000</v>
      </c>
      <c r="H893" s="459">
        <v>250350000</v>
      </c>
      <c r="I893" s="459">
        <v>250350000</v>
      </c>
      <c r="J893" s="459">
        <v>222016000</v>
      </c>
      <c r="K893" s="456">
        <v>265636000</v>
      </c>
      <c r="L893" s="459">
        <f>+INVERSIÓN!BA60</f>
        <v>277709000</v>
      </c>
      <c r="M893" s="459">
        <v>265636000</v>
      </c>
      <c r="N893" s="447">
        <v>277709000</v>
      </c>
      <c r="O893" s="445">
        <v>277709000</v>
      </c>
      <c r="P893" s="445">
        <v>277709000</v>
      </c>
      <c r="Q893" s="445">
        <v>277709000</v>
      </c>
      <c r="R893" s="447">
        <v>277709000</v>
      </c>
      <c r="S893" s="1260"/>
      <c r="T893" s="454">
        <v>0</v>
      </c>
      <c r="U893" s="454">
        <v>99990000</v>
      </c>
      <c r="V893" s="454">
        <v>207261000</v>
      </c>
      <c r="W893" s="454">
        <v>222016000</v>
      </c>
      <c r="X893" s="457">
        <v>222016000</v>
      </c>
      <c r="Y893" s="454">
        <v>222016000</v>
      </c>
      <c r="Z893" s="1324">
        <v>222016000</v>
      </c>
      <c r="AA893" s="1325">
        <v>256912000</v>
      </c>
      <c r="AB893" s="1265">
        <v>267727500</v>
      </c>
      <c r="AC893" s="1225">
        <v>267727500</v>
      </c>
      <c r="AD893" s="1225">
        <v>276451500</v>
      </c>
      <c r="AE893" s="450">
        <v>276451500</v>
      </c>
      <c r="AF893" s="1260"/>
      <c r="AG893" s="1230"/>
      <c r="AH893" s="810"/>
      <c r="AI893" s="810"/>
      <c r="AJ893" s="810"/>
      <c r="AK893" s="809"/>
      <c r="AL893" s="810"/>
      <c r="AM893" s="810"/>
      <c r="AN893" s="805"/>
      <c r="AO893" s="784"/>
      <c r="AP893" s="784"/>
      <c r="AQ893" s="787"/>
      <c r="AR893" s="787"/>
      <c r="AS893" s="787"/>
      <c r="AT893" s="787"/>
      <c r="AU893" s="787"/>
      <c r="AV893" s="787"/>
      <c r="AW893" s="787"/>
      <c r="AX893" s="784"/>
      <c r="AY893" s="1214"/>
    </row>
    <row r="894" spans="1:51" s="3" customFormat="1" ht="32.25" customHeight="1" x14ac:dyDescent="0.25">
      <c r="A894" s="1195"/>
      <c r="B894" s="833"/>
      <c r="C894" s="809"/>
      <c r="D894" s="136" t="s">
        <v>42</v>
      </c>
      <c r="E894" s="258">
        <v>0</v>
      </c>
      <c r="F894" s="258">
        <v>0</v>
      </c>
      <c r="G894" s="459">
        <v>0</v>
      </c>
      <c r="H894" s="459">
        <v>0</v>
      </c>
      <c r="I894" s="459">
        <v>0</v>
      </c>
      <c r="J894" s="459">
        <v>0</v>
      </c>
      <c r="K894" s="456">
        <v>0</v>
      </c>
      <c r="L894" s="456">
        <v>0</v>
      </c>
      <c r="M894" s="459">
        <v>0</v>
      </c>
      <c r="N894" s="447">
        <v>0</v>
      </c>
      <c r="O894" s="445">
        <v>0</v>
      </c>
      <c r="P894" s="445">
        <v>0</v>
      </c>
      <c r="Q894" s="445">
        <v>0</v>
      </c>
      <c r="R894" s="447">
        <v>0</v>
      </c>
      <c r="S894" s="1260"/>
      <c r="T894" s="454">
        <v>0</v>
      </c>
      <c r="U894" s="454">
        <v>0</v>
      </c>
      <c r="V894" s="454">
        <v>0</v>
      </c>
      <c r="W894" s="454">
        <v>0</v>
      </c>
      <c r="X894" s="457">
        <v>0</v>
      </c>
      <c r="Y894" s="457">
        <v>0</v>
      </c>
      <c r="Z894" s="1324">
        <v>0</v>
      </c>
      <c r="AA894" s="1325">
        <v>0</v>
      </c>
      <c r="AB894" s="1265">
        <v>0</v>
      </c>
      <c r="AC894" s="1225">
        <v>0</v>
      </c>
      <c r="AD894" s="1225">
        <v>0</v>
      </c>
      <c r="AE894" s="450">
        <v>0</v>
      </c>
      <c r="AF894" s="1260"/>
      <c r="AG894" s="1230"/>
      <c r="AH894" s="810"/>
      <c r="AI894" s="810"/>
      <c r="AJ894" s="810"/>
      <c r="AK894" s="809"/>
      <c r="AL894" s="810"/>
      <c r="AM894" s="810"/>
      <c r="AN894" s="805"/>
      <c r="AO894" s="784"/>
      <c r="AP894" s="784"/>
      <c r="AQ894" s="787"/>
      <c r="AR894" s="787"/>
      <c r="AS894" s="787"/>
      <c r="AT894" s="787"/>
      <c r="AU894" s="787"/>
      <c r="AV894" s="787"/>
      <c r="AW894" s="787"/>
      <c r="AX894" s="784"/>
      <c r="AY894" s="1214"/>
    </row>
    <row r="895" spans="1:51" s="3" customFormat="1" ht="30" customHeight="1" x14ac:dyDescent="0.25">
      <c r="A895" s="1195"/>
      <c r="B895" s="833"/>
      <c r="C895" s="809"/>
      <c r="D895" s="132" t="s">
        <v>4</v>
      </c>
      <c r="E895" s="258">
        <v>0</v>
      </c>
      <c r="F895" s="258">
        <v>0</v>
      </c>
      <c r="G895" s="459">
        <v>46923400</v>
      </c>
      <c r="H895" s="459">
        <v>46923400</v>
      </c>
      <c r="I895" s="459">
        <v>46923400</v>
      </c>
      <c r="J895" s="459">
        <v>46923400</v>
      </c>
      <c r="K895" s="456">
        <v>46923400</v>
      </c>
      <c r="L895" s="456">
        <f>+INVERSIÓN!BA63</f>
        <v>46923400</v>
      </c>
      <c r="M895" s="459">
        <v>46923400</v>
      </c>
      <c r="N895" s="447">
        <v>46923400</v>
      </c>
      <c r="O895" s="445">
        <v>46923400</v>
      </c>
      <c r="P895" s="445">
        <v>46923400</v>
      </c>
      <c r="Q895" s="445">
        <v>46923400</v>
      </c>
      <c r="R895" s="447">
        <v>46923400</v>
      </c>
      <c r="S895" s="1260"/>
      <c r="T895" s="454">
        <v>5648300</v>
      </c>
      <c r="U895" s="454">
        <v>33089933</v>
      </c>
      <c r="V895" s="454">
        <v>42024000</v>
      </c>
      <c r="W895" s="454">
        <v>44906000</v>
      </c>
      <c r="X895" s="457">
        <v>46923400</v>
      </c>
      <c r="Y895" s="457">
        <v>46923400</v>
      </c>
      <c r="Z895" s="1324">
        <v>46923400</v>
      </c>
      <c r="AA895" s="1325">
        <v>46923400</v>
      </c>
      <c r="AB895" s="1265">
        <v>46923400</v>
      </c>
      <c r="AC895" s="1265">
        <v>46923400</v>
      </c>
      <c r="AD895" s="1265">
        <v>46923400</v>
      </c>
      <c r="AE895" s="450">
        <v>46923400</v>
      </c>
      <c r="AF895" s="1260"/>
      <c r="AG895" s="1230"/>
      <c r="AH895" s="810"/>
      <c r="AI895" s="810"/>
      <c r="AJ895" s="810"/>
      <c r="AK895" s="809"/>
      <c r="AL895" s="810"/>
      <c r="AM895" s="810"/>
      <c r="AN895" s="805"/>
      <c r="AO895" s="784"/>
      <c r="AP895" s="784"/>
      <c r="AQ895" s="787"/>
      <c r="AR895" s="787"/>
      <c r="AS895" s="787"/>
      <c r="AT895" s="787"/>
      <c r="AU895" s="787"/>
      <c r="AV895" s="787"/>
      <c r="AW895" s="787"/>
      <c r="AX895" s="784"/>
      <c r="AY895" s="1214"/>
    </row>
    <row r="896" spans="1:51" s="3" customFormat="1" ht="31.5" customHeight="1" x14ac:dyDescent="0.25">
      <c r="A896" s="1195"/>
      <c r="B896" s="833"/>
      <c r="C896" s="809"/>
      <c r="D896" s="136" t="s">
        <v>43</v>
      </c>
      <c r="E896" s="258">
        <v>0.5</v>
      </c>
      <c r="F896" s="258">
        <v>0.5</v>
      </c>
      <c r="G896" s="459">
        <v>1.4</v>
      </c>
      <c r="H896" s="459">
        <v>1.4</v>
      </c>
      <c r="I896" s="459">
        <v>1.4</v>
      </c>
      <c r="J896" s="459">
        <v>1.4</v>
      </c>
      <c r="K896" s="459">
        <v>1.4</v>
      </c>
      <c r="L896" s="1326">
        <f>+INVERSIÓN!BA64</f>
        <v>1.4000000000000004</v>
      </c>
      <c r="M896" s="459">
        <v>1.4000000000000004</v>
      </c>
      <c r="N896" s="459">
        <v>1.4000000000000004</v>
      </c>
      <c r="O896" s="445">
        <v>1.4000000000000004</v>
      </c>
      <c r="P896" s="445">
        <v>1.4000000000000004</v>
      </c>
      <c r="Q896" s="445">
        <v>1.4000000000000004</v>
      </c>
      <c r="R896" s="447">
        <v>1.4000000000000004</v>
      </c>
      <c r="S896" s="1260"/>
      <c r="T896" s="454">
        <v>7.0000000000000007E-2</v>
      </c>
      <c r="U896" s="1323">
        <v>0.19600000000000001</v>
      </c>
      <c r="V896" s="454">
        <v>0.32</v>
      </c>
      <c r="W896" s="454">
        <v>0.44800000000000001</v>
      </c>
      <c r="X896" s="447">
        <v>0.56999999999999995</v>
      </c>
      <c r="Y896" s="1324">
        <v>0.70000000000000007</v>
      </c>
      <c r="Z896" s="1324">
        <v>0.82600000000000007</v>
      </c>
      <c r="AA896" s="1325">
        <v>0.95</v>
      </c>
      <c r="AB896" s="1265">
        <v>1.0760000000000001</v>
      </c>
      <c r="AC896" s="1225">
        <v>1.2</v>
      </c>
      <c r="AD896" s="1225">
        <v>1.2</v>
      </c>
      <c r="AE896" s="450">
        <v>1.2</v>
      </c>
      <c r="AF896" s="1260"/>
      <c r="AG896" s="1230"/>
      <c r="AH896" s="810"/>
      <c r="AI896" s="810"/>
      <c r="AJ896" s="810"/>
      <c r="AK896" s="809"/>
      <c r="AL896" s="810"/>
      <c r="AM896" s="810"/>
      <c r="AN896" s="805"/>
      <c r="AO896" s="784"/>
      <c r="AP896" s="784"/>
      <c r="AQ896" s="787"/>
      <c r="AR896" s="787"/>
      <c r="AS896" s="787"/>
      <c r="AT896" s="787"/>
      <c r="AU896" s="787"/>
      <c r="AV896" s="787"/>
      <c r="AW896" s="787"/>
      <c r="AX896" s="784"/>
      <c r="AY896" s="1214"/>
    </row>
    <row r="897" spans="1:51" s="3" customFormat="1" ht="30" customHeight="1" thickBot="1" x14ac:dyDescent="0.3">
      <c r="A897" s="1195"/>
      <c r="B897" s="833"/>
      <c r="C897" s="809"/>
      <c r="D897" s="140" t="s">
        <v>45</v>
      </c>
      <c r="E897" s="258">
        <v>159600000</v>
      </c>
      <c r="F897" s="258">
        <v>159600000</v>
      </c>
      <c r="G897" s="459">
        <v>297273400</v>
      </c>
      <c r="H897" s="459">
        <v>297273400</v>
      </c>
      <c r="I897" s="459">
        <v>297273400</v>
      </c>
      <c r="J897" s="459">
        <v>268939400</v>
      </c>
      <c r="K897" s="458">
        <v>312559400</v>
      </c>
      <c r="L897" s="456">
        <f>+INVERSIÓN!BA65</f>
        <v>324632400</v>
      </c>
      <c r="M897" s="459">
        <v>312559400</v>
      </c>
      <c r="N897" s="447">
        <f>+N893+N895</f>
        <v>324632400</v>
      </c>
      <c r="O897" s="445">
        <v>324632400</v>
      </c>
      <c r="P897" s="445">
        <v>324632400</v>
      </c>
      <c r="Q897" s="445">
        <v>324632400</v>
      </c>
      <c r="R897" s="447">
        <f>+R893+R895</f>
        <v>324632400</v>
      </c>
      <c r="S897" s="1260"/>
      <c r="T897" s="454">
        <v>5648300</v>
      </c>
      <c r="U897" s="454">
        <v>133079933</v>
      </c>
      <c r="V897" s="454">
        <v>249285000</v>
      </c>
      <c r="W897" s="454">
        <v>266922000</v>
      </c>
      <c r="X897" s="454">
        <v>268939400</v>
      </c>
      <c r="Y897" s="457">
        <v>268939400</v>
      </c>
      <c r="Z897" s="1324">
        <v>268939400</v>
      </c>
      <c r="AA897" s="447">
        <f>+AA893+AA895</f>
        <v>303835400</v>
      </c>
      <c r="AB897" s="1265">
        <f>+AB893+AB895</f>
        <v>314650900</v>
      </c>
      <c r="AC897" s="1225">
        <f>+AC893+AC895</f>
        <v>314650900</v>
      </c>
      <c r="AD897" s="1225">
        <f>+AD893+AD895</f>
        <v>323374900</v>
      </c>
      <c r="AE897" s="450">
        <f>+AE893+AE895</f>
        <v>323374900</v>
      </c>
      <c r="AF897" s="1260"/>
      <c r="AG897" s="1230"/>
      <c r="AH897" s="810"/>
      <c r="AI897" s="810"/>
      <c r="AJ897" s="810"/>
      <c r="AK897" s="809"/>
      <c r="AL897" s="810"/>
      <c r="AM897" s="810"/>
      <c r="AN897" s="805"/>
      <c r="AO897" s="785"/>
      <c r="AP897" s="785"/>
      <c r="AQ897" s="787"/>
      <c r="AR897" s="787"/>
      <c r="AS897" s="787"/>
      <c r="AT897" s="787"/>
      <c r="AU897" s="787"/>
      <c r="AV897" s="787"/>
      <c r="AW897" s="787"/>
      <c r="AX897" s="785"/>
      <c r="AY897" s="1214"/>
    </row>
    <row r="898" spans="1:51" s="3" customFormat="1" ht="26.25" customHeight="1" x14ac:dyDescent="0.25">
      <c r="A898" s="1195"/>
      <c r="B898" s="833"/>
      <c r="C898" s="809" t="s">
        <v>352</v>
      </c>
      <c r="D898" s="465" t="s">
        <v>41</v>
      </c>
      <c r="E898" s="163">
        <v>1.4</v>
      </c>
      <c r="F898" s="163">
        <v>1.4</v>
      </c>
      <c r="G898" s="450">
        <v>1.4</v>
      </c>
      <c r="H898" s="450">
        <v>1.4</v>
      </c>
      <c r="I898" s="450">
        <v>1.4</v>
      </c>
      <c r="J898" s="450">
        <v>1.4</v>
      </c>
      <c r="K898" s="17"/>
      <c r="L898" s="17"/>
      <c r="M898" s="1324">
        <v>0.7</v>
      </c>
      <c r="N898" s="455">
        <v>0.7</v>
      </c>
      <c r="O898" s="447">
        <v>0.7</v>
      </c>
      <c r="P898" s="447">
        <v>0.7</v>
      </c>
      <c r="Q898" s="447">
        <v>0.7</v>
      </c>
      <c r="R898" s="447">
        <v>0.7</v>
      </c>
      <c r="S898" s="1327" t="s">
        <v>1193</v>
      </c>
      <c r="T898" s="454">
        <v>7.0000000000000007E-2</v>
      </c>
      <c r="U898" s="1323">
        <v>0.19600000000000001</v>
      </c>
      <c r="V898" s="454">
        <v>0.32</v>
      </c>
      <c r="W898" s="454">
        <v>0.44800000000000001</v>
      </c>
      <c r="X898" s="454">
        <v>0</v>
      </c>
      <c r="Y898" s="454">
        <v>0</v>
      </c>
      <c r="Z898" s="454">
        <v>0.126</v>
      </c>
      <c r="AA898" s="455">
        <f>+Z898+0.126</f>
        <v>0.252</v>
      </c>
      <c r="AB898" s="1254">
        <v>0.378</v>
      </c>
      <c r="AC898" s="1225">
        <v>0.504</v>
      </c>
      <c r="AD898" s="445">
        <v>0.626</v>
      </c>
      <c r="AE898" s="1238">
        <v>0.7</v>
      </c>
      <c r="AF898" s="1327" t="s">
        <v>1193</v>
      </c>
      <c r="AG898" s="1257" t="str">
        <f>+C898</f>
        <v>TUNJUELITO</v>
      </c>
      <c r="AH898" s="788" t="s">
        <v>863</v>
      </c>
      <c r="AI898" s="788" t="s">
        <v>864</v>
      </c>
      <c r="AJ898" s="832" t="s">
        <v>865</v>
      </c>
      <c r="AK898" s="788" t="s">
        <v>315</v>
      </c>
      <c r="AL898" s="810" t="s">
        <v>225</v>
      </c>
      <c r="AM898" s="810" t="s">
        <v>547</v>
      </c>
      <c r="AN898" s="823">
        <v>181170</v>
      </c>
      <c r="AO898" s="829">
        <v>86612.649800132</v>
      </c>
      <c r="AP898" s="829">
        <v>92493.922326463697</v>
      </c>
      <c r="AQ898" s="787" t="s">
        <v>317</v>
      </c>
      <c r="AR898" s="787" t="s">
        <v>317</v>
      </c>
      <c r="AS898" s="787" t="s">
        <v>317</v>
      </c>
      <c r="AT898" s="787" t="s">
        <v>317</v>
      </c>
      <c r="AU898" s="787" t="s">
        <v>317</v>
      </c>
      <c r="AV898" s="787" t="s">
        <v>317</v>
      </c>
      <c r="AW898" s="787" t="s">
        <v>317</v>
      </c>
      <c r="AX898" s="783">
        <v>181170</v>
      </c>
      <c r="AY898" s="1214"/>
    </row>
    <row r="899" spans="1:51" s="3" customFormat="1" ht="24.75" customHeight="1" x14ac:dyDescent="0.25">
      <c r="A899" s="1195"/>
      <c r="B899" s="833"/>
      <c r="C899" s="809"/>
      <c r="D899" s="467" t="s">
        <v>3</v>
      </c>
      <c r="E899" s="163">
        <v>159600000</v>
      </c>
      <c r="F899" s="163">
        <v>159600000</v>
      </c>
      <c r="G899" s="450">
        <v>250350000</v>
      </c>
      <c r="H899" s="450">
        <v>250350000</v>
      </c>
      <c r="I899" s="450">
        <v>250350000</v>
      </c>
      <c r="J899" s="450">
        <v>222016000</v>
      </c>
      <c r="K899" s="17"/>
      <c r="L899" s="17"/>
      <c r="M899" s="458">
        <f>+M898*$M$893/$M$892</f>
        <v>132817999.99999997</v>
      </c>
      <c r="N899" s="458">
        <f>+N898*$N$893/$N$892</f>
        <v>138854499.99999997</v>
      </c>
      <c r="O899" s="458">
        <f>+O898*$O$893/$O$892</f>
        <v>138854500</v>
      </c>
      <c r="P899" s="458">
        <f>+P898*$P$893/$P$892</f>
        <v>138854500</v>
      </c>
      <c r="Q899" s="458">
        <f>+Q898*$Q$893/$Q$892</f>
        <v>138854500</v>
      </c>
      <c r="R899" s="458">
        <v>145282320</v>
      </c>
      <c r="S899" s="1327"/>
      <c r="T899" s="454">
        <v>0</v>
      </c>
      <c r="U899" s="454">
        <v>99990000</v>
      </c>
      <c r="V899" s="454">
        <v>207261000</v>
      </c>
      <c r="W899" s="454">
        <v>222016000</v>
      </c>
      <c r="X899" s="457">
        <v>0</v>
      </c>
      <c r="Y899" s="454">
        <v>0</v>
      </c>
      <c r="Z899" s="458">
        <f>+Z898*$Z$893/$Z$892</f>
        <v>33866847.457627118</v>
      </c>
      <c r="AA899" s="458">
        <f>+AA898*$AA$893/$AA$892</f>
        <v>68006117.647058815</v>
      </c>
      <c r="AB899" s="458">
        <f>+AB898*$AB$893/$AB$892</f>
        <v>93878474.02597402</v>
      </c>
      <c r="AC899" s="458">
        <f>+AC898*$AC$893/$AC$892</f>
        <v>112445550</v>
      </c>
      <c r="AD899" s="458">
        <f>+AD898*$AD$893/$AD$892</f>
        <v>129923903.15315315</v>
      </c>
      <c r="AE899" s="458">
        <f>+AE898*$AD$893/$AD$892</f>
        <v>145282319.81981981</v>
      </c>
      <c r="AF899" s="1327"/>
      <c r="AG899" s="1257"/>
      <c r="AH899" s="789"/>
      <c r="AI899" s="789"/>
      <c r="AJ899" s="833"/>
      <c r="AK899" s="789"/>
      <c r="AL899" s="810"/>
      <c r="AM899" s="810"/>
      <c r="AN899" s="823"/>
      <c r="AO899" s="830"/>
      <c r="AP899" s="830"/>
      <c r="AQ899" s="787"/>
      <c r="AR899" s="787"/>
      <c r="AS899" s="787"/>
      <c r="AT899" s="787"/>
      <c r="AU899" s="787"/>
      <c r="AV899" s="787"/>
      <c r="AW899" s="787"/>
      <c r="AX899" s="784"/>
      <c r="AY899" s="1214"/>
    </row>
    <row r="900" spans="1:51" s="3" customFormat="1" ht="32.25" customHeight="1" x14ac:dyDescent="0.25">
      <c r="A900" s="1195"/>
      <c r="B900" s="833"/>
      <c r="C900" s="809"/>
      <c r="D900" s="465" t="s">
        <v>42</v>
      </c>
      <c r="E900" s="163">
        <v>0</v>
      </c>
      <c r="F900" s="163">
        <v>0</v>
      </c>
      <c r="G900" s="450">
        <v>0</v>
      </c>
      <c r="H900" s="450">
        <v>0</v>
      </c>
      <c r="I900" s="450">
        <v>0</v>
      </c>
      <c r="J900" s="450">
        <v>0</v>
      </c>
      <c r="K900" s="17"/>
      <c r="L900" s="17"/>
      <c r="M900" s="450"/>
      <c r="N900" s="455"/>
      <c r="O900" s="447"/>
      <c r="P900" s="447"/>
      <c r="Q900" s="447"/>
      <c r="R900" s="447"/>
      <c r="S900" s="1327"/>
      <c r="T900" s="454">
        <v>0</v>
      </c>
      <c r="U900" s="454">
        <v>0</v>
      </c>
      <c r="V900" s="454">
        <v>0</v>
      </c>
      <c r="W900" s="454">
        <v>0</v>
      </c>
      <c r="X900" s="457">
        <v>0</v>
      </c>
      <c r="Y900" s="457">
        <v>0</v>
      </c>
      <c r="Z900" s="454"/>
      <c r="AA900" s="455"/>
      <c r="AB900" s="1254"/>
      <c r="AC900" s="1225"/>
      <c r="AD900" s="445"/>
      <c r="AE900" s="1238"/>
      <c r="AF900" s="1327"/>
      <c r="AG900" s="1257"/>
      <c r="AH900" s="789"/>
      <c r="AI900" s="789"/>
      <c r="AJ900" s="833"/>
      <c r="AK900" s="789"/>
      <c r="AL900" s="810"/>
      <c r="AM900" s="810"/>
      <c r="AN900" s="823"/>
      <c r="AO900" s="830"/>
      <c r="AP900" s="830"/>
      <c r="AQ900" s="787"/>
      <c r="AR900" s="787"/>
      <c r="AS900" s="787"/>
      <c r="AT900" s="787"/>
      <c r="AU900" s="787"/>
      <c r="AV900" s="787"/>
      <c r="AW900" s="787"/>
      <c r="AX900" s="784"/>
      <c r="AY900" s="1214"/>
    </row>
    <row r="901" spans="1:51" s="3" customFormat="1" ht="30" customHeight="1" x14ac:dyDescent="0.25">
      <c r="A901" s="1195"/>
      <c r="B901" s="833"/>
      <c r="C901" s="809"/>
      <c r="D901" s="467" t="s">
        <v>4</v>
      </c>
      <c r="E901" s="163">
        <v>0</v>
      </c>
      <c r="F901" s="163">
        <v>0</v>
      </c>
      <c r="G901" s="450">
        <v>46923400</v>
      </c>
      <c r="H901" s="450">
        <v>46923400</v>
      </c>
      <c r="I901" s="450">
        <v>46923400</v>
      </c>
      <c r="J901" s="450">
        <v>46923400</v>
      </c>
      <c r="K901" s="17"/>
      <c r="L901" s="17"/>
      <c r="M901" s="450"/>
      <c r="N901" s="455"/>
      <c r="O901" s="447"/>
      <c r="P901" s="447"/>
      <c r="Q901" s="447"/>
      <c r="R901" s="447"/>
      <c r="S901" s="1327"/>
      <c r="T901" s="454">
        <v>5648300</v>
      </c>
      <c r="U901" s="454">
        <v>33089933</v>
      </c>
      <c r="V901" s="454">
        <v>42024000</v>
      </c>
      <c r="W901" s="454">
        <v>44906000</v>
      </c>
      <c r="X901" s="457">
        <v>0</v>
      </c>
      <c r="Y901" s="457">
        <v>0</v>
      </c>
      <c r="Z901" s="454"/>
      <c r="AA901" s="455"/>
      <c r="AB901" s="1254"/>
      <c r="AC901" s="1225"/>
      <c r="AD901" s="445"/>
      <c r="AE901" s="1238"/>
      <c r="AF901" s="1327"/>
      <c r="AG901" s="1257"/>
      <c r="AH901" s="789"/>
      <c r="AI901" s="789"/>
      <c r="AJ901" s="833"/>
      <c r="AK901" s="789"/>
      <c r="AL901" s="810"/>
      <c r="AM901" s="810"/>
      <c r="AN901" s="823"/>
      <c r="AO901" s="830"/>
      <c r="AP901" s="830"/>
      <c r="AQ901" s="787"/>
      <c r="AR901" s="787"/>
      <c r="AS901" s="787"/>
      <c r="AT901" s="787"/>
      <c r="AU901" s="787"/>
      <c r="AV901" s="787"/>
      <c r="AW901" s="787"/>
      <c r="AX901" s="784"/>
      <c r="AY901" s="1214"/>
    </row>
    <row r="902" spans="1:51" s="3" customFormat="1" ht="31.5" customHeight="1" x14ac:dyDescent="0.25">
      <c r="A902" s="1195"/>
      <c r="B902" s="833"/>
      <c r="C902" s="809"/>
      <c r="D902" s="465" t="s">
        <v>43</v>
      </c>
      <c r="E902" s="163">
        <v>0.5</v>
      </c>
      <c r="F902" s="163">
        <v>0.5</v>
      </c>
      <c r="G902" s="450">
        <v>1.4</v>
      </c>
      <c r="H902" s="450">
        <v>1.4</v>
      </c>
      <c r="I902" s="450">
        <v>1.4</v>
      </c>
      <c r="J902" s="450">
        <v>1.4</v>
      </c>
      <c r="K902" s="17"/>
      <c r="L902" s="17"/>
      <c r="M902" s="1324">
        <v>0.7</v>
      </c>
      <c r="N902" s="455">
        <v>0.7</v>
      </c>
      <c r="O902" s="447">
        <v>0.7</v>
      </c>
      <c r="P902" s="447">
        <v>0.7</v>
      </c>
      <c r="Q902" s="447">
        <v>0.7</v>
      </c>
      <c r="R902" s="447">
        <v>0.7</v>
      </c>
      <c r="S902" s="1327"/>
      <c r="T902" s="454">
        <v>7.0000000000000007E-2</v>
      </c>
      <c r="U902" s="1323">
        <v>0.19600000000000001</v>
      </c>
      <c r="V902" s="454">
        <v>0.32</v>
      </c>
      <c r="W902" s="454">
        <v>0.44800000000000001</v>
      </c>
      <c r="X902" s="447">
        <v>0</v>
      </c>
      <c r="Y902" s="1324">
        <v>0</v>
      </c>
      <c r="Z902" s="454">
        <v>0.126</v>
      </c>
      <c r="AA902" s="455">
        <v>0.252</v>
      </c>
      <c r="AB902" s="1254">
        <v>0.38</v>
      </c>
      <c r="AC902" s="1225">
        <v>0.504</v>
      </c>
      <c r="AD902" s="445">
        <v>0.626</v>
      </c>
      <c r="AE902" s="1238">
        <v>0.7</v>
      </c>
      <c r="AF902" s="1327"/>
      <c r="AG902" s="1257"/>
      <c r="AH902" s="789"/>
      <c r="AI902" s="789"/>
      <c r="AJ902" s="833"/>
      <c r="AK902" s="789"/>
      <c r="AL902" s="810"/>
      <c r="AM902" s="810"/>
      <c r="AN902" s="823"/>
      <c r="AO902" s="830"/>
      <c r="AP902" s="830"/>
      <c r="AQ902" s="787"/>
      <c r="AR902" s="787"/>
      <c r="AS902" s="787"/>
      <c r="AT902" s="787"/>
      <c r="AU902" s="787"/>
      <c r="AV902" s="787"/>
      <c r="AW902" s="787"/>
      <c r="AX902" s="784"/>
      <c r="AY902" s="1214"/>
    </row>
    <row r="903" spans="1:51" s="3" customFormat="1" ht="30" customHeight="1" thickBot="1" x14ac:dyDescent="0.3">
      <c r="A903" s="1195"/>
      <c r="B903" s="833"/>
      <c r="C903" s="809"/>
      <c r="D903" s="467" t="s">
        <v>45</v>
      </c>
      <c r="E903" s="163">
        <v>159600000</v>
      </c>
      <c r="F903" s="163">
        <v>159600000</v>
      </c>
      <c r="G903" s="450">
        <v>297273400</v>
      </c>
      <c r="H903" s="450">
        <v>297273400</v>
      </c>
      <c r="I903" s="450">
        <v>297273400</v>
      </c>
      <c r="J903" s="450">
        <v>268939400</v>
      </c>
      <c r="K903" s="1214"/>
      <c r="L903" s="1214"/>
      <c r="M903" s="458">
        <f>+M902*$M$893/$M$892</f>
        <v>132817999.99999997</v>
      </c>
      <c r="N903" s="458">
        <f>+N902*$N$893/$N$892</f>
        <v>138854499.99999997</v>
      </c>
      <c r="O903" s="458">
        <f>+O902*$O$893/$O$892</f>
        <v>138854500</v>
      </c>
      <c r="P903" s="458">
        <f>+P902*$P$893/$P$892</f>
        <v>138854500</v>
      </c>
      <c r="Q903" s="458">
        <f>+Q902*$Q$893/$Q$892</f>
        <v>138854500</v>
      </c>
      <c r="R903" s="458">
        <f>+R902*$R$893/$R$892</f>
        <v>138854500</v>
      </c>
      <c r="S903" s="1327"/>
      <c r="T903" s="454">
        <v>5648300</v>
      </c>
      <c r="U903" s="454">
        <v>133079933</v>
      </c>
      <c r="V903" s="454">
        <v>249285000</v>
      </c>
      <c r="W903" s="454">
        <v>266922000</v>
      </c>
      <c r="X903" s="454">
        <v>0</v>
      </c>
      <c r="Y903" s="457">
        <v>0</v>
      </c>
      <c r="Z903" s="458">
        <f>+Z902*$Z$893/$Z$892</f>
        <v>33866847.457627118</v>
      </c>
      <c r="AA903" s="458">
        <f>+AA902*$AA$893/$AA$892</f>
        <v>68006117.647058815</v>
      </c>
      <c r="AB903" s="458">
        <f>+AB902*$AB$893/$AB$892</f>
        <v>94375185.528756946</v>
      </c>
      <c r="AC903" s="458">
        <f>+AC902*$AC$893/$AC$892</f>
        <v>112445550</v>
      </c>
      <c r="AD903" s="458">
        <f>+AD902*$AD$893/$AD$892</f>
        <v>129923903.15315315</v>
      </c>
      <c r="AE903" s="458">
        <f>+AE902*$AD$893/$AD$892</f>
        <v>145282319.81981981</v>
      </c>
      <c r="AF903" s="1327"/>
      <c r="AG903" s="1257"/>
      <c r="AH903" s="790"/>
      <c r="AI903" s="790"/>
      <c r="AJ903" s="834"/>
      <c r="AK903" s="790"/>
      <c r="AL903" s="810"/>
      <c r="AM903" s="810"/>
      <c r="AN903" s="823"/>
      <c r="AO903" s="831"/>
      <c r="AP903" s="831"/>
      <c r="AQ903" s="787"/>
      <c r="AR903" s="787"/>
      <c r="AS903" s="787"/>
      <c r="AT903" s="787"/>
      <c r="AU903" s="787"/>
      <c r="AV903" s="787"/>
      <c r="AW903" s="787"/>
      <c r="AX903" s="785"/>
      <c r="AY903" s="1214"/>
    </row>
    <row r="904" spans="1:51" ht="18" hidden="1" customHeight="1" x14ac:dyDescent="0.25">
      <c r="A904" s="1195"/>
      <c r="B904" s="833"/>
      <c r="C904" s="1197" t="s">
        <v>324</v>
      </c>
      <c r="D904" s="141" t="s">
        <v>41</v>
      </c>
      <c r="E904" s="271"/>
      <c r="F904" s="144"/>
      <c r="G904" s="445"/>
      <c r="H904" s="445"/>
      <c r="I904" s="445"/>
      <c r="J904" s="445"/>
      <c r="K904" s="445"/>
      <c r="L904" s="445"/>
      <c r="M904" s="445"/>
      <c r="N904" s="455"/>
      <c r="O904" s="445"/>
      <c r="P904" s="445"/>
      <c r="Q904" s="445"/>
      <c r="R904" s="447"/>
      <c r="S904" s="1328"/>
      <c r="T904" s="454">
        <v>1.25</v>
      </c>
      <c r="U904" s="454"/>
      <c r="V904" s="454"/>
      <c r="W904" s="454"/>
      <c r="X904" s="454"/>
      <c r="Y904" s="454"/>
      <c r="Z904" s="454"/>
      <c r="AA904" s="455"/>
      <c r="AB904" s="1254"/>
      <c r="AC904" s="1225"/>
      <c r="AD904" s="445"/>
      <c r="AE904" s="1238"/>
      <c r="AF904" s="1328"/>
      <c r="AG904" s="1257" t="s">
        <v>324</v>
      </c>
      <c r="AH904" s="788" t="s">
        <v>350</v>
      </c>
      <c r="AI904" s="788" t="s">
        <v>350</v>
      </c>
      <c r="AJ904" s="788" t="s">
        <v>350</v>
      </c>
      <c r="AK904" s="788" t="s">
        <v>315</v>
      </c>
      <c r="AL904" s="810"/>
      <c r="AM904" s="810" t="s">
        <v>547</v>
      </c>
      <c r="AN904" s="823">
        <v>7715777</v>
      </c>
      <c r="AO904" s="783">
        <v>3679381.9895200301</v>
      </c>
      <c r="AP904" s="783">
        <v>4036396.0104799699</v>
      </c>
      <c r="AQ904" s="787" t="s">
        <v>317</v>
      </c>
      <c r="AR904" s="787" t="s">
        <v>317</v>
      </c>
      <c r="AS904" s="787" t="s">
        <v>317</v>
      </c>
      <c r="AT904" s="787" t="s">
        <v>317</v>
      </c>
      <c r="AU904" s="787" t="s">
        <v>317</v>
      </c>
      <c r="AV904" s="787" t="s">
        <v>317</v>
      </c>
      <c r="AW904" s="787" t="s">
        <v>317</v>
      </c>
      <c r="AX904" s="783">
        <v>7715777</v>
      </c>
      <c r="AY904" s="1214"/>
    </row>
    <row r="905" spans="1:51" ht="18" hidden="1" customHeight="1" x14ac:dyDescent="0.25">
      <c r="A905" s="1195"/>
      <c r="B905" s="833"/>
      <c r="C905" s="1198"/>
      <c r="D905" s="132" t="s">
        <v>3</v>
      </c>
      <c r="E905" s="272"/>
      <c r="F905" s="227"/>
      <c r="G905" s="456"/>
      <c r="H905" s="456"/>
      <c r="I905" s="456"/>
      <c r="J905" s="456"/>
      <c r="K905" s="456"/>
      <c r="L905" s="456"/>
      <c r="M905" s="456"/>
      <c r="N905" s="1282"/>
      <c r="O905" s="456"/>
      <c r="P905" s="456"/>
      <c r="Q905" s="456"/>
      <c r="R905" s="1287"/>
      <c r="S905" s="1328"/>
      <c r="T905" s="454">
        <v>0</v>
      </c>
      <c r="U905" s="457"/>
      <c r="V905" s="457"/>
      <c r="W905" s="457"/>
      <c r="X905" s="457"/>
      <c r="Y905" s="457"/>
      <c r="Z905" s="457"/>
      <c r="AA905" s="1282"/>
      <c r="AB905" s="1293"/>
      <c r="AC905" s="665"/>
      <c r="AD905" s="456"/>
      <c r="AE905" s="1226"/>
      <c r="AF905" s="1328"/>
      <c r="AG905" s="1257"/>
      <c r="AH905" s="789"/>
      <c r="AI905" s="789"/>
      <c r="AJ905" s="789"/>
      <c r="AK905" s="789"/>
      <c r="AL905" s="810"/>
      <c r="AM905" s="810"/>
      <c r="AN905" s="823"/>
      <c r="AO905" s="784"/>
      <c r="AP905" s="784"/>
      <c r="AQ905" s="787"/>
      <c r="AR905" s="787"/>
      <c r="AS905" s="787"/>
      <c r="AT905" s="787"/>
      <c r="AU905" s="787"/>
      <c r="AV905" s="787"/>
      <c r="AW905" s="787"/>
      <c r="AX905" s="784"/>
      <c r="AY905" s="1214"/>
    </row>
    <row r="906" spans="1:51" ht="27" hidden="1" customHeight="1" x14ac:dyDescent="0.25">
      <c r="A906" s="1195"/>
      <c r="B906" s="833"/>
      <c r="C906" s="1198"/>
      <c r="D906" s="136" t="s">
        <v>42</v>
      </c>
      <c r="E906" s="272"/>
      <c r="F906" s="227"/>
      <c r="G906" s="456"/>
      <c r="H906" s="456"/>
      <c r="I906" s="456"/>
      <c r="J906" s="456"/>
      <c r="K906" s="456"/>
      <c r="L906" s="456"/>
      <c r="M906" s="456"/>
      <c r="N906" s="1282"/>
      <c r="O906" s="456"/>
      <c r="P906" s="456"/>
      <c r="Q906" s="456"/>
      <c r="R906" s="1287"/>
      <c r="S906" s="1328"/>
      <c r="T906" s="454" t="e">
        <v>#REF!</v>
      </c>
      <c r="U906" s="457"/>
      <c r="V906" s="457"/>
      <c r="W906" s="457"/>
      <c r="X906" s="457"/>
      <c r="Y906" s="457"/>
      <c r="Z906" s="457"/>
      <c r="AA906" s="1282"/>
      <c r="AB906" s="1293"/>
      <c r="AC906" s="665"/>
      <c r="AD906" s="456"/>
      <c r="AE906" s="1226"/>
      <c r="AF906" s="1328"/>
      <c r="AG906" s="1257"/>
      <c r="AH906" s="789"/>
      <c r="AI906" s="789"/>
      <c r="AJ906" s="789"/>
      <c r="AK906" s="789"/>
      <c r="AL906" s="810"/>
      <c r="AM906" s="810"/>
      <c r="AN906" s="823"/>
      <c r="AO906" s="784"/>
      <c r="AP906" s="784"/>
      <c r="AQ906" s="787"/>
      <c r="AR906" s="787"/>
      <c r="AS906" s="787"/>
      <c r="AT906" s="787"/>
      <c r="AU906" s="787"/>
      <c r="AV906" s="787"/>
      <c r="AW906" s="787"/>
      <c r="AX906" s="784"/>
      <c r="AY906" s="1214"/>
    </row>
    <row r="907" spans="1:51" ht="27" hidden="1" customHeight="1" x14ac:dyDescent="0.25">
      <c r="A907" s="1195"/>
      <c r="B907" s="833"/>
      <c r="C907" s="1198"/>
      <c r="D907" s="132" t="s">
        <v>4</v>
      </c>
      <c r="E907" s="272"/>
      <c r="F907" s="227"/>
      <c r="G907" s="456"/>
      <c r="H907" s="456"/>
      <c r="I907" s="456"/>
      <c r="J907" s="456"/>
      <c r="K907" s="456"/>
      <c r="L907" s="456"/>
      <c r="M907" s="456"/>
      <c r="N907" s="1282"/>
      <c r="O907" s="456"/>
      <c r="P907" s="456"/>
      <c r="Q907" s="456"/>
      <c r="R907" s="1287"/>
      <c r="S907" s="1328"/>
      <c r="T907" s="454">
        <v>11357200</v>
      </c>
      <c r="U907" s="457"/>
      <c r="V907" s="457"/>
      <c r="W907" s="457"/>
      <c r="X907" s="457"/>
      <c r="Y907" s="457"/>
      <c r="Z907" s="457"/>
      <c r="AA907" s="1282"/>
      <c r="AB907" s="1293"/>
      <c r="AC907" s="665"/>
      <c r="AD907" s="456"/>
      <c r="AE907" s="1226"/>
      <c r="AF907" s="1328"/>
      <c r="AG907" s="1257"/>
      <c r="AH907" s="789"/>
      <c r="AI907" s="789"/>
      <c r="AJ907" s="789"/>
      <c r="AK907" s="789"/>
      <c r="AL907" s="810"/>
      <c r="AM907" s="810"/>
      <c r="AN907" s="823"/>
      <c r="AO907" s="784"/>
      <c r="AP907" s="784"/>
      <c r="AQ907" s="787"/>
      <c r="AR907" s="787"/>
      <c r="AS907" s="787"/>
      <c r="AT907" s="787"/>
      <c r="AU907" s="787"/>
      <c r="AV907" s="787"/>
      <c r="AW907" s="787"/>
      <c r="AX907" s="784"/>
      <c r="AY907" s="1214"/>
    </row>
    <row r="908" spans="1:51" ht="27" hidden="1" customHeight="1" x14ac:dyDescent="0.25">
      <c r="A908" s="1195"/>
      <c r="B908" s="833"/>
      <c r="C908" s="1198"/>
      <c r="D908" s="136" t="s">
        <v>43</v>
      </c>
      <c r="E908" s="271"/>
      <c r="F908" s="144"/>
      <c r="G908" s="445"/>
      <c r="H908" s="445"/>
      <c r="I908" s="445"/>
      <c r="J908" s="445"/>
      <c r="K908" s="445"/>
      <c r="L908" s="445"/>
      <c r="M908" s="445"/>
      <c r="N908" s="447"/>
      <c r="O908" s="445"/>
      <c r="P908" s="445"/>
      <c r="Q908" s="445"/>
      <c r="R908" s="447"/>
      <c r="S908" s="1328"/>
      <c r="T908" s="454">
        <v>1.25</v>
      </c>
      <c r="U908" s="447"/>
      <c r="V908" s="447"/>
      <c r="W908" s="447"/>
      <c r="X908" s="447"/>
      <c r="Y908" s="447"/>
      <c r="Z908" s="447"/>
      <c r="AA908" s="447"/>
      <c r="AB908" s="1255"/>
      <c r="AC908" s="1225"/>
      <c r="AD908" s="445"/>
      <c r="AE908" s="1225"/>
      <c r="AF908" s="1328"/>
      <c r="AG908" s="1257"/>
      <c r="AH908" s="789"/>
      <c r="AI908" s="789"/>
      <c r="AJ908" s="789"/>
      <c r="AK908" s="789"/>
      <c r="AL908" s="810"/>
      <c r="AM908" s="810"/>
      <c r="AN908" s="823"/>
      <c r="AO908" s="784"/>
      <c r="AP908" s="784"/>
      <c r="AQ908" s="787"/>
      <c r="AR908" s="787"/>
      <c r="AS908" s="787"/>
      <c r="AT908" s="787"/>
      <c r="AU908" s="787"/>
      <c r="AV908" s="787"/>
      <c r="AW908" s="787"/>
      <c r="AX908" s="784"/>
      <c r="AY908" s="1214"/>
    </row>
    <row r="909" spans="1:51" ht="27.75" hidden="1" customHeight="1" thickBot="1" x14ac:dyDescent="0.3">
      <c r="A909" s="1195"/>
      <c r="B909" s="833"/>
      <c r="C909" s="1199"/>
      <c r="D909" s="140" t="s">
        <v>45</v>
      </c>
      <c r="E909" s="273"/>
      <c r="F909" s="237"/>
      <c r="G909" s="458"/>
      <c r="H909" s="458"/>
      <c r="I909" s="458"/>
      <c r="J909" s="458"/>
      <c r="K909" s="458"/>
      <c r="L909" s="458"/>
      <c r="M909" s="458"/>
      <c r="N909" s="455"/>
      <c r="O909" s="458"/>
      <c r="P909" s="458"/>
      <c r="Q909" s="458"/>
      <c r="R909" s="454"/>
      <c r="S909" s="1328"/>
      <c r="T909" s="454">
        <v>11357200</v>
      </c>
      <c r="U909" s="454"/>
      <c r="V909" s="454"/>
      <c r="W909" s="454"/>
      <c r="X909" s="454"/>
      <c r="Y909" s="454"/>
      <c r="Z909" s="454"/>
      <c r="AA909" s="455"/>
      <c r="AB909" s="1254"/>
      <c r="AC909" s="665"/>
      <c r="AD909" s="458"/>
      <c r="AE909" s="1238"/>
      <c r="AF909" s="1328"/>
      <c r="AG909" s="1257"/>
      <c r="AH909" s="790"/>
      <c r="AI909" s="790"/>
      <c r="AJ909" s="790"/>
      <c r="AK909" s="790"/>
      <c r="AL909" s="810"/>
      <c r="AM909" s="810"/>
      <c r="AN909" s="823"/>
      <c r="AO909" s="785"/>
      <c r="AP909" s="785"/>
      <c r="AQ909" s="787"/>
      <c r="AR909" s="787"/>
      <c r="AS909" s="787"/>
      <c r="AT909" s="787"/>
      <c r="AU909" s="787"/>
      <c r="AV909" s="787"/>
      <c r="AW909" s="787"/>
      <c r="AX909" s="785"/>
      <c r="AY909" s="1214"/>
    </row>
    <row r="910" spans="1:51" ht="18" hidden="1" customHeight="1" x14ac:dyDescent="0.25">
      <c r="A910" s="1195"/>
      <c r="B910" s="833"/>
      <c r="C910" s="810" t="s">
        <v>404</v>
      </c>
      <c r="D910" s="141" t="s">
        <v>41</v>
      </c>
      <c r="E910" s="271"/>
      <c r="F910" s="144"/>
      <c r="G910" s="445"/>
      <c r="H910" s="445"/>
      <c r="I910" s="445"/>
      <c r="J910" s="445"/>
      <c r="K910" s="445"/>
      <c r="L910" s="445"/>
      <c r="M910" s="445"/>
      <c r="N910" s="455"/>
      <c r="O910" s="445"/>
      <c r="P910" s="445"/>
      <c r="Q910" s="445"/>
      <c r="R910" s="447"/>
      <c r="S910" s="1328"/>
      <c r="T910" s="454">
        <v>0</v>
      </c>
      <c r="U910" s="454"/>
      <c r="V910" s="454"/>
      <c r="W910" s="454"/>
      <c r="X910" s="454"/>
      <c r="Y910" s="454"/>
      <c r="Z910" s="454"/>
      <c r="AA910" s="455"/>
      <c r="AB910" s="1254"/>
      <c r="AC910" s="1225"/>
      <c r="AD910" s="445"/>
      <c r="AE910" s="1238"/>
      <c r="AF910" s="1328"/>
      <c r="AG910" s="1257" t="s">
        <v>404</v>
      </c>
      <c r="AH910" s="788" t="s">
        <v>350</v>
      </c>
      <c r="AI910" s="788" t="s">
        <v>350</v>
      </c>
      <c r="AJ910" s="788" t="s">
        <v>350</v>
      </c>
      <c r="AK910" s="788" t="s">
        <v>315</v>
      </c>
      <c r="AL910" s="810"/>
      <c r="AM910" s="810" t="s">
        <v>547</v>
      </c>
      <c r="AN910" s="823">
        <v>7715777</v>
      </c>
      <c r="AO910" s="783">
        <v>3679381.9895200301</v>
      </c>
      <c r="AP910" s="783">
        <v>4036396.0104799699</v>
      </c>
      <c r="AQ910" s="787" t="s">
        <v>317</v>
      </c>
      <c r="AR910" s="787" t="s">
        <v>317</v>
      </c>
      <c r="AS910" s="787" t="s">
        <v>317</v>
      </c>
      <c r="AT910" s="787" t="s">
        <v>317</v>
      </c>
      <c r="AU910" s="787" t="s">
        <v>317</v>
      </c>
      <c r="AV910" s="787" t="s">
        <v>317</v>
      </c>
      <c r="AW910" s="787" t="s">
        <v>317</v>
      </c>
      <c r="AX910" s="783">
        <v>7715777</v>
      </c>
      <c r="AY910" s="1214"/>
    </row>
    <row r="911" spans="1:51" ht="18" hidden="1" customHeight="1" x14ac:dyDescent="0.25">
      <c r="A911" s="1195"/>
      <c r="B911" s="833"/>
      <c r="C911" s="810"/>
      <c r="D911" s="132" t="s">
        <v>3</v>
      </c>
      <c r="E911" s="272"/>
      <c r="F911" s="227"/>
      <c r="G911" s="456"/>
      <c r="H911" s="456"/>
      <c r="I911" s="456"/>
      <c r="J911" s="456"/>
      <c r="K911" s="456"/>
      <c r="L911" s="456"/>
      <c r="M911" s="456"/>
      <c r="N911" s="1282"/>
      <c r="O911" s="456"/>
      <c r="P911" s="456"/>
      <c r="Q911" s="456"/>
      <c r="R911" s="1287"/>
      <c r="S911" s="1328"/>
      <c r="T911" s="454">
        <v>135468608</v>
      </c>
      <c r="U911" s="457"/>
      <c r="V911" s="457"/>
      <c r="W911" s="457"/>
      <c r="X911" s="457"/>
      <c r="Y911" s="457"/>
      <c r="Z911" s="457"/>
      <c r="AA911" s="1282"/>
      <c r="AB911" s="1293"/>
      <c r="AC911" s="665"/>
      <c r="AD911" s="456"/>
      <c r="AE911" s="1226"/>
      <c r="AF911" s="1328"/>
      <c r="AG911" s="1257"/>
      <c r="AH911" s="789"/>
      <c r="AI911" s="789"/>
      <c r="AJ911" s="789"/>
      <c r="AK911" s="789"/>
      <c r="AL911" s="810"/>
      <c r="AM911" s="810"/>
      <c r="AN911" s="823"/>
      <c r="AO911" s="784"/>
      <c r="AP911" s="784"/>
      <c r="AQ911" s="787"/>
      <c r="AR911" s="787"/>
      <c r="AS911" s="787"/>
      <c r="AT911" s="787"/>
      <c r="AU911" s="787"/>
      <c r="AV911" s="787"/>
      <c r="AW911" s="787"/>
      <c r="AX911" s="784"/>
      <c r="AY911" s="1214"/>
    </row>
    <row r="912" spans="1:51" ht="27" hidden="1" customHeight="1" x14ac:dyDescent="0.25">
      <c r="A912" s="1195"/>
      <c r="B912" s="833"/>
      <c r="C912" s="810"/>
      <c r="D912" s="136" t="s">
        <v>42</v>
      </c>
      <c r="E912" s="272"/>
      <c r="F912" s="227"/>
      <c r="G912" s="456"/>
      <c r="H912" s="456"/>
      <c r="I912" s="456"/>
      <c r="J912" s="456"/>
      <c r="K912" s="456"/>
      <c r="L912" s="456"/>
      <c r="M912" s="456"/>
      <c r="N912" s="1282"/>
      <c r="O912" s="456"/>
      <c r="P912" s="456"/>
      <c r="Q912" s="456"/>
      <c r="R912" s="1287"/>
      <c r="S912" s="1328"/>
      <c r="T912" s="454">
        <v>135468608</v>
      </c>
      <c r="U912" s="457"/>
      <c r="V912" s="457"/>
      <c r="W912" s="457"/>
      <c r="X912" s="457"/>
      <c r="Y912" s="457"/>
      <c r="Z912" s="457"/>
      <c r="AA912" s="1282"/>
      <c r="AB912" s="1293"/>
      <c r="AC912" s="665"/>
      <c r="AD912" s="456"/>
      <c r="AE912" s="1226"/>
      <c r="AF912" s="1328"/>
      <c r="AG912" s="1257"/>
      <c r="AH912" s="789"/>
      <c r="AI912" s="789"/>
      <c r="AJ912" s="789"/>
      <c r="AK912" s="789"/>
      <c r="AL912" s="810"/>
      <c r="AM912" s="810"/>
      <c r="AN912" s="823"/>
      <c r="AO912" s="784"/>
      <c r="AP912" s="784"/>
      <c r="AQ912" s="787"/>
      <c r="AR912" s="787"/>
      <c r="AS912" s="787"/>
      <c r="AT912" s="787"/>
      <c r="AU912" s="787"/>
      <c r="AV912" s="787"/>
      <c r="AW912" s="787"/>
      <c r="AX912" s="784"/>
      <c r="AY912" s="1214"/>
    </row>
    <row r="913" spans="1:51" ht="27" hidden="1" customHeight="1" x14ac:dyDescent="0.25">
      <c r="A913" s="1195"/>
      <c r="B913" s="833"/>
      <c r="C913" s="810"/>
      <c r="D913" s="132" t="s">
        <v>4</v>
      </c>
      <c r="E913" s="272"/>
      <c r="F913" s="227"/>
      <c r="G913" s="456"/>
      <c r="H913" s="456"/>
      <c r="I913" s="456"/>
      <c r="J913" s="456"/>
      <c r="K913" s="456"/>
      <c r="L913" s="456"/>
      <c r="M913" s="456"/>
      <c r="N913" s="1282"/>
      <c r="O913" s="456"/>
      <c r="P913" s="456"/>
      <c r="Q913" s="456"/>
      <c r="R913" s="1287"/>
      <c r="S913" s="1328"/>
      <c r="T913" s="454" t="e">
        <v>#REF!</v>
      </c>
      <c r="U913" s="457"/>
      <c r="V913" s="457"/>
      <c r="W913" s="457"/>
      <c r="X913" s="457"/>
      <c r="Y913" s="457"/>
      <c r="Z913" s="457"/>
      <c r="AA913" s="1282"/>
      <c r="AB913" s="1293"/>
      <c r="AC913" s="665"/>
      <c r="AD913" s="456"/>
      <c r="AE913" s="1226"/>
      <c r="AF913" s="1328"/>
      <c r="AG913" s="1257"/>
      <c r="AH913" s="789"/>
      <c r="AI913" s="789"/>
      <c r="AJ913" s="789"/>
      <c r="AK913" s="789"/>
      <c r="AL913" s="810"/>
      <c r="AM913" s="810"/>
      <c r="AN913" s="823"/>
      <c r="AO913" s="784"/>
      <c r="AP913" s="784"/>
      <c r="AQ913" s="787"/>
      <c r="AR913" s="787"/>
      <c r="AS913" s="787"/>
      <c r="AT913" s="787"/>
      <c r="AU913" s="787"/>
      <c r="AV913" s="787"/>
      <c r="AW913" s="787"/>
      <c r="AX913" s="784"/>
      <c r="AY913" s="1214"/>
    </row>
    <row r="914" spans="1:51" ht="27" hidden="1" customHeight="1" x14ac:dyDescent="0.25">
      <c r="A914" s="1195"/>
      <c r="B914" s="833"/>
      <c r="C914" s="810"/>
      <c r="D914" s="136" t="s">
        <v>43</v>
      </c>
      <c r="E914" s="271"/>
      <c r="F914" s="144"/>
      <c r="G914" s="445"/>
      <c r="H914" s="445"/>
      <c r="I914" s="445"/>
      <c r="J914" s="445"/>
      <c r="K914" s="445"/>
      <c r="L914" s="445"/>
      <c r="M914" s="445"/>
      <c r="N914" s="447"/>
      <c r="O914" s="445"/>
      <c r="P914" s="445"/>
      <c r="Q914" s="445"/>
      <c r="R914" s="447"/>
      <c r="S914" s="1328"/>
      <c r="T914" s="454" t="e">
        <v>#REF!</v>
      </c>
      <c r="U914" s="447"/>
      <c r="V914" s="447"/>
      <c r="W914" s="447"/>
      <c r="X914" s="447"/>
      <c r="Y914" s="447"/>
      <c r="Z914" s="447"/>
      <c r="AA914" s="447"/>
      <c r="AB914" s="1255"/>
      <c r="AC914" s="1225"/>
      <c r="AD914" s="445"/>
      <c r="AE914" s="1225"/>
      <c r="AF914" s="1328"/>
      <c r="AG914" s="1257"/>
      <c r="AH914" s="789"/>
      <c r="AI914" s="789"/>
      <c r="AJ914" s="789"/>
      <c r="AK914" s="789"/>
      <c r="AL914" s="810"/>
      <c r="AM914" s="810"/>
      <c r="AN914" s="823"/>
      <c r="AO914" s="784"/>
      <c r="AP914" s="784"/>
      <c r="AQ914" s="787"/>
      <c r="AR914" s="787"/>
      <c r="AS914" s="787"/>
      <c r="AT914" s="787"/>
      <c r="AU914" s="787"/>
      <c r="AV914" s="787"/>
      <c r="AW914" s="787"/>
      <c r="AX914" s="784"/>
      <c r="AY914" s="1214"/>
    </row>
    <row r="915" spans="1:51" ht="27.75" hidden="1" customHeight="1" thickBot="1" x14ac:dyDescent="0.3">
      <c r="A915" s="1195"/>
      <c r="B915" s="833"/>
      <c r="C915" s="810"/>
      <c r="D915" s="140" t="s">
        <v>45</v>
      </c>
      <c r="E915" s="273"/>
      <c r="F915" s="237"/>
      <c r="G915" s="458"/>
      <c r="H915" s="458"/>
      <c r="I915" s="458"/>
      <c r="J915" s="458"/>
      <c r="K915" s="458"/>
      <c r="L915" s="458"/>
      <c r="M915" s="458"/>
      <c r="N915" s="455"/>
      <c r="O915" s="458"/>
      <c r="P915" s="458"/>
      <c r="Q915" s="458"/>
      <c r="R915" s="454"/>
      <c r="S915" s="1328"/>
      <c r="T915" s="454" t="e">
        <v>#REF!</v>
      </c>
      <c r="U915" s="454"/>
      <c r="V915" s="454"/>
      <c r="W915" s="454"/>
      <c r="X915" s="454"/>
      <c r="Y915" s="454"/>
      <c r="Z915" s="454"/>
      <c r="AA915" s="455"/>
      <c r="AB915" s="1254"/>
      <c r="AC915" s="665"/>
      <c r="AD915" s="458"/>
      <c r="AE915" s="1238"/>
      <c r="AF915" s="1328"/>
      <c r="AG915" s="1257"/>
      <c r="AH915" s="790"/>
      <c r="AI915" s="790"/>
      <c r="AJ915" s="790"/>
      <c r="AK915" s="790"/>
      <c r="AL915" s="810"/>
      <c r="AM915" s="810"/>
      <c r="AN915" s="823"/>
      <c r="AO915" s="785"/>
      <c r="AP915" s="785"/>
      <c r="AQ915" s="787"/>
      <c r="AR915" s="787"/>
      <c r="AS915" s="787"/>
      <c r="AT915" s="787"/>
      <c r="AU915" s="787"/>
      <c r="AV915" s="787"/>
      <c r="AW915" s="787"/>
      <c r="AX915" s="785"/>
      <c r="AY915" s="1214"/>
    </row>
    <row r="916" spans="1:51" ht="18" hidden="1" customHeight="1" x14ac:dyDescent="0.25">
      <c r="A916" s="1195"/>
      <c r="B916" s="833"/>
      <c r="C916" s="810" t="s">
        <v>394</v>
      </c>
      <c r="D916" s="141" t="s">
        <v>41</v>
      </c>
      <c r="E916" s="271"/>
      <c r="F916" s="144"/>
      <c r="G916" s="445"/>
      <c r="H916" s="445"/>
      <c r="I916" s="445"/>
      <c r="J916" s="445"/>
      <c r="K916" s="445"/>
      <c r="L916" s="445"/>
      <c r="M916" s="445"/>
      <c r="N916" s="455"/>
      <c r="O916" s="445"/>
      <c r="P916" s="445"/>
      <c r="Q916" s="445"/>
      <c r="R916" s="447"/>
      <c r="S916" s="1328"/>
      <c r="T916" s="454" t="e">
        <v>#REF!</v>
      </c>
      <c r="U916" s="454"/>
      <c r="V916" s="454"/>
      <c r="W916" s="454"/>
      <c r="X916" s="454"/>
      <c r="Y916" s="454"/>
      <c r="Z916" s="454"/>
      <c r="AA916" s="455"/>
      <c r="AB916" s="1254"/>
      <c r="AC916" s="1225"/>
      <c r="AD916" s="445"/>
      <c r="AE916" s="1238"/>
      <c r="AF916" s="1328"/>
      <c r="AG916" s="1257" t="s">
        <v>394</v>
      </c>
      <c r="AH916" s="788" t="s">
        <v>350</v>
      </c>
      <c r="AI916" s="788" t="s">
        <v>350</v>
      </c>
      <c r="AJ916" s="788" t="s">
        <v>350</v>
      </c>
      <c r="AK916" s="788" t="s">
        <v>315</v>
      </c>
      <c r="AL916" s="810"/>
      <c r="AM916" s="810" t="s">
        <v>547</v>
      </c>
      <c r="AN916" s="823">
        <v>7715777</v>
      </c>
      <c r="AO916" s="783">
        <v>3679381.9895200301</v>
      </c>
      <c r="AP916" s="783">
        <v>4036396.0104799699</v>
      </c>
      <c r="AQ916" s="787" t="s">
        <v>317</v>
      </c>
      <c r="AR916" s="787" t="s">
        <v>317</v>
      </c>
      <c r="AS916" s="787" t="s">
        <v>317</v>
      </c>
      <c r="AT916" s="787" t="s">
        <v>317</v>
      </c>
      <c r="AU916" s="787" t="s">
        <v>317</v>
      </c>
      <c r="AV916" s="787" t="s">
        <v>317</v>
      </c>
      <c r="AW916" s="787" t="s">
        <v>317</v>
      </c>
      <c r="AX916" s="783">
        <v>7715777</v>
      </c>
      <c r="AY916" s="1214"/>
    </row>
    <row r="917" spans="1:51" ht="18" hidden="1" customHeight="1" x14ac:dyDescent="0.25">
      <c r="A917" s="1195"/>
      <c r="B917" s="833"/>
      <c r="C917" s="810"/>
      <c r="D917" s="132" t="s">
        <v>3</v>
      </c>
      <c r="E917" s="272"/>
      <c r="F917" s="227"/>
      <c r="G917" s="456"/>
      <c r="H917" s="456"/>
      <c r="I917" s="456"/>
      <c r="J917" s="456"/>
      <c r="K917" s="456"/>
      <c r="L917" s="456"/>
      <c r="M917" s="456"/>
      <c r="N917" s="1282"/>
      <c r="O917" s="456"/>
      <c r="P917" s="456"/>
      <c r="Q917" s="456"/>
      <c r="R917" s="1287"/>
      <c r="S917" s="1328"/>
      <c r="T917" s="454" t="e">
        <v>#REF!</v>
      </c>
      <c r="U917" s="457"/>
      <c r="V917" s="457"/>
      <c r="W917" s="457"/>
      <c r="X917" s="457"/>
      <c r="Y917" s="457"/>
      <c r="Z917" s="457"/>
      <c r="AA917" s="1282"/>
      <c r="AB917" s="1293"/>
      <c r="AC917" s="665"/>
      <c r="AD917" s="456"/>
      <c r="AE917" s="1226"/>
      <c r="AF917" s="1328"/>
      <c r="AG917" s="1257"/>
      <c r="AH917" s="789"/>
      <c r="AI917" s="789"/>
      <c r="AJ917" s="789"/>
      <c r="AK917" s="789"/>
      <c r="AL917" s="810"/>
      <c r="AM917" s="810"/>
      <c r="AN917" s="823"/>
      <c r="AO917" s="784"/>
      <c r="AP917" s="784"/>
      <c r="AQ917" s="787"/>
      <c r="AR917" s="787"/>
      <c r="AS917" s="787"/>
      <c r="AT917" s="787"/>
      <c r="AU917" s="787"/>
      <c r="AV917" s="787"/>
      <c r="AW917" s="787"/>
      <c r="AX917" s="784"/>
      <c r="AY917" s="1214"/>
    </row>
    <row r="918" spans="1:51" ht="27" hidden="1" customHeight="1" x14ac:dyDescent="0.25">
      <c r="A918" s="1195"/>
      <c r="B918" s="833"/>
      <c r="C918" s="810"/>
      <c r="D918" s="136" t="s">
        <v>42</v>
      </c>
      <c r="E918" s="272"/>
      <c r="F918" s="227"/>
      <c r="G918" s="456"/>
      <c r="H918" s="456"/>
      <c r="I918" s="456"/>
      <c r="J918" s="456"/>
      <c r="K918" s="456"/>
      <c r="L918" s="456"/>
      <c r="M918" s="456"/>
      <c r="N918" s="1282"/>
      <c r="O918" s="456"/>
      <c r="P918" s="456"/>
      <c r="Q918" s="456"/>
      <c r="R918" s="1287"/>
      <c r="S918" s="1328"/>
      <c r="T918" s="454" t="e">
        <v>#REF!</v>
      </c>
      <c r="U918" s="457"/>
      <c r="V918" s="457"/>
      <c r="W918" s="457"/>
      <c r="X918" s="457"/>
      <c r="Y918" s="457"/>
      <c r="Z918" s="457"/>
      <c r="AA918" s="1282"/>
      <c r="AB918" s="1293"/>
      <c r="AC918" s="665"/>
      <c r="AD918" s="456"/>
      <c r="AE918" s="1226"/>
      <c r="AF918" s="1328"/>
      <c r="AG918" s="1257"/>
      <c r="AH918" s="789"/>
      <c r="AI918" s="789"/>
      <c r="AJ918" s="789"/>
      <c r="AK918" s="789"/>
      <c r="AL918" s="810"/>
      <c r="AM918" s="810"/>
      <c r="AN918" s="823"/>
      <c r="AO918" s="784"/>
      <c r="AP918" s="784"/>
      <c r="AQ918" s="787"/>
      <c r="AR918" s="787"/>
      <c r="AS918" s="787"/>
      <c r="AT918" s="787"/>
      <c r="AU918" s="787"/>
      <c r="AV918" s="787"/>
      <c r="AW918" s="787"/>
      <c r="AX918" s="784"/>
      <c r="AY918" s="1214"/>
    </row>
    <row r="919" spans="1:51" ht="27" hidden="1" customHeight="1" x14ac:dyDescent="0.25">
      <c r="A919" s="1195"/>
      <c r="B919" s="833"/>
      <c r="C919" s="810"/>
      <c r="D919" s="132" t="s">
        <v>4</v>
      </c>
      <c r="E919" s="272"/>
      <c r="F919" s="227"/>
      <c r="G919" s="456"/>
      <c r="H919" s="456"/>
      <c r="I919" s="456"/>
      <c r="J919" s="456"/>
      <c r="K919" s="456"/>
      <c r="L919" s="456"/>
      <c r="M919" s="456"/>
      <c r="N919" s="1282"/>
      <c r="O919" s="456"/>
      <c r="P919" s="456"/>
      <c r="Q919" s="456"/>
      <c r="R919" s="1287"/>
      <c r="S919" s="1328"/>
      <c r="T919" s="454" t="e">
        <v>#REF!</v>
      </c>
      <c r="U919" s="457"/>
      <c r="V919" s="457"/>
      <c r="W919" s="457"/>
      <c r="X919" s="457"/>
      <c r="Y919" s="457"/>
      <c r="Z919" s="457"/>
      <c r="AA919" s="1282"/>
      <c r="AB919" s="1293"/>
      <c r="AC919" s="665"/>
      <c r="AD919" s="456"/>
      <c r="AE919" s="1226"/>
      <c r="AF919" s="1328"/>
      <c r="AG919" s="1257"/>
      <c r="AH919" s="789"/>
      <c r="AI919" s="789"/>
      <c r="AJ919" s="789"/>
      <c r="AK919" s="789"/>
      <c r="AL919" s="810"/>
      <c r="AM919" s="810"/>
      <c r="AN919" s="823"/>
      <c r="AO919" s="784"/>
      <c r="AP919" s="784"/>
      <c r="AQ919" s="787"/>
      <c r="AR919" s="787"/>
      <c r="AS919" s="787"/>
      <c r="AT919" s="787"/>
      <c r="AU919" s="787"/>
      <c r="AV919" s="787"/>
      <c r="AW919" s="787"/>
      <c r="AX919" s="784"/>
      <c r="AY919" s="1214"/>
    </row>
    <row r="920" spans="1:51" ht="27" hidden="1" customHeight="1" x14ac:dyDescent="0.25">
      <c r="A920" s="1195"/>
      <c r="B920" s="833"/>
      <c r="C920" s="810"/>
      <c r="D920" s="136" t="s">
        <v>43</v>
      </c>
      <c r="E920" s="271"/>
      <c r="F920" s="144"/>
      <c r="G920" s="445"/>
      <c r="H920" s="445"/>
      <c r="I920" s="445"/>
      <c r="J920" s="445"/>
      <c r="K920" s="445"/>
      <c r="L920" s="445"/>
      <c r="M920" s="445"/>
      <c r="N920" s="447"/>
      <c r="O920" s="445"/>
      <c r="P920" s="445"/>
      <c r="Q920" s="445"/>
      <c r="R920" s="447"/>
      <c r="S920" s="1328"/>
      <c r="T920" s="454" t="e">
        <v>#REF!</v>
      </c>
      <c r="U920" s="447"/>
      <c r="V920" s="447"/>
      <c r="W920" s="447"/>
      <c r="X920" s="447"/>
      <c r="Y920" s="447"/>
      <c r="Z920" s="447"/>
      <c r="AA920" s="447"/>
      <c r="AB920" s="1255"/>
      <c r="AC920" s="1225"/>
      <c r="AD920" s="445"/>
      <c r="AE920" s="1225"/>
      <c r="AF920" s="1328"/>
      <c r="AG920" s="1257"/>
      <c r="AH920" s="789"/>
      <c r="AI920" s="789"/>
      <c r="AJ920" s="789"/>
      <c r="AK920" s="789"/>
      <c r="AL920" s="810"/>
      <c r="AM920" s="810"/>
      <c r="AN920" s="823"/>
      <c r="AO920" s="784"/>
      <c r="AP920" s="784"/>
      <c r="AQ920" s="787"/>
      <c r="AR920" s="787"/>
      <c r="AS920" s="787"/>
      <c r="AT920" s="787"/>
      <c r="AU920" s="787"/>
      <c r="AV920" s="787"/>
      <c r="AW920" s="787"/>
      <c r="AX920" s="784"/>
      <c r="AY920" s="1214"/>
    </row>
    <row r="921" spans="1:51" ht="27.75" hidden="1" customHeight="1" thickBot="1" x14ac:dyDescent="0.3">
      <c r="A921" s="1195"/>
      <c r="B921" s="833"/>
      <c r="C921" s="810"/>
      <c r="D921" s="140" t="s">
        <v>45</v>
      </c>
      <c r="E921" s="273"/>
      <c r="F921" s="237"/>
      <c r="G921" s="458"/>
      <c r="H921" s="458"/>
      <c r="I921" s="458"/>
      <c r="J921" s="458"/>
      <c r="K921" s="458"/>
      <c r="L921" s="458"/>
      <c r="M921" s="458"/>
      <c r="N921" s="455"/>
      <c r="O921" s="458"/>
      <c r="P921" s="458"/>
      <c r="Q921" s="458"/>
      <c r="R921" s="454"/>
      <c r="S921" s="1328"/>
      <c r="T921" s="454" t="e">
        <v>#REF!</v>
      </c>
      <c r="U921" s="454"/>
      <c r="V921" s="454"/>
      <c r="W921" s="454"/>
      <c r="X921" s="454"/>
      <c r="Y921" s="454"/>
      <c r="Z921" s="454"/>
      <c r="AA921" s="455"/>
      <c r="AB921" s="1254"/>
      <c r="AC921" s="665"/>
      <c r="AD921" s="458"/>
      <c r="AE921" s="1238"/>
      <c r="AF921" s="1328"/>
      <c r="AG921" s="1257"/>
      <c r="AH921" s="790"/>
      <c r="AI921" s="790"/>
      <c r="AJ921" s="790"/>
      <c r="AK921" s="790"/>
      <c r="AL921" s="810"/>
      <c r="AM921" s="810"/>
      <c r="AN921" s="823"/>
      <c r="AO921" s="785"/>
      <c r="AP921" s="785"/>
      <c r="AQ921" s="787"/>
      <c r="AR921" s="787"/>
      <c r="AS921" s="787"/>
      <c r="AT921" s="787"/>
      <c r="AU921" s="787"/>
      <c r="AV921" s="787"/>
      <c r="AW921" s="787"/>
      <c r="AX921" s="785"/>
      <c r="AY921" s="1214"/>
    </row>
    <row r="922" spans="1:51" ht="18" hidden="1" customHeight="1" x14ac:dyDescent="0.25">
      <c r="A922" s="1195"/>
      <c r="B922" s="833"/>
      <c r="C922" s="810" t="s">
        <v>361</v>
      </c>
      <c r="D922" s="141" t="s">
        <v>41</v>
      </c>
      <c r="E922" s="271"/>
      <c r="F922" s="144"/>
      <c r="G922" s="445"/>
      <c r="H922" s="445"/>
      <c r="I922" s="445"/>
      <c r="J922" s="445"/>
      <c r="K922" s="445"/>
      <c r="L922" s="445"/>
      <c r="M922" s="445"/>
      <c r="N922" s="455"/>
      <c r="O922" s="445"/>
      <c r="P922" s="445"/>
      <c r="Q922" s="445"/>
      <c r="R922" s="447"/>
      <c r="S922" s="1328"/>
      <c r="T922" s="454" t="e">
        <v>#REF!</v>
      </c>
      <c r="U922" s="454"/>
      <c r="V922" s="454"/>
      <c r="W922" s="454"/>
      <c r="X922" s="454"/>
      <c r="Y922" s="454"/>
      <c r="Z922" s="454"/>
      <c r="AA922" s="455"/>
      <c r="AB922" s="1254"/>
      <c r="AC922" s="1225"/>
      <c r="AD922" s="445"/>
      <c r="AE922" s="1238"/>
      <c r="AF922" s="1328"/>
      <c r="AG922" s="1257" t="s">
        <v>361</v>
      </c>
      <c r="AH922" s="788" t="s">
        <v>350</v>
      </c>
      <c r="AI922" s="788" t="s">
        <v>350</v>
      </c>
      <c r="AJ922" s="788" t="s">
        <v>350</v>
      </c>
      <c r="AK922" s="788" t="s">
        <v>315</v>
      </c>
      <c r="AL922" s="810"/>
      <c r="AM922" s="810" t="s">
        <v>547</v>
      </c>
      <c r="AN922" s="823">
        <v>7715777</v>
      </c>
      <c r="AO922" s="783">
        <v>3679381.9895200301</v>
      </c>
      <c r="AP922" s="783">
        <v>4036396.0104799699</v>
      </c>
      <c r="AQ922" s="787" t="s">
        <v>317</v>
      </c>
      <c r="AR922" s="787" t="s">
        <v>317</v>
      </c>
      <c r="AS922" s="787" t="s">
        <v>317</v>
      </c>
      <c r="AT922" s="787" t="s">
        <v>317</v>
      </c>
      <c r="AU922" s="787" t="s">
        <v>317</v>
      </c>
      <c r="AV922" s="787" t="s">
        <v>317</v>
      </c>
      <c r="AW922" s="787" t="s">
        <v>317</v>
      </c>
      <c r="AX922" s="783">
        <v>7715777</v>
      </c>
      <c r="AY922" s="1214"/>
    </row>
    <row r="923" spans="1:51" ht="18" hidden="1" customHeight="1" x14ac:dyDescent="0.25">
      <c r="A923" s="1195"/>
      <c r="B923" s="833"/>
      <c r="C923" s="810"/>
      <c r="D923" s="132" t="s">
        <v>3</v>
      </c>
      <c r="E923" s="272"/>
      <c r="F923" s="227"/>
      <c r="G923" s="456"/>
      <c r="H923" s="456"/>
      <c r="I923" s="456"/>
      <c r="J923" s="456"/>
      <c r="K923" s="456"/>
      <c r="L923" s="456"/>
      <c r="M923" s="456"/>
      <c r="N923" s="1282"/>
      <c r="O923" s="456"/>
      <c r="P923" s="456"/>
      <c r="Q923" s="456"/>
      <c r="R923" s="1287"/>
      <c r="S923" s="1328"/>
      <c r="T923" s="454" t="e">
        <v>#REF!</v>
      </c>
      <c r="U923" s="457"/>
      <c r="V923" s="457"/>
      <c r="W923" s="457"/>
      <c r="X923" s="457"/>
      <c r="Y923" s="457"/>
      <c r="Z923" s="457"/>
      <c r="AA923" s="1282"/>
      <c r="AB923" s="1293"/>
      <c r="AC923" s="665"/>
      <c r="AD923" s="456"/>
      <c r="AE923" s="1226"/>
      <c r="AF923" s="1328"/>
      <c r="AG923" s="1257"/>
      <c r="AH923" s="789"/>
      <c r="AI923" s="789"/>
      <c r="AJ923" s="789"/>
      <c r="AK923" s="789"/>
      <c r="AL923" s="810"/>
      <c r="AM923" s="810"/>
      <c r="AN923" s="823"/>
      <c r="AO923" s="784"/>
      <c r="AP923" s="784"/>
      <c r="AQ923" s="787"/>
      <c r="AR923" s="787"/>
      <c r="AS923" s="787"/>
      <c r="AT923" s="787"/>
      <c r="AU923" s="787"/>
      <c r="AV923" s="787"/>
      <c r="AW923" s="787"/>
      <c r="AX923" s="784"/>
      <c r="AY923" s="1214"/>
    </row>
    <row r="924" spans="1:51" ht="27" hidden="1" customHeight="1" x14ac:dyDescent="0.25">
      <c r="A924" s="1195"/>
      <c r="B924" s="833"/>
      <c r="C924" s="810"/>
      <c r="D924" s="136" t="s">
        <v>42</v>
      </c>
      <c r="E924" s="272"/>
      <c r="F924" s="227"/>
      <c r="G924" s="456"/>
      <c r="H924" s="456"/>
      <c r="I924" s="456"/>
      <c r="J924" s="456"/>
      <c r="K924" s="456"/>
      <c r="L924" s="456"/>
      <c r="M924" s="456"/>
      <c r="N924" s="1282"/>
      <c r="O924" s="456"/>
      <c r="P924" s="456"/>
      <c r="Q924" s="456"/>
      <c r="R924" s="1287"/>
      <c r="S924" s="1328"/>
      <c r="T924" s="454" t="e">
        <v>#REF!</v>
      </c>
      <c r="U924" s="457"/>
      <c r="V924" s="457"/>
      <c r="W924" s="457"/>
      <c r="X924" s="457"/>
      <c r="Y924" s="457"/>
      <c r="Z924" s="457"/>
      <c r="AA924" s="1282"/>
      <c r="AB924" s="1293"/>
      <c r="AC924" s="665"/>
      <c r="AD924" s="456"/>
      <c r="AE924" s="1226"/>
      <c r="AF924" s="1328"/>
      <c r="AG924" s="1257"/>
      <c r="AH924" s="789"/>
      <c r="AI924" s="789"/>
      <c r="AJ924" s="789"/>
      <c r="AK924" s="789"/>
      <c r="AL924" s="810"/>
      <c r="AM924" s="810"/>
      <c r="AN924" s="823"/>
      <c r="AO924" s="784"/>
      <c r="AP924" s="784"/>
      <c r="AQ924" s="787"/>
      <c r="AR924" s="787"/>
      <c r="AS924" s="787"/>
      <c r="AT924" s="787"/>
      <c r="AU924" s="787"/>
      <c r="AV924" s="787"/>
      <c r="AW924" s="787"/>
      <c r="AX924" s="784"/>
      <c r="AY924" s="1214"/>
    </row>
    <row r="925" spans="1:51" ht="27" hidden="1" customHeight="1" x14ac:dyDescent="0.25">
      <c r="A925" s="1195"/>
      <c r="B925" s="833"/>
      <c r="C925" s="810"/>
      <c r="D925" s="132" t="s">
        <v>4</v>
      </c>
      <c r="E925" s="272"/>
      <c r="F925" s="227"/>
      <c r="G925" s="456"/>
      <c r="H925" s="456"/>
      <c r="I925" s="456"/>
      <c r="J925" s="456"/>
      <c r="K925" s="456"/>
      <c r="L925" s="456"/>
      <c r="M925" s="456"/>
      <c r="N925" s="1282"/>
      <c r="O925" s="456"/>
      <c r="P925" s="456"/>
      <c r="Q925" s="456"/>
      <c r="R925" s="1287"/>
      <c r="S925" s="1328"/>
      <c r="T925" s="454" t="e">
        <v>#REF!</v>
      </c>
      <c r="U925" s="457"/>
      <c r="V925" s="457"/>
      <c r="W925" s="457"/>
      <c r="X925" s="457"/>
      <c r="Y925" s="457"/>
      <c r="Z925" s="457"/>
      <c r="AA925" s="1282"/>
      <c r="AB925" s="1293"/>
      <c r="AC925" s="665"/>
      <c r="AD925" s="456"/>
      <c r="AE925" s="1226"/>
      <c r="AF925" s="1328"/>
      <c r="AG925" s="1257"/>
      <c r="AH925" s="789"/>
      <c r="AI925" s="789"/>
      <c r="AJ925" s="789"/>
      <c r="AK925" s="789"/>
      <c r="AL925" s="810"/>
      <c r="AM925" s="810"/>
      <c r="AN925" s="823"/>
      <c r="AO925" s="784"/>
      <c r="AP925" s="784"/>
      <c r="AQ925" s="787"/>
      <c r="AR925" s="787"/>
      <c r="AS925" s="787"/>
      <c r="AT925" s="787"/>
      <c r="AU925" s="787"/>
      <c r="AV925" s="787"/>
      <c r="AW925" s="787"/>
      <c r="AX925" s="784"/>
      <c r="AY925" s="1214"/>
    </row>
    <row r="926" spans="1:51" ht="27" hidden="1" customHeight="1" x14ac:dyDescent="0.25">
      <c r="A926" s="1195"/>
      <c r="B926" s="833"/>
      <c r="C926" s="810"/>
      <c r="D926" s="136" t="s">
        <v>43</v>
      </c>
      <c r="E926" s="271"/>
      <c r="F926" s="144"/>
      <c r="G926" s="445"/>
      <c r="H926" s="445"/>
      <c r="I926" s="445"/>
      <c r="J926" s="445"/>
      <c r="K926" s="445"/>
      <c r="L926" s="445"/>
      <c r="M926" s="445"/>
      <c r="N926" s="447"/>
      <c r="O926" s="445"/>
      <c r="P926" s="445"/>
      <c r="Q926" s="445"/>
      <c r="R926" s="447"/>
      <c r="S926" s="1328"/>
      <c r="T926" s="454" t="e">
        <v>#REF!</v>
      </c>
      <c r="U926" s="447"/>
      <c r="V926" s="447"/>
      <c r="W926" s="447"/>
      <c r="X926" s="447"/>
      <c r="Y926" s="447"/>
      <c r="Z926" s="447"/>
      <c r="AA926" s="447"/>
      <c r="AB926" s="1255"/>
      <c r="AC926" s="1225"/>
      <c r="AD926" s="445"/>
      <c r="AE926" s="1225"/>
      <c r="AF926" s="1328"/>
      <c r="AG926" s="1257"/>
      <c r="AH926" s="789"/>
      <c r="AI926" s="789"/>
      <c r="AJ926" s="789"/>
      <c r="AK926" s="789"/>
      <c r="AL926" s="810"/>
      <c r="AM926" s="810"/>
      <c r="AN926" s="823"/>
      <c r="AO926" s="784"/>
      <c r="AP926" s="784"/>
      <c r="AQ926" s="787"/>
      <c r="AR926" s="787"/>
      <c r="AS926" s="787"/>
      <c r="AT926" s="787"/>
      <c r="AU926" s="787"/>
      <c r="AV926" s="787"/>
      <c r="AW926" s="787"/>
      <c r="AX926" s="784"/>
      <c r="AY926" s="1214"/>
    </row>
    <row r="927" spans="1:51" ht="27.75" hidden="1" customHeight="1" thickBot="1" x14ac:dyDescent="0.3">
      <c r="A927" s="1195"/>
      <c r="B927" s="833"/>
      <c r="C927" s="810"/>
      <c r="D927" s="140" t="s">
        <v>45</v>
      </c>
      <c r="E927" s="273"/>
      <c r="F927" s="237"/>
      <c r="G927" s="458"/>
      <c r="H927" s="458"/>
      <c r="I927" s="458"/>
      <c r="J927" s="458"/>
      <c r="K927" s="458"/>
      <c r="L927" s="458"/>
      <c r="M927" s="458"/>
      <c r="N927" s="455"/>
      <c r="O927" s="458"/>
      <c r="P927" s="458"/>
      <c r="Q927" s="458"/>
      <c r="R927" s="454"/>
      <c r="S927" s="1328"/>
      <c r="T927" s="454" t="e">
        <v>#REF!</v>
      </c>
      <c r="U927" s="454"/>
      <c r="V927" s="454"/>
      <c r="W927" s="454"/>
      <c r="X927" s="454"/>
      <c r="Y927" s="454"/>
      <c r="Z927" s="454"/>
      <c r="AA927" s="455"/>
      <c r="AB927" s="1254"/>
      <c r="AC927" s="665"/>
      <c r="AD927" s="458"/>
      <c r="AE927" s="1238"/>
      <c r="AF927" s="1328"/>
      <c r="AG927" s="1257"/>
      <c r="AH927" s="790"/>
      <c r="AI927" s="790"/>
      <c r="AJ927" s="790"/>
      <c r="AK927" s="790"/>
      <c r="AL927" s="810"/>
      <c r="AM927" s="810"/>
      <c r="AN927" s="823"/>
      <c r="AO927" s="785"/>
      <c r="AP927" s="785"/>
      <c r="AQ927" s="787"/>
      <c r="AR927" s="787"/>
      <c r="AS927" s="787"/>
      <c r="AT927" s="787"/>
      <c r="AU927" s="787"/>
      <c r="AV927" s="787"/>
      <c r="AW927" s="787"/>
      <c r="AX927" s="785"/>
      <c r="AY927" s="1214"/>
    </row>
    <row r="928" spans="1:51" ht="18" hidden="1" customHeight="1" x14ac:dyDescent="0.25">
      <c r="A928" s="1195"/>
      <c r="B928" s="833"/>
      <c r="C928" s="810" t="s">
        <v>433</v>
      </c>
      <c r="D928" s="141" t="s">
        <v>41</v>
      </c>
      <c r="E928" s="271"/>
      <c r="F928" s="144"/>
      <c r="G928" s="445"/>
      <c r="H928" s="445"/>
      <c r="I928" s="445"/>
      <c r="J928" s="445"/>
      <c r="K928" s="445"/>
      <c r="L928" s="445"/>
      <c r="M928" s="445"/>
      <c r="N928" s="455"/>
      <c r="O928" s="445"/>
      <c r="P928" s="445"/>
      <c r="Q928" s="445"/>
      <c r="R928" s="447"/>
      <c r="S928" s="1328"/>
      <c r="T928" s="454" t="e">
        <v>#REF!</v>
      </c>
      <c r="U928" s="454"/>
      <c r="V928" s="454"/>
      <c r="W928" s="454"/>
      <c r="X928" s="454"/>
      <c r="Y928" s="454"/>
      <c r="Z928" s="454"/>
      <c r="AA928" s="455"/>
      <c r="AB928" s="1254"/>
      <c r="AC928" s="1225"/>
      <c r="AD928" s="445"/>
      <c r="AE928" s="1238"/>
      <c r="AF928" s="1328"/>
      <c r="AG928" s="1257" t="s">
        <v>433</v>
      </c>
      <c r="AH928" s="788" t="s">
        <v>350</v>
      </c>
      <c r="AI928" s="788" t="s">
        <v>350</v>
      </c>
      <c r="AJ928" s="788" t="s">
        <v>350</v>
      </c>
      <c r="AK928" s="788" t="s">
        <v>315</v>
      </c>
      <c r="AL928" s="810"/>
      <c r="AM928" s="810" t="s">
        <v>547</v>
      </c>
      <c r="AN928" s="823">
        <v>7715777</v>
      </c>
      <c r="AO928" s="783">
        <v>3679381.9895200301</v>
      </c>
      <c r="AP928" s="783">
        <v>4036396.0104799699</v>
      </c>
      <c r="AQ928" s="787" t="s">
        <v>317</v>
      </c>
      <c r="AR928" s="787" t="s">
        <v>317</v>
      </c>
      <c r="AS928" s="787" t="s">
        <v>317</v>
      </c>
      <c r="AT928" s="787" t="s">
        <v>317</v>
      </c>
      <c r="AU928" s="787" t="s">
        <v>317</v>
      </c>
      <c r="AV928" s="787" t="s">
        <v>317</v>
      </c>
      <c r="AW928" s="787" t="s">
        <v>317</v>
      </c>
      <c r="AX928" s="783">
        <v>7715777</v>
      </c>
      <c r="AY928" s="1214"/>
    </row>
    <row r="929" spans="1:51" ht="18" hidden="1" customHeight="1" x14ac:dyDescent="0.25">
      <c r="A929" s="1195"/>
      <c r="B929" s="833"/>
      <c r="C929" s="810"/>
      <c r="D929" s="132" t="s">
        <v>3</v>
      </c>
      <c r="E929" s="272"/>
      <c r="F929" s="227"/>
      <c r="G929" s="456"/>
      <c r="H929" s="456"/>
      <c r="I929" s="456"/>
      <c r="J929" s="456"/>
      <c r="K929" s="456"/>
      <c r="L929" s="456"/>
      <c r="M929" s="456"/>
      <c r="N929" s="1282"/>
      <c r="O929" s="456"/>
      <c r="P929" s="456"/>
      <c r="Q929" s="456"/>
      <c r="R929" s="1287"/>
      <c r="S929" s="1328"/>
      <c r="T929" s="454" t="e">
        <v>#REF!</v>
      </c>
      <c r="U929" s="457"/>
      <c r="V929" s="457"/>
      <c r="W929" s="457"/>
      <c r="X929" s="457"/>
      <c r="Y929" s="457"/>
      <c r="Z929" s="457"/>
      <c r="AA929" s="1282"/>
      <c r="AB929" s="1293"/>
      <c r="AC929" s="665"/>
      <c r="AD929" s="456"/>
      <c r="AE929" s="1226"/>
      <c r="AF929" s="1328"/>
      <c r="AG929" s="1257"/>
      <c r="AH929" s="789"/>
      <c r="AI929" s="789"/>
      <c r="AJ929" s="789"/>
      <c r="AK929" s="789"/>
      <c r="AL929" s="810"/>
      <c r="AM929" s="810"/>
      <c r="AN929" s="823"/>
      <c r="AO929" s="784"/>
      <c r="AP929" s="784"/>
      <c r="AQ929" s="787"/>
      <c r="AR929" s="787"/>
      <c r="AS929" s="787"/>
      <c r="AT929" s="787"/>
      <c r="AU929" s="787"/>
      <c r="AV929" s="787"/>
      <c r="AW929" s="787"/>
      <c r="AX929" s="784"/>
      <c r="AY929" s="1214"/>
    </row>
    <row r="930" spans="1:51" ht="27" hidden="1" customHeight="1" x14ac:dyDescent="0.25">
      <c r="A930" s="1195"/>
      <c r="B930" s="833"/>
      <c r="C930" s="810"/>
      <c r="D930" s="136" t="s">
        <v>42</v>
      </c>
      <c r="E930" s="272"/>
      <c r="F930" s="227"/>
      <c r="G930" s="456"/>
      <c r="H930" s="456"/>
      <c r="I930" s="456"/>
      <c r="J930" s="456"/>
      <c r="K930" s="456"/>
      <c r="L930" s="456"/>
      <c r="M930" s="456"/>
      <c r="N930" s="1282"/>
      <c r="O930" s="456"/>
      <c r="P930" s="456"/>
      <c r="Q930" s="456"/>
      <c r="R930" s="1287"/>
      <c r="S930" s="1328"/>
      <c r="T930" s="454" t="e">
        <v>#REF!</v>
      </c>
      <c r="U930" s="457"/>
      <c r="V930" s="457"/>
      <c r="W930" s="457"/>
      <c r="X930" s="457"/>
      <c r="Y930" s="457"/>
      <c r="Z930" s="457"/>
      <c r="AA930" s="1282"/>
      <c r="AB930" s="1293"/>
      <c r="AC930" s="665"/>
      <c r="AD930" s="456"/>
      <c r="AE930" s="1226"/>
      <c r="AF930" s="1328"/>
      <c r="AG930" s="1257"/>
      <c r="AH930" s="789"/>
      <c r="AI930" s="789"/>
      <c r="AJ930" s="789"/>
      <c r="AK930" s="789"/>
      <c r="AL930" s="810"/>
      <c r="AM930" s="810"/>
      <c r="AN930" s="823"/>
      <c r="AO930" s="784"/>
      <c r="AP930" s="784"/>
      <c r="AQ930" s="787"/>
      <c r="AR930" s="787"/>
      <c r="AS930" s="787"/>
      <c r="AT930" s="787"/>
      <c r="AU930" s="787"/>
      <c r="AV930" s="787"/>
      <c r="AW930" s="787"/>
      <c r="AX930" s="784"/>
      <c r="AY930" s="1214"/>
    </row>
    <row r="931" spans="1:51" ht="27" hidden="1" customHeight="1" x14ac:dyDescent="0.25">
      <c r="A931" s="1195"/>
      <c r="B931" s="833"/>
      <c r="C931" s="810"/>
      <c r="D931" s="132" t="s">
        <v>4</v>
      </c>
      <c r="E931" s="272"/>
      <c r="F931" s="227"/>
      <c r="G931" s="456"/>
      <c r="H931" s="456"/>
      <c r="I931" s="456"/>
      <c r="J931" s="456"/>
      <c r="K931" s="456"/>
      <c r="L931" s="456"/>
      <c r="M931" s="456"/>
      <c r="N931" s="1282"/>
      <c r="O931" s="456"/>
      <c r="P931" s="456"/>
      <c r="Q931" s="456"/>
      <c r="R931" s="1287"/>
      <c r="S931" s="1328"/>
      <c r="T931" s="454" t="e">
        <v>#REF!</v>
      </c>
      <c r="U931" s="457"/>
      <c r="V931" s="457"/>
      <c r="W931" s="457"/>
      <c r="X931" s="457"/>
      <c r="Y931" s="457"/>
      <c r="Z931" s="457"/>
      <c r="AA931" s="1282"/>
      <c r="AB931" s="1293"/>
      <c r="AC931" s="665"/>
      <c r="AD931" s="456"/>
      <c r="AE931" s="1226"/>
      <c r="AF931" s="1328"/>
      <c r="AG931" s="1257"/>
      <c r="AH931" s="789"/>
      <c r="AI931" s="789"/>
      <c r="AJ931" s="789"/>
      <c r="AK931" s="789"/>
      <c r="AL931" s="810"/>
      <c r="AM931" s="810"/>
      <c r="AN931" s="823"/>
      <c r="AO931" s="784"/>
      <c r="AP931" s="784"/>
      <c r="AQ931" s="787"/>
      <c r="AR931" s="787"/>
      <c r="AS931" s="787"/>
      <c r="AT931" s="787"/>
      <c r="AU931" s="787"/>
      <c r="AV931" s="787"/>
      <c r="AW931" s="787"/>
      <c r="AX931" s="784"/>
      <c r="AY931" s="1214"/>
    </row>
    <row r="932" spans="1:51" ht="27" hidden="1" customHeight="1" x14ac:dyDescent="0.25">
      <c r="A932" s="1195"/>
      <c r="B932" s="833"/>
      <c r="C932" s="810"/>
      <c r="D932" s="136" t="s">
        <v>43</v>
      </c>
      <c r="E932" s="271"/>
      <c r="F932" s="144"/>
      <c r="G932" s="445"/>
      <c r="H932" s="445"/>
      <c r="I932" s="445"/>
      <c r="J932" s="445"/>
      <c r="K932" s="445"/>
      <c r="L932" s="445"/>
      <c r="M932" s="445"/>
      <c r="N932" s="447"/>
      <c r="O932" s="445"/>
      <c r="P932" s="445"/>
      <c r="Q932" s="445"/>
      <c r="R932" s="447"/>
      <c r="S932" s="1328"/>
      <c r="T932" s="454" t="e">
        <v>#REF!</v>
      </c>
      <c r="U932" s="447"/>
      <c r="V932" s="447"/>
      <c r="W932" s="447"/>
      <c r="X932" s="447"/>
      <c r="Y932" s="447"/>
      <c r="Z932" s="447"/>
      <c r="AA932" s="447"/>
      <c r="AB932" s="1255"/>
      <c r="AC932" s="1225"/>
      <c r="AD932" s="445"/>
      <c r="AE932" s="1225"/>
      <c r="AF932" s="1328"/>
      <c r="AG932" s="1257"/>
      <c r="AH932" s="789"/>
      <c r="AI932" s="789"/>
      <c r="AJ932" s="789"/>
      <c r="AK932" s="789"/>
      <c r="AL932" s="810"/>
      <c r="AM932" s="810"/>
      <c r="AN932" s="823"/>
      <c r="AO932" s="784"/>
      <c r="AP932" s="784"/>
      <c r="AQ932" s="787"/>
      <c r="AR932" s="787"/>
      <c r="AS932" s="787"/>
      <c r="AT932" s="787"/>
      <c r="AU932" s="787"/>
      <c r="AV932" s="787"/>
      <c r="AW932" s="787"/>
      <c r="AX932" s="784"/>
      <c r="AY932" s="1214"/>
    </row>
    <row r="933" spans="1:51" ht="27.75" hidden="1" customHeight="1" thickBot="1" x14ac:dyDescent="0.3">
      <c r="A933" s="1195"/>
      <c r="B933" s="833"/>
      <c r="C933" s="810"/>
      <c r="D933" s="140" t="s">
        <v>45</v>
      </c>
      <c r="E933" s="273"/>
      <c r="F933" s="237"/>
      <c r="G933" s="458"/>
      <c r="H933" s="458"/>
      <c r="I933" s="458"/>
      <c r="J933" s="458"/>
      <c r="K933" s="458"/>
      <c r="L933" s="458"/>
      <c r="M933" s="458"/>
      <c r="N933" s="455"/>
      <c r="O933" s="458"/>
      <c r="P933" s="458"/>
      <c r="Q933" s="458"/>
      <c r="R933" s="454"/>
      <c r="S933" s="1328"/>
      <c r="T933" s="454" t="e">
        <v>#REF!</v>
      </c>
      <c r="U933" s="454"/>
      <c r="V933" s="454"/>
      <c r="W933" s="454"/>
      <c r="X933" s="454"/>
      <c r="Y933" s="454"/>
      <c r="Z933" s="454"/>
      <c r="AA933" s="455"/>
      <c r="AB933" s="1254"/>
      <c r="AC933" s="665"/>
      <c r="AD933" s="458"/>
      <c r="AE933" s="1238"/>
      <c r="AF933" s="1328"/>
      <c r="AG933" s="1257"/>
      <c r="AH933" s="790"/>
      <c r="AI933" s="790"/>
      <c r="AJ933" s="790"/>
      <c r="AK933" s="790"/>
      <c r="AL933" s="810"/>
      <c r="AM933" s="810"/>
      <c r="AN933" s="823"/>
      <c r="AO933" s="785"/>
      <c r="AP933" s="785"/>
      <c r="AQ933" s="787"/>
      <c r="AR933" s="787"/>
      <c r="AS933" s="787"/>
      <c r="AT933" s="787"/>
      <c r="AU933" s="787"/>
      <c r="AV933" s="787"/>
      <c r="AW933" s="787"/>
      <c r="AX933" s="785"/>
      <c r="AY933" s="1214"/>
    </row>
    <row r="934" spans="1:51" ht="18" hidden="1" customHeight="1" x14ac:dyDescent="0.25">
      <c r="A934" s="1195"/>
      <c r="B934" s="833"/>
      <c r="C934" s="810" t="s">
        <v>389</v>
      </c>
      <c r="D934" s="141" t="s">
        <v>41</v>
      </c>
      <c r="E934" s="271"/>
      <c r="F934" s="144"/>
      <c r="G934" s="445"/>
      <c r="H934" s="445"/>
      <c r="I934" s="445"/>
      <c r="J934" s="445"/>
      <c r="K934" s="445"/>
      <c r="L934" s="445"/>
      <c r="M934" s="445"/>
      <c r="N934" s="455"/>
      <c r="O934" s="445"/>
      <c r="P934" s="445"/>
      <c r="Q934" s="445"/>
      <c r="R934" s="447"/>
      <c r="S934" s="1328"/>
      <c r="T934" s="454" t="e">
        <v>#REF!</v>
      </c>
      <c r="U934" s="454"/>
      <c r="V934" s="454"/>
      <c r="W934" s="454"/>
      <c r="X934" s="454"/>
      <c r="Y934" s="454"/>
      <c r="Z934" s="454"/>
      <c r="AA934" s="455"/>
      <c r="AB934" s="1254"/>
      <c r="AC934" s="1225"/>
      <c r="AD934" s="445"/>
      <c r="AE934" s="1238"/>
      <c r="AF934" s="1328"/>
      <c r="AG934" s="1257" t="s">
        <v>389</v>
      </c>
      <c r="AH934" s="788" t="s">
        <v>350</v>
      </c>
      <c r="AI934" s="788" t="s">
        <v>350</v>
      </c>
      <c r="AJ934" s="788" t="s">
        <v>350</v>
      </c>
      <c r="AK934" s="788" t="s">
        <v>315</v>
      </c>
      <c r="AL934" s="810"/>
      <c r="AM934" s="810" t="s">
        <v>547</v>
      </c>
      <c r="AN934" s="823">
        <v>7715777</v>
      </c>
      <c r="AO934" s="783">
        <v>3679381.9895200301</v>
      </c>
      <c r="AP934" s="783">
        <v>4036396.0104799699</v>
      </c>
      <c r="AQ934" s="787" t="s">
        <v>317</v>
      </c>
      <c r="AR934" s="787" t="s">
        <v>317</v>
      </c>
      <c r="AS934" s="787" t="s">
        <v>317</v>
      </c>
      <c r="AT934" s="787" t="s">
        <v>317</v>
      </c>
      <c r="AU934" s="787" t="s">
        <v>317</v>
      </c>
      <c r="AV934" s="787" t="s">
        <v>317</v>
      </c>
      <c r="AW934" s="787" t="s">
        <v>317</v>
      </c>
      <c r="AX934" s="783">
        <v>7715777</v>
      </c>
      <c r="AY934" s="1214"/>
    </row>
    <row r="935" spans="1:51" ht="18" hidden="1" customHeight="1" x14ac:dyDescent="0.25">
      <c r="A935" s="1195"/>
      <c r="B935" s="833"/>
      <c r="C935" s="810"/>
      <c r="D935" s="132" t="s">
        <v>3</v>
      </c>
      <c r="E935" s="272"/>
      <c r="F935" s="227"/>
      <c r="G935" s="456"/>
      <c r="H935" s="456"/>
      <c r="I935" s="456"/>
      <c r="J935" s="456"/>
      <c r="K935" s="456"/>
      <c r="L935" s="456"/>
      <c r="M935" s="456"/>
      <c r="N935" s="1282"/>
      <c r="O935" s="456"/>
      <c r="P935" s="456"/>
      <c r="Q935" s="456"/>
      <c r="R935" s="1287"/>
      <c r="S935" s="1328"/>
      <c r="T935" s="454" t="e">
        <v>#REF!</v>
      </c>
      <c r="U935" s="457"/>
      <c r="V935" s="457"/>
      <c r="W935" s="457"/>
      <c r="X935" s="457"/>
      <c r="Y935" s="457"/>
      <c r="Z935" s="457"/>
      <c r="AA935" s="1282"/>
      <c r="AB935" s="1293"/>
      <c r="AC935" s="665"/>
      <c r="AD935" s="456"/>
      <c r="AE935" s="1226"/>
      <c r="AF935" s="1328"/>
      <c r="AG935" s="1257"/>
      <c r="AH935" s="789"/>
      <c r="AI935" s="789"/>
      <c r="AJ935" s="789"/>
      <c r="AK935" s="789"/>
      <c r="AL935" s="810"/>
      <c r="AM935" s="810"/>
      <c r="AN935" s="823"/>
      <c r="AO935" s="784"/>
      <c r="AP935" s="784"/>
      <c r="AQ935" s="787"/>
      <c r="AR935" s="787"/>
      <c r="AS935" s="787"/>
      <c r="AT935" s="787"/>
      <c r="AU935" s="787"/>
      <c r="AV935" s="787"/>
      <c r="AW935" s="787"/>
      <c r="AX935" s="784"/>
      <c r="AY935" s="1214"/>
    </row>
    <row r="936" spans="1:51" ht="27" hidden="1" customHeight="1" x14ac:dyDescent="0.25">
      <c r="A936" s="1195"/>
      <c r="B936" s="833"/>
      <c r="C936" s="810"/>
      <c r="D936" s="136" t="s">
        <v>42</v>
      </c>
      <c r="E936" s="272"/>
      <c r="F936" s="227"/>
      <c r="G936" s="456"/>
      <c r="H936" s="456"/>
      <c r="I936" s="456"/>
      <c r="J936" s="456"/>
      <c r="K936" s="456"/>
      <c r="L936" s="456"/>
      <c r="M936" s="456"/>
      <c r="N936" s="1282"/>
      <c r="O936" s="456"/>
      <c r="P936" s="456"/>
      <c r="Q936" s="456"/>
      <c r="R936" s="1287"/>
      <c r="S936" s="1328"/>
      <c r="T936" s="454" t="e">
        <v>#REF!</v>
      </c>
      <c r="U936" s="457"/>
      <c r="V936" s="457"/>
      <c r="W936" s="457"/>
      <c r="X936" s="457"/>
      <c r="Y936" s="457"/>
      <c r="Z936" s="457"/>
      <c r="AA936" s="1282"/>
      <c r="AB936" s="1293"/>
      <c r="AC936" s="665"/>
      <c r="AD936" s="456"/>
      <c r="AE936" s="1226"/>
      <c r="AF936" s="1328"/>
      <c r="AG936" s="1257"/>
      <c r="AH936" s="789"/>
      <c r="AI936" s="789"/>
      <c r="AJ936" s="789"/>
      <c r="AK936" s="789"/>
      <c r="AL936" s="810"/>
      <c r="AM936" s="810"/>
      <c r="AN936" s="823"/>
      <c r="AO936" s="784"/>
      <c r="AP936" s="784"/>
      <c r="AQ936" s="787"/>
      <c r="AR936" s="787"/>
      <c r="AS936" s="787"/>
      <c r="AT936" s="787"/>
      <c r="AU936" s="787"/>
      <c r="AV936" s="787"/>
      <c r="AW936" s="787"/>
      <c r="AX936" s="784"/>
      <c r="AY936" s="1214"/>
    </row>
    <row r="937" spans="1:51" ht="27" hidden="1" customHeight="1" x14ac:dyDescent="0.25">
      <c r="A937" s="1195"/>
      <c r="B937" s="833"/>
      <c r="C937" s="810"/>
      <c r="D937" s="132" t="s">
        <v>4</v>
      </c>
      <c r="E937" s="272"/>
      <c r="F937" s="227"/>
      <c r="G937" s="456"/>
      <c r="H937" s="456"/>
      <c r="I937" s="456"/>
      <c r="J937" s="456"/>
      <c r="K937" s="456"/>
      <c r="L937" s="456"/>
      <c r="M937" s="456"/>
      <c r="N937" s="1282"/>
      <c r="O937" s="456"/>
      <c r="P937" s="456"/>
      <c r="Q937" s="456"/>
      <c r="R937" s="1287"/>
      <c r="S937" s="1328"/>
      <c r="T937" s="454" t="e">
        <v>#REF!</v>
      </c>
      <c r="U937" s="457"/>
      <c r="V937" s="457"/>
      <c r="W937" s="457"/>
      <c r="X937" s="457"/>
      <c r="Y937" s="457"/>
      <c r="Z937" s="457"/>
      <c r="AA937" s="1282"/>
      <c r="AB937" s="1293"/>
      <c r="AC937" s="665"/>
      <c r="AD937" s="456"/>
      <c r="AE937" s="1226"/>
      <c r="AF937" s="1328"/>
      <c r="AG937" s="1257"/>
      <c r="AH937" s="789"/>
      <c r="AI937" s="789"/>
      <c r="AJ937" s="789"/>
      <c r="AK937" s="789"/>
      <c r="AL937" s="810"/>
      <c r="AM937" s="810"/>
      <c r="AN937" s="823"/>
      <c r="AO937" s="784"/>
      <c r="AP937" s="784"/>
      <c r="AQ937" s="787"/>
      <c r="AR937" s="787"/>
      <c r="AS937" s="787"/>
      <c r="AT937" s="787"/>
      <c r="AU937" s="787"/>
      <c r="AV937" s="787"/>
      <c r="AW937" s="787"/>
      <c r="AX937" s="784"/>
      <c r="AY937" s="1214"/>
    </row>
    <row r="938" spans="1:51" ht="27" hidden="1" customHeight="1" x14ac:dyDescent="0.25">
      <c r="A938" s="1195"/>
      <c r="B938" s="833"/>
      <c r="C938" s="810"/>
      <c r="D938" s="136" t="s">
        <v>43</v>
      </c>
      <c r="E938" s="271"/>
      <c r="F938" s="144"/>
      <c r="G938" s="445"/>
      <c r="H938" s="445"/>
      <c r="I938" s="445"/>
      <c r="J938" s="445"/>
      <c r="K938" s="445"/>
      <c r="L938" s="445"/>
      <c r="M938" s="445"/>
      <c r="N938" s="447"/>
      <c r="O938" s="445"/>
      <c r="P938" s="445"/>
      <c r="Q938" s="445"/>
      <c r="R938" s="447"/>
      <c r="S938" s="1328"/>
      <c r="T938" s="454" t="e">
        <v>#REF!</v>
      </c>
      <c r="U938" s="447"/>
      <c r="V938" s="447"/>
      <c r="W938" s="447"/>
      <c r="X938" s="447"/>
      <c r="Y938" s="447"/>
      <c r="Z938" s="447"/>
      <c r="AA938" s="447"/>
      <c r="AB938" s="1255"/>
      <c r="AC938" s="1225"/>
      <c r="AD938" s="445"/>
      <c r="AE938" s="1225"/>
      <c r="AF938" s="1328"/>
      <c r="AG938" s="1257"/>
      <c r="AH938" s="789"/>
      <c r="AI938" s="789"/>
      <c r="AJ938" s="789"/>
      <c r="AK938" s="789"/>
      <c r="AL938" s="810"/>
      <c r="AM938" s="810"/>
      <c r="AN938" s="823"/>
      <c r="AO938" s="784"/>
      <c r="AP938" s="784"/>
      <c r="AQ938" s="787"/>
      <c r="AR938" s="787"/>
      <c r="AS938" s="787"/>
      <c r="AT938" s="787"/>
      <c r="AU938" s="787"/>
      <c r="AV938" s="787"/>
      <c r="AW938" s="787"/>
      <c r="AX938" s="784"/>
      <c r="AY938" s="1214"/>
    </row>
    <row r="939" spans="1:51" ht="27.75" hidden="1" customHeight="1" thickBot="1" x14ac:dyDescent="0.3">
      <c r="A939" s="1195"/>
      <c r="B939" s="833"/>
      <c r="C939" s="810"/>
      <c r="D939" s="140" t="s">
        <v>45</v>
      </c>
      <c r="E939" s="273"/>
      <c r="F939" s="237"/>
      <c r="G939" s="458"/>
      <c r="H939" s="458"/>
      <c r="I939" s="458"/>
      <c r="J939" s="458"/>
      <c r="K939" s="458"/>
      <c r="L939" s="458"/>
      <c r="M939" s="458"/>
      <c r="N939" s="455"/>
      <c r="O939" s="458"/>
      <c r="P939" s="458"/>
      <c r="Q939" s="458"/>
      <c r="R939" s="454"/>
      <c r="S939" s="1328"/>
      <c r="T939" s="454" t="e">
        <v>#REF!</v>
      </c>
      <c r="U939" s="454"/>
      <c r="V939" s="454"/>
      <c r="W939" s="454"/>
      <c r="X939" s="454"/>
      <c r="Y939" s="454"/>
      <c r="Z939" s="454"/>
      <c r="AA939" s="455"/>
      <c r="AB939" s="1254"/>
      <c r="AC939" s="665"/>
      <c r="AD939" s="458"/>
      <c r="AE939" s="1238"/>
      <c r="AF939" s="1328"/>
      <c r="AG939" s="1257"/>
      <c r="AH939" s="790"/>
      <c r="AI939" s="790"/>
      <c r="AJ939" s="790"/>
      <c r="AK939" s="790"/>
      <c r="AL939" s="810"/>
      <c r="AM939" s="810"/>
      <c r="AN939" s="823"/>
      <c r="AO939" s="785"/>
      <c r="AP939" s="785"/>
      <c r="AQ939" s="787"/>
      <c r="AR939" s="787"/>
      <c r="AS939" s="787"/>
      <c r="AT939" s="787"/>
      <c r="AU939" s="787"/>
      <c r="AV939" s="787"/>
      <c r="AW939" s="787"/>
      <c r="AX939" s="785"/>
      <c r="AY939" s="1214"/>
    </row>
    <row r="940" spans="1:51" ht="18" hidden="1" customHeight="1" x14ac:dyDescent="0.25">
      <c r="A940" s="1195"/>
      <c r="B940" s="833"/>
      <c r="C940" s="810" t="s">
        <v>373</v>
      </c>
      <c r="D940" s="141" t="s">
        <v>41</v>
      </c>
      <c r="E940" s="271"/>
      <c r="F940" s="144"/>
      <c r="G940" s="445"/>
      <c r="H940" s="445"/>
      <c r="I940" s="445"/>
      <c r="J940" s="445"/>
      <c r="K940" s="445"/>
      <c r="L940" s="445"/>
      <c r="M940" s="445"/>
      <c r="N940" s="455"/>
      <c r="O940" s="445"/>
      <c r="P940" s="445"/>
      <c r="Q940" s="445"/>
      <c r="R940" s="447"/>
      <c r="S940" s="1328"/>
      <c r="T940" s="454" t="e">
        <v>#REF!</v>
      </c>
      <c r="U940" s="454"/>
      <c r="V940" s="454"/>
      <c r="W940" s="454"/>
      <c r="X940" s="454"/>
      <c r="Y940" s="454"/>
      <c r="Z940" s="454"/>
      <c r="AA940" s="455"/>
      <c r="AB940" s="1254"/>
      <c r="AC940" s="1225"/>
      <c r="AD940" s="445"/>
      <c r="AE940" s="1238"/>
      <c r="AF940" s="1328"/>
      <c r="AG940" s="1257" t="s">
        <v>373</v>
      </c>
      <c r="AH940" s="788" t="s">
        <v>350</v>
      </c>
      <c r="AI940" s="788" t="s">
        <v>350</v>
      </c>
      <c r="AJ940" s="788" t="s">
        <v>350</v>
      </c>
      <c r="AK940" s="788" t="s">
        <v>315</v>
      </c>
      <c r="AL940" s="810"/>
      <c r="AM940" s="810" t="s">
        <v>547</v>
      </c>
      <c r="AN940" s="823">
        <v>7715777</v>
      </c>
      <c r="AO940" s="783">
        <v>3679381.9895200301</v>
      </c>
      <c r="AP940" s="783">
        <v>4036396.0104799699</v>
      </c>
      <c r="AQ940" s="787" t="s">
        <v>317</v>
      </c>
      <c r="AR940" s="787" t="s">
        <v>317</v>
      </c>
      <c r="AS940" s="787" t="s">
        <v>317</v>
      </c>
      <c r="AT940" s="787" t="s">
        <v>317</v>
      </c>
      <c r="AU940" s="787" t="s">
        <v>317</v>
      </c>
      <c r="AV940" s="787" t="s">
        <v>317</v>
      </c>
      <c r="AW940" s="787" t="s">
        <v>317</v>
      </c>
      <c r="AX940" s="783">
        <v>7715777</v>
      </c>
      <c r="AY940" s="1214"/>
    </row>
    <row r="941" spans="1:51" ht="18" hidden="1" customHeight="1" x14ac:dyDescent="0.25">
      <c r="A941" s="1195"/>
      <c r="B941" s="833"/>
      <c r="C941" s="810"/>
      <c r="D941" s="132" t="s">
        <v>3</v>
      </c>
      <c r="E941" s="272"/>
      <c r="F941" s="227"/>
      <c r="G941" s="456"/>
      <c r="H941" s="456"/>
      <c r="I941" s="456"/>
      <c r="J941" s="456"/>
      <c r="K941" s="456"/>
      <c r="L941" s="456"/>
      <c r="M941" s="456"/>
      <c r="N941" s="1282"/>
      <c r="O941" s="456"/>
      <c r="P941" s="456"/>
      <c r="Q941" s="456"/>
      <c r="R941" s="1287"/>
      <c r="S941" s="1328"/>
      <c r="T941" s="454" t="e">
        <v>#REF!</v>
      </c>
      <c r="U941" s="457"/>
      <c r="V941" s="457"/>
      <c r="W941" s="457"/>
      <c r="X941" s="457"/>
      <c r="Y941" s="457"/>
      <c r="Z941" s="457"/>
      <c r="AA941" s="1282"/>
      <c r="AB941" s="1293"/>
      <c r="AC941" s="665"/>
      <c r="AD941" s="456"/>
      <c r="AE941" s="1226"/>
      <c r="AF941" s="1328"/>
      <c r="AG941" s="1257"/>
      <c r="AH941" s="789"/>
      <c r="AI941" s="789"/>
      <c r="AJ941" s="789"/>
      <c r="AK941" s="789"/>
      <c r="AL941" s="810"/>
      <c r="AM941" s="810"/>
      <c r="AN941" s="823"/>
      <c r="AO941" s="784"/>
      <c r="AP941" s="784"/>
      <c r="AQ941" s="787"/>
      <c r="AR941" s="787"/>
      <c r="AS941" s="787"/>
      <c r="AT941" s="787"/>
      <c r="AU941" s="787"/>
      <c r="AV941" s="787"/>
      <c r="AW941" s="787"/>
      <c r="AX941" s="784"/>
      <c r="AY941" s="1214"/>
    </row>
    <row r="942" spans="1:51" ht="27" hidden="1" customHeight="1" x14ac:dyDescent="0.25">
      <c r="A942" s="1195"/>
      <c r="B942" s="833"/>
      <c r="C942" s="810"/>
      <c r="D942" s="136" t="s">
        <v>42</v>
      </c>
      <c r="E942" s="272"/>
      <c r="F942" s="227"/>
      <c r="G942" s="456"/>
      <c r="H942" s="456"/>
      <c r="I942" s="456"/>
      <c r="J942" s="456"/>
      <c r="K942" s="456"/>
      <c r="L942" s="456"/>
      <c r="M942" s="456"/>
      <c r="N942" s="1282"/>
      <c r="O942" s="456"/>
      <c r="P942" s="456"/>
      <c r="Q942" s="456"/>
      <c r="R942" s="1287"/>
      <c r="S942" s="1328"/>
      <c r="T942" s="454" t="e">
        <v>#REF!</v>
      </c>
      <c r="U942" s="457"/>
      <c r="V942" s="457"/>
      <c r="W942" s="457"/>
      <c r="X942" s="457"/>
      <c r="Y942" s="457"/>
      <c r="Z942" s="457"/>
      <c r="AA942" s="1282"/>
      <c r="AB942" s="1293"/>
      <c r="AC942" s="665"/>
      <c r="AD942" s="456"/>
      <c r="AE942" s="1226"/>
      <c r="AF942" s="1328"/>
      <c r="AG942" s="1257"/>
      <c r="AH942" s="789"/>
      <c r="AI942" s="789"/>
      <c r="AJ942" s="789"/>
      <c r="AK942" s="789"/>
      <c r="AL942" s="810"/>
      <c r="AM942" s="810"/>
      <c r="AN942" s="823"/>
      <c r="AO942" s="784"/>
      <c r="AP942" s="784"/>
      <c r="AQ942" s="787"/>
      <c r="AR942" s="787"/>
      <c r="AS942" s="787"/>
      <c r="AT942" s="787"/>
      <c r="AU942" s="787"/>
      <c r="AV942" s="787"/>
      <c r="AW942" s="787"/>
      <c r="AX942" s="784"/>
      <c r="AY942" s="1214"/>
    </row>
    <row r="943" spans="1:51" ht="27" hidden="1" customHeight="1" x14ac:dyDescent="0.25">
      <c r="A943" s="1195"/>
      <c r="B943" s="833"/>
      <c r="C943" s="810"/>
      <c r="D943" s="132" t="s">
        <v>4</v>
      </c>
      <c r="E943" s="272"/>
      <c r="F943" s="227"/>
      <c r="G943" s="456"/>
      <c r="H943" s="456"/>
      <c r="I943" s="456"/>
      <c r="J943" s="456"/>
      <c r="K943" s="456"/>
      <c r="L943" s="456"/>
      <c r="M943" s="456"/>
      <c r="N943" s="1282"/>
      <c r="O943" s="456"/>
      <c r="P943" s="456"/>
      <c r="Q943" s="456"/>
      <c r="R943" s="1287"/>
      <c r="S943" s="1328"/>
      <c r="T943" s="454" t="e">
        <v>#REF!</v>
      </c>
      <c r="U943" s="457"/>
      <c r="V943" s="457"/>
      <c r="W943" s="457"/>
      <c r="X943" s="457"/>
      <c r="Y943" s="457"/>
      <c r="Z943" s="457"/>
      <c r="AA943" s="1282"/>
      <c r="AB943" s="1293"/>
      <c r="AC943" s="665"/>
      <c r="AD943" s="456"/>
      <c r="AE943" s="1226"/>
      <c r="AF943" s="1328"/>
      <c r="AG943" s="1257"/>
      <c r="AH943" s="789"/>
      <c r="AI943" s="789"/>
      <c r="AJ943" s="789"/>
      <c r="AK943" s="789"/>
      <c r="AL943" s="810"/>
      <c r="AM943" s="810"/>
      <c r="AN943" s="823"/>
      <c r="AO943" s="784"/>
      <c r="AP943" s="784"/>
      <c r="AQ943" s="787"/>
      <c r="AR943" s="787"/>
      <c r="AS943" s="787"/>
      <c r="AT943" s="787"/>
      <c r="AU943" s="787"/>
      <c r="AV943" s="787"/>
      <c r="AW943" s="787"/>
      <c r="AX943" s="784"/>
      <c r="AY943" s="1214"/>
    </row>
    <row r="944" spans="1:51" ht="27" hidden="1" customHeight="1" x14ac:dyDescent="0.25">
      <c r="A944" s="1195"/>
      <c r="B944" s="833"/>
      <c r="C944" s="810"/>
      <c r="D944" s="136" t="s">
        <v>43</v>
      </c>
      <c r="E944" s="271"/>
      <c r="F944" s="144"/>
      <c r="G944" s="445"/>
      <c r="H944" s="445"/>
      <c r="I944" s="445"/>
      <c r="J944" s="445"/>
      <c r="K944" s="445"/>
      <c r="L944" s="445"/>
      <c r="M944" s="445"/>
      <c r="N944" s="447"/>
      <c r="O944" s="445"/>
      <c r="P944" s="445"/>
      <c r="Q944" s="445"/>
      <c r="R944" s="447"/>
      <c r="S944" s="1328"/>
      <c r="T944" s="454" t="e">
        <v>#REF!</v>
      </c>
      <c r="U944" s="447"/>
      <c r="V944" s="447"/>
      <c r="W944" s="447"/>
      <c r="X944" s="447"/>
      <c r="Y944" s="447"/>
      <c r="Z944" s="447"/>
      <c r="AA944" s="447"/>
      <c r="AB944" s="1255"/>
      <c r="AC944" s="1225"/>
      <c r="AD944" s="445"/>
      <c r="AE944" s="1225"/>
      <c r="AF944" s="1328"/>
      <c r="AG944" s="1257"/>
      <c r="AH944" s="789"/>
      <c r="AI944" s="789"/>
      <c r="AJ944" s="789"/>
      <c r="AK944" s="789"/>
      <c r="AL944" s="810"/>
      <c r="AM944" s="810"/>
      <c r="AN944" s="823"/>
      <c r="AO944" s="784"/>
      <c r="AP944" s="784"/>
      <c r="AQ944" s="787"/>
      <c r="AR944" s="787"/>
      <c r="AS944" s="787"/>
      <c r="AT944" s="787"/>
      <c r="AU944" s="787"/>
      <c r="AV944" s="787"/>
      <c r="AW944" s="787"/>
      <c r="AX944" s="784"/>
      <c r="AY944" s="1214"/>
    </row>
    <row r="945" spans="1:51" ht="27.75" hidden="1" customHeight="1" thickBot="1" x14ac:dyDescent="0.3">
      <c r="A945" s="1195"/>
      <c r="B945" s="833"/>
      <c r="C945" s="810"/>
      <c r="D945" s="140" t="s">
        <v>45</v>
      </c>
      <c r="E945" s="273"/>
      <c r="F945" s="237"/>
      <c r="G945" s="458"/>
      <c r="H945" s="458"/>
      <c r="I945" s="458"/>
      <c r="J945" s="458"/>
      <c r="K945" s="458"/>
      <c r="L945" s="458"/>
      <c r="M945" s="458"/>
      <c r="N945" s="455"/>
      <c r="O945" s="458"/>
      <c r="P945" s="458"/>
      <c r="Q945" s="458"/>
      <c r="R945" s="454"/>
      <c r="S945" s="1328"/>
      <c r="T945" s="454" t="e">
        <v>#REF!</v>
      </c>
      <c r="U945" s="454"/>
      <c r="V945" s="454"/>
      <c r="W945" s="454"/>
      <c r="X945" s="454"/>
      <c r="Y945" s="454"/>
      <c r="Z945" s="454"/>
      <c r="AA945" s="455"/>
      <c r="AB945" s="1254"/>
      <c r="AC945" s="665"/>
      <c r="AD945" s="458"/>
      <c r="AE945" s="1238"/>
      <c r="AF945" s="1328"/>
      <c r="AG945" s="1257"/>
      <c r="AH945" s="790"/>
      <c r="AI945" s="790"/>
      <c r="AJ945" s="790"/>
      <c r="AK945" s="790"/>
      <c r="AL945" s="810"/>
      <c r="AM945" s="810"/>
      <c r="AN945" s="823"/>
      <c r="AO945" s="785"/>
      <c r="AP945" s="785"/>
      <c r="AQ945" s="787"/>
      <c r="AR945" s="787"/>
      <c r="AS945" s="787"/>
      <c r="AT945" s="787"/>
      <c r="AU945" s="787"/>
      <c r="AV945" s="787"/>
      <c r="AW945" s="787"/>
      <c r="AX945" s="785"/>
      <c r="AY945" s="1214"/>
    </row>
    <row r="946" spans="1:51" ht="18" hidden="1" customHeight="1" x14ac:dyDescent="0.25">
      <c r="A946" s="1195"/>
      <c r="B946" s="833"/>
      <c r="C946" s="810" t="s">
        <v>585</v>
      </c>
      <c r="D946" s="141" t="s">
        <v>41</v>
      </c>
      <c r="E946" s="271"/>
      <c r="F946" s="144"/>
      <c r="G946" s="445"/>
      <c r="H946" s="445"/>
      <c r="I946" s="445"/>
      <c r="J946" s="445"/>
      <c r="K946" s="445"/>
      <c r="L946" s="445"/>
      <c r="M946" s="445"/>
      <c r="N946" s="455"/>
      <c r="O946" s="445"/>
      <c r="P946" s="445"/>
      <c r="Q946" s="445"/>
      <c r="R946" s="447"/>
      <c r="S946" s="1328"/>
      <c r="T946" s="454" t="e">
        <v>#REF!</v>
      </c>
      <c r="U946" s="454"/>
      <c r="V946" s="454"/>
      <c r="W946" s="454"/>
      <c r="X946" s="454"/>
      <c r="Y946" s="454"/>
      <c r="Z946" s="454"/>
      <c r="AA946" s="455"/>
      <c r="AB946" s="1254"/>
      <c r="AC946" s="1225"/>
      <c r="AD946" s="445"/>
      <c r="AE946" s="1238"/>
      <c r="AF946" s="1328"/>
      <c r="AG946" s="1257" t="s">
        <v>585</v>
      </c>
      <c r="AH946" s="788" t="s">
        <v>350</v>
      </c>
      <c r="AI946" s="788" t="s">
        <v>350</v>
      </c>
      <c r="AJ946" s="788" t="s">
        <v>350</v>
      </c>
      <c r="AK946" s="788" t="s">
        <v>315</v>
      </c>
      <c r="AL946" s="810"/>
      <c r="AM946" s="810" t="s">
        <v>547</v>
      </c>
      <c r="AN946" s="823">
        <v>7715777</v>
      </c>
      <c r="AO946" s="783">
        <v>3679381.9895200301</v>
      </c>
      <c r="AP946" s="783">
        <v>4036396.0104799699</v>
      </c>
      <c r="AQ946" s="787" t="s">
        <v>317</v>
      </c>
      <c r="AR946" s="787" t="s">
        <v>317</v>
      </c>
      <c r="AS946" s="787" t="s">
        <v>317</v>
      </c>
      <c r="AT946" s="787" t="s">
        <v>317</v>
      </c>
      <c r="AU946" s="787" t="s">
        <v>317</v>
      </c>
      <c r="AV946" s="787" t="s">
        <v>317</v>
      </c>
      <c r="AW946" s="787" t="s">
        <v>317</v>
      </c>
      <c r="AX946" s="783">
        <v>7715777</v>
      </c>
      <c r="AY946" s="1214"/>
    </row>
    <row r="947" spans="1:51" ht="18" hidden="1" customHeight="1" x14ac:dyDescent="0.25">
      <c r="A947" s="1195"/>
      <c r="B947" s="833"/>
      <c r="C947" s="810"/>
      <c r="D947" s="132" t="s">
        <v>3</v>
      </c>
      <c r="E947" s="272"/>
      <c r="F947" s="227"/>
      <c r="G947" s="456"/>
      <c r="H947" s="456"/>
      <c r="I947" s="456"/>
      <c r="J947" s="456"/>
      <c r="K947" s="456"/>
      <c r="L947" s="456"/>
      <c r="M947" s="456"/>
      <c r="N947" s="1282"/>
      <c r="O947" s="456"/>
      <c r="P947" s="456"/>
      <c r="Q947" s="456"/>
      <c r="R947" s="1287"/>
      <c r="S947" s="1328"/>
      <c r="T947" s="454" t="e">
        <v>#REF!</v>
      </c>
      <c r="U947" s="457"/>
      <c r="V947" s="457"/>
      <c r="W947" s="457"/>
      <c r="X947" s="457"/>
      <c r="Y947" s="457"/>
      <c r="Z947" s="457"/>
      <c r="AA947" s="1282"/>
      <c r="AB947" s="1293"/>
      <c r="AC947" s="665"/>
      <c r="AD947" s="456"/>
      <c r="AE947" s="1226"/>
      <c r="AF947" s="1328"/>
      <c r="AG947" s="1257"/>
      <c r="AH947" s="789"/>
      <c r="AI947" s="789"/>
      <c r="AJ947" s="789"/>
      <c r="AK947" s="789"/>
      <c r="AL947" s="810"/>
      <c r="AM947" s="810"/>
      <c r="AN947" s="823"/>
      <c r="AO947" s="784"/>
      <c r="AP947" s="784"/>
      <c r="AQ947" s="787"/>
      <c r="AR947" s="787"/>
      <c r="AS947" s="787"/>
      <c r="AT947" s="787"/>
      <c r="AU947" s="787"/>
      <c r="AV947" s="787"/>
      <c r="AW947" s="787"/>
      <c r="AX947" s="784"/>
      <c r="AY947" s="1214"/>
    </row>
    <row r="948" spans="1:51" ht="27" hidden="1" customHeight="1" x14ac:dyDescent="0.25">
      <c r="A948" s="1195"/>
      <c r="B948" s="833"/>
      <c r="C948" s="810"/>
      <c r="D948" s="136" t="s">
        <v>42</v>
      </c>
      <c r="E948" s="272"/>
      <c r="F948" s="227"/>
      <c r="G948" s="456"/>
      <c r="H948" s="456"/>
      <c r="I948" s="456"/>
      <c r="J948" s="456"/>
      <c r="K948" s="456"/>
      <c r="L948" s="456"/>
      <c r="M948" s="456"/>
      <c r="N948" s="1282"/>
      <c r="O948" s="456"/>
      <c r="P948" s="456"/>
      <c r="Q948" s="456"/>
      <c r="R948" s="1287"/>
      <c r="S948" s="1328"/>
      <c r="T948" s="454" t="e">
        <v>#REF!</v>
      </c>
      <c r="U948" s="457"/>
      <c r="V948" s="457"/>
      <c r="W948" s="457"/>
      <c r="X948" s="457"/>
      <c r="Y948" s="457"/>
      <c r="Z948" s="457"/>
      <c r="AA948" s="1282"/>
      <c r="AB948" s="1293"/>
      <c r="AC948" s="665"/>
      <c r="AD948" s="456"/>
      <c r="AE948" s="1226"/>
      <c r="AF948" s="1328"/>
      <c r="AG948" s="1257"/>
      <c r="AH948" s="789"/>
      <c r="AI948" s="789"/>
      <c r="AJ948" s="789"/>
      <c r="AK948" s="789"/>
      <c r="AL948" s="810"/>
      <c r="AM948" s="810"/>
      <c r="AN948" s="823"/>
      <c r="AO948" s="784"/>
      <c r="AP948" s="784"/>
      <c r="AQ948" s="787"/>
      <c r="AR948" s="787"/>
      <c r="AS948" s="787"/>
      <c r="AT948" s="787"/>
      <c r="AU948" s="787"/>
      <c r="AV948" s="787"/>
      <c r="AW948" s="787"/>
      <c r="AX948" s="784"/>
      <c r="AY948" s="1214"/>
    </row>
    <row r="949" spans="1:51" ht="27" hidden="1" customHeight="1" x14ac:dyDescent="0.25">
      <c r="A949" s="1195"/>
      <c r="B949" s="833"/>
      <c r="C949" s="810"/>
      <c r="D949" s="132" t="s">
        <v>4</v>
      </c>
      <c r="E949" s="272"/>
      <c r="F949" s="227"/>
      <c r="G949" s="456"/>
      <c r="H949" s="456"/>
      <c r="I949" s="456"/>
      <c r="J949" s="456"/>
      <c r="K949" s="456"/>
      <c r="L949" s="456"/>
      <c r="M949" s="456"/>
      <c r="N949" s="1282"/>
      <c r="O949" s="456"/>
      <c r="P949" s="456"/>
      <c r="Q949" s="456"/>
      <c r="R949" s="1287"/>
      <c r="S949" s="1328"/>
      <c r="T949" s="454" t="e">
        <v>#REF!</v>
      </c>
      <c r="U949" s="457"/>
      <c r="V949" s="457"/>
      <c r="W949" s="457"/>
      <c r="X949" s="457"/>
      <c r="Y949" s="457"/>
      <c r="Z949" s="457"/>
      <c r="AA949" s="1282"/>
      <c r="AB949" s="1293"/>
      <c r="AC949" s="665"/>
      <c r="AD949" s="456"/>
      <c r="AE949" s="1226"/>
      <c r="AF949" s="1328"/>
      <c r="AG949" s="1257"/>
      <c r="AH949" s="789"/>
      <c r="AI949" s="789"/>
      <c r="AJ949" s="789"/>
      <c r="AK949" s="789"/>
      <c r="AL949" s="810"/>
      <c r="AM949" s="810"/>
      <c r="AN949" s="823"/>
      <c r="AO949" s="784"/>
      <c r="AP949" s="784"/>
      <c r="AQ949" s="787"/>
      <c r="AR949" s="787"/>
      <c r="AS949" s="787"/>
      <c r="AT949" s="787"/>
      <c r="AU949" s="787"/>
      <c r="AV949" s="787"/>
      <c r="AW949" s="787"/>
      <c r="AX949" s="784"/>
      <c r="AY949" s="1214"/>
    </row>
    <row r="950" spans="1:51" ht="27" hidden="1" customHeight="1" x14ac:dyDescent="0.25">
      <c r="A950" s="1195"/>
      <c r="B950" s="833"/>
      <c r="C950" s="810"/>
      <c r="D950" s="136" t="s">
        <v>43</v>
      </c>
      <c r="E950" s="271"/>
      <c r="F950" s="144"/>
      <c r="G950" s="445"/>
      <c r="H950" s="445"/>
      <c r="I950" s="445"/>
      <c r="J950" s="445"/>
      <c r="K950" s="445"/>
      <c r="L950" s="445"/>
      <c r="M950" s="445"/>
      <c r="N950" s="447"/>
      <c r="O950" s="445"/>
      <c r="P950" s="445"/>
      <c r="Q950" s="445"/>
      <c r="R950" s="447"/>
      <c r="S950" s="1328"/>
      <c r="T950" s="454" t="e">
        <v>#REF!</v>
      </c>
      <c r="U950" s="447"/>
      <c r="V950" s="447"/>
      <c r="W950" s="447"/>
      <c r="X950" s="447"/>
      <c r="Y950" s="447"/>
      <c r="Z950" s="447"/>
      <c r="AA950" s="447"/>
      <c r="AB950" s="1255"/>
      <c r="AC950" s="1225"/>
      <c r="AD950" s="445"/>
      <c r="AE950" s="1225"/>
      <c r="AF950" s="1328"/>
      <c r="AG950" s="1257"/>
      <c r="AH950" s="789"/>
      <c r="AI950" s="789"/>
      <c r="AJ950" s="789"/>
      <c r="AK950" s="789"/>
      <c r="AL950" s="810"/>
      <c r="AM950" s="810"/>
      <c r="AN950" s="823"/>
      <c r="AO950" s="784"/>
      <c r="AP950" s="784"/>
      <c r="AQ950" s="787"/>
      <c r="AR950" s="787"/>
      <c r="AS950" s="787"/>
      <c r="AT950" s="787"/>
      <c r="AU950" s="787"/>
      <c r="AV950" s="787"/>
      <c r="AW950" s="787"/>
      <c r="AX950" s="784"/>
      <c r="AY950" s="1214"/>
    </row>
    <row r="951" spans="1:51" ht="27.75" hidden="1" customHeight="1" thickBot="1" x14ac:dyDescent="0.3">
      <c r="A951" s="1195"/>
      <c r="B951" s="833"/>
      <c r="C951" s="810"/>
      <c r="D951" s="140" t="s">
        <v>45</v>
      </c>
      <c r="E951" s="273"/>
      <c r="F951" s="237"/>
      <c r="G951" s="458"/>
      <c r="H951" s="458"/>
      <c r="I951" s="458"/>
      <c r="J951" s="458"/>
      <c r="K951" s="458"/>
      <c r="L951" s="458"/>
      <c r="M951" s="458"/>
      <c r="N951" s="455"/>
      <c r="O951" s="458"/>
      <c r="P951" s="458"/>
      <c r="Q951" s="458"/>
      <c r="R951" s="454"/>
      <c r="S951" s="1328"/>
      <c r="T951" s="454" t="e">
        <v>#REF!</v>
      </c>
      <c r="U951" s="454"/>
      <c r="V951" s="454"/>
      <c r="W951" s="454"/>
      <c r="X951" s="454"/>
      <c r="Y951" s="454"/>
      <c r="Z951" s="454"/>
      <c r="AA951" s="455"/>
      <c r="AB951" s="1254"/>
      <c r="AC951" s="665"/>
      <c r="AD951" s="458"/>
      <c r="AE951" s="1238"/>
      <c r="AF951" s="1328"/>
      <c r="AG951" s="1257"/>
      <c r="AH951" s="790"/>
      <c r="AI951" s="790"/>
      <c r="AJ951" s="790"/>
      <c r="AK951" s="790"/>
      <c r="AL951" s="810"/>
      <c r="AM951" s="810"/>
      <c r="AN951" s="823"/>
      <c r="AO951" s="785"/>
      <c r="AP951" s="785"/>
      <c r="AQ951" s="787"/>
      <c r="AR951" s="787"/>
      <c r="AS951" s="787"/>
      <c r="AT951" s="787"/>
      <c r="AU951" s="787"/>
      <c r="AV951" s="787"/>
      <c r="AW951" s="787"/>
      <c r="AX951" s="785"/>
      <c r="AY951" s="1214"/>
    </row>
    <row r="952" spans="1:51" ht="18" customHeight="1" x14ac:dyDescent="0.25">
      <c r="A952" s="1195"/>
      <c r="B952" s="833"/>
      <c r="C952" s="809" t="s">
        <v>409</v>
      </c>
      <c r="D952" s="141" t="s">
        <v>41</v>
      </c>
      <c r="E952" s="271"/>
      <c r="F952" s="144"/>
      <c r="G952" s="445"/>
      <c r="H952" s="445"/>
      <c r="I952" s="445"/>
      <c r="J952" s="445"/>
      <c r="K952" s="445"/>
      <c r="L952" s="445"/>
      <c r="M952" s="445">
        <v>0.7</v>
      </c>
      <c r="N952" s="448">
        <v>0.7</v>
      </c>
      <c r="O952" s="445">
        <v>0.7</v>
      </c>
      <c r="P952" s="445">
        <v>0.7</v>
      </c>
      <c r="Q952" s="447">
        <v>0.7</v>
      </c>
      <c r="R952" s="447">
        <v>0.7</v>
      </c>
      <c r="S952" s="1329" t="s">
        <v>1200</v>
      </c>
      <c r="T952" s="454" t="e">
        <v>#REF!</v>
      </c>
      <c r="U952" s="446"/>
      <c r="V952" s="446"/>
      <c r="W952" s="446"/>
      <c r="X952" s="446"/>
      <c r="Y952" s="446"/>
      <c r="Z952" s="459">
        <v>0.7</v>
      </c>
      <c r="AA952" s="448">
        <v>0.7</v>
      </c>
      <c r="AB952" s="1224">
        <v>0.7</v>
      </c>
      <c r="AC952" s="1225">
        <v>0.7</v>
      </c>
      <c r="AD952" s="445">
        <v>0.7</v>
      </c>
      <c r="AE952" s="446">
        <v>0.7</v>
      </c>
      <c r="AF952" s="1329" t="s">
        <v>1200</v>
      </c>
      <c r="AG952" s="872" t="s">
        <v>591</v>
      </c>
      <c r="AH952" s="788" t="s">
        <v>350</v>
      </c>
      <c r="AI952" s="788" t="s">
        <v>350</v>
      </c>
      <c r="AJ952" s="788" t="s">
        <v>350</v>
      </c>
      <c r="AK952" s="788" t="s">
        <v>315</v>
      </c>
      <c r="AL952" s="810"/>
      <c r="AM952" s="810" t="s">
        <v>547</v>
      </c>
      <c r="AN952" s="823">
        <v>7715777</v>
      </c>
      <c r="AO952" s="783">
        <v>3679381.9895200301</v>
      </c>
      <c r="AP952" s="783">
        <v>4036396.0104799699</v>
      </c>
      <c r="AQ952" s="786" t="s">
        <v>317</v>
      </c>
      <c r="AR952" s="786" t="s">
        <v>317</v>
      </c>
      <c r="AS952" s="786" t="s">
        <v>317</v>
      </c>
      <c r="AT952" s="786" t="s">
        <v>317</v>
      </c>
      <c r="AU952" s="787" t="s">
        <v>317</v>
      </c>
      <c r="AV952" s="787" t="s">
        <v>317</v>
      </c>
      <c r="AW952" s="787" t="s">
        <v>317</v>
      </c>
      <c r="AX952" s="783">
        <v>7715777</v>
      </c>
      <c r="AY952" s="1214"/>
    </row>
    <row r="953" spans="1:51" ht="18" customHeight="1" x14ac:dyDescent="0.25">
      <c r="A953" s="1195"/>
      <c r="B953" s="833"/>
      <c r="C953" s="809"/>
      <c r="D953" s="132" t="s">
        <v>3</v>
      </c>
      <c r="E953" s="271"/>
      <c r="F953" s="144"/>
      <c r="G953" s="445"/>
      <c r="H953" s="445"/>
      <c r="I953" s="445"/>
      <c r="J953" s="445"/>
      <c r="K953" s="445"/>
      <c r="L953" s="445"/>
      <c r="M953" s="458">
        <f>+M952*$M$893/$M$892</f>
        <v>132817999.99999997</v>
      </c>
      <c r="N953" s="458">
        <f>+N952*$N$893/$N$892</f>
        <v>138854499.99999997</v>
      </c>
      <c r="O953" s="458">
        <f>+O952*$O$893/$O$892</f>
        <v>138854500</v>
      </c>
      <c r="P953" s="458">
        <f>+P952*$P$893/$P$892</f>
        <v>138854500</v>
      </c>
      <c r="Q953" s="458">
        <f>+Q952*$Q$893/$Q$892</f>
        <v>138854500</v>
      </c>
      <c r="R953" s="458">
        <v>132426680</v>
      </c>
      <c r="S953" s="1329"/>
      <c r="T953" s="454" t="e">
        <v>#REF!</v>
      </c>
      <c r="U953" s="446"/>
      <c r="V953" s="446"/>
      <c r="W953" s="446"/>
      <c r="X953" s="446"/>
      <c r="Y953" s="446"/>
      <c r="Z953" s="458">
        <f>+Z952*$Z$893/$Z$892</f>
        <v>188149152.54237285</v>
      </c>
      <c r="AA953" s="458">
        <f>+AA952*$AA$893/$AA$892</f>
        <v>188905882.35294116</v>
      </c>
      <c r="AB953" s="458">
        <f>+AB952*$AB$893/$AB$892</f>
        <v>173849025.97402596</v>
      </c>
      <c r="AC953" s="458">
        <f>+AC952*$AC$893/$AC$892</f>
        <v>156174375</v>
      </c>
      <c r="AD953" s="458">
        <f>+AD952*$AD$893/$AD$892</f>
        <v>145282319.81981981</v>
      </c>
      <c r="AE953" s="458">
        <f>+AE952*$AD$893/$AD$892</f>
        <v>145282319.81981981</v>
      </c>
      <c r="AF953" s="1329"/>
      <c r="AG953" s="873"/>
      <c r="AH953" s="789"/>
      <c r="AI953" s="789"/>
      <c r="AJ953" s="789"/>
      <c r="AK953" s="789"/>
      <c r="AL953" s="810"/>
      <c r="AM953" s="810"/>
      <c r="AN953" s="823"/>
      <c r="AO953" s="784"/>
      <c r="AP953" s="784"/>
      <c r="AQ953" s="786"/>
      <c r="AR953" s="786"/>
      <c r="AS953" s="786"/>
      <c r="AT953" s="786"/>
      <c r="AU953" s="787"/>
      <c r="AV953" s="787"/>
      <c r="AW953" s="787"/>
      <c r="AX953" s="784"/>
      <c r="AY953" s="1214"/>
    </row>
    <row r="954" spans="1:51" ht="27" customHeight="1" x14ac:dyDescent="0.25">
      <c r="A954" s="1195"/>
      <c r="B954" s="833"/>
      <c r="C954" s="809"/>
      <c r="D954" s="136" t="s">
        <v>42</v>
      </c>
      <c r="E954" s="271"/>
      <c r="F954" s="144"/>
      <c r="G954" s="445"/>
      <c r="H954" s="445"/>
      <c r="I954" s="445"/>
      <c r="J954" s="445"/>
      <c r="K954" s="445"/>
      <c r="L954" s="445"/>
      <c r="M954" s="445"/>
      <c r="N954" s="448"/>
      <c r="O954" s="445"/>
      <c r="P954" s="445"/>
      <c r="Q954" s="445"/>
      <c r="R954" s="447"/>
      <c r="S954" s="1329"/>
      <c r="T954" s="454" t="e">
        <v>#REF!</v>
      </c>
      <c r="U954" s="446"/>
      <c r="V954" s="446"/>
      <c r="W954" s="446"/>
      <c r="X954" s="446"/>
      <c r="Y954" s="446"/>
      <c r="Z954" s="459"/>
      <c r="AA954" s="448"/>
      <c r="AB954" s="1224"/>
      <c r="AC954" s="1225"/>
      <c r="AD954" s="445"/>
      <c r="AE954" s="446"/>
      <c r="AF954" s="1329"/>
      <c r="AG954" s="873"/>
      <c r="AH954" s="789"/>
      <c r="AI954" s="789"/>
      <c r="AJ954" s="789"/>
      <c r="AK954" s="789"/>
      <c r="AL954" s="810"/>
      <c r="AM954" s="810"/>
      <c r="AN954" s="823"/>
      <c r="AO954" s="784"/>
      <c r="AP954" s="784"/>
      <c r="AQ954" s="786"/>
      <c r="AR954" s="786"/>
      <c r="AS954" s="786"/>
      <c r="AT954" s="786"/>
      <c r="AU954" s="787"/>
      <c r="AV954" s="787"/>
      <c r="AW954" s="787"/>
      <c r="AX954" s="784"/>
      <c r="AY954" s="1214"/>
    </row>
    <row r="955" spans="1:51" ht="27" customHeight="1" x14ac:dyDescent="0.25">
      <c r="A955" s="1195"/>
      <c r="B955" s="833"/>
      <c r="C955" s="809"/>
      <c r="D955" s="132" t="s">
        <v>4</v>
      </c>
      <c r="E955" s="271"/>
      <c r="F955" s="144"/>
      <c r="G955" s="445"/>
      <c r="H955" s="445"/>
      <c r="I955" s="445"/>
      <c r="J955" s="445"/>
      <c r="K955" s="445"/>
      <c r="L955" s="445"/>
      <c r="M955" s="445"/>
      <c r="N955" s="448"/>
      <c r="O955" s="445"/>
      <c r="P955" s="445"/>
      <c r="Q955" s="445"/>
      <c r="R955" s="447"/>
      <c r="S955" s="1329"/>
      <c r="T955" s="454" t="e">
        <v>#REF!</v>
      </c>
      <c r="U955" s="446"/>
      <c r="V955" s="446"/>
      <c r="W955" s="446"/>
      <c r="X955" s="446"/>
      <c r="Y955" s="446"/>
      <c r="Z955" s="459"/>
      <c r="AA955" s="448"/>
      <c r="AB955" s="1224"/>
      <c r="AC955" s="1225"/>
      <c r="AD955" s="445"/>
      <c r="AE955" s="446"/>
      <c r="AF955" s="1329"/>
      <c r="AG955" s="873"/>
      <c r="AH955" s="789"/>
      <c r="AI955" s="789"/>
      <c r="AJ955" s="789"/>
      <c r="AK955" s="789"/>
      <c r="AL955" s="810"/>
      <c r="AM955" s="810"/>
      <c r="AN955" s="823"/>
      <c r="AO955" s="784"/>
      <c r="AP955" s="784"/>
      <c r="AQ955" s="786"/>
      <c r="AR955" s="786"/>
      <c r="AS955" s="786"/>
      <c r="AT955" s="786"/>
      <c r="AU955" s="787"/>
      <c r="AV955" s="787"/>
      <c r="AW955" s="787"/>
      <c r="AX955" s="784"/>
      <c r="AY955" s="1214"/>
    </row>
    <row r="956" spans="1:51" ht="27" customHeight="1" x14ac:dyDescent="0.25">
      <c r="A956" s="1195"/>
      <c r="B956" s="833"/>
      <c r="C956" s="809"/>
      <c r="D956" s="136" t="s">
        <v>43</v>
      </c>
      <c r="E956" s="271"/>
      <c r="F956" s="144"/>
      <c r="G956" s="445"/>
      <c r="H956" s="445"/>
      <c r="I956" s="445"/>
      <c r="J956" s="445"/>
      <c r="K956" s="445"/>
      <c r="L956" s="445"/>
      <c r="M956" s="445">
        <v>0.7</v>
      </c>
      <c r="N956" s="448">
        <v>0.7</v>
      </c>
      <c r="O956" s="445">
        <v>0.7</v>
      </c>
      <c r="P956" s="445">
        <v>0.7</v>
      </c>
      <c r="Q956" s="447">
        <v>0.7</v>
      </c>
      <c r="R956" s="447">
        <v>0.7</v>
      </c>
      <c r="S956" s="1329"/>
      <c r="T956" s="454" t="e">
        <v>#REF!</v>
      </c>
      <c r="U956" s="446"/>
      <c r="V956" s="446"/>
      <c r="W956" s="446"/>
      <c r="X956" s="446"/>
      <c r="Y956" s="446"/>
      <c r="Z956" s="459">
        <v>0.7</v>
      </c>
      <c r="AA956" s="448">
        <v>0.7</v>
      </c>
      <c r="AB956" s="1224">
        <v>0.7</v>
      </c>
      <c r="AC956" s="1225">
        <v>0.7</v>
      </c>
      <c r="AD956" s="445">
        <v>0.7</v>
      </c>
      <c r="AE956" s="446">
        <v>0.7</v>
      </c>
      <c r="AF956" s="1329"/>
      <c r="AG956" s="873"/>
      <c r="AH956" s="789"/>
      <c r="AI956" s="789"/>
      <c r="AJ956" s="789"/>
      <c r="AK956" s="789"/>
      <c r="AL956" s="810"/>
      <c r="AM956" s="810"/>
      <c r="AN956" s="823"/>
      <c r="AO956" s="784"/>
      <c r="AP956" s="784"/>
      <c r="AQ956" s="786"/>
      <c r="AR956" s="786"/>
      <c r="AS956" s="786"/>
      <c r="AT956" s="786"/>
      <c r="AU956" s="787"/>
      <c r="AV956" s="787"/>
      <c r="AW956" s="787"/>
      <c r="AX956" s="784"/>
      <c r="AY956" s="1214"/>
    </row>
    <row r="957" spans="1:51" ht="27.75" customHeight="1" thickBot="1" x14ac:dyDescent="0.3">
      <c r="A957" s="1195"/>
      <c r="B957" s="833"/>
      <c r="C957" s="809"/>
      <c r="D957" s="140" t="s">
        <v>45</v>
      </c>
      <c r="E957" s="271"/>
      <c r="F957" s="144"/>
      <c r="G957" s="445"/>
      <c r="H957" s="445"/>
      <c r="I957" s="445"/>
      <c r="J957" s="445"/>
      <c r="K957" s="445"/>
      <c r="L957" s="445"/>
      <c r="M957" s="458">
        <f>+M956*$M$893/$M$892</f>
        <v>132817999.99999997</v>
      </c>
      <c r="N957" s="458">
        <f>+N956*$N$893/$N$892</f>
        <v>138854499.99999997</v>
      </c>
      <c r="O957" s="458">
        <f>+O956*$O$893/$O$892</f>
        <v>138854500</v>
      </c>
      <c r="P957" s="458">
        <f>+P956*$P$893/$P$892</f>
        <v>138854500</v>
      </c>
      <c r="Q957" s="458">
        <f>+Q956*$Q$893/$Q$892</f>
        <v>138854500</v>
      </c>
      <c r="R957" s="458">
        <f>+R956*$R$893/$R$892</f>
        <v>138854500</v>
      </c>
      <c r="S957" s="1329"/>
      <c r="T957" s="454" t="e">
        <v>#REF!</v>
      </c>
      <c r="U957" s="446"/>
      <c r="V957" s="446"/>
      <c r="W957" s="446"/>
      <c r="X957" s="446"/>
      <c r="Y957" s="446"/>
      <c r="Z957" s="458">
        <f>+Z956*$Z$893/$Z$892</f>
        <v>188149152.54237285</v>
      </c>
      <c r="AA957" s="458">
        <f>+AA956*$AA$893/$AA$892</f>
        <v>188905882.35294116</v>
      </c>
      <c r="AB957" s="458">
        <f>+AB956*$AB$893/$AB$892</f>
        <v>173849025.97402596</v>
      </c>
      <c r="AC957" s="458">
        <f>+AC956*$AC$893/$AC$892</f>
        <v>156174375</v>
      </c>
      <c r="AD957" s="458">
        <f>+AD956*$AD$893/$AD$892</f>
        <v>145282319.81981981</v>
      </c>
      <c r="AE957" s="458">
        <f>+AE956*$AD$893/$AD$892</f>
        <v>145282319.81981981</v>
      </c>
      <c r="AF957" s="1329"/>
      <c r="AG957" s="874"/>
      <c r="AH957" s="790"/>
      <c r="AI957" s="790"/>
      <c r="AJ957" s="790"/>
      <c r="AK957" s="790"/>
      <c r="AL957" s="810"/>
      <c r="AM957" s="810"/>
      <c r="AN957" s="823"/>
      <c r="AO957" s="785"/>
      <c r="AP957" s="785"/>
      <c r="AQ957" s="786"/>
      <c r="AR957" s="786"/>
      <c r="AS957" s="786"/>
      <c r="AT957" s="786"/>
      <c r="AU957" s="787"/>
      <c r="AV957" s="787"/>
      <c r="AW957" s="787"/>
      <c r="AX957" s="785"/>
      <c r="AY957" s="1214"/>
    </row>
    <row r="958" spans="1:51" ht="22.5" customHeight="1" x14ac:dyDescent="0.25">
      <c r="A958" s="1195"/>
      <c r="B958" s="833"/>
      <c r="C958" s="809" t="s">
        <v>410</v>
      </c>
      <c r="D958" s="141" t="s">
        <v>41</v>
      </c>
      <c r="E958" s="271">
        <v>1.4</v>
      </c>
      <c r="F958" s="144">
        <v>1.4</v>
      </c>
      <c r="G958" s="445">
        <v>1.4</v>
      </c>
      <c r="H958" s="445">
        <v>1.4</v>
      </c>
      <c r="I958" s="445">
        <v>1.4</v>
      </c>
      <c r="J958" s="445">
        <v>1.4</v>
      </c>
      <c r="K958" s="445">
        <f>+K892</f>
        <v>1.4</v>
      </c>
      <c r="L958" s="445">
        <f>+L892</f>
        <v>1.4000000000000004</v>
      </c>
      <c r="M958" s="445">
        <f>+M898+M952</f>
        <v>1.4</v>
      </c>
      <c r="N958" s="445">
        <f>+N898+N952</f>
        <v>1.4</v>
      </c>
      <c r="O958" s="445">
        <f>+O898+O952</f>
        <v>1.4</v>
      </c>
      <c r="P958" s="445">
        <v>1.4</v>
      </c>
      <c r="Q958" s="445">
        <v>1.4</v>
      </c>
      <c r="R958" s="447">
        <v>1.4</v>
      </c>
      <c r="S958" s="1253" t="s">
        <v>1192</v>
      </c>
      <c r="T958" s="450">
        <v>7.0000000000000007E-2</v>
      </c>
      <c r="U958" s="1330">
        <v>0.19600000000000001</v>
      </c>
      <c r="V958" s="450">
        <v>0.32</v>
      </c>
      <c r="W958" s="450">
        <v>0.44800000000000001</v>
      </c>
      <c r="X958" s="450">
        <f>+X892</f>
        <v>0.57400000000000007</v>
      </c>
      <c r="Y958" s="450">
        <f>+Y892</f>
        <v>0.70000000000000007</v>
      </c>
      <c r="Z958" s="450">
        <f>+Z898+Z952</f>
        <v>0.82599999999999996</v>
      </c>
      <c r="AA958" s="450">
        <f>+AA898+AA952</f>
        <v>0.95199999999999996</v>
      </c>
      <c r="AB958" s="450">
        <f>+AB898+AB952</f>
        <v>1.0779999999999998</v>
      </c>
      <c r="AC958" s="1330">
        <f>+AC898+AC952</f>
        <v>1.204</v>
      </c>
      <c r="AD958" s="450">
        <f t="shared" ref="AD958" si="62">+AD898+AD952</f>
        <v>1.3260000000000001</v>
      </c>
      <c r="AE958" s="450">
        <v>1.4</v>
      </c>
      <c r="AF958" s="1256" t="s">
        <v>1192</v>
      </c>
      <c r="AG958" s="1230" t="s">
        <v>541</v>
      </c>
      <c r="AH958" s="810" t="s">
        <v>70</v>
      </c>
      <c r="AI958" s="810" t="s">
        <v>70</v>
      </c>
      <c r="AJ958" s="810" t="s">
        <v>70</v>
      </c>
      <c r="AK958" s="809" t="s">
        <v>315</v>
      </c>
      <c r="AL958" s="810"/>
      <c r="AM958" s="810" t="s">
        <v>547</v>
      </c>
      <c r="AN958" s="805">
        <v>7804660</v>
      </c>
      <c r="AO958" s="783">
        <v>3721767</v>
      </c>
      <c r="AP958" s="783">
        <v>4082893</v>
      </c>
      <c r="AQ958" s="787" t="s">
        <v>317</v>
      </c>
      <c r="AR958" s="787" t="s">
        <v>317</v>
      </c>
      <c r="AS958" s="787" t="s">
        <v>317</v>
      </c>
      <c r="AT958" s="787" t="s">
        <v>317</v>
      </c>
      <c r="AU958" s="787" t="s">
        <v>317</v>
      </c>
      <c r="AV958" s="787" t="s">
        <v>317</v>
      </c>
      <c r="AW958" s="787" t="s">
        <v>317</v>
      </c>
      <c r="AX958" s="783">
        <v>7804660</v>
      </c>
      <c r="AY958" s="1214"/>
    </row>
    <row r="959" spans="1:51" ht="26.25" customHeight="1" x14ac:dyDescent="0.25">
      <c r="A959" s="1195"/>
      <c r="B959" s="833"/>
      <c r="C959" s="809"/>
      <c r="D959" s="132" t="s">
        <v>3</v>
      </c>
      <c r="E959" s="271">
        <v>159600000</v>
      </c>
      <c r="F959" s="144">
        <v>250350000</v>
      </c>
      <c r="G959" s="445">
        <v>250350000</v>
      </c>
      <c r="H959" s="445">
        <v>250350000</v>
      </c>
      <c r="I959" s="445">
        <v>250350000</v>
      </c>
      <c r="J959" s="445">
        <v>222016000</v>
      </c>
      <c r="K959" s="445">
        <f t="shared" ref="K959:L963" si="63">+K893</f>
        <v>265636000</v>
      </c>
      <c r="L959" s="445">
        <f t="shared" si="63"/>
        <v>277709000</v>
      </c>
      <c r="M959" s="445">
        <f t="shared" ref="M959:O963" si="64">+M899+M953</f>
        <v>265635999.99999994</v>
      </c>
      <c r="N959" s="445">
        <f t="shared" si="64"/>
        <v>277708999.99999994</v>
      </c>
      <c r="O959" s="445">
        <f t="shared" si="64"/>
        <v>277709000</v>
      </c>
      <c r="P959" s="458">
        <f>+P958*$P$893/$P$892</f>
        <v>277709000</v>
      </c>
      <c r="Q959" s="458">
        <f>+Q958*$P$893/$P$892</f>
        <v>277709000</v>
      </c>
      <c r="R959" s="450">
        <f t="shared" ref="R959" si="65">+R899+R953</f>
        <v>277709000</v>
      </c>
      <c r="S959" s="1260"/>
      <c r="T959" s="450">
        <v>0</v>
      </c>
      <c r="U959" s="1330">
        <v>99990000</v>
      </c>
      <c r="V959" s="450">
        <v>207261000</v>
      </c>
      <c r="W959" s="450">
        <v>222016000</v>
      </c>
      <c r="X959" s="450">
        <f t="shared" ref="X959:Y963" si="66">+X893</f>
        <v>222016000</v>
      </c>
      <c r="Y959" s="450">
        <f t="shared" si="66"/>
        <v>222016000</v>
      </c>
      <c r="Z959" s="450">
        <f t="shared" ref="Z959:AE963" si="67">+Z899+Z953</f>
        <v>222015999.99999997</v>
      </c>
      <c r="AA959" s="450">
        <f t="shared" si="67"/>
        <v>256911999.99999997</v>
      </c>
      <c r="AB959" s="450">
        <f t="shared" si="67"/>
        <v>267727500</v>
      </c>
      <c r="AC959" s="450">
        <f t="shared" si="67"/>
        <v>268619925</v>
      </c>
      <c r="AD959" s="450">
        <f t="shared" si="67"/>
        <v>275206222.97297299</v>
      </c>
      <c r="AE959" s="450">
        <f t="shared" si="67"/>
        <v>290564639.63963962</v>
      </c>
      <c r="AF959" s="1261"/>
      <c r="AG959" s="1230"/>
      <c r="AH959" s="810"/>
      <c r="AI959" s="810"/>
      <c r="AJ959" s="810"/>
      <c r="AK959" s="809"/>
      <c r="AL959" s="810"/>
      <c r="AM959" s="810"/>
      <c r="AN959" s="805"/>
      <c r="AO959" s="784"/>
      <c r="AP959" s="784"/>
      <c r="AQ959" s="787"/>
      <c r="AR959" s="787"/>
      <c r="AS959" s="787"/>
      <c r="AT959" s="787"/>
      <c r="AU959" s="787"/>
      <c r="AV959" s="787"/>
      <c r="AW959" s="787"/>
      <c r="AX959" s="784"/>
      <c r="AY959" s="1214"/>
    </row>
    <row r="960" spans="1:51" ht="27" x14ac:dyDescent="0.25">
      <c r="A960" s="1195"/>
      <c r="B960" s="833"/>
      <c r="C960" s="809"/>
      <c r="D960" s="136" t="s">
        <v>42</v>
      </c>
      <c r="E960" s="271">
        <v>0</v>
      </c>
      <c r="F960" s="144" t="e">
        <v>#REF!</v>
      </c>
      <c r="G960" s="445">
        <v>0</v>
      </c>
      <c r="H960" s="445">
        <v>0</v>
      </c>
      <c r="I960" s="445">
        <v>0</v>
      </c>
      <c r="J960" s="445">
        <v>0</v>
      </c>
      <c r="K960" s="445">
        <f t="shared" si="63"/>
        <v>0</v>
      </c>
      <c r="L960" s="445">
        <f t="shared" si="63"/>
        <v>0</v>
      </c>
      <c r="M960" s="445">
        <f t="shared" si="64"/>
        <v>0</v>
      </c>
      <c r="N960" s="445">
        <f t="shared" si="64"/>
        <v>0</v>
      </c>
      <c r="O960" s="445">
        <f t="shared" si="64"/>
        <v>0</v>
      </c>
      <c r="P960" s="445"/>
      <c r="Q960" s="445"/>
      <c r="R960" s="447"/>
      <c r="S960" s="1260"/>
      <c r="T960" s="450">
        <v>0</v>
      </c>
      <c r="U960" s="1330">
        <v>0</v>
      </c>
      <c r="V960" s="450">
        <v>0</v>
      </c>
      <c r="W960" s="450">
        <v>0</v>
      </c>
      <c r="X960" s="450">
        <f t="shared" si="66"/>
        <v>0</v>
      </c>
      <c r="Y960" s="450">
        <f t="shared" si="66"/>
        <v>0</v>
      </c>
      <c r="Z960" s="450">
        <f t="shared" si="67"/>
        <v>0</v>
      </c>
      <c r="AA960" s="450">
        <f t="shared" si="67"/>
        <v>0</v>
      </c>
      <c r="AB960" s="450">
        <f t="shared" si="67"/>
        <v>0</v>
      </c>
      <c r="AC960" s="450">
        <f t="shared" si="67"/>
        <v>0</v>
      </c>
      <c r="AD960" s="450">
        <f t="shared" ref="AD960" si="68">+AD900+AD954</f>
        <v>0</v>
      </c>
      <c r="AE960" s="450">
        <f t="shared" ref="AE960:AE961" si="69">+AE900</f>
        <v>0</v>
      </c>
      <c r="AF960" s="1261"/>
      <c r="AG960" s="1230"/>
      <c r="AH960" s="810"/>
      <c r="AI960" s="810"/>
      <c r="AJ960" s="810"/>
      <c r="AK960" s="809"/>
      <c r="AL960" s="810"/>
      <c r="AM960" s="810"/>
      <c r="AN960" s="805"/>
      <c r="AO960" s="784"/>
      <c r="AP960" s="784"/>
      <c r="AQ960" s="787"/>
      <c r="AR960" s="787"/>
      <c r="AS960" s="787"/>
      <c r="AT960" s="787"/>
      <c r="AU960" s="787"/>
      <c r="AV960" s="787"/>
      <c r="AW960" s="787"/>
      <c r="AX960" s="784"/>
      <c r="AY960" s="1214"/>
    </row>
    <row r="961" spans="1:51" ht="23.45" customHeight="1" x14ac:dyDescent="0.25">
      <c r="A961" s="1195"/>
      <c r="B961" s="833"/>
      <c r="C961" s="809"/>
      <c r="D961" s="132" t="s">
        <v>4</v>
      </c>
      <c r="E961" s="271">
        <v>0</v>
      </c>
      <c r="F961" s="144">
        <v>46923400</v>
      </c>
      <c r="G961" s="445">
        <v>46923400</v>
      </c>
      <c r="H961" s="445">
        <v>46923400</v>
      </c>
      <c r="I961" s="445">
        <v>46923400</v>
      </c>
      <c r="J961" s="445">
        <v>46923400</v>
      </c>
      <c r="K961" s="445">
        <f t="shared" si="63"/>
        <v>46923400</v>
      </c>
      <c r="L961" s="445">
        <f t="shared" si="63"/>
        <v>46923400</v>
      </c>
      <c r="M961" s="445">
        <f t="shared" si="64"/>
        <v>0</v>
      </c>
      <c r="N961" s="445">
        <f t="shared" si="64"/>
        <v>0</v>
      </c>
      <c r="O961" s="445">
        <f t="shared" si="64"/>
        <v>0</v>
      </c>
      <c r="P961" s="445"/>
      <c r="Q961" s="445"/>
      <c r="R961" s="447"/>
      <c r="S961" s="1260"/>
      <c r="T961" s="450">
        <v>5648300</v>
      </c>
      <c r="U961" s="1330">
        <v>33089933</v>
      </c>
      <c r="V961" s="450">
        <v>42024000</v>
      </c>
      <c r="W961" s="450">
        <v>44906000</v>
      </c>
      <c r="X961" s="450">
        <f t="shared" si="66"/>
        <v>46923400</v>
      </c>
      <c r="Y961" s="450">
        <f t="shared" si="66"/>
        <v>46923400</v>
      </c>
      <c r="Z961" s="450">
        <f t="shared" si="67"/>
        <v>0</v>
      </c>
      <c r="AA961" s="450">
        <f t="shared" si="67"/>
        <v>0</v>
      </c>
      <c r="AB961" s="450">
        <v>46923400</v>
      </c>
      <c r="AC961" s="450">
        <f t="shared" ref="AC961:AD963" si="70">+AC901+AC955</f>
        <v>0</v>
      </c>
      <c r="AD961" s="450">
        <f t="shared" si="70"/>
        <v>0</v>
      </c>
      <c r="AE961" s="450">
        <f t="shared" si="69"/>
        <v>0</v>
      </c>
      <c r="AF961" s="1261"/>
      <c r="AG961" s="1230"/>
      <c r="AH961" s="810"/>
      <c r="AI961" s="810"/>
      <c r="AJ961" s="810"/>
      <c r="AK961" s="809"/>
      <c r="AL961" s="810"/>
      <c r="AM961" s="810"/>
      <c r="AN961" s="805"/>
      <c r="AO961" s="784"/>
      <c r="AP961" s="784"/>
      <c r="AQ961" s="787"/>
      <c r="AR961" s="787"/>
      <c r="AS961" s="787"/>
      <c r="AT961" s="787"/>
      <c r="AU961" s="787"/>
      <c r="AV961" s="787"/>
      <c r="AW961" s="787"/>
      <c r="AX961" s="784"/>
      <c r="AY961" s="1214"/>
    </row>
    <row r="962" spans="1:51" ht="27" x14ac:dyDescent="0.25">
      <c r="A962" s="1195"/>
      <c r="B962" s="833"/>
      <c r="C962" s="809"/>
      <c r="D962" s="136" t="s">
        <v>43</v>
      </c>
      <c r="E962" s="271">
        <v>0.5</v>
      </c>
      <c r="F962" s="144">
        <v>1.4</v>
      </c>
      <c r="G962" s="445">
        <v>1.4</v>
      </c>
      <c r="H962" s="445">
        <v>1.4</v>
      </c>
      <c r="I962" s="445">
        <v>1.4</v>
      </c>
      <c r="J962" s="445">
        <v>1.4</v>
      </c>
      <c r="K962" s="445">
        <f t="shared" si="63"/>
        <v>1.4</v>
      </c>
      <c r="L962" s="445">
        <f t="shared" si="63"/>
        <v>1.4000000000000004</v>
      </c>
      <c r="M962" s="445">
        <f t="shared" si="64"/>
        <v>1.4</v>
      </c>
      <c r="N962" s="445">
        <f t="shared" si="64"/>
        <v>1.4</v>
      </c>
      <c r="O962" s="445">
        <f t="shared" si="64"/>
        <v>1.4</v>
      </c>
      <c r="P962" s="445">
        <v>1.4</v>
      </c>
      <c r="Q962" s="445">
        <v>1.4</v>
      </c>
      <c r="R962" s="447">
        <v>1.4</v>
      </c>
      <c r="S962" s="1260"/>
      <c r="T962" s="450">
        <v>7.0000000000000007E-2</v>
      </c>
      <c r="U962" s="1330">
        <v>0.19600000000000001</v>
      </c>
      <c r="V962" s="450">
        <v>0.32</v>
      </c>
      <c r="W962" s="450">
        <v>0.44800000000000001</v>
      </c>
      <c r="X962" s="450">
        <f t="shared" si="66"/>
        <v>0.56999999999999995</v>
      </c>
      <c r="Y962" s="450">
        <f t="shared" si="66"/>
        <v>0.70000000000000007</v>
      </c>
      <c r="Z962" s="450">
        <f t="shared" si="67"/>
        <v>0.82599999999999996</v>
      </c>
      <c r="AA962" s="450">
        <f t="shared" si="67"/>
        <v>0.95199999999999996</v>
      </c>
      <c r="AB962" s="450">
        <f t="shared" si="67"/>
        <v>1.08</v>
      </c>
      <c r="AC962" s="450">
        <f t="shared" si="70"/>
        <v>1.204</v>
      </c>
      <c r="AD962" s="450">
        <f t="shared" si="70"/>
        <v>1.3260000000000001</v>
      </c>
      <c r="AE962" s="450">
        <v>1.4</v>
      </c>
      <c r="AF962" s="1261"/>
      <c r="AG962" s="1230"/>
      <c r="AH962" s="810"/>
      <c r="AI962" s="810"/>
      <c r="AJ962" s="810"/>
      <c r="AK962" s="809"/>
      <c r="AL962" s="810"/>
      <c r="AM962" s="810"/>
      <c r="AN962" s="805"/>
      <c r="AO962" s="784"/>
      <c r="AP962" s="784"/>
      <c r="AQ962" s="787"/>
      <c r="AR962" s="787"/>
      <c r="AS962" s="787"/>
      <c r="AT962" s="787"/>
      <c r="AU962" s="787"/>
      <c r="AV962" s="787"/>
      <c r="AW962" s="787"/>
      <c r="AX962" s="784"/>
      <c r="AY962" s="1214"/>
    </row>
    <row r="963" spans="1:51" ht="27.75" thickBot="1" x14ac:dyDescent="0.3">
      <c r="A963" s="1196"/>
      <c r="B963" s="1193"/>
      <c r="C963" s="809"/>
      <c r="D963" s="140" t="s">
        <v>45</v>
      </c>
      <c r="E963" s="271">
        <v>159600000</v>
      </c>
      <c r="F963" s="144">
        <v>297273400</v>
      </c>
      <c r="G963" s="445">
        <v>297273400</v>
      </c>
      <c r="H963" s="445">
        <v>297273400</v>
      </c>
      <c r="I963" s="445">
        <v>297273400</v>
      </c>
      <c r="J963" s="445">
        <v>268939400</v>
      </c>
      <c r="K963" s="445">
        <f t="shared" si="63"/>
        <v>312559400</v>
      </c>
      <c r="L963" s="445">
        <f t="shared" si="63"/>
        <v>324632400</v>
      </c>
      <c r="M963" s="445">
        <f t="shared" si="64"/>
        <v>265635999.99999994</v>
      </c>
      <c r="N963" s="445">
        <f t="shared" si="64"/>
        <v>277708999.99999994</v>
      </c>
      <c r="O963" s="445">
        <f t="shared" si="64"/>
        <v>277709000</v>
      </c>
      <c r="P963" s="458">
        <f>+P962*$P$893/$P$892</f>
        <v>277709000</v>
      </c>
      <c r="Q963" s="458">
        <f>+Q962*$P$893/$P$892</f>
        <v>277709000</v>
      </c>
      <c r="R963" s="458">
        <f>+R962*$P$893/$P$892</f>
        <v>277709000</v>
      </c>
      <c r="S963" s="1260"/>
      <c r="T963" s="450">
        <v>5648300</v>
      </c>
      <c r="U963" s="1330">
        <v>133079933</v>
      </c>
      <c r="V963" s="450">
        <v>249285000</v>
      </c>
      <c r="W963" s="450">
        <v>266922000</v>
      </c>
      <c r="X963" s="450">
        <f t="shared" si="66"/>
        <v>268939400</v>
      </c>
      <c r="Y963" s="450">
        <f t="shared" si="66"/>
        <v>268939400</v>
      </c>
      <c r="Z963" s="450">
        <f t="shared" si="67"/>
        <v>222015999.99999997</v>
      </c>
      <c r="AA963" s="450">
        <f t="shared" si="67"/>
        <v>256911999.99999997</v>
      </c>
      <c r="AB963" s="450">
        <f>+AB959+AB961</f>
        <v>314650900</v>
      </c>
      <c r="AC963" s="450">
        <f t="shared" si="70"/>
        <v>268619925</v>
      </c>
      <c r="AD963" s="450">
        <f t="shared" si="70"/>
        <v>275206222.97297299</v>
      </c>
      <c r="AE963" s="450">
        <f t="shared" si="67"/>
        <v>290564639.63963962</v>
      </c>
      <c r="AF963" s="1270"/>
      <c r="AG963" s="1230"/>
      <c r="AH963" s="810"/>
      <c r="AI963" s="810"/>
      <c r="AJ963" s="810"/>
      <c r="AK963" s="809"/>
      <c r="AL963" s="810"/>
      <c r="AM963" s="810"/>
      <c r="AN963" s="805"/>
      <c r="AO963" s="785"/>
      <c r="AP963" s="785"/>
      <c r="AQ963" s="787"/>
      <c r="AR963" s="787"/>
      <c r="AS963" s="787"/>
      <c r="AT963" s="787"/>
      <c r="AU963" s="787"/>
      <c r="AV963" s="787"/>
      <c r="AW963" s="787"/>
      <c r="AX963" s="785"/>
      <c r="AY963" s="1214"/>
    </row>
    <row r="964" spans="1:51" ht="33" customHeight="1" x14ac:dyDescent="0.25">
      <c r="A964" s="1194">
        <v>9</v>
      </c>
      <c r="B964" s="1190" t="s">
        <v>613</v>
      </c>
      <c r="C964" s="809" t="s">
        <v>614</v>
      </c>
      <c r="D964" s="141" t="s">
        <v>41</v>
      </c>
      <c r="E964" s="142">
        <v>0</v>
      </c>
      <c r="F964" s="142">
        <v>0</v>
      </c>
      <c r="G964" s="445">
        <v>0</v>
      </c>
      <c r="H964" s="445">
        <v>0</v>
      </c>
      <c r="I964" s="445">
        <v>0</v>
      </c>
      <c r="J964" s="445">
        <v>0</v>
      </c>
      <c r="K964" s="445">
        <v>0</v>
      </c>
      <c r="L964" s="445">
        <f>+INVERSIÓN!BA66</f>
        <v>0</v>
      </c>
      <c r="M964" s="445">
        <f>+INVERSIÓN!BB66</f>
        <v>0</v>
      </c>
      <c r="N964" s="445">
        <f>+INVERSIÓN!BC66</f>
        <v>0</v>
      </c>
      <c r="O964" s="445">
        <v>0</v>
      </c>
      <c r="P964" s="445">
        <v>0</v>
      </c>
      <c r="Q964" s="445">
        <v>0</v>
      </c>
      <c r="R964" s="445">
        <v>0</v>
      </c>
      <c r="S964" s="454"/>
      <c r="T964" s="454">
        <v>0</v>
      </c>
      <c r="U964" s="454">
        <v>0</v>
      </c>
      <c r="V964" s="454">
        <v>0</v>
      </c>
      <c r="W964" s="454">
        <v>0</v>
      </c>
      <c r="X964" s="454">
        <v>0</v>
      </c>
      <c r="Y964" s="454">
        <f>+INVERSIÓN!BC66</f>
        <v>0</v>
      </c>
      <c r="Z964" s="454">
        <v>0</v>
      </c>
      <c r="AA964" s="454">
        <v>0</v>
      </c>
      <c r="AB964" s="1254">
        <v>0</v>
      </c>
      <c r="AC964" s="1225">
        <v>0</v>
      </c>
      <c r="AD964" s="1225">
        <v>0</v>
      </c>
      <c r="AE964" s="445">
        <v>0</v>
      </c>
      <c r="AF964" s="1278" t="s">
        <v>615</v>
      </c>
      <c r="AG964" s="1230" t="s">
        <v>541</v>
      </c>
      <c r="AH964" s="810" t="s">
        <v>70</v>
      </c>
      <c r="AI964" s="810" t="s">
        <v>70</v>
      </c>
      <c r="AJ964" s="810" t="s">
        <v>70</v>
      </c>
      <c r="AK964" s="809" t="s">
        <v>315</v>
      </c>
      <c r="AL964" s="810"/>
      <c r="AM964" s="790" t="s">
        <v>616</v>
      </c>
      <c r="AN964" s="805">
        <v>7804660</v>
      </c>
      <c r="AO964" s="783">
        <v>3721767</v>
      </c>
      <c r="AP964" s="783">
        <v>4082893</v>
      </c>
      <c r="AQ964" s="787" t="s">
        <v>317</v>
      </c>
      <c r="AR964" s="787" t="s">
        <v>317</v>
      </c>
      <c r="AS964" s="787" t="s">
        <v>317</v>
      </c>
      <c r="AT964" s="787" t="s">
        <v>317</v>
      </c>
      <c r="AU964" s="787" t="s">
        <v>317</v>
      </c>
      <c r="AV964" s="787" t="s">
        <v>317</v>
      </c>
      <c r="AW964" s="787" t="s">
        <v>317</v>
      </c>
      <c r="AX964" s="783">
        <v>7804660</v>
      </c>
      <c r="AY964" s="1214"/>
    </row>
    <row r="965" spans="1:51" ht="33" customHeight="1" x14ac:dyDescent="0.25">
      <c r="A965" s="1195"/>
      <c r="B965" s="833"/>
      <c r="C965" s="809"/>
      <c r="D965" s="132" t="s">
        <v>3</v>
      </c>
      <c r="E965" s="142">
        <v>0</v>
      </c>
      <c r="F965" s="142">
        <v>0</v>
      </c>
      <c r="G965" s="445">
        <v>0</v>
      </c>
      <c r="H965" s="445">
        <v>0</v>
      </c>
      <c r="I965" s="445">
        <v>0</v>
      </c>
      <c r="J965" s="445">
        <v>0</v>
      </c>
      <c r="K965" s="445">
        <v>0</v>
      </c>
      <c r="L965" s="445">
        <f>+INVERSIÓN!BA67</f>
        <v>0</v>
      </c>
      <c r="M965" s="445">
        <f>+INVERSIÓN!BB67</f>
        <v>0</v>
      </c>
      <c r="N965" s="445">
        <f>+INVERSIÓN!BC67</f>
        <v>0</v>
      </c>
      <c r="O965" s="445">
        <v>0</v>
      </c>
      <c r="P965" s="445">
        <v>0</v>
      </c>
      <c r="Q965" s="445">
        <v>0</v>
      </c>
      <c r="R965" s="445">
        <v>0</v>
      </c>
      <c r="S965" s="454"/>
      <c r="T965" s="454">
        <v>0</v>
      </c>
      <c r="U965" s="454">
        <v>0</v>
      </c>
      <c r="V965" s="454">
        <v>0</v>
      </c>
      <c r="W965" s="454">
        <v>0</v>
      </c>
      <c r="X965" s="457">
        <v>0</v>
      </c>
      <c r="Y965" s="454">
        <f>+INVERSIÓN!BC67</f>
        <v>0</v>
      </c>
      <c r="Z965" s="454">
        <v>0</v>
      </c>
      <c r="AA965" s="454">
        <v>0</v>
      </c>
      <c r="AB965" s="1254">
        <v>0</v>
      </c>
      <c r="AC965" s="1225">
        <v>0</v>
      </c>
      <c r="AD965" s="1225">
        <v>0</v>
      </c>
      <c r="AE965" s="445">
        <v>0</v>
      </c>
      <c r="AF965" s="1283"/>
      <c r="AG965" s="1230"/>
      <c r="AH965" s="810"/>
      <c r="AI965" s="810"/>
      <c r="AJ965" s="810"/>
      <c r="AK965" s="809"/>
      <c r="AL965" s="810"/>
      <c r="AM965" s="810"/>
      <c r="AN965" s="805"/>
      <c r="AO965" s="784"/>
      <c r="AP965" s="784"/>
      <c r="AQ965" s="787"/>
      <c r="AR965" s="787"/>
      <c r="AS965" s="787"/>
      <c r="AT965" s="787"/>
      <c r="AU965" s="787"/>
      <c r="AV965" s="787"/>
      <c r="AW965" s="787"/>
      <c r="AX965" s="784"/>
      <c r="AY965" s="1214"/>
    </row>
    <row r="966" spans="1:51" ht="33" customHeight="1" x14ac:dyDescent="0.25">
      <c r="A966" s="1195"/>
      <c r="B966" s="833"/>
      <c r="C966" s="809"/>
      <c r="D966" s="136" t="s">
        <v>42</v>
      </c>
      <c r="E966" s="142">
        <v>0.1</v>
      </c>
      <c r="F966" s="142">
        <v>0.1</v>
      </c>
      <c r="G966" s="445">
        <v>0.1</v>
      </c>
      <c r="H966" s="445">
        <v>0.1</v>
      </c>
      <c r="I966" s="445">
        <v>0.1</v>
      </c>
      <c r="J966" s="445">
        <v>0.1</v>
      </c>
      <c r="K966" s="445">
        <v>0.1</v>
      </c>
      <c r="L966" s="445">
        <v>0.1</v>
      </c>
      <c r="M966" s="445">
        <v>0.1</v>
      </c>
      <c r="N966" s="445">
        <v>0.1</v>
      </c>
      <c r="O966" s="445">
        <v>0.1</v>
      </c>
      <c r="P966" s="445">
        <v>0.1</v>
      </c>
      <c r="Q966" s="445">
        <v>0.1</v>
      </c>
      <c r="R966" s="445">
        <v>0.1</v>
      </c>
      <c r="S966" s="454"/>
      <c r="T966" s="454">
        <v>0.05</v>
      </c>
      <c r="U966" s="454">
        <v>0.1</v>
      </c>
      <c r="V966" s="454">
        <v>0</v>
      </c>
      <c r="W966" s="454">
        <v>0</v>
      </c>
      <c r="X966" s="457">
        <v>0</v>
      </c>
      <c r="Y966" s="457">
        <v>0.1</v>
      </c>
      <c r="Z966" s="454">
        <v>0.1</v>
      </c>
      <c r="AA966" s="454">
        <v>0.1</v>
      </c>
      <c r="AB966" s="1254">
        <v>0.1</v>
      </c>
      <c r="AC966" s="1225">
        <v>0.1</v>
      </c>
      <c r="AD966" s="1225">
        <v>0.1</v>
      </c>
      <c r="AE966" s="445">
        <v>0.1</v>
      </c>
      <c r="AF966" s="1283"/>
      <c r="AG966" s="1230"/>
      <c r="AH966" s="810"/>
      <c r="AI966" s="810"/>
      <c r="AJ966" s="810"/>
      <c r="AK966" s="809"/>
      <c r="AL966" s="810"/>
      <c r="AM966" s="810"/>
      <c r="AN966" s="805"/>
      <c r="AO966" s="784"/>
      <c r="AP966" s="784"/>
      <c r="AQ966" s="787"/>
      <c r="AR966" s="787"/>
      <c r="AS966" s="787"/>
      <c r="AT966" s="787"/>
      <c r="AU966" s="787"/>
      <c r="AV966" s="787"/>
      <c r="AW966" s="787"/>
      <c r="AX966" s="784"/>
      <c r="AY966" s="1214"/>
    </row>
    <row r="967" spans="1:51" ht="33" customHeight="1" x14ac:dyDescent="0.25">
      <c r="A967" s="1195"/>
      <c r="B967" s="833"/>
      <c r="C967" s="809"/>
      <c r="D967" s="132" t="s">
        <v>4</v>
      </c>
      <c r="E967" s="142">
        <v>160059853</v>
      </c>
      <c r="F967" s="142">
        <v>160059853</v>
      </c>
      <c r="G967" s="445">
        <v>160059853</v>
      </c>
      <c r="H967" s="445">
        <v>160059853</v>
      </c>
      <c r="I967" s="445">
        <v>160059853</v>
      </c>
      <c r="J967" s="445">
        <v>160059853</v>
      </c>
      <c r="K967" s="445">
        <v>160059853</v>
      </c>
      <c r="L967" s="456">
        <f>+INVERSIÓN!BA70</f>
        <v>160059853</v>
      </c>
      <c r="M967" s="456">
        <f>+INVERSIÓN!BB70</f>
        <v>160059853</v>
      </c>
      <c r="N967" s="456">
        <f>+INVERSIÓN!BC70</f>
        <v>160059853</v>
      </c>
      <c r="O967" s="445">
        <v>160059853</v>
      </c>
      <c r="P967" s="445">
        <v>160059853</v>
      </c>
      <c r="Q967" s="445">
        <v>160059853</v>
      </c>
      <c r="R967" s="445">
        <v>160059853</v>
      </c>
      <c r="S967" s="454"/>
      <c r="T967" s="454">
        <v>33914000</v>
      </c>
      <c r="U967" s="454">
        <v>97735000</v>
      </c>
      <c r="V967" s="454">
        <v>126122834</v>
      </c>
      <c r="W967" s="454">
        <v>126122834</v>
      </c>
      <c r="X967" s="457">
        <v>157987834</v>
      </c>
      <c r="Y967" s="457">
        <f>+INVERSIÓN!BC70</f>
        <v>160059853</v>
      </c>
      <c r="Z967" s="454">
        <v>160059853</v>
      </c>
      <c r="AA967" s="454">
        <v>160059853</v>
      </c>
      <c r="AB967" s="1254">
        <v>160059853</v>
      </c>
      <c r="AC967" s="1225">
        <v>160059853</v>
      </c>
      <c r="AD967" s="1225">
        <v>160059853</v>
      </c>
      <c r="AE967" s="445">
        <v>160059853</v>
      </c>
      <c r="AF967" s="1283"/>
      <c r="AG967" s="1230"/>
      <c r="AH967" s="810"/>
      <c r="AI967" s="810"/>
      <c r="AJ967" s="810"/>
      <c r="AK967" s="809"/>
      <c r="AL967" s="810"/>
      <c r="AM967" s="810"/>
      <c r="AN967" s="805"/>
      <c r="AO967" s="784"/>
      <c r="AP967" s="784"/>
      <c r="AQ967" s="787"/>
      <c r="AR967" s="787"/>
      <c r="AS967" s="787"/>
      <c r="AT967" s="787"/>
      <c r="AU967" s="787"/>
      <c r="AV967" s="787"/>
      <c r="AW967" s="787"/>
      <c r="AX967" s="784"/>
      <c r="AY967" s="1214"/>
    </row>
    <row r="968" spans="1:51" ht="33" customHeight="1" x14ac:dyDescent="0.25">
      <c r="A968" s="1195"/>
      <c r="B968" s="833"/>
      <c r="C968" s="809"/>
      <c r="D968" s="136" t="s">
        <v>43</v>
      </c>
      <c r="E968" s="142">
        <v>0.1</v>
      </c>
      <c r="F968" s="142">
        <v>0.1</v>
      </c>
      <c r="G968" s="445">
        <v>0.1</v>
      </c>
      <c r="H968" s="445">
        <v>0.1</v>
      </c>
      <c r="I968" s="445">
        <v>0.1</v>
      </c>
      <c r="J968" s="445">
        <v>0.1</v>
      </c>
      <c r="K968" s="445">
        <v>0.1</v>
      </c>
      <c r="L968" s="456">
        <f>+INVERSIÓN!BA71</f>
        <v>0.1</v>
      </c>
      <c r="M968" s="456">
        <f>+INVERSIÓN!BB71</f>
        <v>0.15000000000000002</v>
      </c>
      <c r="N968" s="456">
        <f>+INVERSIÓN!BC71</f>
        <v>0.15000000000000002</v>
      </c>
      <c r="O968" s="445">
        <v>0.15000000000000002</v>
      </c>
      <c r="P968" s="445">
        <v>0.15000000000000002</v>
      </c>
      <c r="Q968" s="445">
        <v>0.15000000000000002</v>
      </c>
      <c r="R968" s="445">
        <v>0.1</v>
      </c>
      <c r="S968" s="454"/>
      <c r="T968" s="454">
        <v>0.05</v>
      </c>
      <c r="U968" s="454">
        <v>0.1</v>
      </c>
      <c r="V968" s="454">
        <v>0</v>
      </c>
      <c r="W968" s="454">
        <v>0</v>
      </c>
      <c r="X968" s="447">
        <v>0</v>
      </c>
      <c r="Y968" s="457">
        <f>+INVERSIÓN!BC71</f>
        <v>0.15000000000000002</v>
      </c>
      <c r="Z968" s="454">
        <v>0.15000000000000002</v>
      </c>
      <c r="AA968" s="454">
        <v>0.15000000000000002</v>
      </c>
      <c r="AB968" s="1254">
        <v>0.15000000000000002</v>
      </c>
      <c r="AC968" s="1225">
        <v>0.15000000000000002</v>
      </c>
      <c r="AD968" s="1225">
        <v>0.15000000000000002</v>
      </c>
      <c r="AE968" s="445">
        <v>0.1</v>
      </c>
      <c r="AF968" s="1283"/>
      <c r="AG968" s="1230"/>
      <c r="AH968" s="810"/>
      <c r="AI968" s="810"/>
      <c r="AJ968" s="810"/>
      <c r="AK968" s="809"/>
      <c r="AL968" s="810"/>
      <c r="AM968" s="810"/>
      <c r="AN968" s="805"/>
      <c r="AO968" s="784"/>
      <c r="AP968" s="784"/>
      <c r="AQ968" s="787"/>
      <c r="AR968" s="787"/>
      <c r="AS968" s="787"/>
      <c r="AT968" s="787"/>
      <c r="AU968" s="787"/>
      <c r="AV968" s="787"/>
      <c r="AW968" s="787"/>
      <c r="AX968" s="784"/>
      <c r="AY968" s="1214"/>
    </row>
    <row r="969" spans="1:51" ht="33" customHeight="1" thickBot="1" x14ac:dyDescent="0.3">
      <c r="A969" s="1195"/>
      <c r="B969" s="833"/>
      <c r="C969" s="809"/>
      <c r="D969" s="140" t="s">
        <v>45</v>
      </c>
      <c r="E969" s="142">
        <v>160059853</v>
      </c>
      <c r="F969" s="142">
        <v>160059853</v>
      </c>
      <c r="G969" s="445">
        <v>160059853</v>
      </c>
      <c r="H969" s="445">
        <v>160059853</v>
      </c>
      <c r="I969" s="445">
        <v>160059853</v>
      </c>
      <c r="J969" s="445">
        <v>160059853</v>
      </c>
      <c r="K969" s="445">
        <v>160059853</v>
      </c>
      <c r="L969" s="456">
        <f>+INVERSIÓN!BA72</f>
        <v>160059853</v>
      </c>
      <c r="M969" s="456">
        <f>+INVERSIÓN!BB72</f>
        <v>160059853</v>
      </c>
      <c r="N969" s="456">
        <f>+INVERSIÓN!BC72</f>
        <v>160059853</v>
      </c>
      <c r="O969" s="445">
        <v>160059853</v>
      </c>
      <c r="P969" s="445">
        <v>160059853</v>
      </c>
      <c r="Q969" s="445">
        <v>160059853</v>
      </c>
      <c r="R969" s="445">
        <v>160059853</v>
      </c>
      <c r="S969" s="454"/>
      <c r="T969" s="454">
        <v>33914000</v>
      </c>
      <c r="U969" s="454">
        <v>97735000</v>
      </c>
      <c r="V969" s="454">
        <v>203360834</v>
      </c>
      <c r="W969" s="454">
        <v>126122834</v>
      </c>
      <c r="X969" s="454">
        <v>157987834</v>
      </c>
      <c r="Y969" s="457">
        <f>+INVERSIÓN!BC72</f>
        <v>160059853</v>
      </c>
      <c r="Z969" s="454">
        <v>160059853</v>
      </c>
      <c r="AA969" s="454">
        <v>160059853</v>
      </c>
      <c r="AB969" s="1254">
        <v>160059853</v>
      </c>
      <c r="AC969" s="1225">
        <v>160059853</v>
      </c>
      <c r="AD969" s="1225">
        <v>160059853</v>
      </c>
      <c r="AE969" s="445">
        <v>160059853</v>
      </c>
      <c r="AF969" s="1283"/>
      <c r="AG969" s="1230"/>
      <c r="AH969" s="810"/>
      <c r="AI969" s="810"/>
      <c r="AJ969" s="810"/>
      <c r="AK969" s="809"/>
      <c r="AL969" s="810"/>
      <c r="AM969" s="810"/>
      <c r="AN969" s="805"/>
      <c r="AO969" s="785"/>
      <c r="AP969" s="785"/>
      <c r="AQ969" s="787"/>
      <c r="AR969" s="787"/>
      <c r="AS969" s="787"/>
      <c r="AT969" s="787"/>
      <c r="AU969" s="787"/>
      <c r="AV969" s="787"/>
      <c r="AW969" s="787"/>
      <c r="AX969" s="785"/>
      <c r="AY969" s="1214"/>
    </row>
    <row r="970" spans="1:51" ht="18" customHeight="1" x14ac:dyDescent="0.25">
      <c r="A970" s="1195"/>
      <c r="B970" s="833"/>
      <c r="C970" s="809" t="s">
        <v>410</v>
      </c>
      <c r="D970" s="141" t="s">
        <v>41</v>
      </c>
      <c r="E970" s="142">
        <v>0</v>
      </c>
      <c r="F970" s="143">
        <v>0</v>
      </c>
      <c r="G970" s="445">
        <v>0</v>
      </c>
      <c r="H970" s="445">
        <v>0</v>
      </c>
      <c r="I970" s="445">
        <v>0</v>
      </c>
      <c r="J970" s="445">
        <v>0</v>
      </c>
      <c r="K970" s="445">
        <v>0</v>
      </c>
      <c r="L970" s="445">
        <f>+L964</f>
        <v>0</v>
      </c>
      <c r="M970" s="445">
        <f>+M964</f>
        <v>0</v>
      </c>
      <c r="N970" s="445">
        <f>+N964</f>
        <v>0</v>
      </c>
      <c r="O970" s="445">
        <v>0</v>
      </c>
      <c r="P970" s="445">
        <f>+P964</f>
        <v>0</v>
      </c>
      <c r="Q970" s="445">
        <f>+Q964</f>
        <v>0</v>
      </c>
      <c r="R970" s="445">
        <f>+R964</f>
        <v>0</v>
      </c>
      <c r="S970" s="445"/>
      <c r="T970" s="450">
        <v>0</v>
      </c>
      <c r="U970" s="450">
        <v>0</v>
      </c>
      <c r="V970" s="450">
        <v>0</v>
      </c>
      <c r="W970" s="450">
        <v>0</v>
      </c>
      <c r="X970" s="450">
        <f>+X964</f>
        <v>0</v>
      </c>
      <c r="Y970" s="450">
        <f>+Y964</f>
        <v>0</v>
      </c>
      <c r="Z970" s="446">
        <v>0</v>
      </c>
      <c r="AA970" s="446">
        <v>0</v>
      </c>
      <c r="AB970" s="447">
        <v>0</v>
      </c>
      <c r="AC970" s="447">
        <f>+AC964</f>
        <v>0</v>
      </c>
      <c r="AD970" s="447">
        <f>+AD964</f>
        <v>0</v>
      </c>
      <c r="AE970" s="445">
        <f>+AE964</f>
        <v>0</v>
      </c>
      <c r="AF970" s="1283"/>
      <c r="AG970" s="1230" t="s">
        <v>541</v>
      </c>
      <c r="AH970" s="810" t="s">
        <v>70</v>
      </c>
      <c r="AI970" s="810" t="s">
        <v>70</v>
      </c>
      <c r="AJ970" s="810" t="s">
        <v>70</v>
      </c>
      <c r="AK970" s="809" t="s">
        <v>315</v>
      </c>
      <c r="AL970" s="810"/>
      <c r="AM970" s="790" t="s">
        <v>616</v>
      </c>
      <c r="AN970" s="805">
        <v>7804660</v>
      </c>
      <c r="AO970" s="783">
        <v>3721767</v>
      </c>
      <c r="AP970" s="783">
        <v>4082893</v>
      </c>
      <c r="AQ970" s="787" t="s">
        <v>317</v>
      </c>
      <c r="AR970" s="787" t="s">
        <v>317</v>
      </c>
      <c r="AS970" s="787" t="s">
        <v>317</v>
      </c>
      <c r="AT970" s="787" t="s">
        <v>317</v>
      </c>
      <c r="AU970" s="787" t="s">
        <v>317</v>
      </c>
      <c r="AV970" s="787" t="s">
        <v>317</v>
      </c>
      <c r="AW970" s="787" t="s">
        <v>317</v>
      </c>
      <c r="AX970" s="783">
        <v>7804660</v>
      </c>
      <c r="AY970" s="1214"/>
    </row>
    <row r="971" spans="1:51" ht="18" x14ac:dyDescent="0.25">
      <c r="A971" s="1195"/>
      <c r="B971" s="833"/>
      <c r="C971" s="809"/>
      <c r="D971" s="132" t="s">
        <v>3</v>
      </c>
      <c r="E971" s="142">
        <v>0</v>
      </c>
      <c r="F971" s="143">
        <v>0</v>
      </c>
      <c r="G971" s="445">
        <v>0</v>
      </c>
      <c r="H971" s="445">
        <v>0</v>
      </c>
      <c r="I971" s="445">
        <v>0</v>
      </c>
      <c r="J971" s="445">
        <v>0</v>
      </c>
      <c r="K971" s="445">
        <v>0</v>
      </c>
      <c r="L971" s="445">
        <f t="shared" ref="L971:L975" si="71">+L965</f>
        <v>0</v>
      </c>
      <c r="M971" s="445">
        <f t="shared" ref="M971:N971" si="72">+M965</f>
        <v>0</v>
      </c>
      <c r="N971" s="445">
        <f t="shared" si="72"/>
        <v>0</v>
      </c>
      <c r="O971" s="445">
        <v>0</v>
      </c>
      <c r="P971" s="445">
        <f t="shared" ref="P971:Q975" si="73">+P965</f>
        <v>0</v>
      </c>
      <c r="Q971" s="445">
        <f t="shared" si="73"/>
        <v>0</v>
      </c>
      <c r="R971" s="445">
        <f t="shared" ref="R971" si="74">+R965</f>
        <v>0</v>
      </c>
      <c r="S971" s="445"/>
      <c r="T971" s="450">
        <v>0</v>
      </c>
      <c r="U971" s="450">
        <v>0</v>
      </c>
      <c r="V971" s="450">
        <v>0</v>
      </c>
      <c r="W971" s="450">
        <v>0</v>
      </c>
      <c r="X971" s="450">
        <f t="shared" ref="X971:Y975" si="75">+X965</f>
        <v>0</v>
      </c>
      <c r="Y971" s="450">
        <f t="shared" si="75"/>
        <v>0</v>
      </c>
      <c r="Z971" s="446">
        <v>0</v>
      </c>
      <c r="AA971" s="446">
        <v>0</v>
      </c>
      <c r="AB971" s="447">
        <v>0</v>
      </c>
      <c r="AC971" s="447">
        <f t="shared" ref="AC971:AE975" si="76">+AC965</f>
        <v>0</v>
      </c>
      <c r="AD971" s="447">
        <f t="shared" si="76"/>
        <v>0</v>
      </c>
      <c r="AE971" s="445">
        <f t="shared" si="76"/>
        <v>0</v>
      </c>
      <c r="AF971" s="1283"/>
      <c r="AG971" s="1230"/>
      <c r="AH971" s="810"/>
      <c r="AI971" s="810"/>
      <c r="AJ971" s="810"/>
      <c r="AK971" s="809"/>
      <c r="AL971" s="810"/>
      <c r="AM971" s="810"/>
      <c r="AN971" s="805"/>
      <c r="AO971" s="784"/>
      <c r="AP971" s="784"/>
      <c r="AQ971" s="787"/>
      <c r="AR971" s="787"/>
      <c r="AS971" s="787"/>
      <c r="AT971" s="787"/>
      <c r="AU971" s="787"/>
      <c r="AV971" s="787"/>
      <c r="AW971" s="787"/>
      <c r="AX971" s="784"/>
      <c r="AY971" s="1214"/>
    </row>
    <row r="972" spans="1:51" ht="27" x14ac:dyDescent="0.25">
      <c r="A972" s="1195"/>
      <c r="B972" s="833"/>
      <c r="C972" s="809"/>
      <c r="D972" s="136" t="s">
        <v>42</v>
      </c>
      <c r="E972" s="142">
        <v>0</v>
      </c>
      <c r="F972" s="143">
        <v>0</v>
      </c>
      <c r="G972" s="445">
        <v>0.1</v>
      </c>
      <c r="H972" s="445">
        <v>0.1</v>
      </c>
      <c r="I972" s="445">
        <v>0.1</v>
      </c>
      <c r="J972" s="445">
        <v>0.1</v>
      </c>
      <c r="K972" s="445">
        <v>0.1</v>
      </c>
      <c r="L972" s="445">
        <f t="shared" si="71"/>
        <v>0.1</v>
      </c>
      <c r="M972" s="445">
        <f t="shared" ref="M972:N972" si="77">+M966</f>
        <v>0.1</v>
      </c>
      <c r="N972" s="445">
        <f t="shared" si="77"/>
        <v>0.1</v>
      </c>
      <c r="O972" s="445">
        <v>0.1</v>
      </c>
      <c r="P972" s="445">
        <f t="shared" si="73"/>
        <v>0.1</v>
      </c>
      <c r="Q972" s="445">
        <f t="shared" si="73"/>
        <v>0.1</v>
      </c>
      <c r="R972" s="445">
        <f t="shared" ref="R972" si="78">+R966</f>
        <v>0.1</v>
      </c>
      <c r="S972" s="445"/>
      <c r="T972" s="450">
        <v>0.05</v>
      </c>
      <c r="U972" s="450">
        <v>0.1</v>
      </c>
      <c r="V972" s="450">
        <v>0</v>
      </c>
      <c r="W972" s="450">
        <v>0</v>
      </c>
      <c r="X972" s="450">
        <f t="shared" si="75"/>
        <v>0</v>
      </c>
      <c r="Y972" s="450">
        <f t="shared" si="75"/>
        <v>0.1</v>
      </c>
      <c r="Z972" s="446">
        <v>0.1</v>
      </c>
      <c r="AA972" s="446">
        <v>0.1</v>
      </c>
      <c r="AB972" s="447">
        <v>0.1</v>
      </c>
      <c r="AC972" s="447">
        <f t="shared" si="76"/>
        <v>0.1</v>
      </c>
      <c r="AD972" s="447">
        <f t="shared" si="76"/>
        <v>0.1</v>
      </c>
      <c r="AE972" s="445">
        <f t="shared" si="76"/>
        <v>0.1</v>
      </c>
      <c r="AF972" s="1283"/>
      <c r="AG972" s="1230"/>
      <c r="AH972" s="810"/>
      <c r="AI972" s="810"/>
      <c r="AJ972" s="810"/>
      <c r="AK972" s="809"/>
      <c r="AL972" s="810"/>
      <c r="AM972" s="810"/>
      <c r="AN972" s="805"/>
      <c r="AO972" s="784"/>
      <c r="AP972" s="784"/>
      <c r="AQ972" s="787"/>
      <c r="AR972" s="787"/>
      <c r="AS972" s="787"/>
      <c r="AT972" s="787"/>
      <c r="AU972" s="787"/>
      <c r="AV972" s="787"/>
      <c r="AW972" s="787"/>
      <c r="AX972" s="784"/>
      <c r="AY972" s="1214"/>
    </row>
    <row r="973" spans="1:51" ht="27" x14ac:dyDescent="0.25">
      <c r="A973" s="1195"/>
      <c r="B973" s="833"/>
      <c r="C973" s="809"/>
      <c r="D973" s="132" t="s">
        <v>4</v>
      </c>
      <c r="E973" s="142">
        <v>0</v>
      </c>
      <c r="F973" s="143">
        <v>0</v>
      </c>
      <c r="G973" s="445">
        <v>160059853</v>
      </c>
      <c r="H973" s="445">
        <v>160059853</v>
      </c>
      <c r="I973" s="445">
        <v>160059853</v>
      </c>
      <c r="J973" s="445">
        <v>160059853</v>
      </c>
      <c r="K973" s="445">
        <v>160059853</v>
      </c>
      <c r="L973" s="445">
        <f t="shared" si="71"/>
        <v>160059853</v>
      </c>
      <c r="M973" s="445">
        <f t="shared" ref="M973:N973" si="79">+M967</f>
        <v>160059853</v>
      </c>
      <c r="N973" s="445">
        <f t="shared" si="79"/>
        <v>160059853</v>
      </c>
      <c r="O973" s="445">
        <v>160059853</v>
      </c>
      <c r="P973" s="445">
        <f t="shared" si="73"/>
        <v>160059853</v>
      </c>
      <c r="Q973" s="445">
        <f t="shared" si="73"/>
        <v>160059853</v>
      </c>
      <c r="R973" s="445">
        <f t="shared" ref="R973" si="80">+R967</f>
        <v>160059853</v>
      </c>
      <c r="S973" s="445"/>
      <c r="T973" s="450">
        <v>33914000</v>
      </c>
      <c r="U973" s="450">
        <v>97735000</v>
      </c>
      <c r="V973" s="450">
        <v>126122834</v>
      </c>
      <c r="W973" s="450">
        <v>126122834</v>
      </c>
      <c r="X973" s="450">
        <f t="shared" si="75"/>
        <v>157987834</v>
      </c>
      <c r="Y973" s="450">
        <f t="shared" si="75"/>
        <v>160059853</v>
      </c>
      <c r="Z973" s="446">
        <v>160059853</v>
      </c>
      <c r="AA973" s="446">
        <v>160059853</v>
      </c>
      <c r="AB973" s="447">
        <v>160059853</v>
      </c>
      <c r="AC973" s="447">
        <f t="shared" si="76"/>
        <v>160059853</v>
      </c>
      <c r="AD973" s="447">
        <f t="shared" si="76"/>
        <v>160059853</v>
      </c>
      <c r="AE973" s="445">
        <f t="shared" si="76"/>
        <v>160059853</v>
      </c>
      <c r="AF973" s="1283"/>
      <c r="AG973" s="1230"/>
      <c r="AH973" s="810"/>
      <c r="AI973" s="810"/>
      <c r="AJ973" s="810"/>
      <c r="AK973" s="809"/>
      <c r="AL973" s="810"/>
      <c r="AM973" s="810"/>
      <c r="AN973" s="805"/>
      <c r="AO973" s="784"/>
      <c r="AP973" s="784"/>
      <c r="AQ973" s="787"/>
      <c r="AR973" s="787"/>
      <c r="AS973" s="787"/>
      <c r="AT973" s="787"/>
      <c r="AU973" s="787"/>
      <c r="AV973" s="787"/>
      <c r="AW973" s="787"/>
      <c r="AX973" s="784"/>
      <c r="AY973" s="1214"/>
    </row>
    <row r="974" spans="1:51" ht="27" x14ac:dyDescent="0.25">
      <c r="A974" s="1195"/>
      <c r="B974" s="833"/>
      <c r="C974" s="809"/>
      <c r="D974" s="136" t="s">
        <v>43</v>
      </c>
      <c r="E974" s="142">
        <v>0</v>
      </c>
      <c r="F974" s="143">
        <v>0</v>
      </c>
      <c r="G974" s="445">
        <v>0.1</v>
      </c>
      <c r="H974" s="445">
        <v>0.1</v>
      </c>
      <c r="I974" s="445">
        <v>0.1</v>
      </c>
      <c r="J974" s="445">
        <v>0.1</v>
      </c>
      <c r="K974" s="445">
        <v>0.1</v>
      </c>
      <c r="L974" s="445">
        <f t="shared" si="71"/>
        <v>0.1</v>
      </c>
      <c r="M974" s="445">
        <f t="shared" ref="M974:N974" si="81">+M968</f>
        <v>0.15000000000000002</v>
      </c>
      <c r="N974" s="445">
        <f t="shared" si="81"/>
        <v>0.15000000000000002</v>
      </c>
      <c r="O974" s="445">
        <v>0.15000000000000002</v>
      </c>
      <c r="P974" s="445">
        <f t="shared" si="73"/>
        <v>0.15000000000000002</v>
      </c>
      <c r="Q974" s="445">
        <f t="shared" si="73"/>
        <v>0.15000000000000002</v>
      </c>
      <c r="R974" s="445">
        <f t="shared" ref="R974" si="82">+R968</f>
        <v>0.1</v>
      </c>
      <c r="S974" s="445"/>
      <c r="T974" s="450">
        <v>0.05</v>
      </c>
      <c r="U974" s="450">
        <v>0.1</v>
      </c>
      <c r="V974" s="450">
        <v>0</v>
      </c>
      <c r="W974" s="450">
        <v>0</v>
      </c>
      <c r="X974" s="450">
        <f t="shared" si="75"/>
        <v>0</v>
      </c>
      <c r="Y974" s="450">
        <f t="shared" si="75"/>
        <v>0.15000000000000002</v>
      </c>
      <c r="Z974" s="446">
        <v>0.15000000000000002</v>
      </c>
      <c r="AA974" s="446">
        <v>0.15000000000000002</v>
      </c>
      <c r="AB974" s="447">
        <v>0.15000000000000002</v>
      </c>
      <c r="AC974" s="447">
        <f t="shared" si="76"/>
        <v>0.15000000000000002</v>
      </c>
      <c r="AD974" s="447">
        <f t="shared" si="76"/>
        <v>0.15000000000000002</v>
      </c>
      <c r="AE974" s="445">
        <f t="shared" si="76"/>
        <v>0.1</v>
      </c>
      <c r="AF974" s="1283"/>
      <c r="AG974" s="1230"/>
      <c r="AH974" s="810"/>
      <c r="AI974" s="810"/>
      <c r="AJ974" s="810"/>
      <c r="AK974" s="809"/>
      <c r="AL974" s="810"/>
      <c r="AM974" s="810"/>
      <c r="AN974" s="805"/>
      <c r="AO974" s="784"/>
      <c r="AP974" s="784"/>
      <c r="AQ974" s="787"/>
      <c r="AR974" s="787"/>
      <c r="AS974" s="787"/>
      <c r="AT974" s="787"/>
      <c r="AU974" s="787"/>
      <c r="AV974" s="787"/>
      <c r="AW974" s="787"/>
      <c r="AX974" s="784"/>
      <c r="AY974" s="1214"/>
    </row>
    <row r="975" spans="1:51" ht="27.75" thickBot="1" x14ac:dyDescent="0.3">
      <c r="A975" s="1196"/>
      <c r="B975" s="1193"/>
      <c r="C975" s="809"/>
      <c r="D975" s="140" t="s">
        <v>45</v>
      </c>
      <c r="E975" s="142">
        <v>0</v>
      </c>
      <c r="F975" s="143">
        <v>0</v>
      </c>
      <c r="G975" s="445">
        <v>160059853</v>
      </c>
      <c r="H975" s="445">
        <v>160059853</v>
      </c>
      <c r="I975" s="445">
        <v>160059853</v>
      </c>
      <c r="J975" s="445">
        <v>160059853</v>
      </c>
      <c r="K975" s="445">
        <v>160059853</v>
      </c>
      <c r="L975" s="445">
        <f t="shared" si="71"/>
        <v>160059853</v>
      </c>
      <c r="M975" s="445">
        <f t="shared" ref="M975:N975" si="83">+M969</f>
        <v>160059853</v>
      </c>
      <c r="N975" s="445">
        <f t="shared" si="83"/>
        <v>160059853</v>
      </c>
      <c r="O975" s="445">
        <v>160059853</v>
      </c>
      <c r="P975" s="445">
        <f t="shared" si="73"/>
        <v>160059853</v>
      </c>
      <c r="Q975" s="445">
        <f t="shared" si="73"/>
        <v>160059853</v>
      </c>
      <c r="R975" s="445">
        <f t="shared" ref="R975" si="84">+R969</f>
        <v>160059853</v>
      </c>
      <c r="S975" s="445"/>
      <c r="T975" s="450">
        <v>33914000</v>
      </c>
      <c r="U975" s="450">
        <v>97735000</v>
      </c>
      <c r="V975" s="450">
        <v>203360834</v>
      </c>
      <c r="W975" s="450">
        <v>126122834</v>
      </c>
      <c r="X975" s="450">
        <f t="shared" si="75"/>
        <v>157987834</v>
      </c>
      <c r="Y975" s="450">
        <f t="shared" si="75"/>
        <v>160059853</v>
      </c>
      <c r="Z975" s="446">
        <v>160059853</v>
      </c>
      <c r="AA975" s="446">
        <v>160059853</v>
      </c>
      <c r="AB975" s="447">
        <v>160059853</v>
      </c>
      <c r="AC975" s="447">
        <f t="shared" si="76"/>
        <v>160059853</v>
      </c>
      <c r="AD975" s="447">
        <f t="shared" si="76"/>
        <v>160059853</v>
      </c>
      <c r="AE975" s="445">
        <f t="shared" si="76"/>
        <v>160059853</v>
      </c>
      <c r="AF975" s="1288"/>
      <c r="AG975" s="1230"/>
      <c r="AH975" s="810"/>
      <c r="AI975" s="810"/>
      <c r="AJ975" s="810"/>
      <c r="AK975" s="809"/>
      <c r="AL975" s="810"/>
      <c r="AM975" s="810"/>
      <c r="AN975" s="805"/>
      <c r="AO975" s="785"/>
      <c r="AP975" s="785"/>
      <c r="AQ975" s="787"/>
      <c r="AR975" s="787"/>
      <c r="AS975" s="787"/>
      <c r="AT975" s="787"/>
      <c r="AU975" s="787"/>
      <c r="AV975" s="787"/>
      <c r="AW975" s="787"/>
      <c r="AX975" s="785"/>
      <c r="AY975" s="1214"/>
    </row>
    <row r="976" spans="1:51" ht="24.75" customHeight="1" x14ac:dyDescent="0.25">
      <c r="A976" s="1194">
        <v>10</v>
      </c>
      <c r="B976" s="1190" t="s">
        <v>299</v>
      </c>
      <c r="C976" s="809" t="s">
        <v>617</v>
      </c>
      <c r="D976" s="141" t="s">
        <v>41</v>
      </c>
      <c r="E976" s="142">
        <v>15</v>
      </c>
      <c r="F976" s="142">
        <v>15</v>
      </c>
      <c r="G976" s="445">
        <v>15</v>
      </c>
      <c r="H976" s="445">
        <v>15</v>
      </c>
      <c r="I976" s="445">
        <v>15</v>
      </c>
      <c r="J976" s="445">
        <v>15</v>
      </c>
      <c r="K976" s="445">
        <v>15</v>
      </c>
      <c r="L976" s="445">
        <f>+INVERSIÓN!BA73</f>
        <v>15</v>
      </c>
      <c r="M976" s="445">
        <v>15</v>
      </c>
      <c r="N976" s="455">
        <v>15</v>
      </c>
      <c r="O976" s="445">
        <v>15</v>
      </c>
      <c r="P976" s="445">
        <v>15</v>
      </c>
      <c r="Q976" s="445">
        <v>15</v>
      </c>
      <c r="R976" s="447">
        <v>15</v>
      </c>
      <c r="S976" s="454"/>
      <c r="T976" s="454">
        <v>1.25</v>
      </c>
      <c r="U976" s="454">
        <v>2.5</v>
      </c>
      <c r="V976" s="454">
        <v>3.75</v>
      </c>
      <c r="W976" s="454">
        <v>5</v>
      </c>
      <c r="X976" s="454">
        <v>6.25</v>
      </c>
      <c r="Y976" s="454">
        <v>7.5</v>
      </c>
      <c r="Z976" s="454">
        <f>+INVERSIÓN!BC73</f>
        <v>15</v>
      </c>
      <c r="AA976" s="455">
        <v>10</v>
      </c>
      <c r="AB976" s="1254">
        <v>11.25</v>
      </c>
      <c r="AC976" s="1225">
        <v>11.25</v>
      </c>
      <c r="AD976" s="447">
        <v>13.75</v>
      </c>
      <c r="AE976" s="1238">
        <v>15</v>
      </c>
      <c r="AF976" s="1278" t="s">
        <v>618</v>
      </c>
      <c r="AG976" s="1230" t="s">
        <v>541</v>
      </c>
      <c r="AH976" s="810" t="s">
        <v>70</v>
      </c>
      <c r="AI976" s="810" t="s">
        <v>70</v>
      </c>
      <c r="AJ976" s="810" t="s">
        <v>70</v>
      </c>
      <c r="AK976" s="809" t="s">
        <v>315</v>
      </c>
      <c r="AL976" s="790"/>
      <c r="AM976" s="790" t="s">
        <v>616</v>
      </c>
      <c r="AN976" s="805">
        <v>7804660</v>
      </c>
      <c r="AO976" s="783">
        <v>3721767</v>
      </c>
      <c r="AP976" s="783">
        <v>4082893</v>
      </c>
      <c r="AQ976" s="787" t="s">
        <v>317</v>
      </c>
      <c r="AR976" s="787" t="s">
        <v>317</v>
      </c>
      <c r="AS976" s="787" t="s">
        <v>317</v>
      </c>
      <c r="AT976" s="787" t="s">
        <v>317</v>
      </c>
      <c r="AU976" s="787" t="s">
        <v>317</v>
      </c>
      <c r="AV976" s="787" t="s">
        <v>317</v>
      </c>
      <c r="AW976" s="787" t="s">
        <v>317</v>
      </c>
      <c r="AX976" s="783">
        <v>7804660</v>
      </c>
      <c r="AY976" s="1214"/>
    </row>
    <row r="977" spans="1:57" ht="24.75" customHeight="1" x14ac:dyDescent="0.25">
      <c r="A977" s="1195"/>
      <c r="B977" s="833"/>
      <c r="C977" s="809"/>
      <c r="D977" s="132" t="s">
        <v>3</v>
      </c>
      <c r="E977" s="142">
        <v>801561000</v>
      </c>
      <c r="F977" s="142">
        <v>801561000</v>
      </c>
      <c r="G977" s="445">
        <v>801561000</v>
      </c>
      <c r="H977" s="445">
        <v>801561000</v>
      </c>
      <c r="I977" s="445">
        <v>801561000</v>
      </c>
      <c r="J977" s="445">
        <v>754641627</v>
      </c>
      <c r="K977" s="456">
        <v>754641627</v>
      </c>
      <c r="L977" s="445">
        <f>+INVERSIÓN!BA74</f>
        <v>800631627</v>
      </c>
      <c r="M977" s="445">
        <v>754641627</v>
      </c>
      <c r="N977" s="455">
        <v>779641627</v>
      </c>
      <c r="O977" s="445">
        <v>779641627</v>
      </c>
      <c r="P977" s="445">
        <v>779641627</v>
      </c>
      <c r="Q977" s="445">
        <v>779641627</v>
      </c>
      <c r="R977" s="447">
        <v>800631627</v>
      </c>
      <c r="S977" s="454"/>
      <c r="T977" s="454">
        <v>0</v>
      </c>
      <c r="U977" s="454">
        <v>101350694</v>
      </c>
      <c r="V977" s="454">
        <v>426196694</v>
      </c>
      <c r="W977" s="454">
        <v>619322694</v>
      </c>
      <c r="X977" s="457">
        <v>619322694</v>
      </c>
      <c r="Y977" s="454">
        <v>687593894</v>
      </c>
      <c r="Z977" s="454">
        <f>+INVERSIÓN!BC74</f>
        <v>779007364</v>
      </c>
      <c r="AA977" s="455">
        <v>688372804</v>
      </c>
      <c r="AB977" s="1254">
        <v>708372804</v>
      </c>
      <c r="AC977" s="1225">
        <v>718303404</v>
      </c>
      <c r="AD977" s="447">
        <v>764339031</v>
      </c>
      <c r="AE977" s="1238">
        <v>779007364</v>
      </c>
      <c r="AF977" s="1283"/>
      <c r="AG977" s="1230"/>
      <c r="AH977" s="810"/>
      <c r="AI977" s="810"/>
      <c r="AJ977" s="810"/>
      <c r="AK977" s="809"/>
      <c r="AL977" s="810"/>
      <c r="AM977" s="810"/>
      <c r="AN977" s="805"/>
      <c r="AO977" s="784"/>
      <c r="AP977" s="784"/>
      <c r="AQ977" s="787"/>
      <c r="AR977" s="787"/>
      <c r="AS977" s="787"/>
      <c r="AT977" s="787"/>
      <c r="AU977" s="787"/>
      <c r="AV977" s="787"/>
      <c r="AW977" s="787"/>
      <c r="AX977" s="784"/>
      <c r="AY977" s="1214"/>
    </row>
    <row r="978" spans="1:57" ht="24.75" customHeight="1" x14ac:dyDescent="0.25">
      <c r="A978" s="1195"/>
      <c r="B978" s="833"/>
      <c r="C978" s="809"/>
      <c r="D978" s="136" t="s">
        <v>42</v>
      </c>
      <c r="E978" s="142" t="e">
        <v>#REF!</v>
      </c>
      <c r="F978" s="142" t="e">
        <v>#REF!</v>
      </c>
      <c r="G978" s="445">
        <v>0</v>
      </c>
      <c r="H978" s="445">
        <v>0</v>
      </c>
      <c r="I978" s="445">
        <v>0</v>
      </c>
      <c r="J978" s="445">
        <v>0</v>
      </c>
      <c r="K978" s="456">
        <v>0</v>
      </c>
      <c r="L978" s="456">
        <v>0</v>
      </c>
      <c r="M978" s="445">
        <v>0</v>
      </c>
      <c r="N978" s="455">
        <v>0</v>
      </c>
      <c r="O978" s="445">
        <v>0</v>
      </c>
      <c r="P978" s="445">
        <v>0</v>
      </c>
      <c r="Q978" s="445">
        <v>0</v>
      </c>
      <c r="R978" s="445">
        <v>0</v>
      </c>
      <c r="S978" s="454"/>
      <c r="T978" s="454">
        <v>0</v>
      </c>
      <c r="U978" s="454">
        <v>0</v>
      </c>
      <c r="V978" s="454">
        <v>0</v>
      </c>
      <c r="W978" s="454">
        <v>0</v>
      </c>
      <c r="X978" s="457">
        <v>0</v>
      </c>
      <c r="Y978" s="457">
        <v>0</v>
      </c>
      <c r="Z978" s="454">
        <f>+INVERSIÓN!BC76</f>
        <v>0</v>
      </c>
      <c r="AA978" s="455">
        <v>0</v>
      </c>
      <c r="AB978" s="1254">
        <v>0</v>
      </c>
      <c r="AC978" s="1225">
        <v>0</v>
      </c>
      <c r="AD978" s="1225">
        <v>0</v>
      </c>
      <c r="AE978" s="1238">
        <v>0</v>
      </c>
      <c r="AF978" s="1283"/>
      <c r="AG978" s="1230"/>
      <c r="AH978" s="810"/>
      <c r="AI978" s="810"/>
      <c r="AJ978" s="810"/>
      <c r="AK978" s="809"/>
      <c r="AL978" s="810"/>
      <c r="AM978" s="810"/>
      <c r="AN978" s="805"/>
      <c r="AO978" s="784"/>
      <c r="AP978" s="784"/>
      <c r="AQ978" s="787"/>
      <c r="AR978" s="787"/>
      <c r="AS978" s="787"/>
      <c r="AT978" s="787"/>
      <c r="AU978" s="787"/>
      <c r="AV978" s="787"/>
      <c r="AW978" s="787"/>
      <c r="AX978" s="784"/>
      <c r="AY978" s="1214"/>
    </row>
    <row r="979" spans="1:57" ht="24.75" customHeight="1" x14ac:dyDescent="0.25">
      <c r="A979" s="1195"/>
      <c r="B979" s="833"/>
      <c r="C979" s="809"/>
      <c r="D979" s="132" t="s">
        <v>4</v>
      </c>
      <c r="E979" s="142">
        <v>81973233</v>
      </c>
      <c r="F979" s="142">
        <v>81973233</v>
      </c>
      <c r="G979" s="445">
        <v>81973233</v>
      </c>
      <c r="H979" s="445">
        <v>81973233</v>
      </c>
      <c r="I979" s="445">
        <v>81973233</v>
      </c>
      <c r="J979" s="445">
        <v>81973233</v>
      </c>
      <c r="K979" s="456">
        <v>81973233</v>
      </c>
      <c r="L979" s="456">
        <f>+INVERSIÓN!BA77</f>
        <v>81482633</v>
      </c>
      <c r="M979" s="445">
        <v>81973233</v>
      </c>
      <c r="N979" s="455">
        <v>81482633</v>
      </c>
      <c r="O979" s="445">
        <v>81482633</v>
      </c>
      <c r="P979" s="445">
        <v>81482633</v>
      </c>
      <c r="Q979" s="445">
        <v>81482633</v>
      </c>
      <c r="R979" s="445">
        <v>81482633</v>
      </c>
      <c r="S979" s="454"/>
      <c r="T979" s="454">
        <v>11357200</v>
      </c>
      <c r="U979" s="454">
        <v>38726571</v>
      </c>
      <c r="V979" s="454">
        <v>78539901</v>
      </c>
      <c r="W979" s="454">
        <v>80858628</v>
      </c>
      <c r="X979" s="457">
        <v>80858628</v>
      </c>
      <c r="Y979" s="457">
        <v>81064268</v>
      </c>
      <c r="Z979" s="454">
        <f>+INVERSIÓN!BC77</f>
        <v>81482633</v>
      </c>
      <c r="AA979" s="455">
        <v>81482633</v>
      </c>
      <c r="AB979" s="1254">
        <v>81482633</v>
      </c>
      <c r="AC979" s="1225">
        <v>81482633</v>
      </c>
      <c r="AD979" s="1225">
        <v>81482633</v>
      </c>
      <c r="AE979" s="1238">
        <v>81482633</v>
      </c>
      <c r="AF979" s="1283"/>
      <c r="AG979" s="1230"/>
      <c r="AH979" s="810"/>
      <c r="AI979" s="810"/>
      <c r="AJ979" s="810"/>
      <c r="AK979" s="809"/>
      <c r="AL979" s="810"/>
      <c r="AM979" s="810"/>
      <c r="AN979" s="805"/>
      <c r="AO979" s="784"/>
      <c r="AP979" s="784"/>
      <c r="AQ979" s="787"/>
      <c r="AR979" s="787"/>
      <c r="AS979" s="787"/>
      <c r="AT979" s="787"/>
      <c r="AU979" s="787"/>
      <c r="AV979" s="787"/>
      <c r="AW979" s="787"/>
      <c r="AX979" s="784"/>
      <c r="AY979" s="1214"/>
    </row>
    <row r="980" spans="1:57" ht="24.75" customHeight="1" x14ac:dyDescent="0.25">
      <c r="A980" s="1195"/>
      <c r="B980" s="833"/>
      <c r="C980" s="809"/>
      <c r="D980" s="136" t="s">
        <v>43</v>
      </c>
      <c r="E980" s="142">
        <v>15</v>
      </c>
      <c r="F980" s="142">
        <v>15</v>
      </c>
      <c r="G980" s="445">
        <v>15</v>
      </c>
      <c r="H980" s="445">
        <v>15</v>
      </c>
      <c r="I980" s="445">
        <v>15</v>
      </c>
      <c r="J980" s="445">
        <v>15</v>
      </c>
      <c r="K980" s="445">
        <v>15</v>
      </c>
      <c r="L980" s="456">
        <f>+INVERSIÓN!BA78</f>
        <v>15</v>
      </c>
      <c r="M980" s="445">
        <v>15</v>
      </c>
      <c r="N980" s="455">
        <v>15</v>
      </c>
      <c r="O980" s="445">
        <v>15</v>
      </c>
      <c r="P980" s="445">
        <v>15</v>
      </c>
      <c r="Q980" s="445">
        <v>15</v>
      </c>
      <c r="R980" s="447">
        <v>15</v>
      </c>
      <c r="S980" s="454"/>
      <c r="T980" s="454">
        <v>1.25</v>
      </c>
      <c r="U980" s="454">
        <v>2.5</v>
      </c>
      <c r="V980" s="454">
        <v>3.75</v>
      </c>
      <c r="W980" s="454">
        <v>5</v>
      </c>
      <c r="X980" s="447">
        <v>6.25</v>
      </c>
      <c r="Y980" s="457">
        <v>6.25</v>
      </c>
      <c r="Z980" s="454">
        <f>+INVERSIÓN!BC78</f>
        <v>12.5</v>
      </c>
      <c r="AA980" s="455">
        <v>10</v>
      </c>
      <c r="AB980" s="1254">
        <v>10</v>
      </c>
      <c r="AC980" s="1225">
        <v>11.25</v>
      </c>
      <c r="AD980" s="1225">
        <v>13.5</v>
      </c>
      <c r="AE980" s="1238">
        <v>15</v>
      </c>
      <c r="AF980" s="1283"/>
      <c r="AG980" s="1230"/>
      <c r="AH980" s="810"/>
      <c r="AI980" s="810"/>
      <c r="AJ980" s="810"/>
      <c r="AK980" s="809"/>
      <c r="AL980" s="810"/>
      <c r="AM980" s="810"/>
      <c r="AN980" s="805"/>
      <c r="AO980" s="784"/>
      <c r="AP980" s="784"/>
      <c r="AQ980" s="787"/>
      <c r="AR980" s="787"/>
      <c r="AS980" s="787"/>
      <c r="AT980" s="787"/>
      <c r="AU980" s="787"/>
      <c r="AV980" s="787"/>
      <c r="AW980" s="787"/>
      <c r="AX980" s="784"/>
      <c r="AY980" s="1214"/>
    </row>
    <row r="981" spans="1:57" ht="24.75" customHeight="1" thickBot="1" x14ac:dyDescent="0.3">
      <c r="A981" s="1195"/>
      <c r="B981" s="833"/>
      <c r="C981" s="809"/>
      <c r="D981" s="140" t="s">
        <v>45</v>
      </c>
      <c r="E981" s="142">
        <v>883534233</v>
      </c>
      <c r="F981" s="142">
        <v>883534233</v>
      </c>
      <c r="G981" s="445">
        <v>883534233</v>
      </c>
      <c r="H981" s="445">
        <v>883534233</v>
      </c>
      <c r="I981" s="445">
        <v>883534233</v>
      </c>
      <c r="J981" s="445">
        <v>836614860</v>
      </c>
      <c r="K981" s="458">
        <v>836614860</v>
      </c>
      <c r="L981" s="456">
        <f>+INVERSIÓN!BA79</f>
        <v>882114260</v>
      </c>
      <c r="M981" s="445">
        <v>836614860</v>
      </c>
      <c r="N981" s="455">
        <f>+N977+N979</f>
        <v>861124260</v>
      </c>
      <c r="O981" s="445">
        <v>861124260</v>
      </c>
      <c r="P981" s="445">
        <v>861124260</v>
      </c>
      <c r="Q981" s="445">
        <v>861124260</v>
      </c>
      <c r="R981" s="447">
        <f>+R977+R979</f>
        <v>882114260</v>
      </c>
      <c r="S981" s="454"/>
      <c r="T981" s="454">
        <v>11357200</v>
      </c>
      <c r="U981" s="454">
        <v>140077265</v>
      </c>
      <c r="V981" s="454">
        <v>427498595</v>
      </c>
      <c r="W981" s="454">
        <v>700181322</v>
      </c>
      <c r="X981" s="454">
        <v>700181322</v>
      </c>
      <c r="Y981" s="457">
        <v>768658162</v>
      </c>
      <c r="Z981" s="454">
        <f>+INVERSIÓN!BC79</f>
        <v>860489997</v>
      </c>
      <c r="AA981" s="455">
        <f>+AA977+AA979</f>
        <v>769855437</v>
      </c>
      <c r="AB981" s="1254">
        <f>+AB977+AB979</f>
        <v>789855437</v>
      </c>
      <c r="AC981" s="1225">
        <v>789855437</v>
      </c>
      <c r="AD981" s="1225">
        <v>789855437</v>
      </c>
      <c r="AE981" s="1238">
        <f>+AE977+AE979</f>
        <v>860489997</v>
      </c>
      <c r="AF981" s="1283"/>
      <c r="AG981" s="1230"/>
      <c r="AH981" s="810"/>
      <c r="AI981" s="810"/>
      <c r="AJ981" s="810"/>
      <c r="AK981" s="809"/>
      <c r="AL981" s="810"/>
      <c r="AM981" s="810"/>
      <c r="AN981" s="805"/>
      <c r="AO981" s="785"/>
      <c r="AP981" s="785"/>
      <c r="AQ981" s="787"/>
      <c r="AR981" s="787"/>
      <c r="AS981" s="787"/>
      <c r="AT981" s="787"/>
      <c r="AU981" s="787"/>
      <c r="AV981" s="787"/>
      <c r="AW981" s="787"/>
      <c r="AX981" s="785"/>
      <c r="AY981" s="1214"/>
    </row>
    <row r="982" spans="1:57" ht="18" customHeight="1" x14ac:dyDescent="0.25">
      <c r="A982" s="1195"/>
      <c r="B982" s="833"/>
      <c r="C982" s="809" t="s">
        <v>410</v>
      </c>
      <c r="D982" s="141" t="s">
        <v>41</v>
      </c>
      <c r="E982" s="142">
        <v>15</v>
      </c>
      <c r="F982" s="143">
        <v>15</v>
      </c>
      <c r="G982" s="445">
        <v>15</v>
      </c>
      <c r="H982" s="445">
        <v>15</v>
      </c>
      <c r="I982" s="445">
        <v>15</v>
      </c>
      <c r="J982" s="445">
        <v>15</v>
      </c>
      <c r="K982" s="445">
        <f>+K976</f>
        <v>15</v>
      </c>
      <c r="L982" s="445">
        <f>+L976</f>
        <v>15</v>
      </c>
      <c r="M982" s="445">
        <v>15</v>
      </c>
      <c r="N982" s="447">
        <f>+N976</f>
        <v>15</v>
      </c>
      <c r="O982" s="445">
        <v>15</v>
      </c>
      <c r="P982" s="445">
        <f>+P976</f>
        <v>15</v>
      </c>
      <c r="Q982" s="445">
        <f>+Q976</f>
        <v>15</v>
      </c>
      <c r="R982" s="445">
        <f>+R976</f>
        <v>15</v>
      </c>
      <c r="S982" s="445"/>
      <c r="T982" s="450">
        <v>1.25</v>
      </c>
      <c r="U982" s="450">
        <v>2.5</v>
      </c>
      <c r="V982" s="450">
        <v>3.75</v>
      </c>
      <c r="W982" s="450">
        <v>5</v>
      </c>
      <c r="X982" s="450">
        <f t="shared" ref="X982:AD982" si="85">+X976</f>
        <v>6.25</v>
      </c>
      <c r="Y982" s="450">
        <f t="shared" si="85"/>
        <v>7.5</v>
      </c>
      <c r="Z982" s="450">
        <f t="shared" si="85"/>
        <v>15</v>
      </c>
      <c r="AA982" s="447">
        <f t="shared" si="85"/>
        <v>10</v>
      </c>
      <c r="AB982" s="447">
        <f t="shared" si="85"/>
        <v>11.25</v>
      </c>
      <c r="AC982" s="447">
        <f t="shared" si="85"/>
        <v>11.25</v>
      </c>
      <c r="AD982" s="447">
        <f t="shared" si="85"/>
        <v>13.75</v>
      </c>
      <c r="AE982" s="450">
        <f>+AE976</f>
        <v>15</v>
      </c>
      <c r="AF982" s="1283"/>
      <c r="AG982" s="1230" t="s">
        <v>541</v>
      </c>
      <c r="AH982" s="810" t="s">
        <v>70</v>
      </c>
      <c r="AI982" s="810" t="s">
        <v>70</v>
      </c>
      <c r="AJ982" s="810" t="s">
        <v>70</v>
      </c>
      <c r="AK982" s="809" t="s">
        <v>315</v>
      </c>
      <c r="AL982" s="810"/>
      <c r="AM982" s="790" t="s">
        <v>616</v>
      </c>
      <c r="AN982" s="805">
        <v>7804660</v>
      </c>
      <c r="AO982" s="783">
        <v>3721767</v>
      </c>
      <c r="AP982" s="783">
        <v>4082893</v>
      </c>
      <c r="AQ982" s="787" t="s">
        <v>317</v>
      </c>
      <c r="AR982" s="787" t="s">
        <v>317</v>
      </c>
      <c r="AS982" s="787" t="s">
        <v>317</v>
      </c>
      <c r="AT982" s="787" t="s">
        <v>317</v>
      </c>
      <c r="AU982" s="787" t="s">
        <v>317</v>
      </c>
      <c r="AV982" s="787" t="s">
        <v>317</v>
      </c>
      <c r="AW982" s="787" t="s">
        <v>317</v>
      </c>
      <c r="AX982" s="783">
        <v>7804660</v>
      </c>
      <c r="AY982" s="1214"/>
    </row>
    <row r="983" spans="1:57" ht="18" x14ac:dyDescent="0.25">
      <c r="A983" s="1195"/>
      <c r="B983" s="833"/>
      <c r="C983" s="809"/>
      <c r="D983" s="132" t="s">
        <v>3</v>
      </c>
      <c r="E983" s="142">
        <v>801561000</v>
      </c>
      <c r="F983" s="143">
        <v>801561000</v>
      </c>
      <c r="G983" s="445">
        <v>801561000</v>
      </c>
      <c r="H983" s="445">
        <v>801561000</v>
      </c>
      <c r="I983" s="445">
        <v>801561000</v>
      </c>
      <c r="J983" s="445">
        <v>754641627</v>
      </c>
      <c r="K983" s="445">
        <f t="shared" ref="K983:L987" si="86">+K977</f>
        <v>754641627</v>
      </c>
      <c r="L983" s="445">
        <f t="shared" si="86"/>
        <v>800631627</v>
      </c>
      <c r="M983" s="445">
        <v>754641627</v>
      </c>
      <c r="N983" s="447">
        <f t="shared" ref="N983:N987" si="87">+N977</f>
        <v>779641627</v>
      </c>
      <c r="O983" s="445">
        <v>779641627</v>
      </c>
      <c r="P983" s="445">
        <f t="shared" ref="P983:R987" si="88">+P977</f>
        <v>779641627</v>
      </c>
      <c r="Q983" s="445">
        <f t="shared" si="88"/>
        <v>779641627</v>
      </c>
      <c r="R983" s="445">
        <f t="shared" si="88"/>
        <v>800631627</v>
      </c>
      <c r="S983" s="445"/>
      <c r="T983" s="450">
        <v>0</v>
      </c>
      <c r="U983" s="450">
        <v>101350694</v>
      </c>
      <c r="V983" s="450">
        <v>426196694</v>
      </c>
      <c r="W983" s="450">
        <v>619322694</v>
      </c>
      <c r="X983" s="450">
        <f t="shared" ref="X983:AE987" si="89">+X977</f>
        <v>619322694</v>
      </c>
      <c r="Y983" s="450">
        <f t="shared" si="89"/>
        <v>687593894</v>
      </c>
      <c r="Z983" s="450">
        <f t="shared" si="89"/>
        <v>779007364</v>
      </c>
      <c r="AA983" s="447">
        <f t="shared" si="89"/>
        <v>688372804</v>
      </c>
      <c r="AB983" s="447">
        <f t="shared" si="89"/>
        <v>708372804</v>
      </c>
      <c r="AC983" s="447">
        <f t="shared" si="89"/>
        <v>718303404</v>
      </c>
      <c r="AD983" s="447">
        <f t="shared" si="89"/>
        <v>764339031</v>
      </c>
      <c r="AE983" s="450">
        <f t="shared" si="89"/>
        <v>779007364</v>
      </c>
      <c r="AF983" s="1283"/>
      <c r="AG983" s="1230"/>
      <c r="AH983" s="810"/>
      <c r="AI983" s="810"/>
      <c r="AJ983" s="810"/>
      <c r="AK983" s="809"/>
      <c r="AL983" s="810"/>
      <c r="AM983" s="810"/>
      <c r="AN983" s="805"/>
      <c r="AO983" s="784"/>
      <c r="AP983" s="784"/>
      <c r="AQ983" s="787"/>
      <c r="AR983" s="787"/>
      <c r="AS983" s="787"/>
      <c r="AT983" s="787"/>
      <c r="AU983" s="787"/>
      <c r="AV983" s="787"/>
      <c r="AW983" s="787"/>
      <c r="AX983" s="784"/>
      <c r="AY983" s="1214"/>
    </row>
    <row r="984" spans="1:57" ht="27" x14ac:dyDescent="0.25">
      <c r="A984" s="1195"/>
      <c r="B984" s="833"/>
      <c r="C984" s="809"/>
      <c r="D984" s="136" t="s">
        <v>42</v>
      </c>
      <c r="E984" s="142" t="e">
        <v>#REF!</v>
      </c>
      <c r="F984" s="143" t="e">
        <v>#REF!</v>
      </c>
      <c r="G984" s="445">
        <v>0</v>
      </c>
      <c r="H984" s="445">
        <v>0</v>
      </c>
      <c r="I984" s="445">
        <v>0</v>
      </c>
      <c r="J984" s="445">
        <v>0</v>
      </c>
      <c r="K984" s="445">
        <f t="shared" si="86"/>
        <v>0</v>
      </c>
      <c r="L984" s="445">
        <f t="shared" si="86"/>
        <v>0</v>
      </c>
      <c r="M984" s="445">
        <v>0</v>
      </c>
      <c r="N984" s="447">
        <f t="shared" si="87"/>
        <v>0</v>
      </c>
      <c r="O984" s="445">
        <v>0</v>
      </c>
      <c r="P984" s="445">
        <f t="shared" si="88"/>
        <v>0</v>
      </c>
      <c r="Q984" s="445">
        <f t="shared" si="88"/>
        <v>0</v>
      </c>
      <c r="R984" s="445">
        <f t="shared" si="88"/>
        <v>0</v>
      </c>
      <c r="S984" s="445"/>
      <c r="T984" s="450">
        <v>0</v>
      </c>
      <c r="U984" s="450">
        <v>0</v>
      </c>
      <c r="V984" s="450">
        <v>0</v>
      </c>
      <c r="W984" s="450">
        <v>0</v>
      </c>
      <c r="X984" s="450">
        <f t="shared" si="89"/>
        <v>0</v>
      </c>
      <c r="Y984" s="450">
        <f t="shared" si="89"/>
        <v>0</v>
      </c>
      <c r="Z984" s="450">
        <f t="shared" si="89"/>
        <v>0</v>
      </c>
      <c r="AA984" s="447">
        <f t="shared" si="89"/>
        <v>0</v>
      </c>
      <c r="AB984" s="447">
        <f t="shared" si="89"/>
        <v>0</v>
      </c>
      <c r="AC984" s="447">
        <f t="shared" si="89"/>
        <v>0</v>
      </c>
      <c r="AD984" s="447">
        <f t="shared" si="89"/>
        <v>0</v>
      </c>
      <c r="AE984" s="450">
        <f t="shared" si="89"/>
        <v>0</v>
      </c>
      <c r="AF984" s="1283"/>
      <c r="AG984" s="1230"/>
      <c r="AH984" s="810"/>
      <c r="AI984" s="810"/>
      <c r="AJ984" s="810"/>
      <c r="AK984" s="809"/>
      <c r="AL984" s="810"/>
      <c r="AM984" s="810"/>
      <c r="AN984" s="805"/>
      <c r="AO984" s="784"/>
      <c r="AP984" s="784"/>
      <c r="AQ984" s="787"/>
      <c r="AR984" s="787"/>
      <c r="AS984" s="787"/>
      <c r="AT984" s="787"/>
      <c r="AU984" s="787"/>
      <c r="AV984" s="787"/>
      <c r="AW984" s="787"/>
      <c r="AX984" s="784"/>
      <c r="AY984" s="1214"/>
    </row>
    <row r="985" spans="1:57" ht="19.149999999999999" customHeight="1" x14ac:dyDescent="0.25">
      <c r="A985" s="1195"/>
      <c r="B985" s="833"/>
      <c r="C985" s="809"/>
      <c r="D985" s="132" t="s">
        <v>4</v>
      </c>
      <c r="E985" s="142">
        <v>81973233</v>
      </c>
      <c r="F985" s="143">
        <v>81973233</v>
      </c>
      <c r="G985" s="445">
        <v>81973233</v>
      </c>
      <c r="H985" s="445">
        <v>81973233</v>
      </c>
      <c r="I985" s="445">
        <v>81973233</v>
      </c>
      <c r="J985" s="445">
        <v>81973233</v>
      </c>
      <c r="K985" s="445">
        <f t="shared" si="86"/>
        <v>81973233</v>
      </c>
      <c r="L985" s="445">
        <f t="shared" si="86"/>
        <v>81482633</v>
      </c>
      <c r="M985" s="445">
        <v>81973233</v>
      </c>
      <c r="N985" s="447">
        <f t="shared" si="87"/>
        <v>81482633</v>
      </c>
      <c r="O985" s="445">
        <v>81482633</v>
      </c>
      <c r="P985" s="445">
        <f t="shared" si="88"/>
        <v>81482633</v>
      </c>
      <c r="Q985" s="445">
        <f t="shared" si="88"/>
        <v>81482633</v>
      </c>
      <c r="R985" s="445">
        <f t="shared" si="88"/>
        <v>81482633</v>
      </c>
      <c r="S985" s="445"/>
      <c r="T985" s="450">
        <v>11357200</v>
      </c>
      <c r="U985" s="450">
        <v>38726571</v>
      </c>
      <c r="V985" s="450">
        <v>78539901</v>
      </c>
      <c r="W985" s="450">
        <v>80858628</v>
      </c>
      <c r="X985" s="450">
        <f t="shared" si="89"/>
        <v>80858628</v>
      </c>
      <c r="Y985" s="450">
        <f t="shared" si="89"/>
        <v>81064268</v>
      </c>
      <c r="Z985" s="450">
        <f t="shared" si="89"/>
        <v>81482633</v>
      </c>
      <c r="AA985" s="447">
        <f t="shared" si="89"/>
        <v>81482633</v>
      </c>
      <c r="AB985" s="447">
        <f t="shared" si="89"/>
        <v>81482633</v>
      </c>
      <c r="AC985" s="447">
        <f t="shared" si="89"/>
        <v>81482633</v>
      </c>
      <c r="AD985" s="447">
        <f t="shared" si="89"/>
        <v>81482633</v>
      </c>
      <c r="AE985" s="450">
        <f t="shared" si="89"/>
        <v>81482633</v>
      </c>
      <c r="AF985" s="1283"/>
      <c r="AG985" s="1230"/>
      <c r="AH985" s="810"/>
      <c r="AI985" s="810"/>
      <c r="AJ985" s="810"/>
      <c r="AK985" s="809"/>
      <c r="AL985" s="810"/>
      <c r="AM985" s="810"/>
      <c r="AN985" s="805"/>
      <c r="AO985" s="784"/>
      <c r="AP985" s="784"/>
      <c r="AQ985" s="787"/>
      <c r="AR985" s="787"/>
      <c r="AS985" s="787"/>
      <c r="AT985" s="787"/>
      <c r="AU985" s="787"/>
      <c r="AV985" s="787"/>
      <c r="AW985" s="787"/>
      <c r="AX985" s="784"/>
      <c r="AY985" s="1214"/>
    </row>
    <row r="986" spans="1:57" ht="27" x14ac:dyDescent="0.25">
      <c r="A986" s="1195"/>
      <c r="B986" s="833"/>
      <c r="C986" s="809"/>
      <c r="D986" s="136" t="s">
        <v>43</v>
      </c>
      <c r="E986" s="142">
        <v>15</v>
      </c>
      <c r="F986" s="143">
        <v>15</v>
      </c>
      <c r="G986" s="445">
        <v>15</v>
      </c>
      <c r="H986" s="445">
        <v>15</v>
      </c>
      <c r="I986" s="445">
        <v>15</v>
      </c>
      <c r="J986" s="445">
        <v>15</v>
      </c>
      <c r="K986" s="445">
        <f t="shared" si="86"/>
        <v>15</v>
      </c>
      <c r="L986" s="445">
        <f t="shared" si="86"/>
        <v>15</v>
      </c>
      <c r="M986" s="445">
        <v>15</v>
      </c>
      <c r="N986" s="447">
        <f t="shared" si="87"/>
        <v>15</v>
      </c>
      <c r="O986" s="445">
        <v>15</v>
      </c>
      <c r="P986" s="445">
        <f t="shared" si="88"/>
        <v>15</v>
      </c>
      <c r="Q986" s="445">
        <f t="shared" si="88"/>
        <v>15</v>
      </c>
      <c r="R986" s="445">
        <f t="shared" si="88"/>
        <v>15</v>
      </c>
      <c r="S986" s="445"/>
      <c r="T986" s="450">
        <v>1.25</v>
      </c>
      <c r="U986" s="450">
        <v>2.5</v>
      </c>
      <c r="V986" s="450">
        <v>3.75</v>
      </c>
      <c r="W986" s="450">
        <v>5</v>
      </c>
      <c r="X986" s="450">
        <f t="shared" si="89"/>
        <v>6.25</v>
      </c>
      <c r="Y986" s="450">
        <f t="shared" si="89"/>
        <v>6.25</v>
      </c>
      <c r="Z986" s="450">
        <f t="shared" si="89"/>
        <v>12.5</v>
      </c>
      <c r="AA986" s="447">
        <f t="shared" si="89"/>
        <v>10</v>
      </c>
      <c r="AB986" s="447">
        <f t="shared" si="89"/>
        <v>10</v>
      </c>
      <c r="AC986" s="447">
        <f t="shared" si="89"/>
        <v>11.25</v>
      </c>
      <c r="AD986" s="447">
        <f t="shared" si="89"/>
        <v>13.5</v>
      </c>
      <c r="AE986" s="450">
        <f t="shared" si="89"/>
        <v>15</v>
      </c>
      <c r="AF986" s="1283"/>
      <c r="AG986" s="1230"/>
      <c r="AH986" s="810"/>
      <c r="AI986" s="810"/>
      <c r="AJ986" s="810"/>
      <c r="AK986" s="809"/>
      <c r="AL986" s="810"/>
      <c r="AM986" s="810"/>
      <c r="AN986" s="805"/>
      <c r="AO986" s="784"/>
      <c r="AP986" s="784"/>
      <c r="AQ986" s="787"/>
      <c r="AR986" s="787"/>
      <c r="AS986" s="787"/>
      <c r="AT986" s="787"/>
      <c r="AU986" s="787"/>
      <c r="AV986" s="787"/>
      <c r="AW986" s="787"/>
      <c r="AX986" s="784"/>
      <c r="AY986" s="1214"/>
    </row>
    <row r="987" spans="1:57" ht="27.75" thickBot="1" x14ac:dyDescent="0.3">
      <c r="A987" s="1196"/>
      <c r="B987" s="834"/>
      <c r="C987" s="809"/>
      <c r="D987" s="140" t="s">
        <v>45</v>
      </c>
      <c r="E987" s="142">
        <v>883534233</v>
      </c>
      <c r="F987" s="143">
        <v>883534233</v>
      </c>
      <c r="G987" s="445">
        <v>883534233</v>
      </c>
      <c r="H987" s="445">
        <v>883534233</v>
      </c>
      <c r="I987" s="445">
        <v>883534233</v>
      </c>
      <c r="J987" s="445">
        <v>836614860</v>
      </c>
      <c r="K987" s="445">
        <f t="shared" si="86"/>
        <v>836614860</v>
      </c>
      <c r="L987" s="445">
        <f t="shared" si="86"/>
        <v>882114260</v>
      </c>
      <c r="M987" s="445">
        <v>836614860</v>
      </c>
      <c r="N987" s="447">
        <f t="shared" si="87"/>
        <v>861124260</v>
      </c>
      <c r="O987" s="445">
        <v>861124260</v>
      </c>
      <c r="P987" s="445">
        <f t="shared" si="88"/>
        <v>861124260</v>
      </c>
      <c r="Q987" s="445">
        <f t="shared" si="88"/>
        <v>861124260</v>
      </c>
      <c r="R987" s="445">
        <f t="shared" si="88"/>
        <v>882114260</v>
      </c>
      <c r="S987" s="445"/>
      <c r="T987" s="450">
        <v>11357200</v>
      </c>
      <c r="U987" s="450">
        <v>140077265</v>
      </c>
      <c r="V987" s="450">
        <v>427498595</v>
      </c>
      <c r="W987" s="450">
        <v>700181322</v>
      </c>
      <c r="X987" s="450">
        <f t="shared" si="89"/>
        <v>700181322</v>
      </c>
      <c r="Y987" s="450">
        <f t="shared" si="89"/>
        <v>768658162</v>
      </c>
      <c r="Z987" s="450">
        <f t="shared" si="89"/>
        <v>860489997</v>
      </c>
      <c r="AA987" s="447">
        <f t="shared" si="89"/>
        <v>769855437</v>
      </c>
      <c r="AB987" s="447">
        <f t="shared" si="89"/>
        <v>789855437</v>
      </c>
      <c r="AC987" s="447">
        <f t="shared" si="89"/>
        <v>789855437</v>
      </c>
      <c r="AD987" s="447">
        <f t="shared" si="89"/>
        <v>789855437</v>
      </c>
      <c r="AE987" s="450">
        <f t="shared" si="89"/>
        <v>860489997</v>
      </c>
      <c r="AF987" s="1288"/>
      <c r="AG987" s="1230"/>
      <c r="AH987" s="810"/>
      <c r="AI987" s="810"/>
      <c r="AJ987" s="810"/>
      <c r="AK987" s="809"/>
      <c r="AL987" s="810"/>
      <c r="AM987" s="810"/>
      <c r="AN987" s="805"/>
      <c r="AO987" s="785"/>
      <c r="AP987" s="785"/>
      <c r="AQ987" s="787"/>
      <c r="AR987" s="787"/>
      <c r="AS987" s="787"/>
      <c r="AT987" s="787"/>
      <c r="AU987" s="787"/>
      <c r="AV987" s="787"/>
      <c r="AW987" s="787"/>
      <c r="AX987" s="785"/>
      <c r="AY987" s="1214"/>
    </row>
    <row r="988" spans="1:57" ht="36" x14ac:dyDescent="0.25">
      <c r="A988" s="819" t="s">
        <v>22</v>
      </c>
      <c r="B988" s="820"/>
      <c r="C988" s="820"/>
      <c r="D988" s="314" t="s">
        <v>34</v>
      </c>
      <c r="E988" s="315">
        <v>2520913490</v>
      </c>
      <c r="F988" s="316">
        <v>2520913490</v>
      </c>
      <c r="G988" s="316">
        <v>3459505000</v>
      </c>
      <c r="H988" s="316">
        <v>3459505000</v>
      </c>
      <c r="I988" s="316">
        <v>3459505000</v>
      </c>
      <c r="J988" s="316">
        <v>2933065449</v>
      </c>
      <c r="K988" s="316">
        <v>162068000</v>
      </c>
      <c r="L988" s="316">
        <f t="shared" ref="L988:R988" si="90">+L11+L155+L299+L659+L671+L803+L881+L893+L965+L977</f>
        <v>3401385816</v>
      </c>
      <c r="M988" s="316">
        <f t="shared" si="90"/>
        <v>2933065449</v>
      </c>
      <c r="N988" s="316">
        <f t="shared" si="90"/>
        <v>3454840816</v>
      </c>
      <c r="O988" s="316">
        <f t="shared" si="90"/>
        <v>3454840816</v>
      </c>
      <c r="P988" s="316">
        <f t="shared" si="90"/>
        <v>3454840816</v>
      </c>
      <c r="Q988" s="316">
        <f t="shared" si="90"/>
        <v>3454840816</v>
      </c>
      <c r="R988" s="316">
        <f t="shared" si="90"/>
        <v>3454840816</v>
      </c>
      <c r="S988" s="316"/>
      <c r="T988" s="316">
        <v>0</v>
      </c>
      <c r="U988" s="316">
        <v>1382696694</v>
      </c>
      <c r="V988" s="316">
        <v>2485583694</v>
      </c>
      <c r="W988" s="316">
        <v>2693464694</v>
      </c>
      <c r="X988" s="316">
        <v>0</v>
      </c>
      <c r="Y988" s="316">
        <f>+Y11+Y155+Y299+Y659+Y671+Y803+Y881+Y893+Y965+Y977</f>
        <v>2822093894</v>
      </c>
      <c r="Z988" s="316">
        <f>+Z11+Z155+Z299+Z659+Z671+Z803+Z881+Z893+Z965+Z977</f>
        <v>2913507364</v>
      </c>
      <c r="AA988" s="316">
        <f>+AA11+AA155+AA299+AA659+AA671+AA803+AA881+AA893+AA965+AA977</f>
        <v>2866414804</v>
      </c>
      <c r="AB988" s="316">
        <v>1752848442</v>
      </c>
      <c r="AC988" s="316">
        <f>+AC11+AC155+AC299+AC659+AC671+AC803+AC881+AC893+AC965+AC977</f>
        <v>3169950704</v>
      </c>
      <c r="AD988" s="316">
        <f>+AD11+AD155+AD299+AD659+AD671+AD803+AD881+AD893+AD965+AD977</f>
        <v>3286319931</v>
      </c>
      <c r="AE988" s="316">
        <f>+AE11+AE155+AE299+AE659+AE671+AE803+AE881+AE893+AE965+AE977</f>
        <v>3342341664</v>
      </c>
      <c r="AF988" s="1340"/>
      <c r="AG988" s="1341"/>
      <c r="AH988" s="1342"/>
      <c r="AI988" s="1342"/>
      <c r="AJ988" s="1342"/>
      <c r="AK988" s="1342"/>
      <c r="AL988" s="1342"/>
      <c r="AM988" s="1342"/>
      <c r="AN988" s="1342"/>
      <c r="AO988" s="1342"/>
      <c r="AP988" s="1343"/>
      <c r="AQ988" s="667"/>
      <c r="AR988" s="1342"/>
      <c r="AS988" s="1342"/>
      <c r="AT988" s="1342"/>
      <c r="AU988" s="1342"/>
      <c r="AV988" s="1342"/>
      <c r="AW988" s="1342"/>
      <c r="AX988" s="667"/>
      <c r="AY988" s="1344"/>
    </row>
    <row r="989" spans="1:57" x14ac:dyDescent="0.25">
      <c r="A989" s="819"/>
      <c r="B989" s="820"/>
      <c r="C989" s="820"/>
      <c r="D989" s="314" t="s">
        <v>33</v>
      </c>
      <c r="E989" s="316">
        <v>0</v>
      </c>
      <c r="F989" s="316">
        <v>0</v>
      </c>
      <c r="G989" s="316">
        <v>793552573</v>
      </c>
      <c r="H989" s="316">
        <v>793552573</v>
      </c>
      <c r="I989" s="316">
        <v>793552573</v>
      </c>
      <c r="J989" s="316">
        <v>793552573</v>
      </c>
      <c r="K989" s="316">
        <v>0</v>
      </c>
      <c r="L989" s="1340">
        <f t="shared" ref="L989:O989" si="91">+L13+L157+L301+L661+L673+L805+L883+L895+L967+L979</f>
        <v>793001106</v>
      </c>
      <c r="M989" s="1340">
        <f t="shared" si="91"/>
        <v>793552573</v>
      </c>
      <c r="N989" s="1340">
        <f t="shared" si="91"/>
        <v>793061973</v>
      </c>
      <c r="O989" s="1340">
        <f t="shared" si="91"/>
        <v>793061973</v>
      </c>
      <c r="P989" s="1340">
        <f>+P13+P157+P301+P661+P673+P805+P883+P895+P967+P979</f>
        <v>793061973</v>
      </c>
      <c r="Q989" s="1340">
        <f>+Q13+Q157+Q301+Q661+Q673+Q805+Q883+Q895+Q967+Q979</f>
        <v>793061973</v>
      </c>
      <c r="R989" s="1340" t="e">
        <f>+R13+R157+R301+R661+R673+R805+R883+R895+R967+R979</f>
        <v>#VALUE!</v>
      </c>
      <c r="S989" s="1340"/>
      <c r="T989" s="316">
        <v>135468608</v>
      </c>
      <c r="U989" s="316">
        <v>433854516</v>
      </c>
      <c r="V989" s="316">
        <v>632934738</v>
      </c>
      <c r="W989" s="316">
        <v>702363105</v>
      </c>
      <c r="X989" s="1340"/>
      <c r="Y989" s="1340">
        <f t="shared" ref="Y989:AE989" si="92">+Y13+Y157+Y301+Y661+Y673+Y805+Y883+Y895+Y967+Y979</f>
        <v>760571741</v>
      </c>
      <c r="Z989" s="1340">
        <f t="shared" si="92"/>
        <v>760990106</v>
      </c>
      <c r="AA989" s="1340">
        <f t="shared" si="92"/>
        <v>760990106</v>
      </c>
      <c r="AB989" s="1340">
        <f t="shared" si="92"/>
        <v>760990106</v>
      </c>
      <c r="AC989" s="1340">
        <f t="shared" si="92"/>
        <v>760990106</v>
      </c>
      <c r="AD989" s="1340">
        <f>+AD13+AD157+AD301+AD661+AD673+AD805+AD883+AD895+AD967+AD979</f>
        <v>760990106</v>
      </c>
      <c r="AE989" s="1340">
        <f>+AE13+AE157+AE301+AE661+AE673+AE805+AE883+AE895+AE967+AE979</f>
        <v>793001106</v>
      </c>
      <c r="AF989" s="1340"/>
      <c r="AG989" s="1341"/>
      <c r="AH989" s="1342"/>
      <c r="AI989" s="1342"/>
      <c r="AJ989" s="1342"/>
      <c r="AK989" s="1342"/>
      <c r="AL989" s="1342"/>
      <c r="AM989" s="1342"/>
      <c r="AN989" s="1342"/>
      <c r="AO989" s="1342"/>
      <c r="AP989" s="1343"/>
      <c r="AQ989" s="667"/>
      <c r="AR989" s="1342"/>
      <c r="AS989" s="1342"/>
      <c r="AT989" s="1342"/>
      <c r="AU989" s="1342"/>
      <c r="AV989" s="1342"/>
      <c r="AW989" s="1342"/>
      <c r="AX989" s="667"/>
      <c r="AY989" s="1344"/>
      <c r="AZ989" s="1"/>
      <c r="BA989" s="1"/>
      <c r="BB989" s="1"/>
      <c r="BC989" s="1"/>
      <c r="BD989" s="1"/>
      <c r="BE989" s="1"/>
    </row>
    <row r="990" spans="1:57" ht="36.75" thickBot="1" x14ac:dyDescent="0.3">
      <c r="A990" s="821"/>
      <c r="B990" s="822"/>
      <c r="C990" s="822"/>
      <c r="D990" s="317" t="s">
        <v>32</v>
      </c>
      <c r="E990" s="316">
        <v>2520913490</v>
      </c>
      <c r="F990" s="316">
        <v>2520913490</v>
      </c>
      <c r="G990" s="316">
        <v>4253057573</v>
      </c>
      <c r="H990" s="316">
        <v>4253057573</v>
      </c>
      <c r="I990" s="316">
        <v>4253057573</v>
      </c>
      <c r="J990" s="316">
        <v>3726618022</v>
      </c>
      <c r="K990" s="316">
        <v>162068000</v>
      </c>
      <c r="L990" s="316">
        <f>+L988+L989</f>
        <v>4194386922</v>
      </c>
      <c r="M990" s="316">
        <f>+M988+M989</f>
        <v>3726618022</v>
      </c>
      <c r="N990" s="316">
        <f>+N988+N989</f>
        <v>4247902789</v>
      </c>
      <c r="O990" s="316">
        <f t="shared" ref="O990:R990" si="93">+O988+O989</f>
        <v>4247902789</v>
      </c>
      <c r="P990" s="316">
        <f t="shared" si="93"/>
        <v>4247902789</v>
      </c>
      <c r="Q990" s="316">
        <f t="shared" si="93"/>
        <v>4247902789</v>
      </c>
      <c r="R990" s="316" t="e">
        <f t="shared" si="93"/>
        <v>#VALUE!</v>
      </c>
      <c r="S990" s="316"/>
      <c r="T990" s="316">
        <v>135468608</v>
      </c>
      <c r="U990" s="316">
        <v>1816551210</v>
      </c>
      <c r="V990" s="316">
        <v>3118518432</v>
      </c>
      <c r="W990" s="316">
        <v>3395827799</v>
      </c>
      <c r="X990" s="1340">
        <v>0</v>
      </c>
      <c r="Y990" s="1340">
        <f>+Y988+Y989</f>
        <v>3582665635</v>
      </c>
      <c r="Z990" s="1340">
        <f>+Z988+Z989</f>
        <v>3674497470</v>
      </c>
      <c r="AA990" s="316">
        <f>+AA988+AA989</f>
        <v>3627404910</v>
      </c>
      <c r="AB990" s="1340">
        <v>1752848442</v>
      </c>
      <c r="AC990" s="316">
        <f t="shared" ref="AC990:AE990" si="94">+AC988+AC989</f>
        <v>3930940810</v>
      </c>
      <c r="AD990" s="316">
        <f t="shared" si="94"/>
        <v>4047310037</v>
      </c>
      <c r="AE990" s="316">
        <f t="shared" si="94"/>
        <v>4135342770</v>
      </c>
      <c r="AF990" s="1340"/>
      <c r="AG990" s="1345"/>
      <c r="AH990" s="1346"/>
      <c r="AI990" s="1346"/>
      <c r="AJ990" s="1346"/>
      <c r="AK990" s="1346"/>
      <c r="AL990" s="1346"/>
      <c r="AM990" s="1346"/>
      <c r="AN990" s="1346"/>
      <c r="AO990" s="1346"/>
      <c r="AP990" s="1347"/>
      <c r="AQ990" s="1348"/>
      <c r="AR990" s="1346"/>
      <c r="AS990" s="1346"/>
      <c r="AT990" s="1346"/>
      <c r="AU990" s="1346"/>
      <c r="AV990" s="1346"/>
      <c r="AW990" s="1346"/>
      <c r="AX990" s="1348"/>
      <c r="AY990" s="1349"/>
      <c r="AZ990" s="1"/>
      <c r="BA990" s="1"/>
      <c r="BB990" s="1"/>
      <c r="BC990" s="1"/>
      <c r="BD990" s="1"/>
      <c r="BE990" s="1"/>
    </row>
    <row r="991" spans="1:57" x14ac:dyDescent="0.25">
      <c r="A991" s="20"/>
      <c r="B991" s="276"/>
      <c r="C991" s="276"/>
      <c r="D991" s="20"/>
      <c r="E991" s="21"/>
      <c r="F991" s="21"/>
      <c r="G991" s="277"/>
      <c r="H991" s="277"/>
      <c r="I991" s="1331"/>
      <c r="J991" s="1331"/>
      <c r="K991" s="1331"/>
      <c r="L991" s="1331"/>
      <c r="M991" s="1331"/>
      <c r="N991" s="1331"/>
      <c r="O991" s="1331"/>
      <c r="P991" s="1331"/>
      <c r="Q991" s="1331"/>
      <c r="R991" s="1331"/>
      <c r="S991" s="1331"/>
      <c r="T991" s="1331"/>
      <c r="U991" s="1331"/>
      <c r="V991" s="1331"/>
      <c r="W991" s="1331"/>
      <c r="X991" s="1331"/>
      <c r="Y991" s="1331"/>
      <c r="Z991" s="1331"/>
      <c r="AA991" s="1331"/>
      <c r="AB991" s="1331"/>
      <c r="AC991" s="1331"/>
      <c r="AD991" s="1332"/>
      <c r="AE991" s="1332"/>
      <c r="AF991" s="1332"/>
      <c r="AG991" s="1332"/>
      <c r="AH991" s="1332"/>
      <c r="AI991" s="1332"/>
      <c r="AJ991" s="1332"/>
      <c r="AK991" s="1332"/>
      <c r="AL991" s="1332"/>
      <c r="AM991" s="1332"/>
      <c r="AN991" s="1332"/>
      <c r="AO991" s="1332"/>
      <c r="AP991" s="1333"/>
      <c r="AQ991" s="1333"/>
      <c r="AR991" s="1332"/>
      <c r="AS991" s="1332"/>
      <c r="AT991" s="1332"/>
      <c r="AU991" s="1332"/>
      <c r="AV991" s="1332"/>
      <c r="AW991" s="1332"/>
      <c r="AX991" s="1333"/>
      <c r="AY991" s="1"/>
      <c r="AZ991" s="1"/>
      <c r="BA991" s="1"/>
      <c r="BB991" s="1"/>
      <c r="BC991" s="1"/>
      <c r="BD991" s="1"/>
      <c r="BE991" s="1"/>
    </row>
    <row r="992" spans="1:57" s="4" customFormat="1" ht="26.25" x14ac:dyDescent="0.4">
      <c r="A992" s="7"/>
      <c r="B992" s="18" t="s">
        <v>35</v>
      </c>
      <c r="C992"/>
      <c r="D992"/>
      <c r="E992"/>
      <c r="F992"/>
      <c r="G992" s="479"/>
      <c r="H992" s="479"/>
      <c r="I992" s="488"/>
      <c r="J992" s="488"/>
      <c r="K992" s="488"/>
      <c r="L992" s="488"/>
      <c r="M992" s="488"/>
      <c r="N992" s="488"/>
      <c r="O992" s="488"/>
      <c r="P992" s="488"/>
      <c r="Q992" s="488"/>
      <c r="R992" s="488"/>
      <c r="S992" s="488"/>
      <c r="T992" s="488"/>
      <c r="U992" s="488"/>
      <c r="V992" s="488"/>
      <c r="W992" s="70"/>
      <c r="X992" s="67"/>
      <c r="Y992" s="69"/>
      <c r="Z992" s="488"/>
      <c r="AA992" s="67"/>
      <c r="AB992" s="488"/>
      <c r="AC992" s="488"/>
      <c r="AD992" s="488"/>
      <c r="AE992" s="488"/>
      <c r="AF992" s="488"/>
      <c r="AG992" s="488"/>
      <c r="AH992" s="488"/>
      <c r="AI992" s="488"/>
      <c r="AJ992" s="488"/>
      <c r="AK992" s="488"/>
      <c r="AL992" s="488"/>
      <c r="AM992" s="488"/>
      <c r="AN992" s="488"/>
      <c r="AO992" s="488"/>
      <c r="AP992" s="488"/>
      <c r="AQ992" s="488"/>
      <c r="AR992" s="488"/>
      <c r="AS992" s="488"/>
      <c r="AT992" s="73"/>
      <c r="AU992" s="73"/>
      <c r="AV992" s="73"/>
      <c r="AW992" s="73"/>
      <c r="AX992" s="73"/>
      <c r="AY992" s="73"/>
      <c r="AZ992" s="73"/>
      <c r="BA992" s="73"/>
      <c r="BB992" s="73"/>
      <c r="BC992" s="73"/>
      <c r="BD992" s="73"/>
      <c r="BE992" s="73"/>
    </row>
    <row r="993" spans="1:57" s="4" customFormat="1" ht="26.25" customHeight="1" x14ac:dyDescent="0.25">
      <c r="B993" s="1350" t="s">
        <v>36</v>
      </c>
      <c r="C993" s="1351" t="s">
        <v>37</v>
      </c>
      <c r="D993" s="1351"/>
      <c r="E993" s="1351"/>
      <c r="F993" s="1351"/>
      <c r="G993" s="1351"/>
      <c r="H993" s="1351"/>
      <c r="I993" s="1334" t="s">
        <v>38</v>
      </c>
      <c r="J993" s="1334"/>
      <c r="K993" s="1334"/>
      <c r="L993" s="1334"/>
      <c r="M993" s="1334"/>
      <c r="N993" s="1334"/>
      <c r="O993" s="1334"/>
      <c r="P993" s="1334"/>
      <c r="Q993" s="1334"/>
      <c r="R993" s="488"/>
      <c r="S993" s="488"/>
      <c r="T993" s="488"/>
      <c r="U993" s="488"/>
      <c r="V993" s="488"/>
      <c r="W993" s="488"/>
      <c r="X993" s="67"/>
      <c r="Y993" s="488"/>
      <c r="Z993" s="488"/>
      <c r="AA993" s="488"/>
      <c r="AB993" s="488"/>
      <c r="AC993" s="488"/>
      <c r="AD993" s="488"/>
      <c r="AE993" s="488"/>
      <c r="AF993" s="488"/>
      <c r="AG993" s="488"/>
      <c r="AH993" s="488"/>
      <c r="AI993" s="488"/>
      <c r="AJ993" s="488"/>
      <c r="AK993" s="488"/>
      <c r="AL993" s="488"/>
      <c r="AM993" s="488"/>
      <c r="AN993" s="488"/>
      <c r="AO993" s="488"/>
      <c r="AP993" s="488"/>
      <c r="AQ993" s="488"/>
      <c r="AR993" s="488"/>
      <c r="AS993" s="488"/>
      <c r="AT993" s="488"/>
      <c r="AU993" s="488"/>
      <c r="AV993" s="488"/>
      <c r="AW993" s="488"/>
      <c r="AX993" s="488"/>
      <c r="AY993" s="488"/>
      <c r="AZ993" s="488"/>
      <c r="BA993" s="488"/>
      <c r="BB993" s="488"/>
      <c r="BC993" s="488"/>
      <c r="BD993" s="488"/>
      <c r="BE993" s="488"/>
    </row>
    <row r="994" spans="1:57" s="4" customFormat="1" ht="38.25" customHeight="1" x14ac:dyDescent="0.25">
      <c r="A994" s="7"/>
      <c r="B994" s="17">
        <v>13</v>
      </c>
      <c r="C994" s="1352" t="s">
        <v>82</v>
      </c>
      <c r="D994" s="1352"/>
      <c r="E994" s="1352"/>
      <c r="F994" s="1352"/>
      <c r="G994" s="1352"/>
      <c r="H994" s="1352"/>
      <c r="I994" s="1335" t="s">
        <v>83</v>
      </c>
      <c r="J994" s="1335"/>
      <c r="K994" s="1335"/>
      <c r="L994" s="1335"/>
      <c r="M994" s="1335"/>
      <c r="N994" s="1335"/>
      <c r="O994" s="1335"/>
      <c r="P994" s="1335"/>
      <c r="Q994" s="1335"/>
      <c r="R994" s="488"/>
      <c r="S994" s="488"/>
      <c r="T994" s="488"/>
      <c r="U994" s="488"/>
      <c r="V994" s="488"/>
      <c r="W994" s="1336"/>
      <c r="X994" s="1337"/>
      <c r="Y994" s="1337"/>
      <c r="Z994" s="1337"/>
      <c r="AA994" s="1337"/>
      <c r="AB994" s="1337"/>
      <c r="AC994" s="1337"/>
      <c r="AD994" s="1337"/>
      <c r="AE994" s="1337"/>
      <c r="AF994" s="1337"/>
      <c r="AG994" s="1337"/>
      <c r="AH994" s="1337"/>
      <c r="AI994" s="1337"/>
      <c r="AJ994" s="1337"/>
      <c r="AK994" s="1337"/>
      <c r="AL994" s="1337"/>
      <c r="AM994" s="1337"/>
      <c r="AN994" s="1337"/>
      <c r="AO994" s="1337"/>
      <c r="AP994" s="1337"/>
      <c r="AQ994" s="1337"/>
      <c r="AR994" s="1337"/>
      <c r="AS994" s="1337"/>
      <c r="AT994" s="1337"/>
      <c r="AU994" s="1337"/>
      <c r="AV994" s="1337"/>
      <c r="AW994" s="1337"/>
      <c r="AX994" s="1337"/>
      <c r="AY994" s="1337"/>
      <c r="AZ994" s="1337"/>
      <c r="BA994" s="1337"/>
      <c r="BB994" s="1337"/>
      <c r="BC994" s="1337"/>
      <c r="BD994" s="1337"/>
      <c r="BE994" s="1337"/>
    </row>
    <row r="995" spans="1:57" s="4" customFormat="1" ht="26.25" customHeight="1" x14ac:dyDescent="0.25">
      <c r="A995" s="7"/>
      <c r="B995" s="17">
        <v>14</v>
      </c>
      <c r="C995" s="1352" t="s">
        <v>875</v>
      </c>
      <c r="D995" s="1352"/>
      <c r="E995" s="1352"/>
      <c r="F995" s="1352"/>
      <c r="G995" s="1352"/>
      <c r="H995" s="1352"/>
      <c r="I995" s="1335" t="s">
        <v>876</v>
      </c>
      <c r="J995" s="1335"/>
      <c r="K995" s="1335"/>
      <c r="L995" s="1335"/>
      <c r="M995" s="1335"/>
      <c r="N995" s="1335"/>
      <c r="O995" s="1335"/>
      <c r="P995" s="1335"/>
      <c r="Q995" s="1335"/>
      <c r="R995" s="488"/>
      <c r="S995" s="488"/>
      <c r="T995" s="488"/>
      <c r="U995" s="488"/>
      <c r="V995" s="488"/>
      <c r="W995" s="488"/>
      <c r="X995" s="488"/>
      <c r="Y995" s="488"/>
      <c r="Z995" s="488"/>
      <c r="AA995" s="488"/>
      <c r="AB995" s="488"/>
      <c r="AC995" s="488"/>
      <c r="AD995" s="488"/>
      <c r="AE995" s="488"/>
      <c r="AF995" s="488"/>
      <c r="AG995" s="488"/>
      <c r="AH995" s="488"/>
      <c r="AI995" s="488"/>
      <c r="AJ995" s="488"/>
      <c r="AK995" s="488"/>
      <c r="AL995" s="488"/>
      <c r="AM995" s="488"/>
      <c r="AN995" s="488"/>
      <c r="AO995" s="488"/>
      <c r="AP995" s="488"/>
      <c r="AQ995" s="488"/>
      <c r="AR995" s="488"/>
      <c r="AS995" s="488"/>
      <c r="AT995" s="488"/>
      <c r="AU995" s="488"/>
      <c r="AV995" s="488"/>
      <c r="AW995" s="488"/>
      <c r="AX995" s="488"/>
      <c r="AY995" s="488"/>
      <c r="AZ995" s="488"/>
      <c r="BA995" s="488"/>
      <c r="BB995" s="488"/>
      <c r="BC995" s="488"/>
      <c r="BD995" s="488"/>
      <c r="BE995" s="488"/>
    </row>
    <row r="996" spans="1:57" x14ac:dyDescent="0.25">
      <c r="A996" s="26"/>
      <c r="B996" s="276"/>
      <c r="C996" s="276"/>
      <c r="D996" s="26"/>
      <c r="E996" s="26"/>
      <c r="F996" s="26"/>
      <c r="G996" s="276"/>
      <c r="H996" s="276"/>
      <c r="I996" s="1332"/>
      <c r="J996" s="1332"/>
      <c r="K996" s="1332"/>
      <c r="L996" s="1332"/>
      <c r="M996" s="1332"/>
      <c r="N996" s="1332"/>
      <c r="O996" s="1332"/>
      <c r="P996" s="1332"/>
      <c r="Q996" s="1332"/>
      <c r="R996" s="1332"/>
      <c r="S996" s="1332"/>
      <c r="T996" s="1332"/>
      <c r="U996" s="1332"/>
      <c r="V996" s="1332"/>
      <c r="W996" s="1332"/>
      <c r="X996" s="1332"/>
      <c r="Y996" s="1332"/>
      <c r="Z996" s="1332"/>
      <c r="AA996" s="1332"/>
      <c r="AB996" s="1332"/>
      <c r="AC996" s="1332"/>
      <c r="AD996" s="1332"/>
      <c r="AE996" s="1332"/>
      <c r="AF996" s="1332"/>
      <c r="AG996" s="1332"/>
      <c r="AH996" s="1332"/>
      <c r="AI996" s="1332"/>
      <c r="AJ996" s="1332"/>
      <c r="AK996" s="1332"/>
      <c r="AL996" s="1332"/>
      <c r="AM996" s="1332"/>
      <c r="AN996" s="1332"/>
      <c r="AO996" s="1332"/>
      <c r="AP996" s="1333"/>
      <c r="AQ996" s="1333"/>
      <c r="AR996" s="1332"/>
      <c r="AS996" s="1332"/>
      <c r="AT996" s="1332"/>
      <c r="AU996" s="1332"/>
      <c r="AV996" s="1332"/>
      <c r="AW996" s="1332"/>
      <c r="AX996" s="1333"/>
      <c r="AY996" s="1"/>
      <c r="AZ996" s="1"/>
      <c r="BA996" s="1"/>
      <c r="BB996" s="1"/>
      <c r="BC996" s="1"/>
      <c r="BD996" s="1"/>
      <c r="BE996" s="1"/>
    </row>
    <row r="997" spans="1:57" x14ac:dyDescent="0.25">
      <c r="A997" s="26"/>
      <c r="B997" s="276"/>
      <c r="C997" s="276"/>
      <c r="D997" s="26"/>
      <c r="E997" s="26"/>
      <c r="F997" s="26"/>
      <c r="G997" s="276"/>
      <c r="H997" s="276"/>
      <c r="I997" s="1332"/>
      <c r="J997" s="1332"/>
      <c r="K997" s="1332"/>
      <c r="L997" s="1332"/>
      <c r="M997" s="1332"/>
      <c r="N997" s="1332"/>
      <c r="O997" s="1332"/>
      <c r="P997" s="1332"/>
      <c r="Q997" s="1332"/>
      <c r="R997" s="1332"/>
      <c r="S997" s="1332"/>
      <c r="T997" s="1332"/>
      <c r="U997" s="1332"/>
      <c r="V997" s="1332"/>
      <c r="W997" s="1332"/>
      <c r="X997" s="1332"/>
      <c r="Y997" s="1332"/>
      <c r="Z997" s="1332"/>
      <c r="AA997" s="1332"/>
      <c r="AB997" s="1332"/>
      <c r="AC997" s="1332"/>
      <c r="AD997" s="1332"/>
      <c r="AE997" s="1332"/>
      <c r="AF997" s="1332"/>
      <c r="AG997" s="1332"/>
      <c r="AH997" s="1332"/>
      <c r="AI997" s="1332"/>
      <c r="AJ997" s="1332"/>
      <c r="AK997" s="1332"/>
      <c r="AL997" s="1332"/>
      <c r="AM997" s="1332"/>
      <c r="AN997" s="1332"/>
      <c r="AO997" s="1332"/>
      <c r="AP997" s="1333"/>
      <c r="AQ997" s="1333"/>
      <c r="AR997" s="1332"/>
      <c r="AS997" s="1332"/>
      <c r="AT997" s="1332"/>
      <c r="AU997" s="1332"/>
      <c r="AV997" s="1332"/>
      <c r="AW997" s="1332"/>
      <c r="AX997" s="1333"/>
      <c r="AY997" s="1"/>
      <c r="AZ997" s="1"/>
      <c r="BA997" s="1"/>
      <c r="BB997" s="1"/>
      <c r="BC997" s="1"/>
      <c r="BD997" s="1"/>
      <c r="BE997" s="1"/>
    </row>
    <row r="998" spans="1:57" x14ac:dyDescent="0.25">
      <c r="A998" s="26"/>
      <c r="B998" s="276"/>
      <c r="C998" s="276"/>
      <c r="D998" s="26"/>
      <c r="E998" s="27"/>
      <c r="F998" s="27"/>
      <c r="G998" s="277"/>
      <c r="H998" s="277"/>
      <c r="I998" s="1331"/>
      <c r="J998" s="1331"/>
      <c r="K998" s="1331"/>
      <c r="L998" s="1331"/>
      <c r="M998" s="1331"/>
      <c r="N998" s="1331"/>
      <c r="O998" s="1331"/>
      <c r="P998" s="1331"/>
      <c r="Q998" s="1331"/>
      <c r="R998" s="1331"/>
      <c r="S998" s="1331"/>
      <c r="T998" s="1331"/>
      <c r="U998" s="1331"/>
      <c r="V998" s="1331"/>
      <c r="W998" s="1331"/>
      <c r="X998" s="1331"/>
      <c r="Y998" s="1331"/>
      <c r="Z998" s="1331"/>
      <c r="AA998" s="1331"/>
      <c r="AB998" s="1331"/>
      <c r="AC998" s="1331"/>
      <c r="AD998" s="1332"/>
      <c r="AE998" s="1332"/>
      <c r="AF998" s="1332"/>
      <c r="AG998" s="1332"/>
      <c r="AH998" s="1332"/>
      <c r="AI998" s="1332"/>
      <c r="AJ998" s="1332"/>
      <c r="AK998" s="1332"/>
      <c r="AL998" s="1332"/>
      <c r="AM998" s="1332"/>
      <c r="AN998" s="1332"/>
      <c r="AO998" s="1332"/>
      <c r="AP998" s="1333"/>
      <c r="AQ998" s="1333"/>
      <c r="AR998" s="1332"/>
      <c r="AS998" s="1332"/>
      <c r="AT998" s="1332"/>
      <c r="AU998" s="1332"/>
      <c r="AV998" s="1332"/>
      <c r="AW998" s="1332"/>
      <c r="AX998" s="1333"/>
      <c r="AY998" s="1"/>
      <c r="AZ998" s="1"/>
      <c r="BA998" s="1"/>
      <c r="BB998" s="1"/>
      <c r="BC998" s="1"/>
      <c r="BD998" s="1"/>
      <c r="BE998" s="1"/>
    </row>
    <row r="999" spans="1:57" ht="15.75" x14ac:dyDescent="0.25">
      <c r="A999" s="26"/>
      <c r="B999" s="276"/>
      <c r="C999" s="276"/>
      <c r="D999" s="26"/>
      <c r="E999" s="28"/>
      <c r="F999" s="28"/>
      <c r="G999" s="284"/>
      <c r="H999" s="284"/>
      <c r="I999" s="1338"/>
      <c r="J999" s="1338"/>
      <c r="K999" s="1338"/>
      <c r="L999" s="1338"/>
      <c r="M999" s="1338"/>
      <c r="N999" s="1338"/>
      <c r="O999" s="1338"/>
      <c r="P999" s="1338"/>
      <c r="Q999" s="1338"/>
      <c r="R999" s="1332"/>
      <c r="S999" s="1332"/>
      <c r="T999" s="1332"/>
      <c r="U999" s="1332"/>
      <c r="V999" s="1332"/>
      <c r="W999" s="1332"/>
      <c r="X999" s="1332"/>
      <c r="Y999" s="1332"/>
      <c r="Z999" s="1332"/>
      <c r="AA999" s="1332"/>
      <c r="AB999" s="1332"/>
      <c r="AC999" s="1332"/>
      <c r="AD999" s="1332"/>
      <c r="AE999" s="1332"/>
      <c r="AF999" s="1332"/>
      <c r="AG999" s="1332"/>
      <c r="AH999" s="1332"/>
      <c r="AI999" s="1332"/>
      <c r="AJ999" s="1332"/>
      <c r="AK999" s="1332"/>
      <c r="AL999" s="1332"/>
      <c r="AM999" s="1332"/>
      <c r="AN999" s="1332"/>
      <c r="AO999" s="1332"/>
      <c r="AP999" s="1333"/>
      <c r="AQ999" s="1333"/>
      <c r="AR999" s="1332"/>
      <c r="AS999" s="1332"/>
      <c r="AT999" s="1332"/>
      <c r="AU999" s="1332"/>
      <c r="AV999" s="1332"/>
      <c r="AW999" s="1332"/>
      <c r="AX999" s="1333"/>
      <c r="AY999" s="1"/>
      <c r="AZ999" s="1"/>
      <c r="BA999" s="1"/>
      <c r="BB999" s="1"/>
      <c r="BC999" s="1"/>
      <c r="BD999" s="1"/>
      <c r="BE999" s="1"/>
    </row>
    <row r="1000" spans="1:57" x14ac:dyDescent="0.25">
      <c r="A1000" s="26"/>
      <c r="B1000" s="276"/>
      <c r="C1000" s="276"/>
      <c r="D1000" s="26"/>
      <c r="E1000" s="26"/>
      <c r="F1000" s="26"/>
      <c r="G1000" s="276"/>
      <c r="H1000" s="276"/>
      <c r="I1000" s="1332"/>
      <c r="J1000" s="1332"/>
      <c r="K1000" s="1332"/>
      <c r="L1000" s="1332"/>
      <c r="M1000" s="1332"/>
      <c r="N1000" s="1332"/>
      <c r="O1000" s="1332"/>
      <c r="P1000" s="1332"/>
      <c r="Q1000" s="1332"/>
      <c r="R1000" s="1332"/>
      <c r="S1000" s="1332"/>
      <c r="T1000" s="1332"/>
      <c r="U1000" s="1332"/>
      <c r="V1000" s="1332"/>
      <c r="W1000" s="1332"/>
      <c r="X1000" s="1332"/>
      <c r="Y1000" s="1332"/>
      <c r="Z1000" s="1332"/>
      <c r="AA1000" s="1332"/>
      <c r="AB1000" s="1332"/>
      <c r="AC1000" s="1332"/>
      <c r="AD1000" s="1339"/>
      <c r="AE1000" s="1332"/>
      <c r="AF1000" s="1332"/>
      <c r="AG1000" s="1332"/>
      <c r="AH1000" s="1332"/>
      <c r="AI1000" s="1332"/>
      <c r="AJ1000" s="1332"/>
      <c r="AK1000" s="1332"/>
      <c r="AL1000" s="1332"/>
      <c r="AM1000" s="1332"/>
      <c r="AN1000" s="1332"/>
      <c r="AO1000" s="1332"/>
      <c r="AP1000" s="1333"/>
      <c r="AQ1000" s="1333"/>
      <c r="AR1000" s="1332"/>
      <c r="AS1000" s="1332"/>
      <c r="AT1000" s="1332"/>
      <c r="AU1000" s="1332"/>
      <c r="AV1000" s="1332"/>
      <c r="AW1000" s="1332"/>
      <c r="AX1000" s="1333"/>
      <c r="AY1000" s="1"/>
      <c r="AZ1000" s="1"/>
      <c r="BA1000" s="1"/>
      <c r="BB1000" s="1"/>
      <c r="BC1000" s="1"/>
      <c r="BD1000" s="1"/>
      <c r="BE1000" s="1"/>
    </row>
    <row r="1001" spans="1:57" x14ac:dyDescent="0.25">
      <c r="A1001" s="26"/>
      <c r="B1001" s="276"/>
      <c r="C1001" s="276"/>
      <c r="D1001" s="26"/>
      <c r="E1001" s="27"/>
      <c r="F1001" s="27"/>
      <c r="G1001" s="277"/>
      <c r="H1001" s="277"/>
      <c r="I1001" s="1331"/>
      <c r="J1001" s="1331"/>
      <c r="K1001" s="1331"/>
      <c r="L1001" s="1331"/>
      <c r="M1001" s="1331"/>
      <c r="N1001" s="1331"/>
      <c r="O1001" s="1331"/>
      <c r="P1001" s="1331"/>
      <c r="Q1001" s="1331"/>
      <c r="R1001" s="1331"/>
      <c r="S1001" s="1331"/>
      <c r="T1001" s="1331"/>
      <c r="U1001" s="1331"/>
      <c r="V1001" s="1331"/>
      <c r="W1001" s="1331"/>
      <c r="X1001" s="1331"/>
      <c r="Y1001" s="1331"/>
      <c r="Z1001" s="1331"/>
      <c r="AA1001" s="1331"/>
      <c r="AB1001" s="1331"/>
      <c r="AC1001" s="1331"/>
      <c r="AD1001" s="1332"/>
      <c r="AE1001" s="1332"/>
      <c r="AF1001" s="1332"/>
      <c r="AG1001" s="1332"/>
      <c r="AH1001" s="1332"/>
      <c r="AI1001" s="1332"/>
      <c r="AJ1001" s="1332"/>
      <c r="AK1001" s="1332"/>
      <c r="AL1001" s="1332"/>
      <c r="AM1001" s="1332"/>
      <c r="AN1001" s="1332"/>
      <c r="AO1001" s="1332"/>
      <c r="AP1001" s="1333"/>
      <c r="AQ1001" s="1333"/>
      <c r="AR1001" s="1332"/>
      <c r="AS1001" s="1332"/>
      <c r="AT1001" s="1332"/>
      <c r="AU1001" s="1332"/>
      <c r="AV1001" s="1332"/>
      <c r="AW1001" s="1332"/>
      <c r="AX1001" s="1333"/>
      <c r="AY1001" s="1"/>
      <c r="AZ1001" s="1"/>
      <c r="BA1001" s="1"/>
      <c r="BB1001" s="1"/>
      <c r="BC1001" s="1"/>
      <c r="BD1001" s="1"/>
      <c r="BE1001" s="1"/>
    </row>
    <row r="1002" spans="1:57" x14ac:dyDescent="0.25">
      <c r="A1002" s="26"/>
      <c r="B1002" s="276"/>
      <c r="C1002" s="276"/>
      <c r="D1002" s="26"/>
      <c r="E1002" s="26"/>
      <c r="F1002" s="26"/>
      <c r="G1002" s="276"/>
      <c r="H1002" s="276"/>
      <c r="I1002" s="1332"/>
      <c r="J1002" s="1332"/>
      <c r="K1002" s="1332"/>
      <c r="L1002" s="1332"/>
      <c r="M1002" s="1332"/>
      <c r="N1002" s="1332"/>
      <c r="O1002" s="1332"/>
      <c r="P1002" s="1332"/>
      <c r="Q1002" s="1332"/>
      <c r="R1002" s="1332"/>
      <c r="S1002" s="1332"/>
      <c r="T1002" s="1332"/>
      <c r="U1002" s="1332"/>
      <c r="V1002" s="1332"/>
      <c r="W1002" s="1332"/>
      <c r="X1002" s="1332"/>
      <c r="Y1002" s="1332"/>
      <c r="Z1002" s="1332"/>
      <c r="AA1002" s="1332"/>
      <c r="AB1002" s="1332"/>
      <c r="AC1002" s="1332"/>
      <c r="AD1002" s="1332"/>
      <c r="AE1002" s="1332"/>
      <c r="AF1002" s="1332"/>
      <c r="AG1002" s="1332"/>
      <c r="AH1002" s="1332"/>
      <c r="AI1002" s="1332"/>
      <c r="AJ1002" s="1332"/>
      <c r="AK1002" s="1332"/>
      <c r="AL1002" s="1332"/>
      <c r="AM1002" s="1332"/>
      <c r="AN1002" s="1332"/>
      <c r="AO1002" s="1332"/>
      <c r="AP1002" s="1333"/>
      <c r="AQ1002" s="1333"/>
      <c r="AR1002" s="1332"/>
      <c r="AS1002" s="1332"/>
      <c r="AT1002" s="1332"/>
      <c r="AU1002" s="1332"/>
      <c r="AV1002" s="1332"/>
      <c r="AW1002" s="1332"/>
      <c r="AX1002" s="1333"/>
      <c r="AY1002" s="1"/>
      <c r="AZ1002" s="1"/>
      <c r="BA1002" s="1"/>
      <c r="BB1002" s="1"/>
      <c r="BC1002" s="1"/>
      <c r="BD1002" s="1"/>
      <c r="BE1002" s="1"/>
    </row>
    <row r="1003" spans="1:57" x14ac:dyDescent="0.25">
      <c r="A1003" s="26"/>
      <c r="B1003" s="276"/>
      <c r="C1003" s="276"/>
      <c r="D1003" s="26"/>
      <c r="E1003" s="26"/>
      <c r="F1003" s="26"/>
      <c r="G1003" s="276"/>
      <c r="H1003" s="276"/>
      <c r="I1003" s="1332"/>
      <c r="J1003" s="1332"/>
      <c r="K1003" s="1332"/>
      <c r="L1003" s="1332"/>
      <c r="M1003" s="1332"/>
      <c r="N1003" s="1332"/>
      <c r="O1003" s="1332"/>
      <c r="P1003" s="1332"/>
      <c r="Q1003" s="1332"/>
      <c r="R1003" s="1332"/>
      <c r="S1003" s="1332"/>
      <c r="T1003" s="1332"/>
      <c r="U1003" s="1332"/>
      <c r="V1003" s="1332"/>
      <c r="W1003" s="1332"/>
      <c r="X1003" s="1332"/>
      <c r="Y1003" s="1332"/>
      <c r="Z1003" s="1332"/>
      <c r="AA1003" s="1332"/>
      <c r="AB1003" s="1332"/>
      <c r="AC1003" s="1332"/>
      <c r="AD1003" s="1332"/>
      <c r="AE1003" s="1332"/>
      <c r="AF1003" s="1332"/>
      <c r="AG1003" s="1332"/>
      <c r="AH1003" s="1332"/>
      <c r="AI1003" s="1332"/>
      <c r="AJ1003" s="1332"/>
      <c r="AK1003" s="1332"/>
      <c r="AL1003" s="1332"/>
      <c r="AM1003" s="1332"/>
      <c r="AN1003" s="1332"/>
      <c r="AO1003" s="1332"/>
      <c r="AP1003" s="1333"/>
      <c r="AQ1003" s="1333"/>
      <c r="AR1003" s="1332"/>
      <c r="AS1003" s="1332"/>
      <c r="AT1003" s="1332"/>
      <c r="AU1003" s="1332"/>
      <c r="AV1003" s="1332"/>
      <c r="AW1003" s="1332"/>
      <c r="AX1003" s="1333"/>
      <c r="AY1003" s="1"/>
      <c r="AZ1003" s="1"/>
      <c r="BA1003" s="1"/>
      <c r="BB1003" s="1"/>
      <c r="BC1003" s="1"/>
      <c r="BD1003" s="1"/>
      <c r="BE1003" s="1"/>
    </row>
    <row r="1004" spans="1:57" x14ac:dyDescent="0.25">
      <c r="A1004" s="26"/>
      <c r="B1004" s="276"/>
      <c r="C1004" s="276"/>
      <c r="D1004" s="26"/>
      <c r="E1004" s="26"/>
      <c r="F1004" s="26"/>
      <c r="G1004" s="276"/>
      <c r="H1004" s="276"/>
      <c r="I1004" s="1332"/>
      <c r="J1004" s="1332"/>
      <c r="K1004" s="1332"/>
      <c r="L1004" s="1332"/>
      <c r="M1004" s="1332"/>
      <c r="N1004" s="1332"/>
      <c r="O1004" s="1332"/>
      <c r="P1004" s="1332"/>
      <c r="Q1004" s="1332"/>
      <c r="R1004" s="1332"/>
      <c r="S1004" s="1332"/>
      <c r="T1004" s="1332"/>
      <c r="U1004" s="1332"/>
      <c r="V1004" s="1332"/>
      <c r="W1004" s="1332"/>
      <c r="X1004" s="1332"/>
      <c r="Y1004" s="1332"/>
      <c r="Z1004" s="1332"/>
      <c r="AA1004" s="1332"/>
      <c r="AB1004" s="1332"/>
      <c r="AC1004" s="1332"/>
      <c r="AD1004" s="1332"/>
      <c r="AE1004" s="1332"/>
      <c r="AF1004" s="1332"/>
      <c r="AG1004" s="1332"/>
      <c r="AH1004" s="1332"/>
      <c r="AI1004" s="1332"/>
      <c r="AJ1004" s="1332"/>
      <c r="AK1004" s="1332"/>
      <c r="AL1004" s="1332"/>
      <c r="AM1004" s="1332"/>
      <c r="AN1004" s="1332"/>
      <c r="AO1004" s="1332"/>
      <c r="AP1004" s="1333"/>
      <c r="AQ1004" s="1333"/>
      <c r="AR1004" s="1332"/>
      <c r="AS1004" s="1332"/>
      <c r="AT1004" s="1332"/>
      <c r="AU1004" s="1332"/>
      <c r="AV1004" s="1332"/>
      <c r="AW1004" s="1332"/>
      <c r="AX1004" s="1333"/>
      <c r="AY1004" s="1"/>
      <c r="AZ1004" s="1"/>
      <c r="BA1004" s="1"/>
      <c r="BB1004" s="1"/>
      <c r="BC1004" s="1"/>
      <c r="BD1004" s="1"/>
      <c r="BE1004" s="1"/>
    </row>
    <row r="1005" spans="1:57" x14ac:dyDescent="0.25">
      <c r="A1005" s="26"/>
      <c r="B1005" s="276"/>
      <c r="C1005" s="276"/>
      <c r="D1005" s="26"/>
      <c r="E1005" s="26"/>
      <c r="F1005" s="26"/>
      <c r="G1005" s="276"/>
      <c r="H1005" s="276"/>
      <c r="I1005" s="1332"/>
      <c r="J1005" s="1332"/>
      <c r="K1005" s="1332"/>
      <c r="L1005" s="1332"/>
      <c r="M1005" s="1332"/>
      <c r="N1005" s="1332"/>
      <c r="O1005" s="1332"/>
      <c r="P1005" s="1332"/>
      <c r="Q1005" s="1332"/>
      <c r="R1005" s="1332"/>
      <c r="S1005" s="1332"/>
      <c r="T1005" s="1332"/>
      <c r="U1005" s="1332"/>
      <c r="V1005" s="1332"/>
      <c r="W1005" s="1332"/>
      <c r="X1005" s="1332"/>
      <c r="Y1005" s="1332"/>
      <c r="Z1005" s="1332"/>
      <c r="AA1005" s="1332"/>
      <c r="AB1005" s="1332"/>
      <c r="AC1005" s="1332"/>
      <c r="AD1005" s="1332"/>
      <c r="AE1005" s="1332"/>
      <c r="AF1005" s="1332"/>
      <c r="AG1005" s="1332"/>
      <c r="AH1005" s="1332"/>
      <c r="AI1005" s="1332"/>
      <c r="AJ1005" s="1332"/>
      <c r="AK1005" s="1332"/>
      <c r="AL1005" s="1332"/>
      <c r="AM1005" s="1332"/>
      <c r="AN1005" s="1332"/>
      <c r="AO1005" s="1332"/>
      <c r="AP1005" s="1333"/>
      <c r="AQ1005" s="1333"/>
      <c r="AR1005" s="1332"/>
      <c r="AS1005" s="1332"/>
      <c r="AT1005" s="1332"/>
      <c r="AU1005" s="1332"/>
      <c r="AV1005" s="1332"/>
      <c r="AW1005" s="1332"/>
      <c r="AX1005" s="1333"/>
      <c r="AY1005" s="1"/>
      <c r="AZ1005" s="1"/>
      <c r="BA1005" s="1"/>
      <c r="BB1005" s="1"/>
      <c r="BC1005" s="1"/>
      <c r="BD1005" s="1"/>
      <c r="BE1005" s="1"/>
    </row>
    <row r="1006" spans="1:57" x14ac:dyDescent="0.25">
      <c r="A1006" s="26"/>
      <c r="B1006" s="276"/>
      <c r="C1006" s="276"/>
      <c r="D1006" s="26"/>
      <c r="E1006" s="26"/>
      <c r="F1006" s="26"/>
      <c r="G1006" s="276"/>
      <c r="H1006" s="276"/>
      <c r="I1006" s="1332"/>
      <c r="J1006" s="1332"/>
      <c r="K1006" s="1332"/>
      <c r="L1006" s="1332"/>
      <c r="M1006" s="1332"/>
      <c r="N1006" s="1332"/>
      <c r="O1006" s="1332"/>
      <c r="P1006" s="1332"/>
      <c r="Q1006" s="1332"/>
      <c r="R1006" s="1332"/>
      <c r="S1006" s="1332"/>
      <c r="T1006" s="1332"/>
      <c r="U1006" s="1332"/>
      <c r="V1006" s="1332"/>
      <c r="W1006" s="1332"/>
      <c r="X1006" s="1332"/>
      <c r="Y1006" s="1332"/>
      <c r="Z1006" s="1332"/>
      <c r="AA1006" s="1332"/>
      <c r="AB1006" s="1332"/>
      <c r="AC1006" s="1332"/>
      <c r="AD1006" s="1332"/>
      <c r="AE1006" s="1332"/>
      <c r="AF1006" s="1332"/>
      <c r="AG1006" s="1332"/>
      <c r="AH1006" s="1332"/>
      <c r="AI1006" s="1332"/>
      <c r="AJ1006" s="1332"/>
      <c r="AK1006" s="1332"/>
      <c r="AL1006" s="1332"/>
      <c r="AM1006" s="1332"/>
      <c r="AN1006" s="1332"/>
      <c r="AO1006" s="1332"/>
      <c r="AP1006" s="1333"/>
      <c r="AQ1006" s="1333"/>
      <c r="AR1006" s="1332"/>
      <c r="AS1006" s="1332"/>
      <c r="AT1006" s="1332"/>
      <c r="AU1006" s="1332"/>
      <c r="AV1006" s="1332"/>
      <c r="AW1006" s="1332"/>
      <c r="AX1006" s="1333"/>
      <c r="AY1006" s="1"/>
      <c r="AZ1006" s="1"/>
      <c r="BA1006" s="1"/>
      <c r="BB1006" s="1"/>
      <c r="BC1006" s="1"/>
      <c r="BD1006" s="1"/>
      <c r="BE1006" s="1"/>
    </row>
    <row r="1007" spans="1:57" x14ac:dyDescent="0.25">
      <c r="A1007" s="26"/>
      <c r="B1007" s="276"/>
      <c r="C1007" s="276"/>
      <c r="D1007" s="26"/>
      <c r="E1007" s="26"/>
      <c r="F1007" s="26"/>
      <c r="G1007" s="276"/>
      <c r="H1007" s="276"/>
      <c r="I1007" s="1332"/>
      <c r="J1007" s="1332"/>
      <c r="K1007" s="1332"/>
      <c r="L1007" s="1332"/>
      <c r="M1007" s="1332"/>
      <c r="N1007" s="1332"/>
      <c r="O1007" s="1332"/>
      <c r="P1007" s="1332"/>
      <c r="Q1007" s="1332"/>
      <c r="R1007" s="1332"/>
      <c r="S1007" s="1332"/>
      <c r="T1007" s="1332"/>
      <c r="U1007" s="1332"/>
      <c r="V1007" s="1332"/>
      <c r="W1007" s="1332"/>
      <c r="X1007" s="1332"/>
      <c r="Y1007" s="1332"/>
      <c r="Z1007" s="1332"/>
      <c r="AA1007" s="1332"/>
      <c r="AB1007" s="1332"/>
      <c r="AC1007" s="1332"/>
      <c r="AD1007" s="1332"/>
      <c r="AE1007" s="1332"/>
      <c r="AF1007" s="1332"/>
      <c r="AG1007" s="1332"/>
      <c r="AH1007" s="1332"/>
      <c r="AI1007" s="1332"/>
      <c r="AJ1007" s="1332"/>
      <c r="AK1007" s="1332"/>
      <c r="AL1007" s="1332"/>
      <c r="AM1007" s="1332"/>
      <c r="AN1007" s="1332"/>
      <c r="AO1007" s="1332"/>
      <c r="AP1007" s="1333"/>
      <c r="AQ1007" s="1333"/>
      <c r="AR1007" s="1332"/>
      <c r="AS1007" s="1332"/>
      <c r="AT1007" s="1332"/>
      <c r="AU1007" s="1332"/>
      <c r="AV1007" s="1332"/>
      <c r="AW1007" s="1332"/>
      <c r="AX1007" s="1333"/>
      <c r="AY1007" s="1"/>
      <c r="AZ1007" s="1"/>
      <c r="BA1007" s="1"/>
      <c r="BB1007" s="1"/>
      <c r="BC1007" s="1"/>
      <c r="BD1007" s="1"/>
      <c r="BE1007" s="1"/>
    </row>
    <row r="1008" spans="1:57" x14ac:dyDescent="0.25">
      <c r="A1008" s="26"/>
      <c r="B1008" s="276"/>
      <c r="C1008" s="276"/>
      <c r="D1008" s="26"/>
      <c r="E1008" s="26"/>
      <c r="F1008" s="26"/>
      <c r="G1008" s="276"/>
      <c r="H1008" s="276"/>
      <c r="I1008" s="1332"/>
      <c r="J1008" s="1332"/>
      <c r="K1008" s="1332"/>
      <c r="L1008" s="1332"/>
      <c r="M1008" s="1332"/>
      <c r="N1008" s="1332"/>
      <c r="O1008" s="1332"/>
      <c r="P1008" s="1332"/>
      <c r="Q1008" s="1332"/>
      <c r="R1008" s="1332"/>
      <c r="S1008" s="1332"/>
      <c r="T1008" s="1332"/>
      <c r="U1008" s="1332"/>
      <c r="V1008" s="1332"/>
      <c r="W1008" s="1332"/>
      <c r="X1008" s="1332"/>
      <c r="Y1008" s="1332"/>
      <c r="Z1008" s="1332"/>
      <c r="AA1008" s="1332"/>
      <c r="AB1008" s="1332"/>
      <c r="AC1008" s="1332"/>
      <c r="AD1008" s="1332"/>
      <c r="AE1008" s="1332"/>
      <c r="AF1008" s="1332"/>
      <c r="AG1008" s="1332"/>
      <c r="AH1008" s="1332"/>
      <c r="AI1008" s="1332"/>
      <c r="AJ1008" s="1332"/>
      <c r="AK1008" s="1332"/>
      <c r="AL1008" s="1332"/>
      <c r="AM1008" s="1332"/>
      <c r="AN1008" s="1332"/>
      <c r="AO1008" s="1332"/>
      <c r="AP1008" s="1333"/>
      <c r="AQ1008" s="1333"/>
      <c r="AR1008" s="1332"/>
      <c r="AS1008" s="1332"/>
      <c r="AT1008" s="1332"/>
      <c r="AU1008" s="1332"/>
      <c r="AV1008" s="1332"/>
      <c r="AW1008" s="1332"/>
      <c r="AX1008" s="1333"/>
      <c r="AY1008" s="1"/>
      <c r="AZ1008" s="1"/>
      <c r="BA1008" s="1"/>
      <c r="BB1008" s="1"/>
      <c r="BC1008" s="1"/>
      <c r="BD1008" s="1"/>
      <c r="BE1008" s="1"/>
    </row>
    <row r="1009" spans="9:57" x14ac:dyDescent="0.25">
      <c r="I1009" s="1"/>
      <c r="J1009" s="1"/>
      <c r="K1009" s="1"/>
      <c r="L1009" s="1"/>
      <c r="M1009" s="1"/>
      <c r="N1009" s="1"/>
      <c r="O1009" s="1"/>
      <c r="P1009" s="1"/>
      <c r="Q1009" s="1"/>
      <c r="R1009" s="1332"/>
      <c r="S1009" s="1332"/>
      <c r="T1009" s="1332"/>
      <c r="U1009" s="1332"/>
      <c r="V1009" s="1332"/>
      <c r="W1009" s="1332"/>
      <c r="X1009" s="1332"/>
      <c r="Y1009" s="1332"/>
      <c r="Z1009" s="1332"/>
      <c r="AA1009" s="1332"/>
      <c r="AB1009" s="1332"/>
      <c r="AC1009" s="1332"/>
      <c r="AD1009" s="1332"/>
      <c r="AE1009" s="1"/>
      <c r="AF1009" s="1"/>
      <c r="AG1009" s="1"/>
      <c r="AH1009" s="1"/>
      <c r="AI1009" s="1"/>
      <c r="AJ1009" s="1"/>
      <c r="AK1009" s="1"/>
      <c r="AL1009" s="1"/>
      <c r="AM1009" s="1"/>
      <c r="AN1009" s="1"/>
      <c r="AO1009" s="1"/>
      <c r="AP1009" s="488"/>
      <c r="AQ1009" s="488"/>
      <c r="AR1009" s="1"/>
      <c r="AS1009" s="1"/>
      <c r="AT1009" s="1"/>
      <c r="AU1009" s="1"/>
      <c r="AV1009" s="1"/>
      <c r="AW1009" s="1"/>
      <c r="AX1009" s="488"/>
      <c r="AY1009" s="1"/>
      <c r="AZ1009" s="1"/>
      <c r="BA1009" s="1"/>
      <c r="BB1009" s="1"/>
      <c r="BC1009" s="1"/>
      <c r="BD1009" s="1"/>
      <c r="BE1009" s="1"/>
    </row>
    <row r="1010" spans="9:57" x14ac:dyDescent="0.25">
      <c r="I1010" s="1"/>
      <c r="J1010" s="1"/>
      <c r="K1010" s="1"/>
      <c r="L1010" s="1"/>
      <c r="M1010" s="1"/>
      <c r="N1010" s="1"/>
      <c r="O1010" s="1"/>
      <c r="P1010" s="1"/>
      <c r="Q1010" s="1"/>
      <c r="R1010" s="1332"/>
      <c r="S1010" s="1332"/>
      <c r="T1010" s="1332"/>
      <c r="U1010" s="1332"/>
      <c r="V1010" s="1332"/>
      <c r="W1010" s="1332"/>
      <c r="X1010" s="1332"/>
      <c r="Y1010" s="1332"/>
      <c r="Z1010" s="1332"/>
      <c r="AA1010" s="1332"/>
      <c r="AB1010" s="1332"/>
      <c r="AC1010" s="1332"/>
      <c r="AD1010" s="1332"/>
      <c r="AE1010" s="1"/>
      <c r="AF1010" s="1"/>
      <c r="AG1010" s="1"/>
      <c r="AH1010" s="1"/>
      <c r="AI1010" s="1"/>
      <c r="AJ1010" s="1"/>
      <c r="AK1010" s="1"/>
      <c r="AL1010" s="1"/>
      <c r="AM1010" s="1"/>
      <c r="AN1010" s="1"/>
      <c r="AO1010" s="1"/>
      <c r="AP1010" s="488"/>
      <c r="AQ1010" s="488"/>
      <c r="AR1010" s="1"/>
      <c r="AS1010" s="1"/>
      <c r="AT1010" s="1"/>
      <c r="AU1010" s="1"/>
      <c r="AV1010" s="1"/>
      <c r="AW1010" s="1"/>
      <c r="AX1010" s="488"/>
      <c r="AY1010" s="1"/>
      <c r="AZ1010" s="1"/>
      <c r="BA1010" s="1"/>
      <c r="BB1010" s="1"/>
      <c r="BC1010" s="1"/>
      <c r="BD1010" s="1"/>
      <c r="BE1010" s="1"/>
    </row>
    <row r="1011" spans="9:57" x14ac:dyDescent="0.25">
      <c r="I1011" s="1"/>
      <c r="J1011" s="1"/>
      <c r="K1011" s="1"/>
      <c r="L1011" s="1"/>
      <c r="M1011" s="1"/>
      <c r="N1011" s="1"/>
      <c r="O1011" s="1"/>
      <c r="P1011" s="1"/>
      <c r="Q1011" s="1"/>
      <c r="R1011" s="1332"/>
      <c r="S1011" s="1332"/>
      <c r="T1011" s="1332"/>
      <c r="U1011" s="1332"/>
      <c r="V1011" s="1332"/>
      <c r="W1011" s="1332"/>
      <c r="X1011" s="1332"/>
      <c r="Y1011" s="1332"/>
      <c r="Z1011" s="1332"/>
      <c r="AA1011" s="1332"/>
      <c r="AB1011" s="1332"/>
      <c r="AC1011" s="1332"/>
      <c r="AD1011" s="1332"/>
      <c r="AE1011" s="1"/>
      <c r="AF1011" s="1"/>
      <c r="AG1011" s="1"/>
      <c r="AH1011" s="1"/>
      <c r="AI1011" s="1"/>
      <c r="AJ1011" s="1"/>
      <c r="AK1011" s="1"/>
      <c r="AL1011" s="1"/>
      <c r="AM1011" s="1"/>
      <c r="AN1011" s="1"/>
      <c r="AO1011" s="1"/>
      <c r="AP1011" s="488"/>
      <c r="AQ1011" s="488"/>
      <c r="AR1011" s="1"/>
      <c r="AS1011" s="1"/>
      <c r="AT1011" s="1"/>
      <c r="AU1011" s="1"/>
      <c r="AV1011" s="1"/>
      <c r="AW1011" s="1"/>
      <c r="AX1011" s="488"/>
      <c r="AY1011" s="1"/>
      <c r="AZ1011" s="1"/>
      <c r="BA1011" s="1"/>
      <c r="BB1011" s="1"/>
      <c r="BC1011" s="1"/>
      <c r="BD1011" s="1"/>
      <c r="BE1011" s="1"/>
    </row>
    <row r="1012" spans="9:57" x14ac:dyDescent="0.25">
      <c r="I1012" s="1"/>
      <c r="J1012" s="1"/>
      <c r="K1012" s="1"/>
      <c r="L1012" s="1"/>
      <c r="M1012" s="1"/>
      <c r="N1012" s="1"/>
      <c r="O1012" s="1"/>
      <c r="P1012" s="1"/>
      <c r="Q1012" s="1"/>
      <c r="R1012" s="1332"/>
      <c r="S1012" s="1332"/>
      <c r="T1012" s="1332"/>
      <c r="U1012" s="1332"/>
      <c r="V1012" s="1332"/>
      <c r="W1012" s="1332"/>
      <c r="X1012" s="1332"/>
      <c r="Y1012" s="1332"/>
      <c r="Z1012" s="1332"/>
      <c r="AA1012" s="1332"/>
      <c r="AB1012" s="1332"/>
      <c r="AC1012" s="1332"/>
      <c r="AD1012" s="1332"/>
      <c r="AE1012" s="1"/>
      <c r="AF1012" s="1"/>
      <c r="AG1012" s="1"/>
      <c r="AH1012" s="1"/>
      <c r="AI1012" s="1"/>
      <c r="AJ1012" s="1"/>
      <c r="AK1012" s="1"/>
      <c r="AL1012" s="1"/>
      <c r="AM1012" s="1"/>
      <c r="AN1012" s="1"/>
      <c r="AO1012" s="1"/>
      <c r="AP1012" s="488"/>
      <c r="AQ1012" s="488"/>
      <c r="AR1012" s="1"/>
      <c r="AS1012" s="1"/>
      <c r="AT1012" s="1"/>
      <c r="AU1012" s="1"/>
      <c r="AV1012" s="1"/>
      <c r="AW1012" s="1"/>
      <c r="AX1012" s="488"/>
      <c r="AY1012" s="1"/>
      <c r="AZ1012" s="1"/>
      <c r="BA1012" s="1"/>
      <c r="BB1012" s="1"/>
      <c r="BC1012" s="1"/>
      <c r="BD1012" s="1"/>
      <c r="BE1012" s="1"/>
    </row>
    <row r="1013" spans="9:57" x14ac:dyDescent="0.25">
      <c r="I1013" s="1"/>
      <c r="J1013" s="1"/>
      <c r="K1013" s="1"/>
      <c r="L1013" s="1"/>
      <c r="M1013" s="1"/>
      <c r="N1013" s="1"/>
      <c r="O1013" s="1"/>
      <c r="P1013" s="1"/>
      <c r="Q1013" s="1"/>
      <c r="R1013" s="1332"/>
      <c r="S1013" s="1332"/>
      <c r="T1013" s="1332"/>
      <c r="U1013" s="1332"/>
      <c r="V1013" s="1332"/>
      <c r="W1013" s="1332"/>
      <c r="X1013" s="1332"/>
      <c r="Y1013" s="1332"/>
      <c r="Z1013" s="1332"/>
      <c r="AA1013" s="1332"/>
      <c r="AB1013" s="1332"/>
      <c r="AC1013" s="1332"/>
      <c r="AD1013" s="1332"/>
      <c r="AE1013" s="1"/>
      <c r="AF1013" s="1"/>
      <c r="AG1013" s="1"/>
      <c r="AH1013" s="1"/>
      <c r="AI1013" s="1"/>
      <c r="AJ1013" s="1"/>
      <c r="AK1013" s="1"/>
      <c r="AL1013" s="1"/>
      <c r="AM1013" s="1"/>
      <c r="AN1013" s="1"/>
      <c r="AO1013" s="1"/>
      <c r="AP1013" s="488"/>
      <c r="AQ1013" s="488"/>
      <c r="AR1013" s="1"/>
      <c r="AS1013" s="1"/>
      <c r="AT1013" s="1"/>
      <c r="AU1013" s="1"/>
      <c r="AV1013" s="1"/>
      <c r="AW1013" s="1"/>
      <c r="AX1013" s="488"/>
      <c r="AY1013" s="1"/>
      <c r="AZ1013" s="1"/>
      <c r="BA1013" s="1"/>
      <c r="BB1013" s="1"/>
      <c r="BC1013" s="1"/>
      <c r="BD1013" s="1"/>
      <c r="BE1013" s="1"/>
    </row>
    <row r="1014" spans="9:57" x14ac:dyDescent="0.25">
      <c r="I1014" s="1"/>
      <c r="J1014" s="1"/>
      <c r="K1014" s="1"/>
      <c r="L1014" s="1"/>
      <c r="M1014" s="1"/>
      <c r="N1014" s="1"/>
      <c r="O1014" s="1"/>
      <c r="P1014" s="1"/>
      <c r="Q1014" s="1"/>
      <c r="R1014" s="1332"/>
      <c r="S1014" s="1332"/>
      <c r="T1014" s="1332"/>
      <c r="U1014" s="1332"/>
      <c r="V1014" s="1332"/>
      <c r="W1014" s="1332"/>
      <c r="X1014" s="1332"/>
      <c r="Y1014" s="1332"/>
      <c r="Z1014" s="1332"/>
      <c r="AA1014" s="1332"/>
      <c r="AB1014" s="1332"/>
      <c r="AC1014" s="1332"/>
      <c r="AD1014" s="1332"/>
      <c r="AE1014" s="1"/>
      <c r="AF1014" s="1"/>
      <c r="AG1014" s="1"/>
      <c r="AH1014" s="1"/>
      <c r="AI1014" s="1"/>
      <c r="AJ1014" s="1"/>
      <c r="AK1014" s="1"/>
      <c r="AL1014" s="1"/>
      <c r="AM1014" s="1"/>
      <c r="AN1014" s="1"/>
      <c r="AO1014" s="1"/>
      <c r="AP1014" s="488"/>
      <c r="AQ1014" s="488"/>
      <c r="AR1014" s="1"/>
      <c r="AS1014" s="1"/>
      <c r="AT1014" s="1"/>
      <c r="AU1014" s="1"/>
      <c r="AV1014" s="1"/>
      <c r="AW1014" s="1"/>
      <c r="AX1014" s="488"/>
      <c r="AY1014" s="1"/>
      <c r="AZ1014" s="1"/>
      <c r="BA1014" s="1"/>
      <c r="BB1014" s="1"/>
      <c r="BC1014" s="1"/>
      <c r="BD1014" s="1"/>
      <c r="BE1014" s="1"/>
    </row>
    <row r="1015" spans="9:57" x14ac:dyDescent="0.25">
      <c r="I1015" s="1"/>
      <c r="J1015" s="1"/>
      <c r="K1015" s="1"/>
      <c r="L1015" s="1"/>
      <c r="M1015" s="1"/>
      <c r="N1015" s="1"/>
      <c r="O1015" s="1"/>
      <c r="P1015" s="1"/>
      <c r="Q1015" s="1"/>
      <c r="R1015" s="1332"/>
      <c r="S1015" s="1332"/>
      <c r="T1015" s="1332"/>
      <c r="U1015" s="1332"/>
      <c r="V1015" s="1332"/>
      <c r="W1015" s="1332"/>
      <c r="X1015" s="1332"/>
      <c r="Y1015" s="1332"/>
      <c r="Z1015" s="1332"/>
      <c r="AA1015" s="1332"/>
      <c r="AB1015" s="1332"/>
      <c r="AC1015" s="1332"/>
      <c r="AD1015" s="1332"/>
      <c r="AE1015" s="1"/>
      <c r="AF1015" s="1"/>
      <c r="AG1015" s="1"/>
      <c r="AH1015" s="1"/>
      <c r="AI1015" s="1"/>
      <c r="AJ1015" s="1"/>
      <c r="AK1015" s="1"/>
      <c r="AL1015" s="1"/>
      <c r="AM1015" s="1"/>
      <c r="AN1015" s="1"/>
      <c r="AO1015" s="1"/>
      <c r="AP1015" s="488"/>
      <c r="AQ1015" s="488"/>
      <c r="AR1015" s="1"/>
      <c r="AS1015" s="1"/>
      <c r="AT1015" s="1"/>
      <c r="AU1015" s="1"/>
      <c r="AV1015" s="1"/>
      <c r="AW1015" s="1"/>
      <c r="AX1015" s="488"/>
      <c r="AY1015" s="1"/>
      <c r="AZ1015" s="1"/>
      <c r="BA1015" s="1"/>
      <c r="BB1015" s="1"/>
      <c r="BC1015" s="1"/>
      <c r="BD1015" s="1"/>
      <c r="BE1015" s="1"/>
    </row>
    <row r="1016" spans="9:57" x14ac:dyDescent="0.25">
      <c r="I1016" s="1"/>
      <c r="J1016" s="1"/>
      <c r="K1016" s="1"/>
      <c r="L1016" s="1"/>
      <c r="M1016" s="1"/>
      <c r="N1016" s="1"/>
      <c r="O1016" s="1"/>
      <c r="P1016" s="1"/>
      <c r="Q1016" s="1"/>
      <c r="R1016" s="1332"/>
      <c r="S1016" s="1332"/>
      <c r="T1016" s="1332"/>
      <c r="U1016" s="1332"/>
      <c r="V1016" s="1332"/>
      <c r="W1016" s="1332"/>
      <c r="X1016" s="1332"/>
      <c r="Y1016" s="1332"/>
      <c r="Z1016" s="1332"/>
      <c r="AA1016" s="1332"/>
      <c r="AB1016" s="1332"/>
      <c r="AC1016" s="1332"/>
      <c r="AD1016" s="1332"/>
      <c r="AE1016" s="1"/>
      <c r="AF1016" s="1"/>
      <c r="AG1016" s="1"/>
      <c r="AH1016" s="1"/>
      <c r="AI1016" s="1"/>
      <c r="AJ1016" s="1"/>
      <c r="AK1016" s="1"/>
      <c r="AL1016" s="1"/>
      <c r="AM1016" s="1"/>
      <c r="AN1016" s="1"/>
      <c r="AO1016" s="1"/>
      <c r="AP1016" s="488"/>
      <c r="AQ1016" s="488"/>
      <c r="AR1016" s="1"/>
      <c r="AS1016" s="1"/>
      <c r="AT1016" s="1"/>
      <c r="AU1016" s="1"/>
      <c r="AV1016" s="1"/>
      <c r="AW1016" s="1"/>
      <c r="AX1016" s="488"/>
      <c r="AY1016" s="1"/>
      <c r="AZ1016" s="1"/>
      <c r="BA1016" s="1"/>
      <c r="BB1016" s="1"/>
      <c r="BC1016" s="1"/>
      <c r="BD1016" s="1"/>
      <c r="BE1016" s="1"/>
    </row>
    <row r="1017" spans="9:57" x14ac:dyDescent="0.25">
      <c r="I1017" s="1"/>
      <c r="J1017" s="1"/>
      <c r="K1017" s="1"/>
      <c r="L1017" s="1"/>
      <c r="M1017" s="1"/>
      <c r="N1017" s="1"/>
      <c r="O1017" s="1"/>
      <c r="P1017" s="1"/>
      <c r="Q1017" s="1"/>
      <c r="R1017" s="1332"/>
      <c r="S1017" s="1332"/>
      <c r="T1017" s="1332"/>
      <c r="U1017" s="1332"/>
      <c r="V1017" s="1332"/>
      <c r="W1017" s="1332"/>
      <c r="X1017" s="1332"/>
      <c r="Y1017" s="1332"/>
      <c r="Z1017" s="1332"/>
      <c r="AA1017" s="1332"/>
      <c r="AB1017" s="1332"/>
      <c r="AC1017" s="1332"/>
      <c r="AD1017" s="1332"/>
      <c r="AE1017" s="1"/>
      <c r="AF1017" s="1"/>
      <c r="AG1017" s="1"/>
      <c r="AH1017" s="1"/>
      <c r="AI1017" s="1"/>
      <c r="AJ1017" s="1"/>
      <c r="AK1017" s="1"/>
      <c r="AL1017" s="1"/>
      <c r="AM1017" s="1"/>
      <c r="AN1017" s="1"/>
      <c r="AO1017" s="1"/>
      <c r="AP1017" s="488"/>
      <c r="AQ1017" s="488"/>
      <c r="AR1017" s="1"/>
      <c r="AS1017" s="1"/>
      <c r="AT1017" s="1"/>
      <c r="AU1017" s="1"/>
      <c r="AV1017" s="1"/>
      <c r="AW1017" s="1"/>
      <c r="AX1017" s="488"/>
      <c r="AY1017" s="1"/>
      <c r="AZ1017" s="1"/>
      <c r="BA1017" s="1"/>
      <c r="BB1017" s="1"/>
      <c r="BC1017" s="1"/>
      <c r="BD1017" s="1"/>
      <c r="BE1017" s="1"/>
    </row>
    <row r="1018" spans="9:57" x14ac:dyDescent="0.25">
      <c r="I1018" s="1"/>
      <c r="J1018" s="1"/>
      <c r="K1018" s="1"/>
      <c r="L1018" s="1"/>
      <c r="M1018" s="1"/>
      <c r="N1018" s="1"/>
      <c r="O1018" s="1"/>
      <c r="P1018" s="1"/>
      <c r="Q1018" s="1"/>
      <c r="R1018" s="1332"/>
      <c r="S1018" s="1332"/>
      <c r="T1018" s="1332"/>
      <c r="U1018" s="1332"/>
      <c r="V1018" s="1332"/>
      <c r="W1018" s="1332"/>
      <c r="X1018" s="1332"/>
      <c r="Y1018" s="1332"/>
      <c r="Z1018" s="1332"/>
      <c r="AA1018" s="1332"/>
      <c r="AB1018" s="1332"/>
      <c r="AC1018" s="1332"/>
      <c r="AD1018" s="1332"/>
      <c r="AE1018" s="1"/>
      <c r="AF1018" s="1"/>
      <c r="AG1018" s="1"/>
      <c r="AH1018" s="1"/>
      <c r="AI1018" s="1"/>
      <c r="AJ1018" s="1"/>
      <c r="AK1018" s="1"/>
      <c r="AL1018" s="1"/>
      <c r="AM1018" s="1"/>
      <c r="AN1018" s="1"/>
      <c r="AO1018" s="1"/>
      <c r="AP1018" s="488"/>
      <c r="AQ1018" s="488"/>
      <c r="AR1018" s="1"/>
      <c r="AS1018" s="1"/>
      <c r="AT1018" s="1"/>
      <c r="AU1018" s="1"/>
      <c r="AV1018" s="1"/>
      <c r="AW1018" s="1"/>
      <c r="AX1018" s="488"/>
      <c r="AY1018" s="1"/>
      <c r="AZ1018" s="1"/>
      <c r="BA1018" s="1"/>
      <c r="BB1018" s="1"/>
      <c r="BC1018" s="1"/>
      <c r="BD1018" s="1"/>
      <c r="BE1018" s="1"/>
    </row>
    <row r="1019" spans="9:57" x14ac:dyDescent="0.25">
      <c r="I1019" s="1"/>
      <c r="J1019" s="1"/>
      <c r="K1019" s="1"/>
      <c r="L1019" s="1"/>
      <c r="M1019" s="1"/>
      <c r="N1019" s="1"/>
      <c r="O1019" s="1"/>
      <c r="P1019" s="1"/>
      <c r="Q1019" s="1"/>
      <c r="R1019" s="1332"/>
      <c r="S1019" s="1332"/>
      <c r="T1019" s="1332"/>
      <c r="U1019" s="1332"/>
      <c r="V1019" s="1332"/>
      <c r="W1019" s="1332"/>
      <c r="X1019" s="1332"/>
      <c r="Y1019" s="1332"/>
      <c r="Z1019" s="1332"/>
      <c r="AA1019" s="1332"/>
      <c r="AB1019" s="1332"/>
      <c r="AC1019" s="1332"/>
      <c r="AD1019" s="1332"/>
      <c r="AE1019" s="1"/>
      <c r="AF1019" s="1"/>
      <c r="AG1019" s="1"/>
      <c r="AH1019" s="1"/>
      <c r="AI1019" s="1"/>
      <c r="AJ1019" s="1"/>
      <c r="AK1019" s="1"/>
      <c r="AL1019" s="1"/>
      <c r="AM1019" s="1"/>
      <c r="AN1019" s="1"/>
      <c r="AO1019" s="1"/>
      <c r="AP1019" s="488"/>
      <c r="AQ1019" s="488"/>
      <c r="AR1019" s="1"/>
      <c r="AS1019" s="1"/>
      <c r="AT1019" s="1"/>
      <c r="AU1019" s="1"/>
      <c r="AV1019" s="1"/>
      <c r="AW1019" s="1"/>
      <c r="AX1019" s="488"/>
      <c r="AY1019" s="1"/>
      <c r="AZ1019" s="1"/>
      <c r="BA1019" s="1"/>
      <c r="BB1019" s="1"/>
      <c r="BC1019" s="1"/>
      <c r="BD1019" s="1"/>
      <c r="BE1019" s="1"/>
    </row>
    <row r="1020" spans="9:57" x14ac:dyDescent="0.25">
      <c r="I1020" s="1"/>
      <c r="J1020" s="1"/>
      <c r="K1020" s="1"/>
      <c r="L1020" s="1"/>
      <c r="M1020" s="1"/>
      <c r="N1020" s="1"/>
      <c r="O1020" s="1"/>
      <c r="P1020" s="1"/>
      <c r="Q1020" s="1"/>
      <c r="R1020" s="1332"/>
      <c r="S1020" s="1332"/>
      <c r="T1020" s="1332"/>
      <c r="U1020" s="1332"/>
      <c r="V1020" s="1332"/>
      <c r="W1020" s="1332"/>
      <c r="X1020" s="1332"/>
      <c r="Y1020" s="1332"/>
      <c r="Z1020" s="1332"/>
      <c r="AA1020" s="1332"/>
      <c r="AB1020" s="1332"/>
      <c r="AC1020" s="1332"/>
      <c r="AD1020" s="1332"/>
      <c r="AE1020" s="1"/>
      <c r="AF1020" s="1"/>
      <c r="AG1020" s="1"/>
      <c r="AH1020" s="1"/>
      <c r="AI1020" s="1"/>
      <c r="AJ1020" s="1"/>
      <c r="AK1020" s="1"/>
      <c r="AL1020" s="1"/>
      <c r="AM1020" s="1"/>
      <c r="AN1020" s="1"/>
      <c r="AO1020" s="1"/>
      <c r="AP1020" s="488"/>
      <c r="AQ1020" s="488"/>
      <c r="AR1020" s="1"/>
      <c r="AS1020" s="1"/>
      <c r="AT1020" s="1"/>
      <c r="AU1020" s="1"/>
      <c r="AV1020" s="1"/>
      <c r="AW1020" s="1"/>
      <c r="AX1020" s="488"/>
      <c r="AY1020" s="1"/>
      <c r="AZ1020" s="1"/>
      <c r="BA1020" s="1"/>
      <c r="BB1020" s="1"/>
      <c r="BC1020" s="1"/>
      <c r="BD1020" s="1"/>
      <c r="BE1020" s="1"/>
    </row>
    <row r="1021" spans="9:57" x14ac:dyDescent="0.25">
      <c r="I1021" s="1"/>
      <c r="J1021" s="1"/>
      <c r="K1021" s="1"/>
      <c r="L1021" s="1"/>
      <c r="M1021" s="1"/>
      <c r="N1021" s="1"/>
      <c r="O1021" s="1"/>
      <c r="P1021" s="1"/>
      <c r="Q1021" s="1"/>
      <c r="R1021" s="1332"/>
      <c r="S1021" s="1332"/>
      <c r="T1021" s="1332"/>
      <c r="U1021" s="1332"/>
      <c r="V1021" s="1332"/>
      <c r="W1021" s="1332"/>
      <c r="X1021" s="1332"/>
      <c r="Y1021" s="1332"/>
      <c r="Z1021" s="1332"/>
      <c r="AA1021" s="1332"/>
      <c r="AB1021" s="1332"/>
      <c r="AC1021" s="1332"/>
      <c r="AD1021" s="1332"/>
      <c r="AE1021" s="1"/>
      <c r="AF1021" s="1"/>
      <c r="AG1021" s="1"/>
      <c r="AH1021" s="1"/>
      <c r="AI1021" s="1"/>
      <c r="AJ1021" s="1"/>
      <c r="AK1021" s="1"/>
      <c r="AL1021" s="1"/>
      <c r="AM1021" s="1"/>
      <c r="AN1021" s="1"/>
      <c r="AO1021" s="1"/>
      <c r="AP1021" s="488"/>
      <c r="AQ1021" s="488"/>
      <c r="AR1021" s="1"/>
      <c r="AS1021" s="1"/>
      <c r="AT1021" s="1"/>
      <c r="AU1021" s="1"/>
      <c r="AV1021" s="1"/>
      <c r="AW1021" s="1"/>
      <c r="AX1021" s="488"/>
      <c r="AY1021" s="1"/>
      <c r="AZ1021" s="1"/>
      <c r="BA1021" s="1"/>
      <c r="BB1021" s="1"/>
      <c r="BC1021" s="1"/>
      <c r="BD1021" s="1"/>
      <c r="BE1021" s="1"/>
    </row>
    <row r="1022" spans="9:57" x14ac:dyDescent="0.25">
      <c r="I1022" s="1"/>
      <c r="J1022" s="1"/>
      <c r="K1022" s="1"/>
      <c r="L1022" s="1"/>
      <c r="M1022" s="1"/>
      <c r="N1022" s="1"/>
      <c r="O1022" s="1"/>
      <c r="P1022" s="1"/>
      <c r="Q1022" s="1"/>
      <c r="R1022" s="1332"/>
      <c r="S1022" s="1332"/>
      <c r="T1022" s="1332"/>
      <c r="U1022" s="1332"/>
      <c r="V1022" s="1332"/>
      <c r="W1022" s="1332"/>
      <c r="X1022" s="1332"/>
      <c r="Y1022" s="1332"/>
      <c r="Z1022" s="1332"/>
      <c r="AA1022" s="1332"/>
      <c r="AB1022" s="1332"/>
      <c r="AC1022" s="1332"/>
      <c r="AD1022" s="1332"/>
      <c r="AE1022" s="1"/>
      <c r="AF1022" s="1"/>
      <c r="AG1022" s="1"/>
      <c r="AH1022" s="1"/>
      <c r="AI1022" s="1"/>
      <c r="AJ1022" s="1"/>
      <c r="AK1022" s="1"/>
      <c r="AL1022" s="1"/>
      <c r="AM1022" s="1"/>
      <c r="AN1022" s="1"/>
      <c r="AO1022" s="1"/>
      <c r="AP1022" s="488"/>
      <c r="AQ1022" s="488"/>
      <c r="AR1022" s="1"/>
      <c r="AS1022" s="1"/>
      <c r="AT1022" s="1"/>
      <c r="AU1022" s="1"/>
      <c r="AV1022" s="1"/>
      <c r="AW1022" s="1"/>
      <c r="AX1022" s="488"/>
      <c r="AY1022" s="1"/>
      <c r="AZ1022" s="1"/>
      <c r="BA1022" s="1"/>
      <c r="BB1022" s="1"/>
      <c r="BC1022" s="1"/>
      <c r="BD1022" s="1"/>
      <c r="BE1022" s="1"/>
    </row>
    <row r="1023" spans="9:57" x14ac:dyDescent="0.25">
      <c r="I1023" s="1"/>
      <c r="J1023" s="1"/>
      <c r="K1023" s="1"/>
      <c r="L1023" s="1"/>
      <c r="M1023" s="1"/>
      <c r="N1023" s="1"/>
      <c r="O1023" s="1"/>
      <c r="P1023" s="1"/>
      <c r="Q1023" s="1"/>
      <c r="R1023" s="1332"/>
      <c r="S1023" s="1332"/>
      <c r="T1023" s="1332"/>
      <c r="U1023" s="1332"/>
      <c r="V1023" s="1332"/>
      <c r="W1023" s="1332"/>
      <c r="X1023" s="1332"/>
      <c r="Y1023" s="1332"/>
      <c r="Z1023" s="1332"/>
      <c r="AA1023" s="1332"/>
      <c r="AB1023" s="1332"/>
      <c r="AC1023" s="1332"/>
      <c r="AD1023" s="1332"/>
      <c r="AE1023" s="1"/>
      <c r="AF1023" s="1"/>
      <c r="AG1023" s="1"/>
      <c r="AH1023" s="1"/>
      <c r="AI1023" s="1"/>
      <c r="AJ1023" s="1"/>
      <c r="AK1023" s="1"/>
      <c r="AL1023" s="1"/>
      <c r="AM1023" s="1"/>
      <c r="AN1023" s="1"/>
      <c r="AO1023" s="1"/>
      <c r="AP1023" s="488"/>
      <c r="AQ1023" s="488"/>
      <c r="AR1023" s="1"/>
      <c r="AS1023" s="1"/>
      <c r="AT1023" s="1"/>
      <c r="AU1023" s="1"/>
      <c r="AV1023" s="1"/>
      <c r="AW1023" s="1"/>
      <c r="AX1023" s="488"/>
      <c r="AY1023" s="1"/>
      <c r="AZ1023" s="1"/>
      <c r="BA1023" s="1"/>
      <c r="BB1023" s="1"/>
      <c r="BC1023" s="1"/>
      <c r="BD1023" s="1"/>
      <c r="BE1023" s="1"/>
    </row>
    <row r="1024" spans="9:57" x14ac:dyDescent="0.25">
      <c r="I1024" s="1"/>
      <c r="J1024" s="1"/>
      <c r="K1024" s="1"/>
      <c r="L1024" s="1"/>
      <c r="M1024" s="1"/>
      <c r="N1024" s="1"/>
      <c r="O1024" s="1"/>
      <c r="P1024" s="1"/>
      <c r="Q1024" s="1"/>
      <c r="R1024" s="1332"/>
      <c r="S1024" s="1332"/>
      <c r="T1024" s="1332"/>
      <c r="U1024" s="1332"/>
      <c r="V1024" s="1332"/>
      <c r="W1024" s="1332"/>
      <c r="X1024" s="1332"/>
      <c r="Y1024" s="1332"/>
      <c r="Z1024" s="1332"/>
      <c r="AA1024" s="1332"/>
      <c r="AB1024" s="1332"/>
      <c r="AC1024" s="1332"/>
      <c r="AD1024" s="1332"/>
      <c r="AE1024" s="1"/>
      <c r="AF1024" s="1"/>
      <c r="AG1024" s="1"/>
      <c r="AH1024" s="1"/>
      <c r="AI1024" s="1"/>
      <c r="AJ1024" s="1"/>
      <c r="AK1024" s="1"/>
      <c r="AL1024" s="1"/>
      <c r="AM1024" s="1"/>
      <c r="AN1024" s="1"/>
      <c r="AO1024" s="1"/>
      <c r="AP1024" s="488"/>
      <c r="AQ1024" s="488"/>
      <c r="AR1024" s="1"/>
      <c r="AS1024" s="1"/>
      <c r="AT1024" s="1"/>
      <c r="AU1024" s="1"/>
      <c r="AV1024" s="1"/>
      <c r="AW1024" s="1"/>
      <c r="AX1024" s="488"/>
      <c r="AY1024" s="1"/>
      <c r="AZ1024" s="1"/>
      <c r="BA1024" s="1"/>
      <c r="BB1024" s="1"/>
      <c r="BC1024" s="1"/>
      <c r="BD1024" s="1"/>
      <c r="BE1024" s="1"/>
    </row>
    <row r="1025" spans="9:57" x14ac:dyDescent="0.25">
      <c r="I1025" s="1"/>
      <c r="J1025" s="1"/>
      <c r="K1025" s="1"/>
      <c r="L1025" s="1"/>
      <c r="M1025" s="1"/>
      <c r="N1025" s="1"/>
      <c r="O1025" s="1"/>
      <c r="P1025" s="1"/>
      <c r="Q1025" s="1"/>
      <c r="R1025" s="1332"/>
      <c r="S1025" s="1332"/>
      <c r="T1025" s="1332"/>
      <c r="U1025" s="1332"/>
      <c r="V1025" s="1332"/>
      <c r="W1025" s="1332"/>
      <c r="X1025" s="1332"/>
      <c r="Y1025" s="1332"/>
      <c r="Z1025" s="1332"/>
      <c r="AA1025" s="1332"/>
      <c r="AB1025" s="1332"/>
      <c r="AC1025" s="1332"/>
      <c r="AD1025" s="1332"/>
      <c r="AE1025" s="1"/>
      <c r="AF1025" s="1"/>
      <c r="AG1025" s="1"/>
      <c r="AH1025" s="1"/>
      <c r="AI1025" s="1"/>
      <c r="AJ1025" s="1"/>
      <c r="AK1025" s="1"/>
      <c r="AL1025" s="1"/>
      <c r="AM1025" s="1"/>
      <c r="AN1025" s="1"/>
      <c r="AO1025" s="1"/>
      <c r="AP1025" s="488"/>
      <c r="AQ1025" s="488"/>
      <c r="AR1025" s="1"/>
      <c r="AS1025" s="1"/>
      <c r="AT1025" s="1"/>
      <c r="AU1025" s="1"/>
      <c r="AV1025" s="1"/>
      <c r="AW1025" s="1"/>
      <c r="AX1025" s="488"/>
      <c r="AY1025" s="1"/>
      <c r="AZ1025" s="1"/>
      <c r="BA1025" s="1"/>
      <c r="BB1025" s="1"/>
      <c r="BC1025" s="1"/>
      <c r="BD1025" s="1"/>
      <c r="BE1025" s="1"/>
    </row>
    <row r="1026" spans="9:57" x14ac:dyDescent="0.25">
      <c r="I1026" s="1"/>
      <c r="J1026" s="1"/>
      <c r="K1026" s="1"/>
      <c r="L1026" s="1"/>
      <c r="M1026" s="1"/>
      <c r="N1026" s="1"/>
      <c r="O1026" s="1"/>
      <c r="P1026" s="1"/>
      <c r="Q1026" s="1"/>
      <c r="R1026" s="1332"/>
      <c r="S1026" s="1332"/>
      <c r="T1026" s="1332"/>
      <c r="U1026" s="1332"/>
      <c r="V1026" s="1332"/>
      <c r="W1026" s="1332"/>
      <c r="X1026" s="1332"/>
      <c r="Y1026" s="1332"/>
      <c r="Z1026" s="1332"/>
      <c r="AA1026" s="1332"/>
      <c r="AB1026" s="1332"/>
      <c r="AC1026" s="1332"/>
      <c r="AD1026" s="1332"/>
      <c r="AE1026" s="1"/>
      <c r="AF1026" s="1"/>
      <c r="AG1026" s="1"/>
      <c r="AH1026" s="1"/>
      <c r="AI1026" s="1"/>
      <c r="AJ1026" s="1"/>
      <c r="AK1026" s="1"/>
      <c r="AL1026" s="1"/>
      <c r="AM1026" s="1"/>
      <c r="AN1026" s="1"/>
      <c r="AO1026" s="1"/>
      <c r="AP1026" s="488"/>
      <c r="AQ1026" s="488"/>
      <c r="AR1026" s="1"/>
      <c r="AS1026" s="1"/>
      <c r="AT1026" s="1"/>
      <c r="AU1026" s="1"/>
      <c r="AV1026" s="1"/>
      <c r="AW1026" s="1"/>
      <c r="AX1026" s="488"/>
      <c r="AY1026" s="1"/>
      <c r="AZ1026" s="1"/>
      <c r="BA1026" s="1"/>
      <c r="BB1026" s="1"/>
      <c r="BC1026" s="1"/>
      <c r="BD1026" s="1"/>
      <c r="BE1026" s="1"/>
    </row>
    <row r="1027" spans="9:57" x14ac:dyDescent="0.25">
      <c r="I1027" s="1"/>
      <c r="J1027" s="1"/>
      <c r="K1027" s="1"/>
      <c r="L1027" s="1"/>
      <c r="M1027" s="1"/>
      <c r="N1027" s="1"/>
      <c r="O1027" s="1"/>
      <c r="P1027" s="1"/>
      <c r="Q1027" s="1"/>
      <c r="R1027" s="1332"/>
      <c r="S1027" s="1332"/>
      <c r="T1027" s="1332"/>
      <c r="U1027" s="1332"/>
      <c r="V1027" s="1332"/>
      <c r="W1027" s="1332"/>
      <c r="X1027" s="1332"/>
      <c r="Y1027" s="1332"/>
      <c r="Z1027" s="1332"/>
      <c r="AA1027" s="1332"/>
      <c r="AB1027" s="1332"/>
      <c r="AC1027" s="1332"/>
      <c r="AD1027" s="1332"/>
      <c r="AE1027" s="1"/>
      <c r="AF1027" s="1"/>
      <c r="AG1027" s="1"/>
      <c r="AH1027" s="1"/>
      <c r="AI1027" s="1"/>
      <c r="AJ1027" s="1"/>
      <c r="AK1027" s="1"/>
      <c r="AL1027" s="1"/>
      <c r="AM1027" s="1"/>
      <c r="AN1027" s="1"/>
      <c r="AO1027" s="1"/>
      <c r="AP1027" s="488"/>
      <c r="AQ1027" s="488"/>
      <c r="AR1027" s="1"/>
      <c r="AS1027" s="1"/>
      <c r="AT1027" s="1"/>
      <c r="AU1027" s="1"/>
      <c r="AV1027" s="1"/>
      <c r="AW1027" s="1"/>
      <c r="AX1027" s="488"/>
      <c r="AY1027" s="1"/>
      <c r="AZ1027" s="1"/>
      <c r="BA1027" s="1"/>
      <c r="BB1027" s="1"/>
      <c r="BC1027" s="1"/>
      <c r="BD1027" s="1"/>
      <c r="BE1027" s="1"/>
    </row>
    <row r="1028" spans="9:57" x14ac:dyDescent="0.25">
      <c r="I1028" s="1"/>
      <c r="J1028" s="1"/>
      <c r="K1028" s="1"/>
      <c r="L1028" s="1"/>
      <c r="M1028" s="1"/>
      <c r="N1028" s="1"/>
      <c r="O1028" s="1"/>
      <c r="P1028" s="1"/>
      <c r="Q1028" s="1"/>
      <c r="R1028" s="1332"/>
      <c r="S1028" s="1332"/>
      <c r="T1028" s="1332"/>
      <c r="U1028" s="1332"/>
      <c r="V1028" s="1332"/>
      <c r="W1028" s="1332"/>
      <c r="X1028" s="1332"/>
      <c r="Y1028" s="1332"/>
      <c r="Z1028" s="1332"/>
      <c r="AA1028" s="1332"/>
      <c r="AB1028" s="1332"/>
      <c r="AC1028" s="1332"/>
      <c r="AD1028" s="1332"/>
      <c r="AE1028" s="1"/>
      <c r="AF1028" s="1"/>
      <c r="AG1028" s="1"/>
      <c r="AH1028" s="1"/>
      <c r="AI1028" s="1"/>
      <c r="AJ1028" s="1"/>
      <c r="AK1028" s="1"/>
      <c r="AL1028" s="1"/>
      <c r="AM1028" s="1"/>
      <c r="AN1028" s="1"/>
      <c r="AO1028" s="1"/>
      <c r="AP1028" s="488"/>
      <c r="AQ1028" s="488"/>
      <c r="AR1028" s="1"/>
      <c r="AS1028" s="1"/>
      <c r="AT1028" s="1"/>
      <c r="AU1028" s="1"/>
      <c r="AV1028" s="1"/>
      <c r="AW1028" s="1"/>
      <c r="AX1028" s="488"/>
      <c r="AY1028" s="1"/>
      <c r="AZ1028" s="1"/>
      <c r="BA1028" s="1"/>
      <c r="BB1028" s="1"/>
      <c r="BC1028" s="1"/>
      <c r="BD1028" s="1"/>
      <c r="BE1028" s="1"/>
    </row>
    <row r="1029" spans="9:57" x14ac:dyDescent="0.25">
      <c r="I1029" s="1"/>
      <c r="J1029" s="1"/>
      <c r="K1029" s="1"/>
      <c r="L1029" s="1"/>
      <c r="M1029" s="1"/>
      <c r="N1029" s="1"/>
      <c r="O1029" s="1"/>
      <c r="P1029" s="1"/>
      <c r="Q1029" s="1"/>
      <c r="R1029" s="1332"/>
      <c r="S1029" s="1332"/>
      <c r="T1029" s="1332"/>
      <c r="U1029" s="1332"/>
      <c r="V1029" s="1332"/>
      <c r="W1029" s="1332"/>
      <c r="X1029" s="1332"/>
      <c r="Y1029" s="1332"/>
      <c r="Z1029" s="1332"/>
      <c r="AA1029" s="1332"/>
      <c r="AB1029" s="1332"/>
      <c r="AC1029" s="1332"/>
      <c r="AD1029" s="1332"/>
      <c r="AE1029" s="1"/>
      <c r="AF1029" s="1"/>
      <c r="AG1029" s="1"/>
      <c r="AH1029" s="1"/>
      <c r="AI1029" s="1"/>
      <c r="AJ1029" s="1"/>
      <c r="AK1029" s="1"/>
      <c r="AL1029" s="1"/>
      <c r="AM1029" s="1"/>
      <c r="AN1029" s="1"/>
      <c r="AO1029" s="1"/>
      <c r="AP1029" s="488"/>
      <c r="AQ1029" s="488"/>
      <c r="AR1029" s="1"/>
      <c r="AS1029" s="1"/>
      <c r="AT1029" s="1"/>
      <c r="AU1029" s="1"/>
      <c r="AV1029" s="1"/>
      <c r="AW1029" s="1"/>
      <c r="AX1029" s="488"/>
      <c r="AY1029" s="1"/>
      <c r="AZ1029" s="1"/>
      <c r="BA1029" s="1"/>
      <c r="BB1029" s="1"/>
      <c r="BC1029" s="1"/>
      <c r="BD1029" s="1"/>
      <c r="BE1029" s="1"/>
    </row>
    <row r="1030" spans="9:57" x14ac:dyDescent="0.25">
      <c r="I1030" s="1"/>
      <c r="J1030" s="1"/>
      <c r="K1030" s="1"/>
      <c r="L1030" s="1"/>
      <c r="M1030" s="1"/>
      <c r="N1030" s="1"/>
      <c r="O1030" s="1"/>
      <c r="P1030" s="1"/>
      <c r="Q1030" s="1"/>
      <c r="R1030" s="1332"/>
      <c r="S1030" s="1332"/>
      <c r="T1030" s="1332"/>
      <c r="U1030" s="1332"/>
      <c r="V1030" s="1332"/>
      <c r="W1030" s="1332"/>
      <c r="X1030" s="1332"/>
      <c r="Y1030" s="1332"/>
      <c r="Z1030" s="1332"/>
      <c r="AA1030" s="1332"/>
      <c r="AB1030" s="1332"/>
      <c r="AC1030" s="1332"/>
      <c r="AD1030" s="1332"/>
      <c r="AE1030" s="1"/>
      <c r="AF1030" s="1"/>
      <c r="AG1030" s="1"/>
      <c r="AH1030" s="1"/>
      <c r="AI1030" s="1"/>
      <c r="AJ1030" s="1"/>
      <c r="AK1030" s="1"/>
      <c r="AL1030" s="1"/>
      <c r="AM1030" s="1"/>
      <c r="AN1030" s="1"/>
      <c r="AO1030" s="1"/>
      <c r="AP1030" s="488"/>
      <c r="AQ1030" s="488"/>
      <c r="AR1030" s="1"/>
      <c r="AS1030" s="1"/>
      <c r="AT1030" s="1"/>
      <c r="AU1030" s="1"/>
      <c r="AV1030" s="1"/>
      <c r="AW1030" s="1"/>
      <c r="AX1030" s="488"/>
      <c r="AY1030" s="1"/>
      <c r="AZ1030" s="1"/>
      <c r="BA1030" s="1"/>
      <c r="BB1030" s="1"/>
      <c r="BC1030" s="1"/>
      <c r="BD1030" s="1"/>
      <c r="BE1030" s="1"/>
    </row>
    <row r="1031" spans="9:57" x14ac:dyDescent="0.25">
      <c r="I1031" s="1"/>
      <c r="J1031" s="1"/>
      <c r="K1031" s="1"/>
      <c r="L1031" s="1"/>
      <c r="M1031" s="1"/>
      <c r="N1031" s="1"/>
      <c r="O1031" s="1"/>
      <c r="P1031" s="1"/>
      <c r="Q1031" s="1"/>
      <c r="R1031" s="1332"/>
      <c r="S1031" s="1332"/>
      <c r="T1031" s="1332"/>
      <c r="U1031" s="1332"/>
      <c r="V1031" s="1332"/>
      <c r="W1031" s="1332"/>
      <c r="X1031" s="1332"/>
      <c r="Y1031" s="1332"/>
      <c r="Z1031" s="1332"/>
      <c r="AA1031" s="1332"/>
      <c r="AB1031" s="1332"/>
      <c r="AC1031" s="1332"/>
      <c r="AD1031" s="1332"/>
      <c r="AE1031" s="1"/>
      <c r="AF1031" s="1"/>
      <c r="AG1031" s="1"/>
      <c r="AH1031" s="1"/>
      <c r="AI1031" s="1"/>
      <c r="AJ1031" s="1"/>
      <c r="AK1031" s="1"/>
      <c r="AL1031" s="1"/>
      <c r="AM1031" s="1"/>
      <c r="AN1031" s="1"/>
      <c r="AO1031" s="1"/>
      <c r="AP1031" s="488"/>
      <c r="AQ1031" s="488"/>
      <c r="AR1031" s="1"/>
      <c r="AS1031" s="1"/>
      <c r="AT1031" s="1"/>
      <c r="AU1031" s="1"/>
      <c r="AV1031" s="1"/>
      <c r="AW1031" s="1"/>
      <c r="AX1031" s="488"/>
      <c r="AY1031" s="1"/>
      <c r="AZ1031" s="1"/>
      <c r="BA1031" s="1"/>
      <c r="BB1031" s="1"/>
      <c r="BC1031" s="1"/>
      <c r="BD1031" s="1"/>
      <c r="BE1031" s="1"/>
    </row>
    <row r="1032" spans="9:57" x14ac:dyDescent="0.25">
      <c r="I1032" s="1"/>
      <c r="J1032" s="1"/>
      <c r="K1032" s="1"/>
      <c r="L1032" s="1"/>
      <c r="M1032" s="1"/>
      <c r="N1032" s="1"/>
      <c r="O1032" s="1"/>
      <c r="P1032" s="1"/>
      <c r="Q1032" s="1"/>
      <c r="R1032" s="1332"/>
      <c r="S1032" s="1332"/>
      <c r="T1032" s="1332"/>
      <c r="U1032" s="1332"/>
      <c r="V1032" s="1332"/>
      <c r="W1032" s="1332"/>
      <c r="X1032" s="1332"/>
      <c r="Y1032" s="1332"/>
      <c r="Z1032" s="1332"/>
      <c r="AA1032" s="1332"/>
      <c r="AB1032" s="1332"/>
      <c r="AC1032" s="1332"/>
      <c r="AD1032" s="1332"/>
      <c r="AE1032" s="1"/>
      <c r="AF1032" s="1"/>
      <c r="AG1032" s="1"/>
      <c r="AH1032" s="1"/>
      <c r="AI1032" s="1"/>
      <c r="AJ1032" s="1"/>
      <c r="AK1032" s="1"/>
      <c r="AL1032" s="1"/>
      <c r="AM1032" s="1"/>
      <c r="AN1032" s="1"/>
      <c r="AO1032" s="1"/>
      <c r="AP1032" s="488"/>
      <c r="AQ1032" s="488"/>
      <c r="AR1032" s="1"/>
      <c r="AS1032" s="1"/>
      <c r="AT1032" s="1"/>
      <c r="AU1032" s="1"/>
      <c r="AV1032" s="1"/>
      <c r="AW1032" s="1"/>
      <c r="AX1032" s="488"/>
      <c r="AY1032" s="1"/>
      <c r="AZ1032" s="1"/>
      <c r="BA1032" s="1"/>
      <c r="BB1032" s="1"/>
      <c r="BC1032" s="1"/>
      <c r="BD1032" s="1"/>
      <c r="BE1032" s="1"/>
    </row>
    <row r="1033" spans="9:57" x14ac:dyDescent="0.25">
      <c r="I1033" s="1"/>
      <c r="J1033" s="1"/>
      <c r="K1033" s="1"/>
      <c r="L1033" s="1"/>
      <c r="M1033" s="1"/>
      <c r="N1033" s="1"/>
      <c r="O1033" s="1"/>
      <c r="P1033" s="1"/>
      <c r="Q1033" s="1"/>
      <c r="R1033" s="1332"/>
      <c r="S1033" s="1332"/>
      <c r="T1033" s="1332"/>
      <c r="U1033" s="1332"/>
      <c r="V1033" s="1332"/>
      <c r="W1033" s="1332"/>
      <c r="X1033" s="1332"/>
      <c r="Y1033" s="1332"/>
      <c r="Z1033" s="1332"/>
      <c r="AA1033" s="1332"/>
      <c r="AB1033" s="1332"/>
      <c r="AC1033" s="1332"/>
      <c r="AD1033" s="1332"/>
      <c r="AE1033" s="1"/>
      <c r="AF1033" s="1"/>
      <c r="AG1033" s="1"/>
      <c r="AH1033" s="1"/>
      <c r="AI1033" s="1"/>
      <c r="AJ1033" s="1"/>
      <c r="AK1033" s="1"/>
      <c r="AL1033" s="1"/>
      <c r="AM1033" s="1"/>
      <c r="AN1033" s="1"/>
      <c r="AO1033" s="1"/>
      <c r="AP1033" s="488"/>
      <c r="AQ1033" s="488"/>
      <c r="AR1033" s="1"/>
      <c r="AS1033" s="1"/>
      <c r="AT1033" s="1"/>
      <c r="AU1033" s="1"/>
      <c r="AV1033" s="1"/>
      <c r="AW1033" s="1"/>
      <c r="AX1033" s="488"/>
      <c r="AY1033" s="1"/>
      <c r="AZ1033" s="1"/>
      <c r="BA1033" s="1"/>
      <c r="BB1033" s="1"/>
      <c r="BC1033" s="1"/>
      <c r="BD1033" s="1"/>
      <c r="BE1033" s="1"/>
    </row>
    <row r="1034" spans="9:57" x14ac:dyDescent="0.25">
      <c r="I1034" s="1"/>
      <c r="J1034" s="1"/>
      <c r="K1034" s="1"/>
      <c r="L1034" s="1"/>
      <c r="M1034" s="1"/>
      <c r="N1034" s="1"/>
      <c r="O1034" s="1"/>
      <c r="P1034" s="1"/>
      <c r="Q1034" s="1"/>
      <c r="R1034" s="1332"/>
      <c r="S1034" s="1332"/>
      <c r="T1034" s="1332"/>
      <c r="U1034" s="1332"/>
      <c r="V1034" s="1332"/>
      <c r="W1034" s="1332"/>
      <c r="X1034" s="1332"/>
      <c r="Y1034" s="1332"/>
      <c r="Z1034" s="1332"/>
      <c r="AA1034" s="1332"/>
      <c r="AB1034" s="1332"/>
      <c r="AC1034" s="1332"/>
      <c r="AD1034" s="1332"/>
      <c r="AE1034" s="1"/>
      <c r="AF1034" s="1"/>
      <c r="AG1034" s="1"/>
      <c r="AH1034" s="1"/>
      <c r="AI1034" s="1"/>
      <c r="AJ1034" s="1"/>
      <c r="AK1034" s="1"/>
      <c r="AL1034" s="1"/>
      <c r="AM1034" s="1"/>
      <c r="AN1034" s="1"/>
      <c r="AO1034" s="1"/>
      <c r="AP1034" s="488"/>
      <c r="AQ1034" s="488"/>
      <c r="AR1034" s="1"/>
      <c r="AS1034" s="1"/>
      <c r="AT1034" s="1"/>
      <c r="AU1034" s="1"/>
      <c r="AV1034" s="1"/>
      <c r="AW1034" s="1"/>
      <c r="AX1034" s="488"/>
      <c r="AY1034" s="1"/>
      <c r="AZ1034" s="1"/>
      <c r="BA1034" s="1"/>
      <c r="BB1034" s="1"/>
      <c r="BC1034" s="1"/>
      <c r="BD1034" s="1"/>
      <c r="BE1034" s="1"/>
    </row>
    <row r="1035" spans="9:57" x14ac:dyDescent="0.25">
      <c r="I1035" s="1"/>
      <c r="J1035" s="1"/>
      <c r="K1035" s="1"/>
      <c r="L1035" s="1"/>
      <c r="M1035" s="1"/>
      <c r="N1035" s="1"/>
      <c r="O1035" s="1"/>
      <c r="P1035" s="1"/>
      <c r="Q1035" s="1"/>
      <c r="R1035" s="1332"/>
      <c r="S1035" s="1332"/>
      <c r="T1035" s="1332"/>
      <c r="U1035" s="1332"/>
      <c r="V1035" s="1332"/>
      <c r="W1035" s="1332"/>
      <c r="X1035" s="1332"/>
      <c r="Y1035" s="1332"/>
      <c r="Z1035" s="1332"/>
      <c r="AA1035" s="1332"/>
      <c r="AB1035" s="1332"/>
      <c r="AC1035" s="1332"/>
      <c r="AD1035" s="1332"/>
      <c r="AE1035" s="1"/>
      <c r="AF1035" s="1"/>
      <c r="AG1035" s="1"/>
      <c r="AH1035" s="1"/>
      <c r="AI1035" s="1"/>
      <c r="AJ1035" s="1"/>
      <c r="AK1035" s="1"/>
      <c r="AL1035" s="1"/>
      <c r="AM1035" s="1"/>
      <c r="AN1035" s="1"/>
      <c r="AO1035" s="1"/>
      <c r="AP1035" s="488"/>
      <c r="AQ1035" s="488"/>
      <c r="AR1035" s="1"/>
      <c r="AS1035" s="1"/>
      <c r="AT1035" s="1"/>
      <c r="AU1035" s="1"/>
      <c r="AV1035" s="1"/>
      <c r="AW1035" s="1"/>
      <c r="AX1035" s="488"/>
      <c r="AY1035" s="1"/>
      <c r="AZ1035" s="1"/>
      <c r="BA1035" s="1"/>
      <c r="BB1035" s="1"/>
      <c r="BC1035" s="1"/>
      <c r="BD1035" s="1"/>
      <c r="BE1035" s="1"/>
    </row>
    <row r="1036" spans="9:57" x14ac:dyDescent="0.25">
      <c r="I1036" s="1"/>
      <c r="J1036" s="1"/>
      <c r="K1036" s="1"/>
      <c r="L1036" s="1"/>
      <c r="M1036" s="1"/>
      <c r="N1036" s="1"/>
      <c r="O1036" s="1"/>
      <c r="P1036" s="1"/>
      <c r="Q1036" s="1"/>
      <c r="R1036" s="1332"/>
      <c r="S1036" s="1332"/>
      <c r="T1036" s="1332"/>
      <c r="U1036" s="1332"/>
      <c r="V1036" s="1332"/>
      <c r="W1036" s="1332"/>
      <c r="X1036" s="1332"/>
      <c r="Y1036" s="1332"/>
      <c r="Z1036" s="1332"/>
      <c r="AA1036" s="1332"/>
      <c r="AB1036" s="1332"/>
      <c r="AC1036" s="1332"/>
      <c r="AD1036" s="1332"/>
      <c r="AE1036" s="1"/>
      <c r="AF1036" s="1"/>
      <c r="AG1036" s="1"/>
      <c r="AH1036" s="1"/>
      <c r="AI1036" s="1"/>
      <c r="AJ1036" s="1"/>
      <c r="AK1036" s="1"/>
      <c r="AL1036" s="1"/>
      <c r="AM1036" s="1"/>
      <c r="AN1036" s="1"/>
      <c r="AO1036" s="1"/>
      <c r="AP1036" s="488"/>
      <c r="AQ1036" s="488"/>
      <c r="AR1036" s="1"/>
      <c r="AS1036" s="1"/>
      <c r="AT1036" s="1"/>
      <c r="AU1036" s="1"/>
      <c r="AV1036" s="1"/>
      <c r="AW1036" s="1"/>
      <c r="AX1036" s="488"/>
      <c r="AY1036" s="1"/>
      <c r="AZ1036" s="1"/>
      <c r="BA1036" s="1"/>
      <c r="BB1036" s="1"/>
      <c r="BC1036" s="1"/>
      <c r="BD1036" s="1"/>
      <c r="BE1036" s="1"/>
    </row>
    <row r="1037" spans="9:57" x14ac:dyDescent="0.25">
      <c r="I1037" s="1"/>
      <c r="J1037" s="1"/>
      <c r="K1037" s="1"/>
      <c r="L1037" s="1"/>
      <c r="M1037" s="1"/>
      <c r="N1037" s="1"/>
      <c r="O1037" s="1"/>
      <c r="P1037" s="1"/>
      <c r="Q1037" s="1"/>
      <c r="R1037" s="1332"/>
      <c r="S1037" s="1332"/>
      <c r="T1037" s="1332"/>
      <c r="U1037" s="1332"/>
      <c r="V1037" s="1332"/>
      <c r="W1037" s="1332"/>
      <c r="X1037" s="1332"/>
      <c r="Y1037" s="1332"/>
      <c r="Z1037" s="1332"/>
      <c r="AA1037" s="1332"/>
      <c r="AB1037" s="1332"/>
      <c r="AC1037" s="1332"/>
      <c r="AD1037" s="1332"/>
      <c r="AE1037" s="1"/>
      <c r="AF1037" s="1"/>
      <c r="AG1037" s="1"/>
      <c r="AH1037" s="1"/>
      <c r="AI1037" s="1"/>
      <c r="AJ1037" s="1"/>
      <c r="AK1037" s="1"/>
      <c r="AL1037" s="1"/>
      <c r="AM1037" s="1"/>
      <c r="AN1037" s="1"/>
      <c r="AO1037" s="1"/>
      <c r="AP1037" s="488"/>
      <c r="AQ1037" s="488"/>
      <c r="AR1037" s="1"/>
      <c r="AS1037" s="1"/>
      <c r="AT1037" s="1"/>
      <c r="AU1037" s="1"/>
      <c r="AV1037" s="1"/>
      <c r="AW1037" s="1"/>
      <c r="AX1037" s="488"/>
      <c r="AY1037" s="1"/>
      <c r="AZ1037" s="1"/>
      <c r="BA1037" s="1"/>
      <c r="BB1037" s="1"/>
      <c r="BC1037" s="1"/>
      <c r="BD1037" s="1"/>
      <c r="BE1037" s="1"/>
    </row>
    <row r="1038" spans="9:57" x14ac:dyDescent="0.25">
      <c r="I1038" s="1"/>
      <c r="J1038" s="1"/>
      <c r="K1038" s="1"/>
      <c r="L1038" s="1"/>
      <c r="M1038" s="1"/>
      <c r="N1038" s="1"/>
      <c r="O1038" s="1"/>
      <c r="P1038" s="1"/>
      <c r="Q1038" s="1"/>
      <c r="R1038" s="1332"/>
      <c r="S1038" s="1332"/>
      <c r="T1038" s="1332"/>
      <c r="U1038" s="1332"/>
      <c r="V1038" s="1332"/>
      <c r="W1038" s="1332"/>
      <c r="X1038" s="1332"/>
      <c r="Y1038" s="1332"/>
      <c r="Z1038" s="1332"/>
      <c r="AA1038" s="1332"/>
      <c r="AB1038" s="1332"/>
      <c r="AC1038" s="1332"/>
      <c r="AD1038" s="1332"/>
      <c r="AE1038" s="1"/>
      <c r="AF1038" s="1"/>
      <c r="AG1038" s="1"/>
      <c r="AH1038" s="1"/>
      <c r="AI1038" s="1"/>
      <c r="AJ1038" s="1"/>
      <c r="AK1038" s="1"/>
      <c r="AL1038" s="1"/>
      <c r="AM1038" s="1"/>
      <c r="AN1038" s="1"/>
      <c r="AO1038" s="1"/>
      <c r="AP1038" s="488"/>
      <c r="AQ1038" s="488"/>
      <c r="AR1038" s="1"/>
      <c r="AS1038" s="1"/>
      <c r="AT1038" s="1"/>
      <c r="AU1038" s="1"/>
      <c r="AV1038" s="1"/>
      <c r="AW1038" s="1"/>
      <c r="AX1038" s="488"/>
      <c r="AY1038" s="1"/>
      <c r="AZ1038" s="1"/>
      <c r="BA1038" s="1"/>
      <c r="BB1038" s="1"/>
      <c r="BC1038" s="1"/>
      <c r="BD1038" s="1"/>
      <c r="BE1038" s="1"/>
    </row>
    <row r="1039" spans="9:57" x14ac:dyDescent="0.25">
      <c r="I1039" s="1"/>
      <c r="J1039" s="1"/>
      <c r="K1039" s="1"/>
      <c r="L1039" s="1"/>
      <c r="M1039" s="1"/>
      <c r="N1039" s="1"/>
      <c r="O1039" s="1"/>
      <c r="P1039" s="1"/>
      <c r="Q1039" s="1"/>
      <c r="R1039" s="1332"/>
      <c r="S1039" s="1332"/>
      <c r="T1039" s="1332"/>
      <c r="U1039" s="1332"/>
      <c r="V1039" s="1332"/>
      <c r="W1039" s="1332"/>
      <c r="X1039" s="1332"/>
      <c r="Y1039" s="1332"/>
      <c r="Z1039" s="1332"/>
      <c r="AA1039" s="1332"/>
      <c r="AB1039" s="1332"/>
      <c r="AC1039" s="1332"/>
      <c r="AD1039" s="1332"/>
      <c r="AE1039" s="1"/>
      <c r="AF1039" s="1"/>
      <c r="AG1039" s="1"/>
      <c r="AH1039" s="1"/>
      <c r="AI1039" s="1"/>
      <c r="AJ1039" s="1"/>
      <c r="AK1039" s="1"/>
      <c r="AL1039" s="1"/>
      <c r="AM1039" s="1"/>
      <c r="AN1039" s="1"/>
      <c r="AO1039" s="1"/>
      <c r="AP1039" s="488"/>
      <c r="AQ1039" s="488"/>
      <c r="AR1039" s="1"/>
      <c r="AS1039" s="1"/>
      <c r="AT1039" s="1"/>
      <c r="AU1039" s="1"/>
      <c r="AV1039" s="1"/>
      <c r="AW1039" s="1"/>
      <c r="AX1039" s="488"/>
      <c r="AY1039" s="1"/>
      <c r="AZ1039" s="1"/>
      <c r="BA1039" s="1"/>
      <c r="BB1039" s="1"/>
      <c r="BC1039" s="1"/>
      <c r="BD1039" s="1"/>
      <c r="BE1039" s="1"/>
    </row>
    <row r="1040" spans="9:57" x14ac:dyDescent="0.25">
      <c r="I1040" s="1"/>
      <c r="J1040" s="1"/>
      <c r="K1040" s="1"/>
      <c r="L1040" s="1"/>
      <c r="M1040" s="1"/>
      <c r="N1040" s="1"/>
      <c r="O1040" s="1"/>
      <c r="P1040" s="1"/>
      <c r="Q1040" s="1"/>
      <c r="R1040" s="1332"/>
      <c r="S1040" s="1332"/>
      <c r="T1040" s="1332"/>
      <c r="U1040" s="1332"/>
      <c r="V1040" s="1332"/>
      <c r="W1040" s="1332"/>
      <c r="X1040" s="1332"/>
      <c r="Y1040" s="1332"/>
      <c r="Z1040" s="1332"/>
      <c r="AA1040" s="1332"/>
      <c r="AB1040" s="1332"/>
      <c r="AC1040" s="1332"/>
      <c r="AD1040" s="1332"/>
      <c r="AE1040" s="1"/>
      <c r="AF1040" s="1"/>
      <c r="AG1040" s="1"/>
      <c r="AH1040" s="1"/>
      <c r="AI1040" s="1"/>
      <c r="AJ1040" s="1"/>
      <c r="AK1040" s="1"/>
      <c r="AL1040" s="1"/>
      <c r="AM1040" s="1"/>
      <c r="AN1040" s="1"/>
      <c r="AO1040" s="1"/>
      <c r="AP1040" s="488"/>
      <c r="AQ1040" s="488"/>
      <c r="AR1040" s="1"/>
      <c r="AS1040" s="1"/>
      <c r="AT1040" s="1"/>
      <c r="AU1040" s="1"/>
      <c r="AV1040" s="1"/>
      <c r="AW1040" s="1"/>
      <c r="AX1040" s="488"/>
      <c r="AY1040" s="1"/>
      <c r="AZ1040" s="1"/>
      <c r="BA1040" s="1"/>
      <c r="BB1040" s="1"/>
      <c r="BC1040" s="1"/>
      <c r="BD1040" s="1"/>
      <c r="BE1040" s="1"/>
    </row>
    <row r="1041" spans="9:57" x14ac:dyDescent="0.25">
      <c r="I1041" s="1"/>
      <c r="J1041" s="1"/>
      <c r="K1041" s="1"/>
      <c r="L1041" s="1"/>
      <c r="M1041" s="1"/>
      <c r="N1041" s="1"/>
      <c r="O1041" s="1"/>
      <c r="P1041" s="1"/>
      <c r="Q1041" s="1"/>
      <c r="R1041" s="1332"/>
      <c r="S1041" s="1332"/>
      <c r="T1041" s="1332"/>
      <c r="U1041" s="1332"/>
      <c r="V1041" s="1332"/>
      <c r="W1041" s="1332"/>
      <c r="X1041" s="1332"/>
      <c r="Y1041" s="1332"/>
      <c r="Z1041" s="1332"/>
      <c r="AA1041" s="1332"/>
      <c r="AB1041" s="1332"/>
      <c r="AC1041" s="1332"/>
      <c r="AD1041" s="1332"/>
      <c r="AE1041" s="1"/>
      <c r="AF1041" s="1"/>
      <c r="AG1041" s="1"/>
      <c r="AH1041" s="1"/>
      <c r="AI1041" s="1"/>
      <c r="AJ1041" s="1"/>
      <c r="AK1041" s="1"/>
      <c r="AL1041" s="1"/>
      <c r="AM1041" s="1"/>
      <c r="AN1041" s="1"/>
      <c r="AO1041" s="1"/>
      <c r="AP1041" s="488"/>
      <c r="AQ1041" s="488"/>
      <c r="AR1041" s="1"/>
      <c r="AS1041" s="1"/>
      <c r="AT1041" s="1"/>
      <c r="AU1041" s="1"/>
      <c r="AV1041" s="1"/>
      <c r="AW1041" s="1"/>
      <c r="AX1041" s="488"/>
      <c r="AY1041" s="1"/>
      <c r="AZ1041" s="1"/>
      <c r="BA1041" s="1"/>
      <c r="BB1041" s="1"/>
      <c r="BC1041" s="1"/>
      <c r="BD1041" s="1"/>
      <c r="BE1041" s="1"/>
    </row>
    <row r="1042" spans="9:57" x14ac:dyDescent="0.25">
      <c r="I1042" s="1"/>
      <c r="J1042" s="1"/>
      <c r="K1042" s="1"/>
      <c r="L1042" s="1"/>
      <c r="M1042" s="1"/>
      <c r="N1042" s="1"/>
      <c r="O1042" s="1"/>
      <c r="P1042" s="1"/>
      <c r="Q1042" s="1"/>
      <c r="R1042" s="1332"/>
      <c r="S1042" s="1332"/>
      <c r="T1042" s="1332"/>
      <c r="U1042" s="1332"/>
      <c r="V1042" s="1332"/>
      <c r="W1042" s="1332"/>
      <c r="X1042" s="1332"/>
      <c r="Y1042" s="1332"/>
      <c r="Z1042" s="1332"/>
      <c r="AA1042" s="1332"/>
      <c r="AB1042" s="1332"/>
      <c r="AC1042" s="1332"/>
      <c r="AD1042" s="1332"/>
      <c r="AE1042" s="1"/>
      <c r="AF1042" s="1"/>
      <c r="AG1042" s="1"/>
      <c r="AH1042" s="1"/>
      <c r="AI1042" s="1"/>
      <c r="AJ1042" s="1"/>
      <c r="AK1042" s="1"/>
      <c r="AL1042" s="1"/>
      <c r="AM1042" s="1"/>
      <c r="AN1042" s="1"/>
      <c r="AO1042" s="1"/>
      <c r="AP1042" s="488"/>
      <c r="AQ1042" s="488"/>
      <c r="AR1042" s="1"/>
      <c r="AS1042" s="1"/>
      <c r="AT1042" s="1"/>
      <c r="AU1042" s="1"/>
      <c r="AV1042" s="1"/>
      <c r="AW1042" s="1"/>
      <c r="AX1042" s="488"/>
      <c r="AY1042" s="1"/>
      <c r="AZ1042" s="1"/>
      <c r="BA1042" s="1"/>
      <c r="BB1042" s="1"/>
      <c r="BC1042" s="1"/>
      <c r="BD1042" s="1"/>
      <c r="BE1042" s="1"/>
    </row>
    <row r="1043" spans="9:57" x14ac:dyDescent="0.25">
      <c r="I1043" s="1"/>
      <c r="J1043" s="1"/>
      <c r="K1043" s="1"/>
      <c r="L1043" s="1"/>
      <c r="M1043" s="1"/>
      <c r="N1043" s="1"/>
      <c r="O1043" s="1"/>
      <c r="P1043" s="1"/>
      <c r="Q1043" s="1"/>
      <c r="R1043" s="1332"/>
      <c r="S1043" s="1332"/>
      <c r="T1043" s="1332"/>
      <c r="U1043" s="1332"/>
      <c r="V1043" s="1332"/>
      <c r="W1043" s="1332"/>
      <c r="X1043" s="1332"/>
      <c r="Y1043" s="1332"/>
      <c r="Z1043" s="1332"/>
      <c r="AA1043" s="1332"/>
      <c r="AB1043" s="1332"/>
      <c r="AC1043" s="1332"/>
      <c r="AD1043" s="1332"/>
      <c r="AE1043" s="1"/>
      <c r="AF1043" s="1"/>
      <c r="AG1043" s="1"/>
      <c r="AH1043" s="1"/>
      <c r="AI1043" s="1"/>
      <c r="AJ1043" s="1"/>
      <c r="AK1043" s="1"/>
      <c r="AL1043" s="1"/>
      <c r="AM1043" s="1"/>
      <c r="AN1043" s="1"/>
      <c r="AO1043" s="1"/>
      <c r="AP1043" s="488"/>
      <c r="AQ1043" s="488"/>
      <c r="AR1043" s="1"/>
      <c r="AS1043" s="1"/>
      <c r="AT1043" s="1"/>
      <c r="AU1043" s="1"/>
      <c r="AV1043" s="1"/>
      <c r="AW1043" s="1"/>
      <c r="AX1043" s="488"/>
      <c r="AY1043" s="1"/>
      <c r="AZ1043" s="1"/>
      <c r="BA1043" s="1"/>
      <c r="BB1043" s="1"/>
      <c r="BC1043" s="1"/>
      <c r="BD1043" s="1"/>
      <c r="BE1043" s="1"/>
    </row>
    <row r="1044" spans="9:57" x14ac:dyDescent="0.25">
      <c r="I1044" s="1"/>
      <c r="J1044" s="1"/>
      <c r="K1044" s="1"/>
      <c r="L1044" s="1"/>
      <c r="M1044" s="1"/>
      <c r="N1044" s="1"/>
      <c r="O1044" s="1"/>
      <c r="P1044" s="1"/>
      <c r="Q1044" s="1"/>
      <c r="R1044" s="1332"/>
      <c r="S1044" s="1332"/>
      <c r="T1044" s="1332"/>
      <c r="U1044" s="1332"/>
      <c r="V1044" s="1332"/>
      <c r="W1044" s="1332"/>
      <c r="X1044" s="1332"/>
      <c r="Y1044" s="1332"/>
      <c r="Z1044" s="1332"/>
      <c r="AA1044" s="1332"/>
      <c r="AB1044" s="1332"/>
      <c r="AC1044" s="1332"/>
      <c r="AD1044" s="1332"/>
      <c r="AE1044" s="1"/>
      <c r="AF1044" s="1"/>
      <c r="AG1044" s="1"/>
      <c r="AH1044" s="1"/>
      <c r="AI1044" s="1"/>
      <c r="AJ1044" s="1"/>
      <c r="AK1044" s="1"/>
      <c r="AL1044" s="1"/>
      <c r="AM1044" s="1"/>
      <c r="AN1044" s="1"/>
      <c r="AO1044" s="1"/>
      <c r="AP1044" s="488"/>
      <c r="AQ1044" s="488"/>
      <c r="AR1044" s="1"/>
      <c r="AS1044" s="1"/>
      <c r="AT1044" s="1"/>
      <c r="AU1044" s="1"/>
      <c r="AV1044" s="1"/>
      <c r="AW1044" s="1"/>
      <c r="AX1044" s="488"/>
      <c r="AY1044" s="1"/>
      <c r="AZ1044" s="1"/>
      <c r="BA1044" s="1"/>
      <c r="BB1044" s="1"/>
      <c r="BC1044" s="1"/>
      <c r="BD1044" s="1"/>
      <c r="BE1044" s="1"/>
    </row>
    <row r="1045" spans="9:57" x14ac:dyDescent="0.25">
      <c r="I1045" s="1"/>
      <c r="J1045" s="1"/>
      <c r="K1045" s="1"/>
      <c r="L1045" s="1"/>
      <c r="M1045" s="1"/>
      <c r="N1045" s="1"/>
      <c r="O1045" s="1"/>
      <c r="P1045" s="1"/>
      <c r="Q1045" s="1"/>
      <c r="R1045" s="1332"/>
      <c r="S1045" s="1332"/>
      <c r="T1045" s="1332"/>
      <c r="U1045" s="1332"/>
      <c r="V1045" s="1332"/>
      <c r="W1045" s="1332"/>
      <c r="X1045" s="1332"/>
      <c r="Y1045" s="1332"/>
      <c r="Z1045" s="1332"/>
      <c r="AA1045" s="1332"/>
      <c r="AB1045" s="1332"/>
      <c r="AC1045" s="1332"/>
      <c r="AD1045" s="1332"/>
      <c r="AE1045" s="1"/>
      <c r="AF1045" s="1"/>
      <c r="AG1045" s="1"/>
      <c r="AH1045" s="1"/>
      <c r="AI1045" s="1"/>
      <c r="AJ1045" s="1"/>
      <c r="AK1045" s="1"/>
      <c r="AL1045" s="1"/>
      <c r="AM1045" s="1"/>
      <c r="AN1045" s="1"/>
      <c r="AO1045" s="1"/>
      <c r="AP1045" s="488"/>
      <c r="AQ1045" s="488"/>
      <c r="AR1045" s="1"/>
      <c r="AS1045" s="1"/>
      <c r="AT1045" s="1"/>
      <c r="AU1045" s="1"/>
      <c r="AV1045" s="1"/>
      <c r="AW1045" s="1"/>
      <c r="AX1045" s="488"/>
      <c r="AY1045" s="1"/>
      <c r="AZ1045" s="1"/>
      <c r="BA1045" s="1"/>
      <c r="BB1045" s="1"/>
      <c r="BC1045" s="1"/>
      <c r="BD1045" s="1"/>
      <c r="BE1045" s="1"/>
    </row>
    <row r="1046" spans="9:57" x14ac:dyDescent="0.25">
      <c r="I1046" s="1"/>
      <c r="J1046" s="1"/>
      <c r="K1046" s="1"/>
      <c r="L1046" s="1"/>
      <c r="M1046" s="1"/>
      <c r="N1046" s="1"/>
      <c r="O1046" s="1"/>
      <c r="P1046" s="1"/>
      <c r="Q1046" s="1"/>
      <c r="R1046" s="1332"/>
      <c r="S1046" s="1332"/>
      <c r="T1046" s="1332"/>
      <c r="U1046" s="1332"/>
      <c r="V1046" s="1332"/>
      <c r="W1046" s="1332"/>
      <c r="X1046" s="1332"/>
      <c r="Y1046" s="1332"/>
      <c r="Z1046" s="1332"/>
      <c r="AA1046" s="1332"/>
      <c r="AB1046" s="1332"/>
      <c r="AC1046" s="1332"/>
      <c r="AD1046" s="1332"/>
      <c r="AE1046" s="1"/>
      <c r="AF1046" s="1"/>
      <c r="AG1046" s="1"/>
      <c r="AH1046" s="1"/>
      <c r="AI1046" s="1"/>
      <c r="AJ1046" s="1"/>
      <c r="AK1046" s="1"/>
      <c r="AL1046" s="1"/>
      <c r="AM1046" s="1"/>
      <c r="AN1046" s="1"/>
      <c r="AO1046" s="1"/>
      <c r="AP1046" s="488"/>
      <c r="AQ1046" s="488"/>
      <c r="AR1046" s="1"/>
      <c r="AS1046" s="1"/>
      <c r="AT1046" s="1"/>
      <c r="AU1046" s="1"/>
      <c r="AV1046" s="1"/>
      <c r="AW1046" s="1"/>
      <c r="AX1046" s="488"/>
      <c r="AY1046" s="1"/>
      <c r="AZ1046" s="1"/>
      <c r="BA1046" s="1"/>
      <c r="BB1046" s="1"/>
      <c r="BC1046" s="1"/>
      <c r="BD1046" s="1"/>
      <c r="BE1046" s="1"/>
    </row>
    <row r="1047" spans="9:57" x14ac:dyDescent="0.25">
      <c r="I1047" s="1"/>
      <c r="J1047" s="1"/>
      <c r="K1047" s="1"/>
      <c r="L1047" s="1"/>
      <c r="M1047" s="1"/>
      <c r="N1047" s="1"/>
      <c r="O1047" s="1"/>
      <c r="P1047" s="1"/>
      <c r="Q1047" s="1"/>
      <c r="R1047" s="1332"/>
      <c r="S1047" s="1332"/>
      <c r="T1047" s="1332"/>
      <c r="U1047" s="1332"/>
      <c r="V1047" s="1332"/>
      <c r="W1047" s="1332"/>
      <c r="X1047" s="1332"/>
      <c r="Y1047" s="1332"/>
      <c r="Z1047" s="1332"/>
      <c r="AA1047" s="1332"/>
      <c r="AB1047" s="1332"/>
      <c r="AC1047" s="1332"/>
      <c r="AD1047" s="1332"/>
      <c r="AE1047" s="1"/>
      <c r="AF1047" s="1"/>
      <c r="AG1047" s="1"/>
      <c r="AH1047" s="1"/>
      <c r="AI1047" s="1"/>
      <c r="AJ1047" s="1"/>
      <c r="AK1047" s="1"/>
      <c r="AL1047" s="1"/>
      <c r="AM1047" s="1"/>
      <c r="AN1047" s="1"/>
      <c r="AO1047" s="1"/>
      <c r="AP1047" s="488"/>
      <c r="AQ1047" s="488"/>
      <c r="AR1047" s="1"/>
      <c r="AS1047" s="1"/>
      <c r="AT1047" s="1"/>
      <c r="AU1047" s="1"/>
      <c r="AV1047" s="1"/>
      <c r="AW1047" s="1"/>
      <c r="AX1047" s="488"/>
      <c r="AY1047" s="1"/>
      <c r="AZ1047" s="1"/>
      <c r="BA1047" s="1"/>
      <c r="BB1047" s="1"/>
      <c r="BC1047" s="1"/>
      <c r="BD1047" s="1"/>
      <c r="BE1047" s="1"/>
    </row>
    <row r="1048" spans="9:57" x14ac:dyDescent="0.25">
      <c r="I1048" s="1"/>
      <c r="J1048" s="1"/>
      <c r="K1048" s="1"/>
      <c r="L1048" s="1"/>
      <c r="M1048" s="1"/>
      <c r="N1048" s="1"/>
      <c r="O1048" s="1"/>
      <c r="P1048" s="1"/>
      <c r="Q1048" s="1"/>
      <c r="R1048" s="1332"/>
      <c r="S1048" s="1332"/>
      <c r="T1048" s="1332"/>
      <c r="U1048" s="1332"/>
      <c r="V1048" s="1332"/>
      <c r="W1048" s="1332"/>
      <c r="X1048" s="1332"/>
      <c r="Y1048" s="1332"/>
      <c r="Z1048" s="1332"/>
      <c r="AA1048" s="1332"/>
      <c r="AB1048" s="1332"/>
      <c r="AC1048" s="1332"/>
      <c r="AD1048" s="1332"/>
      <c r="AE1048" s="1"/>
      <c r="AF1048" s="1"/>
      <c r="AG1048" s="1"/>
      <c r="AH1048" s="1"/>
      <c r="AI1048" s="1"/>
      <c r="AJ1048" s="1"/>
      <c r="AK1048" s="1"/>
      <c r="AL1048" s="1"/>
      <c r="AM1048" s="1"/>
      <c r="AN1048" s="1"/>
      <c r="AO1048" s="1"/>
      <c r="AP1048" s="488"/>
      <c r="AQ1048" s="488"/>
      <c r="AR1048" s="1"/>
      <c r="AS1048" s="1"/>
      <c r="AT1048" s="1"/>
      <c r="AU1048" s="1"/>
      <c r="AV1048" s="1"/>
      <c r="AW1048" s="1"/>
      <c r="AX1048" s="488"/>
      <c r="AY1048" s="1"/>
      <c r="AZ1048" s="1"/>
      <c r="BA1048" s="1"/>
      <c r="BB1048" s="1"/>
      <c r="BC1048" s="1"/>
      <c r="BD1048" s="1"/>
      <c r="BE1048" s="1"/>
    </row>
    <row r="1049" spans="9:57" x14ac:dyDescent="0.25">
      <c r="I1049" s="1"/>
      <c r="J1049" s="1"/>
      <c r="K1049" s="1"/>
      <c r="L1049" s="1"/>
      <c r="M1049" s="1"/>
      <c r="N1049" s="1"/>
      <c r="O1049" s="1"/>
      <c r="P1049" s="1"/>
      <c r="Q1049" s="1"/>
      <c r="R1049" s="1332"/>
      <c r="S1049" s="1332"/>
      <c r="T1049" s="1332"/>
      <c r="U1049" s="1332"/>
      <c r="V1049" s="1332"/>
      <c r="W1049" s="1332"/>
      <c r="X1049" s="1332"/>
      <c r="Y1049" s="1332"/>
      <c r="Z1049" s="1332"/>
      <c r="AA1049" s="1332"/>
      <c r="AB1049" s="1332"/>
      <c r="AC1049" s="1332"/>
      <c r="AD1049" s="1332"/>
      <c r="AE1049" s="1"/>
      <c r="AF1049" s="1"/>
      <c r="AG1049" s="1"/>
      <c r="AH1049" s="1"/>
      <c r="AI1049" s="1"/>
      <c r="AJ1049" s="1"/>
      <c r="AK1049" s="1"/>
      <c r="AL1049" s="1"/>
      <c r="AM1049" s="1"/>
      <c r="AN1049" s="1"/>
      <c r="AO1049" s="1"/>
      <c r="AP1049" s="488"/>
      <c r="AQ1049" s="488"/>
      <c r="AR1049" s="1"/>
      <c r="AS1049" s="1"/>
      <c r="AT1049" s="1"/>
      <c r="AU1049" s="1"/>
      <c r="AV1049" s="1"/>
      <c r="AW1049" s="1"/>
      <c r="AX1049" s="488"/>
      <c r="AY1049" s="1"/>
      <c r="AZ1049" s="1"/>
      <c r="BA1049" s="1"/>
      <c r="BB1049" s="1"/>
      <c r="BC1049" s="1"/>
      <c r="BD1049" s="1"/>
      <c r="BE1049" s="1"/>
    </row>
    <row r="1050" spans="9:57" x14ac:dyDescent="0.25">
      <c r="I1050" s="1"/>
      <c r="J1050" s="1"/>
      <c r="K1050" s="1"/>
      <c r="L1050" s="1"/>
      <c r="M1050" s="1"/>
      <c r="N1050" s="1"/>
      <c r="O1050" s="1"/>
      <c r="P1050" s="1"/>
      <c r="Q1050" s="1"/>
      <c r="R1050" s="1332"/>
      <c r="S1050" s="1332"/>
      <c r="T1050" s="1332"/>
      <c r="U1050" s="1332"/>
      <c r="V1050" s="1332"/>
      <c r="W1050" s="1332"/>
      <c r="X1050" s="1332"/>
      <c r="Y1050" s="1332"/>
      <c r="Z1050" s="1332"/>
      <c r="AA1050" s="1332"/>
      <c r="AB1050" s="1332"/>
      <c r="AC1050" s="1332"/>
      <c r="AD1050" s="1332"/>
      <c r="AE1050" s="1"/>
      <c r="AF1050" s="1"/>
      <c r="AG1050" s="1"/>
      <c r="AH1050" s="1"/>
      <c r="AI1050" s="1"/>
      <c r="AJ1050" s="1"/>
      <c r="AK1050" s="1"/>
      <c r="AL1050" s="1"/>
      <c r="AM1050" s="1"/>
      <c r="AN1050" s="1"/>
      <c r="AO1050" s="1"/>
      <c r="AP1050" s="488"/>
      <c r="AQ1050" s="488"/>
      <c r="AR1050" s="1"/>
      <c r="AS1050" s="1"/>
      <c r="AT1050" s="1"/>
      <c r="AU1050" s="1"/>
      <c r="AV1050" s="1"/>
      <c r="AW1050" s="1"/>
      <c r="AX1050" s="488"/>
      <c r="AY1050" s="1"/>
      <c r="AZ1050" s="1"/>
      <c r="BA1050" s="1"/>
      <c r="BB1050" s="1"/>
      <c r="BC1050" s="1"/>
      <c r="BD1050" s="1"/>
      <c r="BE1050" s="1"/>
    </row>
    <row r="1051" spans="9:57" x14ac:dyDescent="0.25">
      <c r="I1051" s="1"/>
      <c r="J1051" s="1"/>
      <c r="K1051" s="1"/>
      <c r="L1051" s="1"/>
      <c r="M1051" s="1"/>
      <c r="N1051" s="1"/>
      <c r="O1051" s="1"/>
      <c r="P1051" s="1"/>
      <c r="Q1051" s="1"/>
      <c r="R1051" s="1332"/>
      <c r="S1051" s="1332"/>
      <c r="T1051" s="1332"/>
      <c r="U1051" s="1332"/>
      <c r="V1051" s="1332"/>
      <c r="W1051" s="1332"/>
      <c r="X1051" s="1332"/>
      <c r="Y1051" s="1332"/>
      <c r="Z1051" s="1332"/>
      <c r="AA1051" s="1332"/>
      <c r="AB1051" s="1332"/>
      <c r="AC1051" s="1332"/>
      <c r="AD1051" s="1332"/>
      <c r="AE1051" s="1"/>
      <c r="AF1051" s="1"/>
      <c r="AG1051" s="1"/>
      <c r="AH1051" s="1"/>
      <c r="AI1051" s="1"/>
      <c r="AJ1051" s="1"/>
      <c r="AK1051" s="1"/>
      <c r="AL1051" s="1"/>
      <c r="AM1051" s="1"/>
      <c r="AN1051" s="1"/>
      <c r="AO1051" s="1"/>
      <c r="AP1051" s="488"/>
      <c r="AQ1051" s="488"/>
      <c r="AR1051" s="1"/>
      <c r="AS1051" s="1"/>
      <c r="AT1051" s="1"/>
      <c r="AU1051" s="1"/>
      <c r="AV1051" s="1"/>
      <c r="AW1051" s="1"/>
      <c r="AX1051" s="488"/>
      <c r="AY1051" s="1"/>
      <c r="AZ1051" s="1"/>
      <c r="BA1051" s="1"/>
      <c r="BB1051" s="1"/>
      <c r="BC1051" s="1"/>
      <c r="BD1051" s="1"/>
      <c r="BE1051" s="1"/>
    </row>
    <row r="1052" spans="9:57" x14ac:dyDescent="0.25">
      <c r="I1052" s="1"/>
      <c r="J1052" s="1"/>
      <c r="K1052" s="1"/>
      <c r="L1052" s="1"/>
      <c r="M1052" s="1"/>
      <c r="N1052" s="1"/>
      <c r="O1052" s="1"/>
      <c r="P1052" s="1"/>
      <c r="Q1052" s="1"/>
      <c r="R1052" s="1332"/>
      <c r="S1052" s="1332"/>
      <c r="T1052" s="1332"/>
      <c r="U1052" s="1332"/>
      <c r="V1052" s="1332"/>
      <c r="W1052" s="1332"/>
      <c r="X1052" s="1332"/>
      <c r="Y1052" s="1332"/>
      <c r="Z1052" s="1332"/>
      <c r="AA1052" s="1332"/>
      <c r="AB1052" s="1332"/>
      <c r="AC1052" s="1332"/>
      <c r="AD1052" s="1332"/>
      <c r="AE1052" s="1"/>
      <c r="AF1052" s="1"/>
      <c r="AG1052" s="1"/>
      <c r="AH1052" s="1"/>
      <c r="AI1052" s="1"/>
      <c r="AJ1052" s="1"/>
      <c r="AK1052" s="1"/>
      <c r="AL1052" s="1"/>
      <c r="AM1052" s="1"/>
      <c r="AN1052" s="1"/>
      <c r="AO1052" s="1"/>
      <c r="AP1052" s="488"/>
      <c r="AQ1052" s="488"/>
      <c r="AR1052" s="1"/>
      <c r="AS1052" s="1"/>
      <c r="AT1052" s="1"/>
      <c r="AU1052" s="1"/>
      <c r="AV1052" s="1"/>
      <c r="AW1052" s="1"/>
      <c r="AX1052" s="488"/>
      <c r="AY1052" s="1"/>
      <c r="AZ1052" s="1"/>
      <c r="BA1052" s="1"/>
      <c r="BB1052" s="1"/>
      <c r="BC1052" s="1"/>
      <c r="BD1052" s="1"/>
      <c r="BE1052" s="1"/>
    </row>
    <row r="1053" spans="9:57" x14ac:dyDescent="0.25">
      <c r="I1053" s="1"/>
      <c r="J1053" s="1"/>
      <c r="K1053" s="1"/>
      <c r="L1053" s="1"/>
      <c r="M1053" s="1"/>
      <c r="N1053" s="1"/>
      <c r="O1053" s="1"/>
      <c r="P1053" s="1"/>
      <c r="Q1053" s="1"/>
      <c r="R1053" s="1332"/>
      <c r="S1053" s="1332"/>
      <c r="T1053" s="1332"/>
      <c r="U1053" s="1332"/>
      <c r="V1053" s="1332"/>
      <c r="W1053" s="1332"/>
      <c r="X1053" s="1332"/>
      <c r="Y1053" s="1332"/>
      <c r="Z1053" s="1332"/>
      <c r="AA1053" s="1332"/>
      <c r="AB1053" s="1332"/>
      <c r="AC1053" s="1332"/>
      <c r="AD1053" s="1332"/>
      <c r="AE1053" s="1"/>
      <c r="AF1053" s="1"/>
      <c r="AG1053" s="1"/>
      <c r="AH1053" s="1"/>
      <c r="AI1053" s="1"/>
      <c r="AJ1053" s="1"/>
      <c r="AK1053" s="1"/>
      <c r="AL1053" s="1"/>
      <c r="AM1053" s="1"/>
      <c r="AN1053" s="1"/>
      <c r="AO1053" s="1"/>
      <c r="AP1053" s="488"/>
      <c r="AQ1053" s="488"/>
      <c r="AR1053" s="1"/>
      <c r="AS1053" s="1"/>
      <c r="AT1053" s="1"/>
      <c r="AU1053" s="1"/>
      <c r="AV1053" s="1"/>
      <c r="AW1053" s="1"/>
      <c r="AX1053" s="488"/>
      <c r="AY1053" s="1"/>
      <c r="AZ1053" s="1"/>
      <c r="BA1053" s="1"/>
      <c r="BB1053" s="1"/>
      <c r="BC1053" s="1"/>
      <c r="BD1053" s="1"/>
      <c r="BE1053" s="1"/>
    </row>
    <row r="1054" spans="9:57" x14ac:dyDescent="0.25">
      <c r="I1054" s="1"/>
      <c r="J1054" s="1"/>
      <c r="K1054" s="1"/>
      <c r="L1054" s="1"/>
      <c r="M1054" s="1"/>
      <c r="N1054" s="1"/>
      <c r="O1054" s="1"/>
      <c r="P1054" s="1"/>
      <c r="Q1054" s="1"/>
      <c r="R1054" s="1332"/>
      <c r="S1054" s="1332"/>
      <c r="T1054" s="1332"/>
      <c r="U1054" s="1332"/>
      <c r="V1054" s="1332"/>
      <c r="W1054" s="1332"/>
      <c r="X1054" s="1332"/>
      <c r="Y1054" s="1332"/>
      <c r="Z1054" s="1332"/>
      <c r="AA1054" s="1332"/>
      <c r="AB1054" s="1332"/>
      <c r="AC1054" s="1332"/>
      <c r="AD1054" s="1332"/>
      <c r="AE1054" s="1"/>
      <c r="AF1054" s="1"/>
      <c r="AG1054" s="1"/>
      <c r="AH1054" s="1"/>
      <c r="AI1054" s="1"/>
      <c r="AJ1054" s="1"/>
      <c r="AK1054" s="1"/>
      <c r="AL1054" s="1"/>
      <c r="AM1054" s="1"/>
      <c r="AN1054" s="1"/>
      <c r="AO1054" s="1"/>
      <c r="AP1054" s="488"/>
      <c r="AQ1054" s="488"/>
      <c r="AR1054" s="1"/>
      <c r="AS1054" s="1"/>
      <c r="AT1054" s="1"/>
      <c r="AU1054" s="1"/>
      <c r="AV1054" s="1"/>
      <c r="AW1054" s="1"/>
      <c r="AX1054" s="488"/>
      <c r="AY1054" s="1"/>
      <c r="AZ1054" s="1"/>
      <c r="BA1054" s="1"/>
      <c r="BB1054" s="1"/>
      <c r="BC1054" s="1"/>
      <c r="BD1054" s="1"/>
      <c r="BE1054" s="1"/>
    </row>
    <row r="1055" spans="9:57" x14ac:dyDescent="0.25">
      <c r="I1055" s="1"/>
      <c r="J1055" s="1"/>
      <c r="K1055" s="1"/>
      <c r="L1055" s="1"/>
      <c r="M1055" s="1"/>
      <c r="N1055" s="1"/>
      <c r="O1055" s="1"/>
      <c r="P1055" s="1"/>
      <c r="Q1055" s="1"/>
      <c r="R1055" s="1332"/>
      <c r="S1055" s="1332"/>
      <c r="T1055" s="1332"/>
      <c r="U1055" s="1332"/>
      <c r="V1055" s="1332"/>
      <c r="W1055" s="1332"/>
      <c r="X1055" s="1332"/>
      <c r="Y1055" s="1332"/>
      <c r="Z1055" s="1332"/>
      <c r="AA1055" s="1332"/>
      <c r="AB1055" s="1332"/>
      <c r="AC1055" s="1332"/>
      <c r="AD1055" s="1332"/>
      <c r="AE1055" s="1"/>
      <c r="AF1055" s="1"/>
      <c r="AG1055" s="1"/>
      <c r="AH1055" s="1"/>
      <c r="AI1055" s="1"/>
      <c r="AJ1055" s="1"/>
      <c r="AK1055" s="1"/>
      <c r="AL1055" s="1"/>
      <c r="AM1055" s="1"/>
      <c r="AN1055" s="1"/>
      <c r="AO1055" s="1"/>
      <c r="AP1055" s="488"/>
      <c r="AQ1055" s="488"/>
      <c r="AR1055" s="1"/>
      <c r="AS1055" s="1"/>
      <c r="AT1055" s="1"/>
      <c r="AU1055" s="1"/>
      <c r="AV1055" s="1"/>
      <c r="AW1055" s="1"/>
      <c r="AX1055" s="488"/>
      <c r="AY1055" s="1"/>
      <c r="AZ1055" s="1"/>
      <c r="BA1055" s="1"/>
      <c r="BB1055" s="1"/>
      <c r="BC1055" s="1"/>
      <c r="BD1055" s="1"/>
      <c r="BE1055" s="1"/>
    </row>
    <row r="1056" spans="9:57" x14ac:dyDescent="0.25">
      <c r="I1056" s="1"/>
      <c r="J1056" s="1"/>
      <c r="K1056" s="1"/>
      <c r="L1056" s="1"/>
      <c r="M1056" s="1"/>
      <c r="N1056" s="1"/>
      <c r="O1056" s="1"/>
      <c r="P1056" s="1"/>
      <c r="Q1056" s="1"/>
      <c r="R1056" s="1332"/>
      <c r="S1056" s="1332"/>
      <c r="T1056" s="1332"/>
      <c r="U1056" s="1332"/>
      <c r="V1056" s="1332"/>
      <c r="W1056" s="1332"/>
      <c r="X1056" s="1332"/>
      <c r="Y1056" s="1332"/>
      <c r="Z1056" s="1332"/>
      <c r="AA1056" s="1332"/>
      <c r="AB1056" s="1332"/>
      <c r="AC1056" s="1332"/>
      <c r="AD1056" s="1332"/>
      <c r="AE1056" s="1"/>
      <c r="AF1056" s="1"/>
      <c r="AG1056" s="1"/>
      <c r="AH1056" s="1"/>
      <c r="AI1056" s="1"/>
      <c r="AJ1056" s="1"/>
      <c r="AK1056" s="1"/>
      <c r="AL1056" s="1"/>
      <c r="AM1056" s="1"/>
      <c r="AN1056" s="1"/>
      <c r="AO1056" s="1"/>
      <c r="AP1056" s="488"/>
      <c r="AQ1056" s="488"/>
      <c r="AR1056" s="1"/>
      <c r="AS1056" s="1"/>
      <c r="AT1056" s="1"/>
      <c r="AU1056" s="1"/>
      <c r="AV1056" s="1"/>
      <c r="AW1056" s="1"/>
      <c r="AX1056" s="488"/>
      <c r="AY1056" s="1"/>
      <c r="AZ1056" s="1"/>
      <c r="BA1056" s="1"/>
      <c r="BB1056" s="1"/>
      <c r="BC1056" s="1"/>
      <c r="BD1056" s="1"/>
      <c r="BE1056" s="1"/>
    </row>
    <row r="1057" spans="9:57" x14ac:dyDescent="0.25">
      <c r="I1057" s="1"/>
      <c r="J1057" s="1"/>
      <c r="K1057" s="1"/>
      <c r="L1057" s="1"/>
      <c r="M1057" s="1"/>
      <c r="N1057" s="1"/>
      <c r="O1057" s="1"/>
      <c r="P1057" s="1"/>
      <c r="Q1057" s="1"/>
      <c r="R1057" s="1332"/>
      <c r="S1057" s="1332"/>
      <c r="T1057" s="1332"/>
      <c r="U1057" s="1332"/>
      <c r="V1057" s="1332"/>
      <c r="W1057" s="1332"/>
      <c r="X1057" s="1332"/>
      <c r="Y1057" s="1332"/>
      <c r="Z1057" s="1332"/>
      <c r="AA1057" s="1332"/>
      <c r="AB1057" s="1332"/>
      <c r="AC1057" s="1332"/>
      <c r="AD1057" s="1332"/>
      <c r="AE1057" s="1"/>
      <c r="AF1057" s="1"/>
      <c r="AG1057" s="1"/>
      <c r="AH1057" s="1"/>
      <c r="AI1057" s="1"/>
      <c r="AJ1057" s="1"/>
      <c r="AK1057" s="1"/>
      <c r="AL1057" s="1"/>
      <c r="AM1057" s="1"/>
      <c r="AN1057" s="1"/>
      <c r="AO1057" s="1"/>
      <c r="AP1057" s="488"/>
      <c r="AQ1057" s="488"/>
      <c r="AR1057" s="1"/>
      <c r="AS1057" s="1"/>
      <c r="AT1057" s="1"/>
      <c r="AU1057" s="1"/>
      <c r="AV1057" s="1"/>
      <c r="AW1057" s="1"/>
      <c r="AX1057" s="488"/>
      <c r="AY1057" s="1"/>
      <c r="AZ1057" s="1"/>
      <c r="BA1057" s="1"/>
      <c r="BB1057" s="1"/>
      <c r="BC1057" s="1"/>
      <c r="BD1057" s="1"/>
      <c r="BE1057" s="1"/>
    </row>
    <row r="1058" spans="9:57" x14ac:dyDescent="0.25">
      <c r="I1058" s="1"/>
      <c r="J1058" s="1"/>
      <c r="K1058" s="1"/>
      <c r="L1058" s="1"/>
      <c r="M1058" s="1"/>
      <c r="N1058" s="1"/>
      <c r="O1058" s="1"/>
      <c r="P1058" s="1"/>
      <c r="Q1058" s="1"/>
      <c r="R1058" s="1332"/>
      <c r="S1058" s="1332"/>
      <c r="T1058" s="1332"/>
      <c r="U1058" s="1332"/>
      <c r="V1058" s="1332"/>
      <c r="W1058" s="1332"/>
      <c r="X1058" s="1332"/>
      <c r="Y1058" s="1332"/>
      <c r="Z1058" s="1332"/>
      <c r="AA1058" s="1332"/>
      <c r="AB1058" s="1332"/>
      <c r="AC1058" s="1332"/>
      <c r="AD1058" s="1332"/>
      <c r="AE1058" s="1"/>
      <c r="AF1058" s="1"/>
      <c r="AG1058" s="1"/>
      <c r="AH1058" s="1"/>
      <c r="AI1058" s="1"/>
      <c r="AJ1058" s="1"/>
      <c r="AK1058" s="1"/>
      <c r="AL1058" s="1"/>
      <c r="AM1058" s="1"/>
      <c r="AN1058" s="1"/>
      <c r="AO1058" s="1"/>
      <c r="AP1058" s="488"/>
      <c r="AQ1058" s="488"/>
      <c r="AR1058" s="1"/>
      <c r="AS1058" s="1"/>
      <c r="AT1058" s="1"/>
      <c r="AU1058" s="1"/>
      <c r="AV1058" s="1"/>
      <c r="AW1058" s="1"/>
      <c r="AX1058" s="488"/>
      <c r="AY1058" s="1"/>
      <c r="AZ1058" s="1"/>
      <c r="BA1058" s="1"/>
      <c r="BB1058" s="1"/>
      <c r="BC1058" s="1"/>
      <c r="BD1058" s="1"/>
      <c r="BE1058" s="1"/>
    </row>
    <row r="1059" spans="9:57" x14ac:dyDescent="0.25">
      <c r="I1059" s="1"/>
      <c r="J1059" s="1"/>
      <c r="K1059" s="1"/>
      <c r="L1059" s="1"/>
      <c r="M1059" s="1"/>
      <c r="N1059" s="1"/>
      <c r="O1059" s="1"/>
      <c r="P1059" s="1"/>
      <c r="Q1059" s="1"/>
      <c r="R1059" s="1332"/>
      <c r="S1059" s="1332"/>
      <c r="T1059" s="1332"/>
      <c r="U1059" s="1332"/>
      <c r="V1059" s="1332"/>
      <c r="W1059" s="1332"/>
      <c r="X1059" s="1332"/>
      <c r="Y1059" s="1332"/>
      <c r="Z1059" s="1332"/>
      <c r="AA1059" s="1332"/>
      <c r="AB1059" s="1332"/>
      <c r="AC1059" s="1332"/>
      <c r="AD1059" s="1332"/>
      <c r="AE1059" s="1"/>
      <c r="AF1059" s="1"/>
      <c r="AG1059" s="1"/>
      <c r="AH1059" s="1"/>
      <c r="AI1059" s="1"/>
      <c r="AJ1059" s="1"/>
      <c r="AK1059" s="1"/>
      <c r="AL1059" s="1"/>
      <c r="AM1059" s="1"/>
      <c r="AN1059" s="1"/>
      <c r="AO1059" s="1"/>
      <c r="AP1059" s="488"/>
      <c r="AQ1059" s="488"/>
      <c r="AR1059" s="1"/>
      <c r="AS1059" s="1"/>
      <c r="AT1059" s="1"/>
      <c r="AU1059" s="1"/>
      <c r="AV1059" s="1"/>
      <c r="AW1059" s="1"/>
      <c r="AX1059" s="488"/>
      <c r="AY1059" s="1"/>
      <c r="AZ1059" s="1"/>
      <c r="BA1059" s="1"/>
      <c r="BB1059" s="1"/>
      <c r="BC1059" s="1"/>
      <c r="BD1059" s="1"/>
      <c r="BE1059" s="1"/>
    </row>
    <row r="1060" spans="9:57" x14ac:dyDescent="0.25">
      <c r="I1060" s="1"/>
      <c r="J1060" s="1"/>
      <c r="K1060" s="1"/>
      <c r="L1060" s="1"/>
      <c r="M1060" s="1"/>
      <c r="N1060" s="1"/>
      <c r="O1060" s="1"/>
      <c r="P1060" s="1"/>
      <c r="Q1060" s="1"/>
      <c r="R1060" s="1332"/>
      <c r="S1060" s="1332"/>
      <c r="T1060" s="1332"/>
      <c r="U1060" s="1332"/>
      <c r="V1060" s="1332"/>
      <c r="W1060" s="1332"/>
      <c r="X1060" s="1332"/>
      <c r="Y1060" s="1332"/>
      <c r="Z1060" s="1332"/>
      <c r="AA1060" s="1332"/>
      <c r="AB1060" s="1332"/>
      <c r="AC1060" s="1332"/>
      <c r="AD1060" s="1332"/>
      <c r="AE1060" s="1"/>
      <c r="AF1060" s="1"/>
      <c r="AG1060" s="1"/>
      <c r="AH1060" s="1"/>
      <c r="AI1060" s="1"/>
      <c r="AJ1060" s="1"/>
      <c r="AK1060" s="1"/>
      <c r="AL1060" s="1"/>
      <c r="AM1060" s="1"/>
      <c r="AN1060" s="1"/>
      <c r="AO1060" s="1"/>
      <c r="AP1060" s="488"/>
      <c r="AQ1060" s="488"/>
      <c r="AR1060" s="1"/>
      <c r="AS1060" s="1"/>
      <c r="AT1060" s="1"/>
      <c r="AU1060" s="1"/>
      <c r="AV1060" s="1"/>
      <c r="AW1060" s="1"/>
      <c r="AX1060" s="488"/>
      <c r="AY1060" s="1"/>
      <c r="AZ1060" s="1"/>
      <c r="BA1060" s="1"/>
      <c r="BB1060" s="1"/>
      <c r="BC1060" s="1"/>
      <c r="BD1060" s="1"/>
      <c r="BE1060" s="1"/>
    </row>
    <row r="1061" spans="9:57" x14ac:dyDescent="0.25">
      <c r="I1061" s="1"/>
      <c r="J1061" s="1"/>
      <c r="K1061" s="1"/>
      <c r="L1061" s="1"/>
      <c r="M1061" s="1"/>
      <c r="N1061" s="1"/>
      <c r="O1061" s="1"/>
      <c r="P1061" s="1"/>
      <c r="Q1061" s="1"/>
      <c r="R1061" s="1332"/>
      <c r="S1061" s="1332"/>
      <c r="T1061" s="1332"/>
      <c r="U1061" s="1332"/>
      <c r="V1061" s="1332"/>
      <c r="W1061" s="1332"/>
      <c r="X1061" s="1332"/>
      <c r="Y1061" s="1332"/>
      <c r="Z1061" s="1332"/>
      <c r="AA1061" s="1332"/>
      <c r="AB1061" s="1332"/>
      <c r="AC1061" s="1332"/>
      <c r="AD1061" s="1332"/>
      <c r="AE1061" s="1"/>
      <c r="AF1061" s="1"/>
      <c r="AG1061" s="1"/>
      <c r="AH1061" s="1"/>
      <c r="AI1061" s="1"/>
      <c r="AJ1061" s="1"/>
      <c r="AK1061" s="1"/>
      <c r="AL1061" s="1"/>
      <c r="AM1061" s="1"/>
      <c r="AN1061" s="1"/>
      <c r="AO1061" s="1"/>
      <c r="AP1061" s="488"/>
      <c r="AQ1061" s="488"/>
      <c r="AR1061" s="1"/>
      <c r="AS1061" s="1"/>
      <c r="AT1061" s="1"/>
      <c r="AU1061" s="1"/>
      <c r="AV1061" s="1"/>
      <c r="AW1061" s="1"/>
      <c r="AX1061" s="488"/>
      <c r="AY1061" s="1"/>
      <c r="AZ1061" s="1"/>
      <c r="BA1061" s="1"/>
      <c r="BB1061" s="1"/>
      <c r="BC1061" s="1"/>
      <c r="BD1061" s="1"/>
      <c r="BE1061" s="1"/>
    </row>
    <row r="1062" spans="9:57" x14ac:dyDescent="0.25">
      <c r="I1062" s="1"/>
      <c r="J1062" s="1"/>
      <c r="K1062" s="1"/>
      <c r="L1062" s="1"/>
      <c r="M1062" s="1"/>
      <c r="N1062" s="1"/>
      <c r="O1062" s="1"/>
      <c r="P1062" s="1"/>
      <c r="Q1062" s="1"/>
      <c r="R1062" s="1332"/>
      <c r="S1062" s="1332"/>
      <c r="T1062" s="1332"/>
      <c r="U1062" s="1332"/>
      <c r="V1062" s="1332"/>
      <c r="W1062" s="1332"/>
      <c r="X1062" s="1332"/>
      <c r="Y1062" s="1332"/>
      <c r="Z1062" s="1332"/>
      <c r="AA1062" s="1332"/>
      <c r="AB1062" s="1332"/>
      <c r="AC1062" s="1332"/>
      <c r="AD1062" s="1332"/>
      <c r="AE1062" s="1"/>
      <c r="AF1062" s="1"/>
      <c r="AG1062" s="1"/>
      <c r="AH1062" s="1"/>
      <c r="AI1062" s="1"/>
      <c r="AJ1062" s="1"/>
      <c r="AK1062" s="1"/>
      <c r="AL1062" s="1"/>
      <c r="AM1062" s="1"/>
      <c r="AN1062" s="1"/>
      <c r="AO1062" s="1"/>
      <c r="AP1062" s="488"/>
      <c r="AQ1062" s="488"/>
      <c r="AR1062" s="1"/>
      <c r="AS1062" s="1"/>
      <c r="AT1062" s="1"/>
      <c r="AU1062" s="1"/>
      <c r="AV1062" s="1"/>
      <c r="AW1062" s="1"/>
      <c r="AX1062" s="488"/>
      <c r="AY1062" s="1"/>
      <c r="AZ1062" s="1"/>
      <c r="BA1062" s="1"/>
      <c r="BB1062" s="1"/>
      <c r="BC1062" s="1"/>
      <c r="BD1062" s="1"/>
      <c r="BE1062" s="1"/>
    </row>
    <row r="1063" spans="9:57" x14ac:dyDescent="0.25">
      <c r="I1063" s="1"/>
      <c r="J1063" s="1"/>
      <c r="K1063" s="1"/>
      <c r="L1063" s="1"/>
      <c r="M1063" s="1"/>
      <c r="N1063" s="1"/>
      <c r="O1063" s="1"/>
      <c r="P1063" s="1"/>
      <c r="Q1063" s="1"/>
      <c r="R1063" s="1332"/>
      <c r="S1063" s="1332"/>
      <c r="T1063" s="1332"/>
      <c r="U1063" s="1332"/>
      <c r="V1063" s="1332"/>
      <c r="W1063" s="1332"/>
      <c r="X1063" s="1332"/>
      <c r="Y1063" s="1332"/>
      <c r="Z1063" s="1332"/>
      <c r="AA1063" s="1332"/>
      <c r="AB1063" s="1332"/>
      <c r="AC1063" s="1332"/>
      <c r="AD1063" s="1332"/>
      <c r="AE1063" s="1"/>
      <c r="AF1063" s="1"/>
      <c r="AG1063" s="1"/>
      <c r="AH1063" s="1"/>
      <c r="AI1063" s="1"/>
      <c r="AJ1063" s="1"/>
      <c r="AK1063" s="1"/>
      <c r="AL1063" s="1"/>
      <c r="AM1063" s="1"/>
      <c r="AN1063" s="1"/>
      <c r="AO1063" s="1"/>
      <c r="AP1063" s="488"/>
      <c r="AQ1063" s="488"/>
      <c r="AR1063" s="1"/>
      <c r="AS1063" s="1"/>
      <c r="AT1063" s="1"/>
      <c r="AU1063" s="1"/>
      <c r="AV1063" s="1"/>
      <c r="AW1063" s="1"/>
      <c r="AX1063" s="488"/>
      <c r="AY1063" s="1"/>
      <c r="AZ1063" s="1"/>
      <c r="BA1063" s="1"/>
      <c r="BB1063" s="1"/>
      <c r="BC1063" s="1"/>
      <c r="BD1063" s="1"/>
      <c r="BE1063" s="1"/>
    </row>
    <row r="1064" spans="9:57" x14ac:dyDescent="0.25">
      <c r="I1064" s="1"/>
      <c r="J1064" s="1"/>
      <c r="K1064" s="1"/>
      <c r="L1064" s="1"/>
      <c r="M1064" s="1"/>
      <c r="N1064" s="1"/>
      <c r="O1064" s="1"/>
      <c r="P1064" s="1"/>
      <c r="Q1064" s="1"/>
      <c r="R1064" s="1332"/>
      <c r="S1064" s="1332"/>
      <c r="T1064" s="1332"/>
      <c r="U1064" s="1332"/>
      <c r="V1064" s="1332"/>
      <c r="W1064" s="1332"/>
      <c r="X1064" s="1332"/>
      <c r="Y1064" s="1332"/>
      <c r="Z1064" s="1332"/>
      <c r="AA1064" s="1332"/>
      <c r="AB1064" s="1332"/>
      <c r="AC1064" s="1332"/>
      <c r="AD1064" s="1332"/>
      <c r="AE1064" s="1"/>
      <c r="AF1064" s="1"/>
      <c r="AG1064" s="1"/>
      <c r="AH1064" s="1"/>
      <c r="AI1064" s="1"/>
      <c r="AJ1064" s="1"/>
      <c r="AK1064" s="1"/>
      <c r="AL1064" s="1"/>
      <c r="AM1064" s="1"/>
      <c r="AN1064" s="1"/>
      <c r="AO1064" s="1"/>
      <c r="AP1064" s="488"/>
      <c r="AQ1064" s="488"/>
      <c r="AR1064" s="1"/>
      <c r="AS1064" s="1"/>
      <c r="AT1064" s="1"/>
      <c r="AU1064" s="1"/>
      <c r="AV1064" s="1"/>
      <c r="AW1064" s="1"/>
      <c r="AX1064" s="488"/>
      <c r="AY1064" s="1"/>
      <c r="AZ1064" s="1"/>
      <c r="BA1064" s="1"/>
      <c r="BB1064" s="1"/>
      <c r="BC1064" s="1"/>
      <c r="BD1064" s="1"/>
      <c r="BE1064" s="1"/>
    </row>
    <row r="1065" spans="9:57" x14ac:dyDescent="0.25">
      <c r="I1065" s="1"/>
      <c r="J1065" s="1"/>
      <c r="K1065" s="1"/>
      <c r="L1065" s="1"/>
      <c r="M1065" s="1"/>
      <c r="N1065" s="1"/>
      <c r="O1065" s="1"/>
      <c r="P1065" s="1"/>
      <c r="Q1065" s="1"/>
      <c r="R1065" s="1332"/>
      <c r="S1065" s="1332"/>
      <c r="T1065" s="1332"/>
      <c r="U1065" s="1332"/>
      <c r="V1065" s="1332"/>
      <c r="W1065" s="1332"/>
      <c r="X1065" s="1332"/>
      <c r="Y1065" s="1332"/>
      <c r="Z1065" s="1332"/>
      <c r="AA1065" s="1332"/>
      <c r="AB1065" s="1332"/>
      <c r="AC1065" s="1332"/>
      <c r="AD1065" s="1332"/>
      <c r="AE1065" s="1"/>
      <c r="AF1065" s="1"/>
      <c r="AG1065" s="1"/>
      <c r="AH1065" s="1"/>
      <c r="AI1065" s="1"/>
      <c r="AJ1065" s="1"/>
      <c r="AK1065" s="1"/>
      <c r="AL1065" s="1"/>
      <c r="AM1065" s="1"/>
      <c r="AN1065" s="1"/>
      <c r="AO1065" s="1"/>
      <c r="AP1065" s="488"/>
      <c r="AQ1065" s="488"/>
      <c r="AR1065" s="1"/>
      <c r="AS1065" s="1"/>
      <c r="AT1065" s="1"/>
      <c r="AU1065" s="1"/>
      <c r="AV1065" s="1"/>
      <c r="AW1065" s="1"/>
      <c r="AX1065" s="488"/>
      <c r="AY1065" s="1"/>
      <c r="AZ1065" s="1"/>
      <c r="BA1065" s="1"/>
      <c r="BB1065" s="1"/>
      <c r="BC1065" s="1"/>
      <c r="BD1065" s="1"/>
      <c r="BE1065" s="1"/>
    </row>
    <row r="1066" spans="9:57" x14ac:dyDescent="0.25">
      <c r="I1066" s="1"/>
      <c r="J1066" s="1"/>
      <c r="K1066" s="1"/>
      <c r="L1066" s="1"/>
      <c r="M1066" s="1"/>
      <c r="N1066" s="1"/>
      <c r="O1066" s="1"/>
      <c r="P1066" s="1"/>
      <c r="Q1066" s="1"/>
      <c r="R1066" s="1332"/>
      <c r="S1066" s="1332"/>
      <c r="T1066" s="1332"/>
      <c r="U1066" s="1332"/>
      <c r="V1066" s="1332"/>
      <c r="W1066" s="1332"/>
      <c r="X1066" s="1332"/>
      <c r="Y1066" s="1332"/>
      <c r="Z1066" s="1332"/>
      <c r="AA1066" s="1332"/>
      <c r="AB1066" s="1332"/>
      <c r="AC1066" s="1332"/>
      <c r="AD1066" s="1332"/>
      <c r="AE1066" s="1"/>
      <c r="AF1066" s="1"/>
      <c r="AG1066" s="1"/>
      <c r="AH1066" s="1"/>
      <c r="AI1066" s="1"/>
      <c r="AJ1066" s="1"/>
      <c r="AK1066" s="1"/>
      <c r="AL1066" s="1"/>
      <c r="AM1066" s="1"/>
      <c r="AN1066" s="1"/>
      <c r="AO1066" s="1"/>
      <c r="AP1066" s="488"/>
      <c r="AQ1066" s="488"/>
      <c r="AR1066" s="1"/>
      <c r="AS1066" s="1"/>
      <c r="AT1066" s="1"/>
      <c r="AU1066" s="1"/>
      <c r="AV1066" s="1"/>
      <c r="AW1066" s="1"/>
      <c r="AX1066" s="488"/>
      <c r="AY1066" s="1"/>
      <c r="AZ1066" s="1"/>
      <c r="BA1066" s="1"/>
      <c r="BB1066" s="1"/>
      <c r="BC1066" s="1"/>
      <c r="BD1066" s="1"/>
      <c r="BE1066" s="1"/>
    </row>
    <row r="1067" spans="9:57" x14ac:dyDescent="0.25">
      <c r="I1067" s="1"/>
      <c r="J1067" s="1"/>
      <c r="K1067" s="1"/>
      <c r="L1067" s="1"/>
      <c r="M1067" s="1"/>
      <c r="N1067" s="1"/>
      <c r="O1067" s="1"/>
      <c r="P1067" s="1"/>
      <c r="Q1067" s="1"/>
      <c r="R1067" s="1332"/>
      <c r="S1067" s="1332"/>
      <c r="T1067" s="1332"/>
      <c r="U1067" s="1332"/>
      <c r="V1067" s="1332"/>
      <c r="W1067" s="1332"/>
      <c r="X1067" s="1332"/>
      <c r="Y1067" s="1332"/>
      <c r="Z1067" s="1332"/>
      <c r="AA1067" s="1332"/>
      <c r="AB1067" s="1332"/>
      <c r="AC1067" s="1332"/>
      <c r="AD1067" s="1332"/>
      <c r="AE1067" s="1"/>
      <c r="AF1067" s="1"/>
      <c r="AG1067" s="1"/>
      <c r="AH1067" s="1"/>
      <c r="AI1067" s="1"/>
      <c r="AJ1067" s="1"/>
      <c r="AK1067" s="1"/>
      <c r="AL1067" s="1"/>
      <c r="AM1067" s="1"/>
      <c r="AN1067" s="1"/>
      <c r="AO1067" s="1"/>
      <c r="AP1067" s="488"/>
      <c r="AQ1067" s="488"/>
      <c r="AR1067" s="1"/>
      <c r="AS1067" s="1"/>
      <c r="AT1067" s="1"/>
      <c r="AU1067" s="1"/>
      <c r="AV1067" s="1"/>
      <c r="AW1067" s="1"/>
      <c r="AX1067" s="488"/>
      <c r="AY1067" s="1"/>
      <c r="AZ1067" s="1"/>
      <c r="BA1067" s="1"/>
      <c r="BB1067" s="1"/>
      <c r="BC1067" s="1"/>
      <c r="BD1067" s="1"/>
      <c r="BE1067" s="1"/>
    </row>
    <row r="1068" spans="9:57" x14ac:dyDescent="0.25">
      <c r="I1068" s="1"/>
      <c r="J1068" s="1"/>
      <c r="K1068" s="1"/>
      <c r="L1068" s="1"/>
      <c r="M1068" s="1"/>
      <c r="N1068" s="1"/>
      <c r="O1068" s="1"/>
      <c r="P1068" s="1"/>
      <c r="Q1068" s="1"/>
      <c r="R1068" s="1332"/>
      <c r="S1068" s="1332"/>
      <c r="T1068" s="1332"/>
      <c r="U1068" s="1332"/>
      <c r="V1068" s="1332"/>
      <c r="W1068" s="1332"/>
      <c r="X1068" s="1332"/>
      <c r="Y1068" s="1332"/>
      <c r="Z1068" s="1332"/>
      <c r="AA1068" s="1332"/>
      <c r="AB1068" s="1332"/>
      <c r="AC1068" s="1332"/>
      <c r="AD1068" s="1332"/>
      <c r="AE1068" s="1"/>
      <c r="AF1068" s="1"/>
      <c r="AG1068" s="1"/>
      <c r="AH1068" s="1"/>
      <c r="AI1068" s="1"/>
      <c r="AJ1068" s="1"/>
      <c r="AK1068" s="1"/>
      <c r="AL1068" s="1"/>
      <c r="AM1068" s="1"/>
      <c r="AN1068" s="1"/>
      <c r="AO1068" s="1"/>
      <c r="AP1068" s="488"/>
      <c r="AQ1068" s="488"/>
      <c r="AR1068" s="1"/>
      <c r="AS1068" s="1"/>
      <c r="AT1068" s="1"/>
      <c r="AU1068" s="1"/>
      <c r="AV1068" s="1"/>
      <c r="AW1068" s="1"/>
      <c r="AX1068" s="488"/>
      <c r="AY1068" s="1"/>
      <c r="AZ1068" s="1"/>
      <c r="BA1068" s="1"/>
      <c r="BB1068" s="1"/>
      <c r="BC1068" s="1"/>
      <c r="BD1068" s="1"/>
      <c r="BE1068" s="1"/>
    </row>
    <row r="1069" spans="9:57" x14ac:dyDescent="0.25">
      <c r="I1069" s="1"/>
      <c r="J1069" s="1"/>
      <c r="K1069" s="1"/>
      <c r="L1069" s="1"/>
      <c r="M1069" s="1"/>
      <c r="N1069" s="1"/>
      <c r="O1069" s="1"/>
      <c r="P1069" s="1"/>
      <c r="Q1069" s="1"/>
      <c r="R1069" s="1332"/>
      <c r="S1069" s="1332"/>
      <c r="T1069" s="1332"/>
      <c r="U1069" s="1332"/>
      <c r="V1069" s="1332"/>
      <c r="W1069" s="1332"/>
      <c r="X1069" s="1332"/>
      <c r="Y1069" s="1332"/>
      <c r="Z1069" s="1332"/>
      <c r="AA1069" s="1332"/>
      <c r="AB1069" s="1332"/>
      <c r="AC1069" s="1332"/>
      <c r="AD1069" s="1332"/>
      <c r="AE1069" s="1"/>
      <c r="AF1069" s="1"/>
      <c r="AG1069" s="1"/>
      <c r="AH1069" s="1"/>
      <c r="AI1069" s="1"/>
      <c r="AJ1069" s="1"/>
      <c r="AK1069" s="1"/>
      <c r="AL1069" s="1"/>
      <c r="AM1069" s="1"/>
      <c r="AN1069" s="1"/>
      <c r="AO1069" s="1"/>
      <c r="AP1069" s="488"/>
      <c r="AQ1069" s="488"/>
      <c r="AR1069" s="1"/>
      <c r="AS1069" s="1"/>
      <c r="AT1069" s="1"/>
      <c r="AU1069" s="1"/>
      <c r="AV1069" s="1"/>
      <c r="AW1069" s="1"/>
      <c r="AX1069" s="488"/>
      <c r="AY1069" s="1"/>
      <c r="AZ1069" s="1"/>
      <c r="BA1069" s="1"/>
      <c r="BB1069" s="1"/>
      <c r="BC1069" s="1"/>
      <c r="BD1069" s="1"/>
      <c r="BE1069" s="1"/>
    </row>
    <row r="1070" spans="9:57" x14ac:dyDescent="0.25">
      <c r="I1070" s="1"/>
      <c r="J1070" s="1"/>
      <c r="K1070" s="1"/>
      <c r="L1070" s="1"/>
      <c r="M1070" s="1"/>
      <c r="N1070" s="1"/>
      <c r="O1070" s="1"/>
      <c r="P1070" s="1"/>
      <c r="Q1070" s="1"/>
      <c r="R1070" s="1332"/>
      <c r="S1070" s="1332"/>
      <c r="T1070" s="1332"/>
      <c r="U1070" s="1332"/>
      <c r="V1070" s="1332"/>
      <c r="W1070" s="1332"/>
      <c r="X1070" s="1332"/>
      <c r="Y1070" s="1332"/>
      <c r="Z1070" s="1332"/>
      <c r="AA1070" s="1332"/>
      <c r="AB1070" s="1332"/>
      <c r="AC1070" s="1332"/>
      <c r="AD1070" s="1332"/>
      <c r="AE1070" s="1"/>
      <c r="AF1070" s="1"/>
      <c r="AG1070" s="1"/>
      <c r="AH1070" s="1"/>
      <c r="AI1070" s="1"/>
      <c r="AJ1070" s="1"/>
      <c r="AK1070" s="1"/>
      <c r="AL1070" s="1"/>
      <c r="AM1070" s="1"/>
      <c r="AN1070" s="1"/>
      <c r="AO1070" s="1"/>
      <c r="AP1070" s="488"/>
      <c r="AQ1070" s="488"/>
      <c r="AR1070" s="1"/>
      <c r="AS1070" s="1"/>
      <c r="AT1070" s="1"/>
      <c r="AU1070" s="1"/>
      <c r="AV1070" s="1"/>
      <c r="AW1070" s="1"/>
      <c r="AX1070" s="488"/>
      <c r="AY1070" s="1"/>
      <c r="AZ1070" s="1"/>
      <c r="BA1070" s="1"/>
      <c r="BB1070" s="1"/>
      <c r="BC1070" s="1"/>
      <c r="BD1070" s="1"/>
      <c r="BE1070" s="1"/>
    </row>
    <row r="1071" spans="9:57" x14ac:dyDescent="0.25">
      <c r="I1071" s="1"/>
      <c r="J1071" s="1"/>
      <c r="K1071" s="1"/>
      <c r="L1071" s="1"/>
      <c r="M1071" s="1"/>
      <c r="N1071" s="1"/>
      <c r="O1071" s="1"/>
      <c r="P1071" s="1"/>
      <c r="Q1071" s="1"/>
      <c r="R1071" s="1332"/>
      <c r="S1071" s="1332"/>
      <c r="T1071" s="1332"/>
      <c r="U1071" s="1332"/>
      <c r="V1071" s="1332"/>
      <c r="W1071" s="1332"/>
      <c r="X1071" s="1332"/>
      <c r="Y1071" s="1332"/>
      <c r="Z1071" s="1332"/>
      <c r="AA1071" s="1332"/>
      <c r="AB1071" s="1332"/>
      <c r="AC1071" s="1332"/>
      <c r="AD1071" s="1332"/>
      <c r="AE1071" s="1"/>
      <c r="AF1071" s="1"/>
      <c r="AG1071" s="1"/>
      <c r="AH1071" s="1"/>
      <c r="AI1071" s="1"/>
      <c r="AJ1071" s="1"/>
      <c r="AK1071" s="1"/>
      <c r="AL1071" s="1"/>
      <c r="AM1071" s="1"/>
      <c r="AN1071" s="1"/>
      <c r="AO1071" s="1"/>
      <c r="AP1071" s="488"/>
      <c r="AQ1071" s="488"/>
      <c r="AR1071" s="1"/>
      <c r="AS1071" s="1"/>
      <c r="AT1071" s="1"/>
      <c r="AU1071" s="1"/>
      <c r="AV1071" s="1"/>
      <c r="AW1071" s="1"/>
      <c r="AX1071" s="488"/>
      <c r="AY1071" s="1"/>
      <c r="AZ1071" s="1"/>
      <c r="BA1071" s="1"/>
      <c r="BB1071" s="1"/>
      <c r="BC1071" s="1"/>
      <c r="BD1071" s="1"/>
      <c r="BE1071" s="1"/>
    </row>
    <row r="1072" spans="9:57" x14ac:dyDescent="0.25">
      <c r="I1072" s="1"/>
      <c r="J1072" s="1"/>
      <c r="K1072" s="1"/>
      <c r="L1072" s="1"/>
      <c r="M1072" s="1"/>
      <c r="N1072" s="1"/>
      <c r="O1072" s="1"/>
      <c r="P1072" s="1"/>
      <c r="Q1072" s="1"/>
      <c r="R1072" s="1332"/>
      <c r="S1072" s="1332"/>
      <c r="T1072" s="1332"/>
      <c r="U1072" s="1332"/>
      <c r="V1072" s="1332"/>
      <c r="W1072" s="1332"/>
      <c r="X1072" s="1332"/>
      <c r="Y1072" s="1332"/>
      <c r="Z1072" s="1332"/>
      <c r="AA1072" s="1332"/>
      <c r="AB1072" s="1332"/>
      <c r="AC1072" s="1332"/>
      <c r="AD1072" s="1332"/>
      <c r="AE1072" s="1"/>
      <c r="AF1072" s="1"/>
      <c r="AG1072" s="1"/>
      <c r="AH1072" s="1"/>
      <c r="AI1072" s="1"/>
      <c r="AJ1072" s="1"/>
      <c r="AK1072" s="1"/>
      <c r="AL1072" s="1"/>
      <c r="AM1072" s="1"/>
      <c r="AN1072" s="1"/>
      <c r="AO1072" s="1"/>
      <c r="AP1072" s="488"/>
      <c r="AQ1072" s="488"/>
      <c r="AR1072" s="1"/>
      <c r="AS1072" s="1"/>
      <c r="AT1072" s="1"/>
      <c r="AU1072" s="1"/>
      <c r="AV1072" s="1"/>
      <c r="AW1072" s="1"/>
      <c r="AX1072" s="488"/>
      <c r="AY1072" s="1"/>
      <c r="AZ1072" s="1"/>
      <c r="BA1072" s="1"/>
      <c r="BB1072" s="1"/>
      <c r="BC1072" s="1"/>
      <c r="BD1072" s="1"/>
      <c r="BE1072" s="1"/>
    </row>
    <row r="1073" spans="9:57" x14ac:dyDescent="0.25">
      <c r="I1073" s="1"/>
      <c r="J1073" s="1"/>
      <c r="K1073" s="1"/>
      <c r="L1073" s="1"/>
      <c r="M1073" s="1"/>
      <c r="N1073" s="1"/>
      <c r="O1073" s="1"/>
      <c r="P1073" s="1"/>
      <c r="Q1073" s="1"/>
      <c r="R1073" s="1332"/>
      <c r="S1073" s="1332"/>
      <c r="T1073" s="1332"/>
      <c r="U1073" s="1332"/>
      <c r="V1073" s="1332"/>
      <c r="W1073" s="1332"/>
      <c r="X1073" s="1332"/>
      <c r="Y1073" s="1332"/>
      <c r="Z1073" s="1332"/>
      <c r="AA1073" s="1332"/>
      <c r="AB1073" s="1332"/>
      <c r="AC1073" s="1332"/>
      <c r="AD1073" s="1332"/>
      <c r="AE1073" s="1"/>
      <c r="AF1073" s="1"/>
      <c r="AG1073" s="1"/>
      <c r="AH1073" s="1"/>
      <c r="AI1073" s="1"/>
      <c r="AJ1073" s="1"/>
      <c r="AK1073" s="1"/>
      <c r="AL1073" s="1"/>
      <c r="AM1073" s="1"/>
      <c r="AN1073" s="1"/>
      <c r="AO1073" s="1"/>
      <c r="AP1073" s="488"/>
      <c r="AQ1073" s="488"/>
      <c r="AR1073" s="1"/>
      <c r="AS1073" s="1"/>
      <c r="AT1073" s="1"/>
      <c r="AU1073" s="1"/>
      <c r="AV1073" s="1"/>
      <c r="AW1073" s="1"/>
      <c r="AX1073" s="488"/>
      <c r="AY1073" s="1"/>
      <c r="AZ1073" s="1"/>
      <c r="BA1073" s="1"/>
      <c r="BB1073" s="1"/>
      <c r="BC1073" s="1"/>
      <c r="BD1073" s="1"/>
      <c r="BE1073" s="1"/>
    </row>
    <row r="1074" spans="9:57" x14ac:dyDescent="0.25">
      <c r="I1074" s="1"/>
      <c r="J1074" s="1"/>
      <c r="K1074" s="1"/>
      <c r="L1074" s="1"/>
      <c r="M1074" s="1"/>
      <c r="N1074" s="1"/>
      <c r="O1074" s="1"/>
      <c r="P1074" s="1"/>
      <c r="Q1074" s="1"/>
      <c r="R1074" s="1332"/>
      <c r="S1074" s="1332"/>
      <c r="T1074" s="1332"/>
      <c r="U1074" s="1332"/>
      <c r="V1074" s="1332"/>
      <c r="W1074" s="1332"/>
      <c r="X1074" s="1332"/>
      <c r="Y1074" s="1332"/>
      <c r="Z1074" s="1332"/>
      <c r="AA1074" s="1332"/>
      <c r="AB1074" s="1332"/>
      <c r="AC1074" s="1332"/>
      <c r="AD1074" s="1332"/>
      <c r="AE1074" s="1"/>
      <c r="AF1074" s="1"/>
      <c r="AG1074" s="1"/>
      <c r="AH1074" s="1"/>
      <c r="AI1074" s="1"/>
      <c r="AJ1074" s="1"/>
      <c r="AK1074" s="1"/>
      <c r="AL1074" s="1"/>
      <c r="AM1074" s="1"/>
      <c r="AN1074" s="1"/>
      <c r="AO1074" s="1"/>
      <c r="AP1074" s="488"/>
      <c r="AQ1074" s="488"/>
      <c r="AR1074" s="1"/>
      <c r="AS1074" s="1"/>
      <c r="AT1074" s="1"/>
      <c r="AU1074" s="1"/>
      <c r="AV1074" s="1"/>
      <c r="AW1074" s="1"/>
      <c r="AX1074" s="488"/>
      <c r="AY1074" s="1"/>
      <c r="AZ1074" s="1"/>
      <c r="BA1074" s="1"/>
      <c r="BB1074" s="1"/>
      <c r="BC1074" s="1"/>
      <c r="BD1074" s="1"/>
      <c r="BE1074" s="1"/>
    </row>
    <row r="1075" spans="9:57" x14ac:dyDescent="0.25">
      <c r="I1075" s="1"/>
      <c r="J1075" s="1"/>
      <c r="K1075" s="1"/>
      <c r="L1075" s="1"/>
      <c r="M1075" s="1"/>
      <c r="N1075" s="1"/>
      <c r="O1075" s="1"/>
      <c r="P1075" s="1"/>
      <c r="Q1075" s="1"/>
      <c r="R1075" s="1332"/>
      <c r="S1075" s="1332"/>
      <c r="T1075" s="1332"/>
      <c r="U1075" s="1332"/>
      <c r="V1075" s="1332"/>
      <c r="W1075" s="1332"/>
      <c r="X1075" s="1332"/>
      <c r="Y1075" s="1332"/>
      <c r="Z1075" s="1332"/>
      <c r="AA1075" s="1332"/>
      <c r="AB1075" s="1332"/>
      <c r="AC1075" s="1332"/>
      <c r="AD1075" s="1332"/>
      <c r="AE1075" s="1"/>
      <c r="AF1075" s="1"/>
      <c r="AG1075" s="1"/>
      <c r="AH1075" s="1"/>
      <c r="AI1075" s="1"/>
      <c r="AJ1075" s="1"/>
      <c r="AK1075" s="1"/>
      <c r="AL1075" s="1"/>
      <c r="AM1075" s="1"/>
      <c r="AN1075" s="1"/>
      <c r="AO1075" s="1"/>
      <c r="AP1075" s="488"/>
      <c r="AQ1075" s="488"/>
      <c r="AR1075" s="1"/>
      <c r="AS1075" s="1"/>
      <c r="AT1075" s="1"/>
      <c r="AU1075" s="1"/>
      <c r="AV1075" s="1"/>
      <c r="AW1075" s="1"/>
      <c r="AX1075" s="488"/>
      <c r="AY1075" s="1"/>
      <c r="AZ1075" s="1"/>
      <c r="BA1075" s="1"/>
      <c r="BB1075" s="1"/>
      <c r="BC1075" s="1"/>
      <c r="BD1075" s="1"/>
      <c r="BE1075" s="1"/>
    </row>
    <row r="1076" spans="9:57" x14ac:dyDescent="0.25">
      <c r="I1076" s="1"/>
      <c r="J1076" s="1"/>
      <c r="K1076" s="1"/>
      <c r="L1076" s="1"/>
      <c r="M1076" s="1"/>
      <c r="N1076" s="1"/>
      <c r="O1076" s="1"/>
      <c r="P1076" s="1"/>
      <c r="Q1076" s="1"/>
      <c r="R1076" s="1332"/>
      <c r="S1076" s="1332"/>
      <c r="T1076" s="1332"/>
      <c r="U1076" s="1332"/>
      <c r="V1076" s="1332"/>
      <c r="W1076" s="1332"/>
      <c r="X1076" s="1332"/>
      <c r="Y1076" s="1332"/>
      <c r="Z1076" s="1332"/>
      <c r="AA1076" s="1332"/>
      <c r="AB1076" s="1332"/>
      <c r="AC1076" s="1332"/>
      <c r="AD1076" s="1332"/>
      <c r="AE1076" s="1"/>
      <c r="AF1076" s="1"/>
      <c r="AG1076" s="1"/>
      <c r="AH1076" s="1"/>
      <c r="AI1076" s="1"/>
      <c r="AJ1076" s="1"/>
      <c r="AK1076" s="1"/>
      <c r="AL1076" s="1"/>
      <c r="AM1076" s="1"/>
      <c r="AN1076" s="1"/>
      <c r="AO1076" s="1"/>
      <c r="AP1076" s="488"/>
      <c r="AQ1076" s="488"/>
      <c r="AR1076" s="1"/>
      <c r="AS1076" s="1"/>
      <c r="AT1076" s="1"/>
      <c r="AU1076" s="1"/>
      <c r="AV1076" s="1"/>
      <c r="AW1076" s="1"/>
      <c r="AX1076" s="488"/>
      <c r="AY1076" s="1"/>
      <c r="AZ1076" s="1"/>
      <c r="BA1076" s="1"/>
      <c r="BB1076" s="1"/>
      <c r="BC1076" s="1"/>
      <c r="BD1076" s="1"/>
      <c r="BE1076" s="1"/>
    </row>
    <row r="1077" spans="9:57" x14ac:dyDescent="0.25">
      <c r="I1077" s="1"/>
      <c r="J1077" s="1"/>
      <c r="K1077" s="1"/>
      <c r="L1077" s="1"/>
      <c r="M1077" s="1"/>
      <c r="N1077" s="1"/>
      <c r="O1077" s="1"/>
      <c r="P1077" s="1"/>
      <c r="Q1077" s="1"/>
      <c r="R1077" s="1332"/>
      <c r="S1077" s="1332"/>
      <c r="T1077" s="1332"/>
      <c r="U1077" s="1332"/>
      <c r="V1077" s="1332"/>
      <c r="W1077" s="1332"/>
      <c r="X1077" s="1332"/>
      <c r="Y1077" s="1332"/>
      <c r="Z1077" s="1332"/>
      <c r="AA1077" s="1332"/>
      <c r="AB1077" s="1332"/>
      <c r="AC1077" s="1332"/>
      <c r="AD1077" s="1332"/>
      <c r="AE1077" s="1"/>
      <c r="AF1077" s="1"/>
      <c r="AG1077" s="1"/>
      <c r="AH1077" s="1"/>
      <c r="AI1077" s="1"/>
      <c r="AJ1077" s="1"/>
      <c r="AK1077" s="1"/>
      <c r="AL1077" s="1"/>
      <c r="AM1077" s="1"/>
      <c r="AN1077" s="1"/>
      <c r="AO1077" s="1"/>
      <c r="AP1077" s="488"/>
      <c r="AQ1077" s="488"/>
      <c r="AR1077" s="1"/>
      <c r="AS1077" s="1"/>
      <c r="AT1077" s="1"/>
      <c r="AU1077" s="1"/>
      <c r="AV1077" s="1"/>
      <c r="AW1077" s="1"/>
      <c r="AX1077" s="488"/>
      <c r="AY1077" s="1"/>
      <c r="AZ1077" s="1"/>
      <c r="BA1077" s="1"/>
      <c r="BB1077" s="1"/>
      <c r="BC1077" s="1"/>
      <c r="BD1077" s="1"/>
      <c r="BE1077" s="1"/>
    </row>
    <row r="1078" spans="9:57" x14ac:dyDescent="0.25">
      <c r="I1078" s="1"/>
      <c r="J1078" s="1"/>
      <c r="K1078" s="1"/>
      <c r="L1078" s="1"/>
      <c r="M1078" s="1"/>
      <c r="N1078" s="1"/>
      <c r="O1078" s="1"/>
      <c r="P1078" s="1"/>
      <c r="Q1078" s="1"/>
      <c r="R1078" s="1332"/>
      <c r="S1078" s="1332"/>
      <c r="T1078" s="1332"/>
      <c r="U1078" s="1332"/>
      <c r="V1078" s="1332"/>
      <c r="W1078" s="1332"/>
      <c r="X1078" s="1332"/>
      <c r="Y1078" s="1332"/>
      <c r="Z1078" s="1332"/>
      <c r="AA1078" s="1332"/>
      <c r="AB1078" s="1332"/>
      <c r="AC1078" s="1332"/>
      <c r="AD1078" s="1332"/>
      <c r="AE1078" s="1"/>
      <c r="AF1078" s="1"/>
      <c r="AG1078" s="1"/>
      <c r="AH1078" s="1"/>
      <c r="AI1078" s="1"/>
      <c r="AJ1078" s="1"/>
      <c r="AK1078" s="1"/>
      <c r="AL1078" s="1"/>
      <c r="AM1078" s="1"/>
      <c r="AN1078" s="1"/>
      <c r="AO1078" s="1"/>
      <c r="AP1078" s="488"/>
      <c r="AQ1078" s="488"/>
      <c r="AR1078" s="1"/>
      <c r="AS1078" s="1"/>
      <c r="AT1078" s="1"/>
      <c r="AU1078" s="1"/>
      <c r="AV1078" s="1"/>
      <c r="AW1078" s="1"/>
      <c r="AX1078" s="488"/>
      <c r="AY1078" s="1"/>
      <c r="AZ1078" s="1"/>
      <c r="BA1078" s="1"/>
      <c r="BB1078" s="1"/>
      <c r="BC1078" s="1"/>
      <c r="BD1078" s="1"/>
      <c r="BE1078" s="1"/>
    </row>
    <row r="1079" spans="9:57" x14ac:dyDescent="0.25">
      <c r="I1079" s="1"/>
      <c r="J1079" s="1"/>
      <c r="K1079" s="1"/>
      <c r="L1079" s="1"/>
      <c r="M1079" s="1"/>
      <c r="N1079" s="1"/>
      <c r="O1079" s="1"/>
      <c r="P1079" s="1"/>
      <c r="Q1079" s="1"/>
      <c r="R1079" s="1332"/>
      <c r="S1079" s="1332"/>
      <c r="T1079" s="1332"/>
      <c r="U1079" s="1332"/>
      <c r="V1079" s="1332"/>
      <c r="W1079" s="1332"/>
      <c r="X1079" s="1332"/>
      <c r="Y1079" s="1332"/>
      <c r="Z1079" s="1332"/>
      <c r="AA1079" s="1332"/>
      <c r="AB1079" s="1332"/>
      <c r="AC1079" s="1332"/>
      <c r="AD1079" s="1332"/>
      <c r="AE1079" s="1"/>
      <c r="AF1079" s="1"/>
      <c r="AG1079" s="1"/>
      <c r="AH1079" s="1"/>
      <c r="AI1079" s="1"/>
      <c r="AJ1079" s="1"/>
      <c r="AK1079" s="1"/>
      <c r="AL1079" s="1"/>
      <c r="AM1079" s="1"/>
      <c r="AN1079" s="1"/>
      <c r="AO1079" s="1"/>
      <c r="AP1079" s="488"/>
      <c r="AQ1079" s="488"/>
      <c r="AR1079" s="1"/>
      <c r="AS1079" s="1"/>
      <c r="AT1079" s="1"/>
      <c r="AU1079" s="1"/>
      <c r="AV1079" s="1"/>
      <c r="AW1079" s="1"/>
      <c r="AX1079" s="488"/>
      <c r="AY1079" s="1"/>
      <c r="AZ1079" s="1"/>
      <c r="BA1079" s="1"/>
      <c r="BB1079" s="1"/>
      <c r="BC1079" s="1"/>
      <c r="BD1079" s="1"/>
      <c r="BE1079" s="1"/>
    </row>
    <row r="1080" spans="9:57" x14ac:dyDescent="0.25">
      <c r="I1080" s="1"/>
      <c r="J1080" s="1"/>
      <c r="K1080" s="1"/>
      <c r="L1080" s="1"/>
      <c r="M1080" s="1"/>
      <c r="N1080" s="1"/>
      <c r="O1080" s="1"/>
      <c r="P1080" s="1"/>
      <c r="Q1080" s="1"/>
      <c r="R1080" s="1332"/>
      <c r="S1080" s="1332"/>
      <c r="T1080" s="1332"/>
      <c r="U1080" s="1332"/>
      <c r="V1080" s="1332"/>
      <c r="W1080" s="1332"/>
      <c r="X1080" s="1332"/>
      <c r="Y1080" s="1332"/>
      <c r="Z1080" s="1332"/>
      <c r="AA1080" s="1332"/>
      <c r="AB1080" s="1332"/>
      <c r="AC1080" s="1332"/>
      <c r="AD1080" s="1332"/>
      <c r="AE1080" s="1"/>
      <c r="AF1080" s="1"/>
      <c r="AG1080" s="1"/>
      <c r="AH1080" s="1"/>
      <c r="AI1080" s="1"/>
      <c r="AJ1080" s="1"/>
      <c r="AK1080" s="1"/>
      <c r="AL1080" s="1"/>
      <c r="AM1080" s="1"/>
      <c r="AN1080" s="1"/>
      <c r="AO1080" s="1"/>
      <c r="AP1080" s="488"/>
      <c r="AQ1080" s="488"/>
      <c r="AR1080" s="1"/>
      <c r="AS1080" s="1"/>
      <c r="AT1080" s="1"/>
      <c r="AU1080" s="1"/>
      <c r="AV1080" s="1"/>
      <c r="AW1080" s="1"/>
      <c r="AX1080" s="488"/>
      <c r="AY1080" s="1"/>
      <c r="AZ1080" s="1"/>
      <c r="BA1080" s="1"/>
      <c r="BB1080" s="1"/>
      <c r="BC1080" s="1"/>
      <c r="BD1080" s="1"/>
      <c r="BE1080" s="1"/>
    </row>
    <row r="1081" spans="9:57" x14ac:dyDescent="0.25">
      <c r="I1081" s="1"/>
      <c r="J1081" s="1"/>
      <c r="K1081" s="1"/>
      <c r="L1081" s="1"/>
      <c r="M1081" s="1"/>
      <c r="N1081" s="1"/>
      <c r="O1081" s="1"/>
      <c r="P1081" s="1"/>
      <c r="Q1081" s="1"/>
      <c r="R1081" s="1332"/>
      <c r="S1081" s="1332"/>
      <c r="T1081" s="1332"/>
      <c r="U1081" s="1332"/>
      <c r="V1081" s="1332"/>
      <c r="W1081" s="1332"/>
      <c r="X1081" s="1332"/>
      <c r="Y1081" s="1332"/>
      <c r="Z1081" s="1332"/>
      <c r="AA1081" s="1332"/>
      <c r="AB1081" s="1332"/>
      <c r="AC1081" s="1332"/>
      <c r="AD1081" s="1332"/>
      <c r="AE1081" s="1"/>
      <c r="AF1081" s="1"/>
      <c r="AG1081" s="1"/>
      <c r="AH1081" s="1"/>
      <c r="AI1081" s="1"/>
      <c r="AJ1081" s="1"/>
      <c r="AK1081" s="1"/>
      <c r="AL1081" s="1"/>
      <c r="AM1081" s="1"/>
      <c r="AN1081" s="1"/>
      <c r="AO1081" s="1"/>
      <c r="AP1081" s="488"/>
      <c r="AQ1081" s="488"/>
      <c r="AR1081" s="1"/>
      <c r="AS1081" s="1"/>
      <c r="AT1081" s="1"/>
      <c r="AU1081" s="1"/>
      <c r="AV1081" s="1"/>
      <c r="AW1081" s="1"/>
      <c r="AX1081" s="488"/>
      <c r="AY1081" s="1"/>
      <c r="AZ1081" s="1"/>
      <c r="BA1081" s="1"/>
      <c r="BB1081" s="1"/>
      <c r="BC1081" s="1"/>
      <c r="BD1081" s="1"/>
      <c r="BE1081" s="1"/>
    </row>
    <row r="1082" spans="9:57" x14ac:dyDescent="0.25">
      <c r="I1082" s="1"/>
      <c r="J1082" s="1"/>
      <c r="K1082" s="1"/>
      <c r="L1082" s="1"/>
      <c r="M1082" s="1"/>
      <c r="N1082" s="1"/>
      <c r="O1082" s="1"/>
      <c r="P1082" s="1"/>
      <c r="Q1082" s="1"/>
      <c r="R1082" s="1332"/>
      <c r="S1082" s="1332"/>
      <c r="T1082" s="1332"/>
      <c r="U1082" s="1332"/>
      <c r="V1082" s="1332"/>
      <c r="W1082" s="1332"/>
      <c r="X1082" s="1332"/>
      <c r="Y1082" s="1332"/>
      <c r="Z1082" s="1332"/>
      <c r="AA1082" s="1332"/>
      <c r="AB1082" s="1332"/>
      <c r="AC1082" s="1332"/>
      <c r="AD1082" s="1332"/>
      <c r="AE1082" s="1"/>
      <c r="AF1082" s="1"/>
      <c r="AG1082" s="1"/>
      <c r="AH1082" s="1"/>
      <c r="AI1082" s="1"/>
      <c r="AJ1082" s="1"/>
      <c r="AK1082" s="1"/>
      <c r="AL1082" s="1"/>
      <c r="AM1082" s="1"/>
      <c r="AN1082" s="1"/>
      <c r="AO1082" s="1"/>
      <c r="AP1082" s="488"/>
      <c r="AQ1082" s="488"/>
      <c r="AR1082" s="1"/>
      <c r="AS1082" s="1"/>
      <c r="AT1082" s="1"/>
      <c r="AU1082" s="1"/>
      <c r="AV1082" s="1"/>
      <c r="AW1082" s="1"/>
      <c r="AX1082" s="488"/>
      <c r="AY1082" s="1"/>
      <c r="AZ1082" s="1"/>
      <c r="BA1082" s="1"/>
      <c r="BB1082" s="1"/>
      <c r="BC1082" s="1"/>
      <c r="BD1082" s="1"/>
      <c r="BE1082" s="1"/>
    </row>
    <row r="1083" spans="9:57" x14ac:dyDescent="0.25">
      <c r="I1083" s="1"/>
      <c r="J1083" s="1"/>
      <c r="K1083" s="1"/>
      <c r="L1083" s="1"/>
      <c r="M1083" s="1"/>
      <c r="N1083" s="1"/>
      <c r="O1083" s="1"/>
      <c r="P1083" s="1"/>
      <c r="Q1083" s="1"/>
      <c r="R1083" s="1332"/>
      <c r="S1083" s="1332"/>
      <c r="T1083" s="1332"/>
      <c r="U1083" s="1332"/>
      <c r="V1083" s="1332"/>
      <c r="W1083" s="1332"/>
      <c r="X1083" s="1332"/>
      <c r="Y1083" s="1332"/>
      <c r="Z1083" s="1332"/>
      <c r="AA1083" s="1332"/>
      <c r="AB1083" s="1332"/>
      <c r="AC1083" s="1332"/>
      <c r="AD1083" s="1332"/>
      <c r="AE1083" s="1"/>
      <c r="AF1083" s="1"/>
      <c r="AG1083" s="1"/>
      <c r="AH1083" s="1"/>
      <c r="AI1083" s="1"/>
      <c r="AJ1083" s="1"/>
      <c r="AK1083" s="1"/>
      <c r="AL1083" s="1"/>
      <c r="AM1083" s="1"/>
      <c r="AN1083" s="1"/>
      <c r="AO1083" s="1"/>
      <c r="AP1083" s="488"/>
      <c r="AQ1083" s="488"/>
      <c r="AR1083" s="1"/>
      <c r="AS1083" s="1"/>
      <c r="AT1083" s="1"/>
      <c r="AU1083" s="1"/>
      <c r="AV1083" s="1"/>
      <c r="AW1083" s="1"/>
      <c r="AX1083" s="488"/>
      <c r="AY1083" s="1"/>
      <c r="AZ1083" s="1"/>
      <c r="BA1083" s="1"/>
      <c r="BB1083" s="1"/>
      <c r="BC1083" s="1"/>
      <c r="BD1083" s="1"/>
      <c r="BE1083" s="1"/>
    </row>
    <row r="1084" spans="9:57" x14ac:dyDescent="0.25">
      <c r="I1084" s="1"/>
      <c r="J1084" s="1"/>
      <c r="K1084" s="1"/>
      <c r="L1084" s="1"/>
      <c r="M1084" s="1"/>
      <c r="N1084" s="1"/>
      <c r="O1084" s="1"/>
      <c r="P1084" s="1"/>
      <c r="Q1084" s="1"/>
      <c r="R1084" s="1332"/>
      <c r="S1084" s="1332"/>
      <c r="T1084" s="1332"/>
      <c r="U1084" s="1332"/>
      <c r="V1084" s="1332"/>
      <c r="W1084" s="1332"/>
      <c r="X1084" s="1332"/>
      <c r="Y1084" s="1332"/>
      <c r="Z1084" s="1332"/>
      <c r="AA1084" s="1332"/>
      <c r="AB1084" s="1332"/>
      <c r="AC1084" s="1332"/>
      <c r="AD1084" s="1332"/>
      <c r="AE1084" s="1"/>
      <c r="AF1084" s="1"/>
      <c r="AG1084" s="1"/>
      <c r="AH1084" s="1"/>
      <c r="AI1084" s="1"/>
      <c r="AJ1084" s="1"/>
      <c r="AK1084" s="1"/>
      <c r="AL1084" s="1"/>
      <c r="AM1084" s="1"/>
      <c r="AN1084" s="1"/>
      <c r="AO1084" s="1"/>
      <c r="AP1084" s="488"/>
      <c r="AQ1084" s="488"/>
      <c r="AR1084" s="1"/>
      <c r="AS1084" s="1"/>
      <c r="AT1084" s="1"/>
      <c r="AU1084" s="1"/>
      <c r="AV1084" s="1"/>
      <c r="AW1084" s="1"/>
      <c r="AX1084" s="488"/>
      <c r="AY1084" s="1"/>
      <c r="AZ1084" s="1"/>
      <c r="BA1084" s="1"/>
      <c r="BB1084" s="1"/>
      <c r="BC1084" s="1"/>
      <c r="BD1084" s="1"/>
      <c r="BE1084" s="1"/>
    </row>
    <row r="1085" spans="9:57" x14ac:dyDescent="0.25">
      <c r="I1085" s="1"/>
      <c r="J1085" s="1"/>
      <c r="K1085" s="1"/>
      <c r="L1085" s="1"/>
      <c r="M1085" s="1"/>
      <c r="N1085" s="1"/>
      <c r="O1085" s="1"/>
      <c r="P1085" s="1"/>
      <c r="Q1085" s="1"/>
      <c r="R1085" s="1332"/>
      <c r="S1085" s="1332"/>
      <c r="T1085" s="1332"/>
      <c r="U1085" s="1332"/>
      <c r="V1085" s="1332"/>
      <c r="W1085" s="1332"/>
      <c r="X1085" s="1332"/>
      <c r="Y1085" s="1332"/>
      <c r="Z1085" s="1332"/>
      <c r="AA1085" s="1332"/>
      <c r="AB1085" s="1332"/>
      <c r="AC1085" s="1332"/>
      <c r="AD1085" s="1332"/>
      <c r="AE1085" s="1"/>
      <c r="AF1085" s="1"/>
      <c r="AG1085" s="1"/>
      <c r="AH1085" s="1"/>
      <c r="AI1085" s="1"/>
      <c r="AJ1085" s="1"/>
      <c r="AK1085" s="1"/>
      <c r="AL1085" s="1"/>
      <c r="AM1085" s="1"/>
      <c r="AN1085" s="1"/>
      <c r="AO1085" s="1"/>
      <c r="AP1085" s="488"/>
      <c r="AQ1085" s="488"/>
      <c r="AR1085" s="1"/>
      <c r="AS1085" s="1"/>
      <c r="AT1085" s="1"/>
      <c r="AU1085" s="1"/>
      <c r="AV1085" s="1"/>
      <c r="AW1085" s="1"/>
      <c r="AX1085" s="488"/>
      <c r="AY1085" s="1"/>
      <c r="AZ1085" s="1"/>
      <c r="BA1085" s="1"/>
      <c r="BB1085" s="1"/>
      <c r="BC1085" s="1"/>
      <c r="BD1085" s="1"/>
      <c r="BE1085" s="1"/>
    </row>
    <row r="1086" spans="9:57" x14ac:dyDescent="0.25">
      <c r="I1086" s="1"/>
      <c r="J1086" s="1"/>
      <c r="K1086" s="1"/>
      <c r="L1086" s="1"/>
      <c r="M1086" s="1"/>
      <c r="N1086" s="1"/>
      <c r="O1086" s="1"/>
      <c r="P1086" s="1"/>
      <c r="Q1086" s="1"/>
      <c r="R1086" s="1332"/>
      <c r="S1086" s="1332"/>
      <c r="T1086" s="1332"/>
      <c r="U1086" s="1332"/>
      <c r="V1086" s="1332"/>
      <c r="W1086" s="1332"/>
      <c r="X1086" s="1332"/>
      <c r="Y1086" s="1332"/>
      <c r="Z1086" s="1332"/>
      <c r="AA1086" s="1332"/>
      <c r="AB1086" s="1332"/>
      <c r="AC1086" s="1332"/>
      <c r="AD1086" s="1332"/>
      <c r="AE1086" s="1"/>
      <c r="AF1086" s="1"/>
      <c r="AG1086" s="1"/>
      <c r="AH1086" s="1"/>
      <c r="AI1086" s="1"/>
      <c r="AJ1086" s="1"/>
      <c r="AK1086" s="1"/>
      <c r="AL1086" s="1"/>
      <c r="AM1086" s="1"/>
      <c r="AN1086" s="1"/>
      <c r="AO1086" s="1"/>
      <c r="AP1086" s="488"/>
      <c r="AQ1086" s="488"/>
      <c r="AR1086" s="1"/>
      <c r="AS1086" s="1"/>
      <c r="AT1086" s="1"/>
      <c r="AU1086" s="1"/>
      <c r="AV1086" s="1"/>
      <c r="AW1086" s="1"/>
      <c r="AX1086" s="488"/>
      <c r="AY1086" s="1"/>
      <c r="AZ1086" s="1"/>
      <c r="BA1086" s="1"/>
      <c r="BB1086" s="1"/>
      <c r="BC1086" s="1"/>
      <c r="BD1086" s="1"/>
      <c r="BE1086" s="1"/>
    </row>
    <row r="1087" spans="9:57" x14ac:dyDescent="0.25">
      <c r="I1087" s="1"/>
      <c r="J1087" s="1"/>
      <c r="K1087" s="1"/>
      <c r="L1087" s="1"/>
      <c r="M1087" s="1"/>
      <c r="N1087" s="1"/>
      <c r="O1087" s="1"/>
      <c r="P1087" s="1"/>
      <c r="Q1087" s="1"/>
      <c r="R1087" s="1332"/>
      <c r="S1087" s="1332"/>
      <c r="T1087" s="1332"/>
      <c r="U1087" s="1332"/>
      <c r="V1087" s="1332"/>
      <c r="W1087" s="1332"/>
      <c r="X1087" s="1332"/>
      <c r="Y1087" s="1332"/>
      <c r="Z1087" s="1332"/>
      <c r="AA1087" s="1332"/>
      <c r="AB1087" s="1332"/>
      <c r="AC1087" s="1332"/>
      <c r="AD1087" s="1332"/>
      <c r="AE1087" s="1"/>
      <c r="AF1087" s="1"/>
      <c r="AG1087" s="1"/>
      <c r="AH1087" s="1"/>
      <c r="AI1087" s="1"/>
      <c r="AJ1087" s="1"/>
      <c r="AK1087" s="1"/>
      <c r="AL1087" s="1"/>
      <c r="AM1087" s="1"/>
      <c r="AN1087" s="1"/>
      <c r="AO1087" s="1"/>
      <c r="AP1087" s="488"/>
      <c r="AQ1087" s="488"/>
      <c r="AR1087" s="1"/>
      <c r="AS1087" s="1"/>
      <c r="AT1087" s="1"/>
      <c r="AU1087" s="1"/>
      <c r="AV1087" s="1"/>
      <c r="AW1087" s="1"/>
      <c r="AX1087" s="488"/>
      <c r="AY1087" s="1"/>
      <c r="AZ1087" s="1"/>
      <c r="BA1087" s="1"/>
      <c r="BB1087" s="1"/>
      <c r="BC1087" s="1"/>
      <c r="BD1087" s="1"/>
      <c r="BE1087" s="1"/>
    </row>
    <row r="1088" spans="9:57" x14ac:dyDescent="0.25">
      <c r="I1088" s="1"/>
      <c r="J1088" s="1"/>
      <c r="K1088" s="1"/>
      <c r="L1088" s="1"/>
      <c r="M1088" s="1"/>
      <c r="N1088" s="1"/>
      <c r="O1088" s="1"/>
      <c r="P1088" s="1"/>
      <c r="Q1088" s="1"/>
      <c r="R1088" s="1332"/>
      <c r="S1088" s="1332"/>
      <c r="T1088" s="1332"/>
      <c r="U1088" s="1332"/>
      <c r="V1088" s="1332"/>
      <c r="W1088" s="1332"/>
      <c r="X1088" s="1332"/>
      <c r="Y1088" s="1332"/>
      <c r="Z1088" s="1332"/>
      <c r="AA1088" s="1332"/>
      <c r="AB1088" s="1332"/>
      <c r="AC1088" s="1332"/>
      <c r="AD1088" s="1332"/>
      <c r="AE1088" s="1"/>
      <c r="AF1088" s="1"/>
      <c r="AG1088" s="1"/>
      <c r="AH1088" s="1"/>
      <c r="AI1088" s="1"/>
      <c r="AJ1088" s="1"/>
      <c r="AK1088" s="1"/>
      <c r="AL1088" s="1"/>
      <c r="AM1088" s="1"/>
      <c r="AN1088" s="1"/>
      <c r="AO1088" s="1"/>
      <c r="AP1088" s="488"/>
      <c r="AQ1088" s="488"/>
      <c r="AR1088" s="1"/>
      <c r="AS1088" s="1"/>
      <c r="AT1088" s="1"/>
      <c r="AU1088" s="1"/>
      <c r="AV1088" s="1"/>
      <c r="AW1088" s="1"/>
      <c r="AX1088" s="488"/>
      <c r="AY1088" s="1"/>
      <c r="AZ1088" s="1"/>
      <c r="BA1088" s="1"/>
      <c r="BB1088" s="1"/>
      <c r="BC1088" s="1"/>
      <c r="BD1088" s="1"/>
      <c r="BE1088" s="1"/>
    </row>
    <row r="1089" spans="9:57" x14ac:dyDescent="0.25">
      <c r="I1089" s="1"/>
      <c r="J1089" s="1"/>
      <c r="K1089" s="1"/>
      <c r="L1089" s="1"/>
      <c r="M1089" s="1"/>
      <c r="N1089" s="1"/>
      <c r="O1089" s="1"/>
      <c r="P1089" s="1"/>
      <c r="Q1089" s="1"/>
      <c r="R1089" s="1332"/>
      <c r="S1089" s="1332"/>
      <c r="T1089" s="1332"/>
      <c r="U1089" s="1332"/>
      <c r="V1089" s="1332"/>
      <c r="W1089" s="1332"/>
      <c r="X1089" s="1332"/>
      <c r="Y1089" s="1332"/>
      <c r="Z1089" s="1332"/>
      <c r="AA1089" s="1332"/>
      <c r="AB1089" s="1332"/>
      <c r="AC1089" s="1332"/>
      <c r="AD1089" s="1332"/>
      <c r="AE1089" s="1"/>
      <c r="AF1089" s="1"/>
      <c r="AG1089" s="1"/>
      <c r="AH1089" s="1"/>
      <c r="AI1089" s="1"/>
      <c r="AJ1089" s="1"/>
      <c r="AK1089" s="1"/>
      <c r="AL1089" s="1"/>
      <c r="AM1089" s="1"/>
      <c r="AN1089" s="1"/>
      <c r="AO1089" s="1"/>
      <c r="AP1089" s="488"/>
      <c r="AQ1089" s="488"/>
      <c r="AR1089" s="1"/>
      <c r="AS1089" s="1"/>
      <c r="AT1089" s="1"/>
      <c r="AU1089" s="1"/>
      <c r="AV1089" s="1"/>
      <c r="AW1089" s="1"/>
      <c r="AX1089" s="488"/>
      <c r="AY1089" s="1"/>
      <c r="AZ1089" s="1"/>
      <c r="BA1089" s="1"/>
      <c r="BB1089" s="1"/>
      <c r="BC1089" s="1"/>
      <c r="BD1089" s="1"/>
      <c r="BE1089" s="1"/>
    </row>
    <row r="1090" spans="9:57" x14ac:dyDescent="0.25">
      <c r="I1090" s="1"/>
      <c r="J1090" s="1"/>
      <c r="K1090" s="1"/>
      <c r="L1090" s="1"/>
      <c r="M1090" s="1"/>
      <c r="N1090" s="1"/>
      <c r="O1090" s="1"/>
      <c r="P1090" s="1"/>
      <c r="Q1090" s="1"/>
      <c r="R1090" s="1332"/>
      <c r="S1090" s="1332"/>
      <c r="T1090" s="1332"/>
      <c r="U1090" s="1332"/>
      <c r="V1090" s="1332"/>
      <c r="W1090" s="1332"/>
      <c r="X1090" s="1332"/>
      <c r="Y1090" s="1332"/>
      <c r="Z1090" s="1332"/>
      <c r="AA1090" s="1332"/>
      <c r="AB1090" s="1332"/>
      <c r="AC1090" s="1332"/>
      <c r="AD1090" s="1332"/>
      <c r="AE1090" s="1"/>
      <c r="AF1090" s="1"/>
      <c r="AG1090" s="1"/>
      <c r="AH1090" s="1"/>
      <c r="AI1090" s="1"/>
      <c r="AJ1090" s="1"/>
      <c r="AK1090" s="1"/>
      <c r="AL1090" s="1"/>
      <c r="AM1090" s="1"/>
      <c r="AN1090" s="1"/>
      <c r="AO1090" s="1"/>
      <c r="AP1090" s="488"/>
      <c r="AQ1090" s="488"/>
      <c r="AR1090" s="1"/>
      <c r="AS1090" s="1"/>
      <c r="AT1090" s="1"/>
      <c r="AU1090" s="1"/>
      <c r="AV1090" s="1"/>
      <c r="AW1090" s="1"/>
      <c r="AX1090" s="488"/>
      <c r="AY1090" s="1"/>
      <c r="AZ1090" s="1"/>
      <c r="BA1090" s="1"/>
      <c r="BB1090" s="1"/>
      <c r="BC1090" s="1"/>
      <c r="BD1090" s="1"/>
      <c r="BE1090" s="1"/>
    </row>
    <row r="1091" spans="9:57" x14ac:dyDescent="0.25">
      <c r="I1091" s="1"/>
      <c r="J1091" s="1"/>
      <c r="K1091" s="1"/>
      <c r="L1091" s="1"/>
      <c r="M1091" s="1"/>
      <c r="N1091" s="1"/>
      <c r="O1091" s="1"/>
      <c r="P1091" s="1"/>
      <c r="Q1091" s="1"/>
      <c r="R1091" s="1332"/>
      <c r="S1091" s="1332"/>
      <c r="T1091" s="1332"/>
      <c r="U1091" s="1332"/>
      <c r="V1091" s="1332"/>
      <c r="W1091" s="1332"/>
      <c r="X1091" s="1332"/>
      <c r="Y1091" s="1332"/>
      <c r="Z1091" s="1332"/>
      <c r="AA1091" s="1332"/>
      <c r="AB1091" s="1332"/>
      <c r="AC1091" s="1332"/>
      <c r="AD1091" s="1332"/>
      <c r="AE1091" s="1"/>
      <c r="AF1091" s="1"/>
      <c r="AG1091" s="1"/>
      <c r="AH1091" s="1"/>
      <c r="AI1091" s="1"/>
      <c r="AJ1091" s="1"/>
      <c r="AK1091" s="1"/>
      <c r="AL1091" s="1"/>
      <c r="AM1091" s="1"/>
      <c r="AN1091" s="1"/>
      <c r="AO1091" s="1"/>
      <c r="AP1091" s="488"/>
      <c r="AQ1091" s="488"/>
      <c r="AR1091" s="1"/>
      <c r="AS1091" s="1"/>
      <c r="AT1091" s="1"/>
      <c r="AU1091" s="1"/>
      <c r="AV1091" s="1"/>
      <c r="AW1091" s="1"/>
      <c r="AX1091" s="488"/>
      <c r="AY1091" s="1"/>
      <c r="AZ1091" s="1"/>
      <c r="BA1091" s="1"/>
      <c r="BB1091" s="1"/>
      <c r="BC1091" s="1"/>
      <c r="BD1091" s="1"/>
      <c r="BE1091" s="1"/>
    </row>
    <row r="1092" spans="9:57" x14ac:dyDescent="0.25">
      <c r="I1092" s="1"/>
      <c r="J1092" s="1"/>
      <c r="K1092" s="1"/>
      <c r="L1092" s="1"/>
      <c r="M1092" s="1"/>
      <c r="N1092" s="1"/>
      <c r="O1092" s="1"/>
      <c r="P1092" s="1"/>
      <c r="Q1092" s="1"/>
      <c r="R1092" s="1332"/>
      <c r="S1092" s="1332"/>
      <c r="T1092" s="1332"/>
      <c r="U1092" s="1332"/>
      <c r="V1092" s="1332"/>
      <c r="W1092" s="1332"/>
      <c r="X1092" s="1332"/>
      <c r="Y1092" s="1332"/>
      <c r="Z1092" s="1332"/>
      <c r="AA1092" s="1332"/>
      <c r="AB1092" s="1332"/>
      <c r="AC1092" s="1332"/>
      <c r="AD1092" s="1332"/>
      <c r="AE1092" s="1"/>
      <c r="AF1092" s="1"/>
      <c r="AG1092" s="1"/>
      <c r="AH1092" s="1"/>
      <c r="AI1092" s="1"/>
      <c r="AJ1092" s="1"/>
      <c r="AK1092" s="1"/>
      <c r="AL1092" s="1"/>
      <c r="AM1092" s="1"/>
      <c r="AN1092" s="1"/>
      <c r="AO1092" s="1"/>
      <c r="AP1092" s="488"/>
      <c r="AQ1092" s="488"/>
      <c r="AR1092" s="1"/>
      <c r="AS1092" s="1"/>
      <c r="AT1092" s="1"/>
      <c r="AU1092" s="1"/>
      <c r="AV1092" s="1"/>
      <c r="AW1092" s="1"/>
      <c r="AX1092" s="488"/>
      <c r="AY1092" s="1"/>
      <c r="AZ1092" s="1"/>
      <c r="BA1092" s="1"/>
      <c r="BB1092" s="1"/>
      <c r="BC1092" s="1"/>
      <c r="BD1092" s="1"/>
      <c r="BE1092" s="1"/>
    </row>
    <row r="1093" spans="9:57" x14ac:dyDescent="0.25">
      <c r="I1093" s="1"/>
      <c r="J1093" s="1"/>
      <c r="K1093" s="1"/>
      <c r="L1093" s="1"/>
      <c r="M1093" s="1"/>
      <c r="N1093" s="1"/>
      <c r="O1093" s="1"/>
      <c r="P1093" s="1"/>
      <c r="Q1093" s="1"/>
      <c r="R1093" s="1332"/>
      <c r="S1093" s="1332"/>
      <c r="T1093" s="1332"/>
      <c r="U1093" s="1332"/>
      <c r="V1093" s="1332"/>
      <c r="W1093" s="1332"/>
      <c r="X1093" s="1332"/>
      <c r="Y1093" s="1332"/>
      <c r="Z1093" s="1332"/>
      <c r="AA1093" s="1332"/>
      <c r="AB1093" s="1332"/>
      <c r="AC1093" s="1332"/>
      <c r="AD1093" s="1332"/>
      <c r="AE1093" s="1"/>
      <c r="AF1093" s="1"/>
      <c r="AG1093" s="1"/>
      <c r="AH1093" s="1"/>
      <c r="AI1093" s="1"/>
      <c r="AJ1093" s="1"/>
      <c r="AK1093" s="1"/>
      <c r="AL1093" s="1"/>
      <c r="AM1093" s="1"/>
      <c r="AN1093" s="1"/>
      <c r="AO1093" s="1"/>
      <c r="AP1093" s="488"/>
      <c r="AQ1093" s="488"/>
      <c r="AR1093" s="1"/>
      <c r="AS1093" s="1"/>
      <c r="AT1093" s="1"/>
      <c r="AU1093" s="1"/>
      <c r="AV1093" s="1"/>
      <c r="AW1093" s="1"/>
      <c r="AX1093" s="488"/>
      <c r="AY1093" s="1"/>
      <c r="AZ1093" s="1"/>
      <c r="BA1093" s="1"/>
      <c r="BB1093" s="1"/>
      <c r="BC1093" s="1"/>
      <c r="BD1093" s="1"/>
      <c r="BE1093" s="1"/>
    </row>
    <row r="1094" spans="9:57" x14ac:dyDescent="0.25">
      <c r="I1094" s="1"/>
      <c r="J1094" s="1"/>
      <c r="K1094" s="1"/>
      <c r="L1094" s="1"/>
      <c r="M1094" s="1"/>
      <c r="N1094" s="1"/>
      <c r="O1094" s="1"/>
      <c r="P1094" s="1"/>
      <c r="Q1094" s="1"/>
      <c r="R1094" s="1332"/>
      <c r="S1094" s="1332"/>
      <c r="T1094" s="1332"/>
      <c r="U1094" s="1332"/>
      <c r="V1094" s="1332"/>
      <c r="W1094" s="1332"/>
      <c r="X1094" s="1332"/>
      <c r="Y1094" s="1332"/>
      <c r="Z1094" s="1332"/>
      <c r="AA1094" s="1332"/>
      <c r="AB1094" s="1332"/>
      <c r="AC1094" s="1332"/>
      <c r="AD1094" s="1332"/>
      <c r="AE1094" s="1"/>
      <c r="AF1094" s="1"/>
      <c r="AG1094" s="1"/>
      <c r="AH1094" s="1"/>
      <c r="AI1094" s="1"/>
      <c r="AJ1094" s="1"/>
      <c r="AK1094" s="1"/>
      <c r="AL1094" s="1"/>
      <c r="AM1094" s="1"/>
      <c r="AN1094" s="1"/>
      <c r="AO1094" s="1"/>
      <c r="AP1094" s="488"/>
      <c r="AQ1094" s="488"/>
      <c r="AR1094" s="1"/>
      <c r="AS1094" s="1"/>
      <c r="AT1094" s="1"/>
      <c r="AU1094" s="1"/>
      <c r="AV1094" s="1"/>
      <c r="AW1094" s="1"/>
      <c r="AX1094" s="488"/>
      <c r="AY1094" s="1"/>
      <c r="AZ1094" s="1"/>
      <c r="BA1094" s="1"/>
      <c r="BB1094" s="1"/>
      <c r="BC1094" s="1"/>
      <c r="BD1094" s="1"/>
      <c r="BE1094" s="1"/>
    </row>
    <row r="1095" spans="9:57" x14ac:dyDescent="0.25">
      <c r="I1095" s="1"/>
      <c r="J1095" s="1"/>
      <c r="K1095" s="1"/>
      <c r="L1095" s="1"/>
      <c r="M1095" s="1"/>
      <c r="N1095" s="1"/>
      <c r="O1095" s="1"/>
      <c r="P1095" s="1"/>
      <c r="Q1095" s="1"/>
      <c r="R1095" s="1332"/>
      <c r="S1095" s="1332"/>
      <c r="T1095" s="1332"/>
      <c r="U1095" s="1332"/>
      <c r="V1095" s="1332"/>
      <c r="W1095" s="1332"/>
      <c r="X1095" s="1332"/>
      <c r="Y1095" s="1332"/>
      <c r="Z1095" s="1332"/>
      <c r="AA1095" s="1332"/>
      <c r="AB1095" s="1332"/>
      <c r="AC1095" s="1332"/>
      <c r="AD1095" s="1332"/>
      <c r="AE1095" s="1"/>
      <c r="AF1095" s="1"/>
      <c r="AG1095" s="1"/>
      <c r="AH1095" s="1"/>
      <c r="AI1095" s="1"/>
      <c r="AJ1095" s="1"/>
      <c r="AK1095" s="1"/>
      <c r="AL1095" s="1"/>
      <c r="AM1095" s="1"/>
      <c r="AN1095" s="1"/>
      <c r="AO1095" s="1"/>
      <c r="AP1095" s="488"/>
      <c r="AQ1095" s="488"/>
      <c r="AR1095" s="1"/>
      <c r="AS1095" s="1"/>
      <c r="AT1095" s="1"/>
      <c r="AU1095" s="1"/>
      <c r="AV1095" s="1"/>
      <c r="AW1095" s="1"/>
      <c r="AX1095" s="488"/>
      <c r="AY1095" s="1"/>
      <c r="AZ1095" s="1"/>
      <c r="BA1095" s="1"/>
      <c r="BB1095" s="1"/>
      <c r="BC1095" s="1"/>
      <c r="BD1095" s="1"/>
      <c r="BE1095" s="1"/>
    </row>
    <row r="1096" spans="9:57" x14ac:dyDescent="0.25">
      <c r="I1096" s="1"/>
      <c r="J1096" s="1"/>
      <c r="K1096" s="1"/>
      <c r="L1096" s="1"/>
      <c r="M1096" s="1"/>
      <c r="N1096" s="1"/>
      <c r="O1096" s="1"/>
      <c r="P1096" s="1"/>
      <c r="Q1096" s="1"/>
      <c r="R1096" s="1332"/>
      <c r="S1096" s="1332"/>
      <c r="T1096" s="1332"/>
      <c r="U1096" s="1332"/>
      <c r="V1096" s="1332"/>
      <c r="W1096" s="1332"/>
      <c r="X1096" s="1332"/>
      <c r="Y1096" s="1332"/>
      <c r="Z1096" s="1332"/>
      <c r="AA1096" s="1332"/>
      <c r="AB1096" s="1332"/>
      <c r="AC1096" s="1332"/>
      <c r="AD1096" s="1332"/>
      <c r="AE1096" s="1"/>
      <c r="AF1096" s="1"/>
      <c r="AG1096" s="1"/>
      <c r="AH1096" s="1"/>
      <c r="AI1096" s="1"/>
      <c r="AJ1096" s="1"/>
      <c r="AK1096" s="1"/>
      <c r="AL1096" s="1"/>
      <c r="AM1096" s="1"/>
      <c r="AN1096" s="1"/>
      <c r="AO1096" s="1"/>
      <c r="AP1096" s="488"/>
      <c r="AQ1096" s="488"/>
      <c r="AR1096" s="1"/>
      <c r="AS1096" s="1"/>
      <c r="AT1096" s="1"/>
      <c r="AU1096" s="1"/>
      <c r="AV1096" s="1"/>
      <c r="AW1096" s="1"/>
      <c r="AX1096" s="488"/>
      <c r="AY1096" s="1"/>
      <c r="AZ1096" s="1"/>
      <c r="BA1096" s="1"/>
      <c r="BB1096" s="1"/>
      <c r="BC1096" s="1"/>
      <c r="BD1096" s="1"/>
      <c r="BE1096" s="1"/>
    </row>
    <row r="1097" spans="9:57" x14ac:dyDescent="0.25">
      <c r="I1097" s="1"/>
      <c r="J1097" s="1"/>
      <c r="K1097" s="1"/>
      <c r="L1097" s="1"/>
      <c r="M1097" s="1"/>
      <c r="N1097" s="1"/>
      <c r="O1097" s="1"/>
      <c r="P1097" s="1"/>
      <c r="Q1097" s="1"/>
      <c r="R1097" s="1332"/>
      <c r="S1097" s="1332"/>
      <c r="T1097" s="1332"/>
      <c r="U1097" s="1332"/>
      <c r="V1097" s="1332"/>
      <c r="W1097" s="1332"/>
      <c r="X1097" s="1332"/>
      <c r="Y1097" s="1332"/>
      <c r="Z1097" s="1332"/>
      <c r="AA1097" s="1332"/>
      <c r="AB1097" s="1332"/>
      <c r="AC1097" s="1332"/>
      <c r="AD1097" s="1332"/>
      <c r="AE1097" s="1"/>
      <c r="AF1097" s="1"/>
      <c r="AG1097" s="1"/>
      <c r="AH1097" s="1"/>
      <c r="AI1097" s="1"/>
      <c r="AJ1097" s="1"/>
      <c r="AK1097" s="1"/>
      <c r="AL1097" s="1"/>
      <c r="AM1097" s="1"/>
      <c r="AN1097" s="1"/>
      <c r="AO1097" s="1"/>
      <c r="AP1097" s="488"/>
      <c r="AQ1097" s="488"/>
      <c r="AR1097" s="1"/>
      <c r="AS1097" s="1"/>
      <c r="AT1097" s="1"/>
      <c r="AU1097" s="1"/>
      <c r="AV1097" s="1"/>
      <c r="AW1097" s="1"/>
      <c r="AX1097" s="488"/>
      <c r="AY1097" s="1"/>
      <c r="AZ1097" s="1"/>
      <c r="BA1097" s="1"/>
      <c r="BB1097" s="1"/>
      <c r="BC1097" s="1"/>
      <c r="BD1097" s="1"/>
      <c r="BE1097" s="1"/>
    </row>
    <row r="1098" spans="9:57" x14ac:dyDescent="0.25">
      <c r="I1098" s="1"/>
      <c r="J1098" s="1"/>
      <c r="K1098" s="1"/>
      <c r="L1098" s="1"/>
      <c r="M1098" s="1"/>
      <c r="N1098" s="1"/>
      <c r="O1098" s="1"/>
      <c r="P1098" s="1"/>
      <c r="Q1098" s="1"/>
      <c r="R1098" s="1332"/>
      <c r="S1098" s="1332"/>
      <c r="T1098" s="1332"/>
      <c r="U1098" s="1332"/>
      <c r="V1098" s="1332"/>
      <c r="W1098" s="1332"/>
      <c r="X1098" s="1332"/>
      <c r="Y1098" s="1332"/>
      <c r="Z1098" s="1332"/>
      <c r="AA1098" s="1332"/>
      <c r="AB1098" s="1332"/>
      <c r="AC1098" s="1332"/>
      <c r="AD1098" s="1332"/>
      <c r="AE1098" s="1"/>
      <c r="AF1098" s="1"/>
      <c r="AG1098" s="1"/>
      <c r="AH1098" s="1"/>
      <c r="AI1098" s="1"/>
      <c r="AJ1098" s="1"/>
      <c r="AK1098" s="1"/>
      <c r="AL1098" s="1"/>
      <c r="AM1098" s="1"/>
      <c r="AN1098" s="1"/>
      <c r="AO1098" s="1"/>
      <c r="AP1098" s="488"/>
      <c r="AQ1098" s="488"/>
      <c r="AR1098" s="1"/>
      <c r="AS1098" s="1"/>
      <c r="AT1098" s="1"/>
      <c r="AU1098" s="1"/>
      <c r="AV1098" s="1"/>
      <c r="AW1098" s="1"/>
      <c r="AX1098" s="488"/>
      <c r="AY1098" s="1"/>
      <c r="AZ1098" s="1"/>
      <c r="BA1098" s="1"/>
      <c r="BB1098" s="1"/>
      <c r="BC1098" s="1"/>
      <c r="BD1098" s="1"/>
      <c r="BE1098" s="1"/>
    </row>
    <row r="1099" spans="9:57" x14ac:dyDescent="0.25">
      <c r="I1099" s="1"/>
      <c r="J1099" s="1"/>
      <c r="K1099" s="1"/>
      <c r="L1099" s="1"/>
      <c r="M1099" s="1"/>
      <c r="N1099" s="1"/>
      <c r="O1099" s="1"/>
      <c r="P1099" s="1"/>
      <c r="Q1099" s="1"/>
      <c r="R1099" s="1332"/>
      <c r="S1099" s="1332"/>
      <c r="T1099" s="1332"/>
      <c r="U1099" s="1332"/>
      <c r="V1099" s="1332"/>
      <c r="W1099" s="1332"/>
      <c r="X1099" s="1332"/>
      <c r="Y1099" s="1332"/>
      <c r="Z1099" s="1332"/>
      <c r="AA1099" s="1332"/>
      <c r="AB1099" s="1332"/>
      <c r="AC1099" s="1332"/>
      <c r="AD1099" s="1332"/>
      <c r="AE1099" s="1"/>
      <c r="AF1099" s="1"/>
      <c r="AG1099" s="1"/>
      <c r="AH1099" s="1"/>
      <c r="AI1099" s="1"/>
      <c r="AJ1099" s="1"/>
      <c r="AK1099" s="1"/>
      <c r="AL1099" s="1"/>
      <c r="AM1099" s="1"/>
      <c r="AN1099" s="1"/>
      <c r="AO1099" s="1"/>
      <c r="AP1099" s="488"/>
      <c r="AQ1099" s="488"/>
      <c r="AR1099" s="1"/>
      <c r="AS1099" s="1"/>
      <c r="AT1099" s="1"/>
      <c r="AU1099" s="1"/>
      <c r="AV1099" s="1"/>
      <c r="AW1099" s="1"/>
      <c r="AX1099" s="488"/>
      <c r="AY1099" s="1"/>
      <c r="AZ1099" s="1"/>
      <c r="BA1099" s="1"/>
      <c r="BB1099" s="1"/>
      <c r="BC1099" s="1"/>
      <c r="BD1099" s="1"/>
      <c r="BE1099" s="1"/>
    </row>
    <row r="1100" spans="9:57" x14ac:dyDescent="0.25">
      <c r="I1100" s="1"/>
      <c r="J1100" s="1"/>
      <c r="K1100" s="1"/>
      <c r="L1100" s="1"/>
      <c r="M1100" s="1"/>
      <c r="N1100" s="1"/>
      <c r="O1100" s="1"/>
      <c r="P1100" s="1"/>
      <c r="Q1100" s="1"/>
      <c r="R1100" s="1332"/>
      <c r="S1100" s="1332"/>
      <c r="T1100" s="1332"/>
      <c r="U1100" s="1332"/>
      <c r="V1100" s="1332"/>
      <c r="W1100" s="1332"/>
      <c r="X1100" s="1332"/>
      <c r="Y1100" s="1332"/>
      <c r="Z1100" s="1332"/>
      <c r="AA1100" s="1332"/>
      <c r="AB1100" s="1332"/>
      <c r="AC1100" s="1332"/>
      <c r="AD1100" s="1332"/>
      <c r="AE1100" s="1"/>
      <c r="AF1100" s="1"/>
      <c r="AG1100" s="1"/>
      <c r="AH1100" s="1"/>
      <c r="AI1100" s="1"/>
      <c r="AJ1100" s="1"/>
      <c r="AK1100" s="1"/>
      <c r="AL1100" s="1"/>
      <c r="AM1100" s="1"/>
      <c r="AN1100" s="1"/>
      <c r="AO1100" s="1"/>
      <c r="AP1100" s="488"/>
      <c r="AQ1100" s="488"/>
      <c r="AR1100" s="1"/>
      <c r="AS1100" s="1"/>
      <c r="AT1100" s="1"/>
      <c r="AU1100" s="1"/>
      <c r="AV1100" s="1"/>
      <c r="AW1100" s="1"/>
      <c r="AX1100" s="488"/>
      <c r="AY1100" s="1"/>
      <c r="AZ1100" s="1"/>
      <c r="BA1100" s="1"/>
      <c r="BB1100" s="1"/>
      <c r="BC1100" s="1"/>
      <c r="BD1100" s="1"/>
      <c r="BE1100" s="1"/>
    </row>
    <row r="1101" spans="9:57" x14ac:dyDescent="0.25">
      <c r="I1101" s="1"/>
      <c r="J1101" s="1"/>
      <c r="K1101" s="1"/>
      <c r="L1101" s="1"/>
      <c r="M1101" s="1"/>
      <c r="N1101" s="1"/>
      <c r="O1101" s="1"/>
      <c r="P1101" s="1"/>
      <c r="Q1101" s="1"/>
      <c r="R1101" s="1332"/>
      <c r="S1101" s="1332"/>
      <c r="T1101" s="1332"/>
      <c r="U1101" s="1332"/>
      <c r="V1101" s="1332"/>
      <c r="W1101" s="1332"/>
      <c r="X1101" s="1332"/>
      <c r="Y1101" s="1332"/>
      <c r="Z1101" s="1332"/>
      <c r="AA1101" s="1332"/>
      <c r="AB1101" s="1332"/>
      <c r="AC1101" s="1332"/>
      <c r="AD1101" s="1332"/>
      <c r="AE1101" s="1"/>
      <c r="AF1101" s="1"/>
      <c r="AG1101" s="1"/>
      <c r="AH1101" s="1"/>
      <c r="AI1101" s="1"/>
      <c r="AJ1101" s="1"/>
      <c r="AK1101" s="1"/>
      <c r="AL1101" s="1"/>
      <c r="AM1101" s="1"/>
      <c r="AN1101" s="1"/>
      <c r="AO1101" s="1"/>
      <c r="AP1101" s="488"/>
      <c r="AQ1101" s="488"/>
      <c r="AR1101" s="1"/>
      <c r="AS1101" s="1"/>
      <c r="AT1101" s="1"/>
      <c r="AU1101" s="1"/>
      <c r="AV1101" s="1"/>
      <c r="AW1101" s="1"/>
      <c r="AX1101" s="488"/>
      <c r="AY1101" s="1"/>
      <c r="AZ1101" s="1"/>
      <c r="BA1101" s="1"/>
      <c r="BB1101" s="1"/>
      <c r="BC1101" s="1"/>
      <c r="BD1101" s="1"/>
      <c r="BE1101" s="1"/>
    </row>
    <row r="1102" spans="9:57" x14ac:dyDescent="0.25">
      <c r="I1102" s="1"/>
      <c r="J1102" s="1"/>
      <c r="K1102" s="1"/>
      <c r="L1102" s="1"/>
      <c r="M1102" s="1"/>
      <c r="N1102" s="1"/>
      <c r="O1102" s="1"/>
      <c r="P1102" s="1"/>
      <c r="Q1102" s="1"/>
      <c r="R1102" s="1332"/>
      <c r="S1102" s="1332"/>
      <c r="T1102" s="1332"/>
      <c r="U1102" s="1332"/>
      <c r="V1102" s="1332"/>
      <c r="W1102" s="1332"/>
      <c r="X1102" s="1332"/>
      <c r="Y1102" s="1332"/>
      <c r="Z1102" s="1332"/>
      <c r="AA1102" s="1332"/>
      <c r="AB1102" s="1332"/>
      <c r="AC1102" s="1332"/>
      <c r="AD1102" s="1332"/>
      <c r="AE1102" s="1"/>
      <c r="AF1102" s="1"/>
      <c r="AG1102" s="1"/>
      <c r="AH1102" s="1"/>
      <c r="AI1102" s="1"/>
      <c r="AJ1102" s="1"/>
      <c r="AK1102" s="1"/>
      <c r="AL1102" s="1"/>
      <c r="AM1102" s="1"/>
      <c r="AN1102" s="1"/>
      <c r="AO1102" s="1"/>
      <c r="AP1102" s="488"/>
      <c r="AQ1102" s="488"/>
      <c r="AR1102" s="1"/>
      <c r="AS1102" s="1"/>
      <c r="AT1102" s="1"/>
      <c r="AU1102" s="1"/>
      <c r="AV1102" s="1"/>
      <c r="AW1102" s="1"/>
      <c r="AX1102" s="488"/>
      <c r="AY1102" s="1"/>
      <c r="AZ1102" s="1"/>
      <c r="BA1102" s="1"/>
      <c r="BB1102" s="1"/>
      <c r="BC1102" s="1"/>
      <c r="BD1102" s="1"/>
      <c r="BE1102" s="1"/>
    </row>
    <row r="1103" spans="9:57" x14ac:dyDescent="0.25">
      <c r="I1103" s="1"/>
      <c r="J1103" s="1"/>
      <c r="K1103" s="1"/>
      <c r="L1103" s="1"/>
      <c r="M1103" s="1"/>
      <c r="N1103" s="1"/>
      <c r="O1103" s="1"/>
      <c r="P1103" s="1"/>
      <c r="Q1103" s="1"/>
      <c r="R1103" s="1332"/>
      <c r="S1103" s="1332"/>
      <c r="T1103" s="1332"/>
      <c r="U1103" s="1332"/>
      <c r="V1103" s="1332"/>
      <c r="W1103" s="1332"/>
      <c r="X1103" s="1332"/>
      <c r="Y1103" s="1332"/>
      <c r="Z1103" s="1332"/>
      <c r="AA1103" s="1332"/>
      <c r="AB1103" s="1332"/>
      <c r="AC1103" s="1332"/>
      <c r="AD1103" s="1332"/>
      <c r="AE1103" s="1"/>
      <c r="AF1103" s="1"/>
      <c r="AG1103" s="1"/>
      <c r="AH1103" s="1"/>
      <c r="AI1103" s="1"/>
      <c r="AJ1103" s="1"/>
      <c r="AK1103" s="1"/>
      <c r="AL1103" s="1"/>
      <c r="AM1103" s="1"/>
      <c r="AN1103" s="1"/>
      <c r="AO1103" s="1"/>
      <c r="AP1103" s="488"/>
      <c r="AQ1103" s="488"/>
      <c r="AR1103" s="1"/>
      <c r="AS1103" s="1"/>
      <c r="AT1103" s="1"/>
      <c r="AU1103" s="1"/>
      <c r="AV1103" s="1"/>
      <c r="AW1103" s="1"/>
      <c r="AX1103" s="488"/>
      <c r="AY1103" s="1"/>
      <c r="AZ1103" s="1"/>
      <c r="BA1103" s="1"/>
      <c r="BB1103" s="1"/>
      <c r="BC1103" s="1"/>
      <c r="BD1103" s="1"/>
      <c r="BE1103" s="1"/>
    </row>
    <row r="1104" spans="9:57" x14ac:dyDescent="0.25">
      <c r="I1104" s="1"/>
      <c r="J1104" s="1"/>
      <c r="K1104" s="1"/>
      <c r="L1104" s="1"/>
      <c r="M1104" s="1"/>
      <c r="N1104" s="1"/>
      <c r="O1104" s="1"/>
      <c r="P1104" s="1"/>
      <c r="Q1104" s="1"/>
      <c r="R1104" s="1332"/>
      <c r="S1104" s="1332"/>
      <c r="T1104" s="1332"/>
      <c r="U1104" s="1332"/>
      <c r="V1104" s="1332"/>
      <c r="W1104" s="1332"/>
      <c r="X1104" s="1332"/>
      <c r="Y1104" s="1332"/>
      <c r="Z1104" s="1332"/>
      <c r="AA1104" s="1332"/>
      <c r="AB1104" s="1332"/>
      <c r="AC1104" s="1332"/>
      <c r="AD1104" s="1332"/>
      <c r="AE1104" s="1"/>
      <c r="AF1104" s="1"/>
      <c r="AG1104" s="1"/>
      <c r="AH1104" s="1"/>
      <c r="AI1104" s="1"/>
      <c r="AJ1104" s="1"/>
      <c r="AK1104" s="1"/>
      <c r="AL1104" s="1"/>
      <c r="AM1104" s="1"/>
      <c r="AN1104" s="1"/>
      <c r="AO1104" s="1"/>
      <c r="AP1104" s="488"/>
      <c r="AQ1104" s="488"/>
      <c r="AR1104" s="1"/>
      <c r="AS1104" s="1"/>
      <c r="AT1104" s="1"/>
      <c r="AU1104" s="1"/>
      <c r="AV1104" s="1"/>
      <c r="AW1104" s="1"/>
      <c r="AX1104" s="488"/>
      <c r="AY1104" s="1"/>
      <c r="AZ1104" s="1"/>
      <c r="BA1104" s="1"/>
      <c r="BB1104" s="1"/>
      <c r="BC1104" s="1"/>
      <c r="BD1104" s="1"/>
      <c r="BE1104" s="1"/>
    </row>
    <row r="1105" spans="9:57" x14ac:dyDescent="0.25">
      <c r="I1105" s="1"/>
      <c r="J1105" s="1"/>
      <c r="K1105" s="1"/>
      <c r="L1105" s="1"/>
      <c r="M1105" s="1"/>
      <c r="N1105" s="1"/>
      <c r="O1105" s="1"/>
      <c r="P1105" s="1"/>
      <c r="Q1105" s="1"/>
      <c r="R1105" s="1332"/>
      <c r="S1105" s="1332"/>
      <c r="T1105" s="1332"/>
      <c r="U1105" s="1332"/>
      <c r="V1105" s="1332"/>
      <c r="W1105" s="1332"/>
      <c r="X1105" s="1332"/>
      <c r="Y1105" s="1332"/>
      <c r="Z1105" s="1332"/>
      <c r="AA1105" s="1332"/>
      <c r="AB1105" s="1332"/>
      <c r="AC1105" s="1332"/>
      <c r="AD1105" s="1332"/>
      <c r="AE1105" s="1"/>
      <c r="AF1105" s="1"/>
      <c r="AG1105" s="1"/>
      <c r="AH1105" s="1"/>
      <c r="AI1105" s="1"/>
      <c r="AJ1105" s="1"/>
      <c r="AK1105" s="1"/>
      <c r="AL1105" s="1"/>
      <c r="AM1105" s="1"/>
      <c r="AN1105" s="1"/>
      <c r="AO1105" s="1"/>
      <c r="AP1105" s="488"/>
      <c r="AQ1105" s="488"/>
      <c r="AR1105" s="1"/>
      <c r="AS1105" s="1"/>
      <c r="AT1105" s="1"/>
      <c r="AU1105" s="1"/>
      <c r="AV1105" s="1"/>
      <c r="AW1105" s="1"/>
      <c r="AX1105" s="488"/>
      <c r="AY1105" s="1"/>
      <c r="AZ1105" s="1"/>
      <c r="BA1105" s="1"/>
      <c r="BB1105" s="1"/>
      <c r="BC1105" s="1"/>
      <c r="BD1105" s="1"/>
      <c r="BE1105" s="1"/>
    </row>
    <row r="1106" spans="9:57" x14ac:dyDescent="0.25">
      <c r="I1106" s="1"/>
      <c r="J1106" s="1"/>
      <c r="K1106" s="1"/>
      <c r="L1106" s="1"/>
      <c r="M1106" s="1"/>
      <c r="N1106" s="1"/>
      <c r="O1106" s="1"/>
      <c r="P1106" s="1"/>
      <c r="Q1106" s="1"/>
      <c r="R1106" s="1332"/>
      <c r="S1106" s="1332"/>
      <c r="T1106" s="1332"/>
      <c r="U1106" s="1332"/>
      <c r="V1106" s="1332"/>
      <c r="W1106" s="1332"/>
      <c r="X1106" s="1332"/>
      <c r="Y1106" s="1332"/>
      <c r="Z1106" s="1332"/>
      <c r="AA1106" s="1332"/>
      <c r="AB1106" s="1332"/>
      <c r="AC1106" s="1332"/>
      <c r="AD1106" s="1332"/>
      <c r="AE1106" s="1"/>
      <c r="AF1106" s="1"/>
      <c r="AG1106" s="1"/>
      <c r="AH1106" s="1"/>
      <c r="AI1106" s="1"/>
      <c r="AJ1106" s="1"/>
      <c r="AK1106" s="1"/>
      <c r="AL1106" s="1"/>
      <c r="AM1106" s="1"/>
      <c r="AN1106" s="1"/>
      <c r="AO1106" s="1"/>
      <c r="AP1106" s="488"/>
      <c r="AQ1106" s="488"/>
      <c r="AR1106" s="1"/>
      <c r="AS1106" s="1"/>
      <c r="AT1106" s="1"/>
      <c r="AU1106" s="1"/>
      <c r="AV1106" s="1"/>
      <c r="AW1106" s="1"/>
      <c r="AX1106" s="488"/>
      <c r="AY1106" s="1"/>
      <c r="AZ1106" s="1"/>
      <c r="BA1106" s="1"/>
      <c r="BB1106" s="1"/>
      <c r="BC1106" s="1"/>
      <c r="BD1106" s="1"/>
      <c r="BE1106" s="1"/>
    </row>
    <row r="1107" spans="9:57" x14ac:dyDescent="0.25">
      <c r="I1107" s="1"/>
      <c r="J1107" s="1"/>
      <c r="K1107" s="1"/>
      <c r="L1107" s="1"/>
      <c r="M1107" s="1"/>
      <c r="N1107" s="1"/>
      <c r="O1107" s="1"/>
      <c r="P1107" s="1"/>
      <c r="Q1107" s="1"/>
      <c r="R1107" s="1332"/>
      <c r="S1107" s="1332"/>
      <c r="T1107" s="1332"/>
      <c r="U1107" s="1332"/>
      <c r="V1107" s="1332"/>
      <c r="W1107" s="1332"/>
      <c r="X1107" s="1332"/>
      <c r="Y1107" s="1332"/>
      <c r="Z1107" s="1332"/>
      <c r="AA1107" s="1332"/>
      <c r="AB1107" s="1332"/>
      <c r="AC1107" s="1332"/>
      <c r="AD1107" s="1332"/>
      <c r="AE1107" s="1"/>
      <c r="AF1107" s="1"/>
      <c r="AG1107" s="1"/>
      <c r="AH1107" s="1"/>
      <c r="AI1107" s="1"/>
      <c r="AJ1107" s="1"/>
      <c r="AK1107" s="1"/>
      <c r="AL1107" s="1"/>
      <c r="AM1107" s="1"/>
      <c r="AN1107" s="1"/>
      <c r="AO1107" s="1"/>
      <c r="AP1107" s="488"/>
      <c r="AQ1107" s="488"/>
      <c r="AR1107" s="1"/>
      <c r="AS1107" s="1"/>
      <c r="AT1107" s="1"/>
      <c r="AU1107" s="1"/>
      <c r="AV1107" s="1"/>
      <c r="AW1107" s="1"/>
      <c r="AX1107" s="488"/>
      <c r="AY1107" s="1"/>
      <c r="AZ1107" s="1"/>
      <c r="BA1107" s="1"/>
      <c r="BB1107" s="1"/>
      <c r="BC1107" s="1"/>
      <c r="BD1107" s="1"/>
      <c r="BE1107" s="1"/>
    </row>
    <row r="1108" spans="9:57" x14ac:dyDescent="0.25">
      <c r="I1108" s="1"/>
      <c r="J1108" s="1"/>
      <c r="K1108" s="1"/>
      <c r="L1108" s="1"/>
      <c r="M1108" s="1"/>
      <c r="N1108" s="1"/>
      <c r="O1108" s="1"/>
      <c r="P1108" s="1"/>
      <c r="Q1108" s="1"/>
      <c r="R1108" s="1332"/>
      <c r="S1108" s="1332"/>
      <c r="T1108" s="1332"/>
      <c r="U1108" s="1332"/>
      <c r="V1108" s="1332"/>
      <c r="W1108" s="1332"/>
      <c r="X1108" s="1332"/>
      <c r="Y1108" s="1332"/>
      <c r="Z1108" s="1332"/>
      <c r="AA1108" s="1332"/>
      <c r="AB1108" s="1332"/>
      <c r="AC1108" s="1332"/>
      <c r="AD1108" s="1332"/>
      <c r="AE1108" s="1"/>
      <c r="AF1108" s="1"/>
      <c r="AG1108" s="1"/>
      <c r="AH1108" s="1"/>
      <c r="AI1108" s="1"/>
      <c r="AJ1108" s="1"/>
      <c r="AK1108" s="1"/>
      <c r="AL1108" s="1"/>
      <c r="AM1108" s="1"/>
      <c r="AN1108" s="1"/>
      <c r="AO1108" s="1"/>
      <c r="AP1108" s="488"/>
      <c r="AQ1108" s="488"/>
      <c r="AR1108" s="1"/>
      <c r="AS1108" s="1"/>
      <c r="AT1108" s="1"/>
      <c r="AU1108" s="1"/>
      <c r="AV1108" s="1"/>
      <c r="AW1108" s="1"/>
      <c r="AX1108" s="488"/>
      <c r="AY1108" s="1"/>
      <c r="AZ1108" s="1"/>
      <c r="BA1108" s="1"/>
      <c r="BB1108" s="1"/>
      <c r="BC1108" s="1"/>
      <c r="BD1108" s="1"/>
      <c r="BE1108" s="1"/>
    </row>
    <row r="1109" spans="9:57" x14ac:dyDescent="0.25">
      <c r="I1109" s="1"/>
      <c r="J1109" s="1"/>
      <c r="K1109" s="1"/>
      <c r="L1109" s="1"/>
      <c r="M1109" s="1"/>
      <c r="N1109" s="1"/>
      <c r="O1109" s="1"/>
      <c r="P1109" s="1"/>
      <c r="Q1109" s="1"/>
      <c r="R1109" s="1332"/>
      <c r="S1109" s="1332"/>
      <c r="T1109" s="1332"/>
      <c r="U1109" s="1332"/>
      <c r="V1109" s="1332"/>
      <c r="W1109" s="1332"/>
      <c r="X1109" s="1332"/>
      <c r="Y1109" s="1332"/>
      <c r="Z1109" s="1332"/>
      <c r="AA1109" s="1332"/>
      <c r="AB1109" s="1332"/>
      <c r="AC1109" s="1332"/>
      <c r="AD1109" s="1332"/>
      <c r="AE1109" s="1"/>
      <c r="AF1109" s="1"/>
      <c r="AG1109" s="1"/>
      <c r="AH1109" s="1"/>
      <c r="AI1109" s="1"/>
      <c r="AJ1109" s="1"/>
      <c r="AK1109" s="1"/>
      <c r="AL1109" s="1"/>
      <c r="AM1109" s="1"/>
      <c r="AN1109" s="1"/>
      <c r="AO1109" s="1"/>
      <c r="AP1109" s="488"/>
      <c r="AQ1109" s="488"/>
      <c r="AR1109" s="1"/>
      <c r="AS1109" s="1"/>
      <c r="AT1109" s="1"/>
      <c r="AU1109" s="1"/>
      <c r="AV1109" s="1"/>
      <c r="AW1109" s="1"/>
      <c r="AX1109" s="488"/>
      <c r="AY1109" s="1"/>
      <c r="AZ1109" s="1"/>
      <c r="BA1109" s="1"/>
      <c r="BB1109" s="1"/>
      <c r="BC1109" s="1"/>
      <c r="BD1109" s="1"/>
      <c r="BE1109" s="1"/>
    </row>
    <row r="1110" spans="9:57" x14ac:dyDescent="0.25">
      <c r="I1110" s="1"/>
      <c r="J1110" s="1"/>
      <c r="K1110" s="1"/>
      <c r="L1110" s="1"/>
      <c r="M1110" s="1"/>
      <c r="N1110" s="1"/>
      <c r="O1110" s="1"/>
      <c r="P1110" s="1"/>
      <c r="Q1110" s="1"/>
      <c r="R1110" s="1332"/>
      <c r="S1110" s="1332"/>
      <c r="T1110" s="1332"/>
      <c r="U1110" s="1332"/>
      <c r="V1110" s="1332"/>
      <c r="W1110" s="1332"/>
      <c r="X1110" s="1332"/>
      <c r="Y1110" s="1332"/>
      <c r="Z1110" s="1332"/>
      <c r="AA1110" s="1332"/>
      <c r="AB1110" s="1332"/>
      <c r="AC1110" s="1332"/>
      <c r="AD1110" s="1332"/>
      <c r="AE1110" s="1"/>
      <c r="AF1110" s="1"/>
      <c r="AG1110" s="1"/>
      <c r="AH1110" s="1"/>
      <c r="AI1110" s="1"/>
      <c r="AJ1110" s="1"/>
      <c r="AK1110" s="1"/>
      <c r="AL1110" s="1"/>
      <c r="AM1110" s="1"/>
      <c r="AN1110" s="1"/>
      <c r="AO1110" s="1"/>
      <c r="AP1110" s="488"/>
      <c r="AQ1110" s="488"/>
      <c r="AR1110" s="1"/>
      <c r="AS1110" s="1"/>
      <c r="AT1110" s="1"/>
      <c r="AU1110" s="1"/>
      <c r="AV1110" s="1"/>
      <c r="AW1110" s="1"/>
      <c r="AX1110" s="488"/>
      <c r="AY1110" s="1"/>
      <c r="AZ1110" s="1"/>
      <c r="BA1110" s="1"/>
      <c r="BB1110" s="1"/>
      <c r="BC1110" s="1"/>
      <c r="BD1110" s="1"/>
      <c r="BE1110" s="1"/>
    </row>
    <row r="1111" spans="9:57" x14ac:dyDescent="0.25">
      <c r="I1111" s="1"/>
      <c r="J1111" s="1"/>
      <c r="K1111" s="1"/>
      <c r="L1111" s="1"/>
      <c r="M1111" s="1"/>
      <c r="N1111" s="1"/>
      <c r="O1111" s="1"/>
      <c r="P1111" s="1"/>
      <c r="Q1111" s="1"/>
      <c r="R1111" s="1332"/>
      <c r="S1111" s="1332"/>
      <c r="T1111" s="1332"/>
      <c r="U1111" s="1332"/>
      <c r="V1111" s="1332"/>
      <c r="W1111" s="1332"/>
      <c r="X1111" s="1332"/>
      <c r="Y1111" s="1332"/>
      <c r="Z1111" s="1332"/>
      <c r="AA1111" s="1332"/>
      <c r="AB1111" s="1332"/>
      <c r="AC1111" s="1332"/>
      <c r="AD1111" s="1332"/>
      <c r="AE1111" s="1"/>
      <c r="AF1111" s="1"/>
      <c r="AG1111" s="1"/>
      <c r="AH1111" s="1"/>
      <c r="AI1111" s="1"/>
      <c r="AJ1111" s="1"/>
      <c r="AK1111" s="1"/>
      <c r="AL1111" s="1"/>
      <c r="AM1111" s="1"/>
      <c r="AN1111" s="1"/>
      <c r="AO1111" s="1"/>
      <c r="AP1111" s="488"/>
      <c r="AQ1111" s="488"/>
      <c r="AR1111" s="1"/>
      <c r="AS1111" s="1"/>
      <c r="AT1111" s="1"/>
      <c r="AU1111" s="1"/>
      <c r="AV1111" s="1"/>
      <c r="AW1111" s="1"/>
      <c r="AX1111" s="488"/>
      <c r="AY1111" s="1"/>
      <c r="AZ1111" s="1"/>
      <c r="BA1111" s="1"/>
      <c r="BB1111" s="1"/>
      <c r="BC1111" s="1"/>
      <c r="BD1111" s="1"/>
      <c r="BE1111" s="1"/>
    </row>
    <row r="1112" spans="9:57" x14ac:dyDescent="0.25">
      <c r="I1112" s="1"/>
      <c r="J1112" s="1"/>
      <c r="K1112" s="1"/>
      <c r="L1112" s="1"/>
      <c r="M1112" s="1"/>
      <c r="N1112" s="1"/>
      <c r="O1112" s="1"/>
      <c r="P1112" s="1"/>
      <c r="Q1112" s="1"/>
      <c r="R1112" s="1332"/>
      <c r="S1112" s="1332"/>
      <c r="T1112" s="1332"/>
      <c r="U1112" s="1332"/>
      <c r="V1112" s="1332"/>
      <c r="W1112" s="1332"/>
      <c r="X1112" s="1332"/>
      <c r="Y1112" s="1332"/>
      <c r="Z1112" s="1332"/>
      <c r="AA1112" s="1332"/>
      <c r="AB1112" s="1332"/>
      <c r="AC1112" s="1332"/>
      <c r="AD1112" s="1332"/>
      <c r="AE1112" s="1"/>
      <c r="AF1112" s="1"/>
      <c r="AG1112" s="1"/>
      <c r="AH1112" s="1"/>
      <c r="AI1112" s="1"/>
      <c r="AJ1112" s="1"/>
      <c r="AK1112" s="1"/>
      <c r="AL1112" s="1"/>
      <c r="AM1112" s="1"/>
      <c r="AN1112" s="1"/>
      <c r="AO1112" s="1"/>
      <c r="AP1112" s="488"/>
      <c r="AQ1112" s="488"/>
      <c r="AR1112" s="1"/>
      <c r="AS1112" s="1"/>
      <c r="AT1112" s="1"/>
      <c r="AU1112" s="1"/>
      <c r="AV1112" s="1"/>
      <c r="AW1112" s="1"/>
      <c r="AX1112" s="488"/>
      <c r="AY1112" s="1"/>
      <c r="AZ1112" s="1"/>
      <c r="BA1112" s="1"/>
      <c r="BB1112" s="1"/>
      <c r="BC1112" s="1"/>
      <c r="BD1112" s="1"/>
      <c r="BE1112" s="1"/>
    </row>
    <row r="1113" spans="9:57" x14ac:dyDescent="0.25">
      <c r="I1113" s="1"/>
      <c r="J1113" s="1"/>
      <c r="K1113" s="1"/>
      <c r="L1113" s="1"/>
      <c r="M1113" s="1"/>
      <c r="N1113" s="1"/>
      <c r="O1113" s="1"/>
      <c r="P1113" s="1"/>
      <c r="Q1113" s="1"/>
      <c r="R1113" s="1332"/>
      <c r="S1113" s="1332"/>
      <c r="T1113" s="1332"/>
      <c r="U1113" s="1332"/>
      <c r="V1113" s="1332"/>
      <c r="W1113" s="1332"/>
      <c r="X1113" s="1332"/>
      <c r="Y1113" s="1332"/>
      <c r="Z1113" s="1332"/>
      <c r="AA1113" s="1332"/>
      <c r="AB1113" s="1332"/>
      <c r="AC1113" s="1332"/>
      <c r="AD1113" s="1332"/>
      <c r="AE1113" s="1"/>
      <c r="AF1113" s="1"/>
      <c r="AG1113" s="1"/>
      <c r="AH1113" s="1"/>
      <c r="AI1113" s="1"/>
      <c r="AJ1113" s="1"/>
      <c r="AK1113" s="1"/>
      <c r="AL1113" s="1"/>
      <c r="AM1113" s="1"/>
      <c r="AN1113" s="1"/>
      <c r="AO1113" s="1"/>
      <c r="AP1113" s="488"/>
      <c r="AQ1113" s="488"/>
      <c r="AR1113" s="1"/>
      <c r="AS1113" s="1"/>
      <c r="AT1113" s="1"/>
      <c r="AU1113" s="1"/>
      <c r="AV1113" s="1"/>
      <c r="AW1113" s="1"/>
      <c r="AX1113" s="488"/>
      <c r="AY1113" s="1"/>
      <c r="AZ1113" s="1"/>
      <c r="BA1113" s="1"/>
      <c r="BB1113" s="1"/>
      <c r="BC1113" s="1"/>
      <c r="BD1113" s="1"/>
      <c r="BE1113" s="1"/>
    </row>
    <row r="1114" spans="9:57" x14ac:dyDescent="0.25">
      <c r="I1114" s="1"/>
      <c r="J1114" s="1"/>
      <c r="K1114" s="1"/>
      <c r="L1114" s="1"/>
      <c r="M1114" s="1"/>
      <c r="N1114" s="1"/>
      <c r="O1114" s="1"/>
      <c r="P1114" s="1"/>
      <c r="Q1114" s="1"/>
      <c r="R1114" s="1332"/>
      <c r="S1114" s="1332"/>
      <c r="T1114" s="1332"/>
      <c r="U1114" s="1332"/>
      <c r="V1114" s="1332"/>
      <c r="W1114" s="1332"/>
      <c r="X1114" s="1332"/>
      <c r="Y1114" s="1332"/>
      <c r="Z1114" s="1332"/>
      <c r="AA1114" s="1332"/>
      <c r="AB1114" s="1332"/>
      <c r="AC1114" s="1332"/>
      <c r="AD1114" s="1332"/>
      <c r="AE1114" s="1"/>
      <c r="AF1114" s="1"/>
      <c r="AG1114" s="1"/>
      <c r="AH1114" s="1"/>
      <c r="AI1114" s="1"/>
      <c r="AJ1114" s="1"/>
      <c r="AK1114" s="1"/>
      <c r="AL1114" s="1"/>
      <c r="AM1114" s="1"/>
      <c r="AN1114" s="1"/>
      <c r="AO1114" s="1"/>
      <c r="AP1114" s="488"/>
      <c r="AQ1114" s="488"/>
      <c r="AR1114" s="1"/>
      <c r="AS1114" s="1"/>
      <c r="AT1114" s="1"/>
      <c r="AU1114" s="1"/>
      <c r="AV1114" s="1"/>
      <c r="AW1114" s="1"/>
      <c r="AX1114" s="488"/>
      <c r="AY1114" s="1"/>
      <c r="AZ1114" s="1"/>
      <c r="BA1114" s="1"/>
      <c r="BB1114" s="1"/>
      <c r="BC1114" s="1"/>
      <c r="BD1114" s="1"/>
      <c r="BE1114" s="1"/>
    </row>
    <row r="1115" spans="9:57" x14ac:dyDescent="0.25">
      <c r="I1115" s="1"/>
      <c r="J1115" s="1"/>
      <c r="K1115" s="1"/>
      <c r="L1115" s="1"/>
      <c r="M1115" s="1"/>
      <c r="N1115" s="1"/>
      <c r="O1115" s="1"/>
      <c r="P1115" s="1"/>
      <c r="Q1115" s="1"/>
      <c r="R1115" s="1332"/>
      <c r="S1115" s="1332"/>
      <c r="T1115" s="1332"/>
      <c r="U1115" s="1332"/>
      <c r="V1115" s="1332"/>
      <c r="W1115" s="1332"/>
      <c r="X1115" s="1332"/>
      <c r="Y1115" s="1332"/>
      <c r="Z1115" s="1332"/>
      <c r="AA1115" s="1332"/>
      <c r="AB1115" s="1332"/>
      <c r="AC1115" s="1332"/>
      <c r="AD1115" s="1332"/>
      <c r="AE1115" s="1"/>
      <c r="AF1115" s="1"/>
      <c r="AG1115" s="1"/>
      <c r="AH1115" s="1"/>
      <c r="AI1115" s="1"/>
      <c r="AJ1115" s="1"/>
      <c r="AK1115" s="1"/>
      <c r="AL1115" s="1"/>
      <c r="AM1115" s="1"/>
      <c r="AN1115" s="1"/>
      <c r="AO1115" s="1"/>
      <c r="AP1115" s="488"/>
      <c r="AQ1115" s="488"/>
      <c r="AR1115" s="1"/>
      <c r="AS1115" s="1"/>
      <c r="AT1115" s="1"/>
      <c r="AU1115" s="1"/>
      <c r="AV1115" s="1"/>
      <c r="AW1115" s="1"/>
      <c r="AX1115" s="488"/>
      <c r="AY1115" s="1"/>
      <c r="AZ1115" s="1"/>
      <c r="BA1115" s="1"/>
      <c r="BB1115" s="1"/>
      <c r="BC1115" s="1"/>
      <c r="BD1115" s="1"/>
      <c r="BE1115" s="1"/>
    </row>
    <row r="1116" spans="9:57" x14ac:dyDescent="0.25">
      <c r="I1116" s="1"/>
      <c r="J1116" s="1"/>
      <c r="K1116" s="1"/>
      <c r="L1116" s="1"/>
      <c r="M1116" s="1"/>
      <c r="N1116" s="1"/>
      <c r="O1116" s="1"/>
      <c r="P1116" s="1"/>
      <c r="Q1116" s="1"/>
      <c r="R1116" s="1332"/>
      <c r="S1116" s="1332"/>
      <c r="T1116" s="1332"/>
      <c r="U1116" s="1332"/>
      <c r="V1116" s="1332"/>
      <c r="W1116" s="1332"/>
      <c r="X1116" s="1332"/>
      <c r="Y1116" s="1332"/>
      <c r="Z1116" s="1332"/>
      <c r="AA1116" s="1332"/>
      <c r="AB1116" s="1332"/>
      <c r="AC1116" s="1332"/>
      <c r="AD1116" s="1332"/>
      <c r="AE1116" s="1"/>
      <c r="AF1116" s="1"/>
      <c r="AG1116" s="1"/>
      <c r="AH1116" s="1"/>
      <c r="AI1116" s="1"/>
      <c r="AJ1116" s="1"/>
      <c r="AK1116" s="1"/>
      <c r="AL1116" s="1"/>
      <c r="AM1116" s="1"/>
      <c r="AN1116" s="1"/>
      <c r="AO1116" s="1"/>
      <c r="AP1116" s="488"/>
      <c r="AQ1116" s="488"/>
      <c r="AR1116" s="1"/>
      <c r="AS1116" s="1"/>
      <c r="AT1116" s="1"/>
      <c r="AU1116" s="1"/>
      <c r="AV1116" s="1"/>
      <c r="AW1116" s="1"/>
      <c r="AX1116" s="488"/>
      <c r="AY1116" s="1"/>
      <c r="AZ1116" s="1"/>
      <c r="BA1116" s="1"/>
      <c r="BB1116" s="1"/>
      <c r="BC1116" s="1"/>
      <c r="BD1116" s="1"/>
      <c r="BE1116" s="1"/>
    </row>
    <row r="1117" spans="9:57" x14ac:dyDescent="0.25">
      <c r="I1117" s="1"/>
      <c r="J1117" s="1"/>
      <c r="K1117" s="1"/>
      <c r="L1117" s="1"/>
      <c r="M1117" s="1"/>
      <c r="N1117" s="1"/>
      <c r="O1117" s="1"/>
      <c r="P1117" s="1"/>
      <c r="Q1117" s="1"/>
      <c r="R1117" s="1332"/>
      <c r="S1117" s="1332"/>
      <c r="T1117" s="1332"/>
      <c r="U1117" s="1332"/>
      <c r="V1117" s="1332"/>
      <c r="W1117" s="1332"/>
      <c r="X1117" s="1332"/>
      <c r="Y1117" s="1332"/>
      <c r="Z1117" s="1332"/>
      <c r="AA1117" s="1332"/>
      <c r="AB1117" s="1332"/>
      <c r="AC1117" s="1332"/>
      <c r="AD1117" s="1332"/>
      <c r="AE1117" s="1"/>
      <c r="AF1117" s="1"/>
      <c r="AG1117" s="1"/>
      <c r="AH1117" s="1"/>
      <c r="AI1117" s="1"/>
      <c r="AJ1117" s="1"/>
      <c r="AK1117" s="1"/>
      <c r="AL1117" s="1"/>
      <c r="AM1117" s="1"/>
      <c r="AN1117" s="1"/>
      <c r="AO1117" s="1"/>
      <c r="AP1117" s="488"/>
      <c r="AQ1117" s="488"/>
      <c r="AR1117" s="1"/>
      <c r="AS1117" s="1"/>
      <c r="AT1117" s="1"/>
      <c r="AU1117" s="1"/>
      <c r="AV1117" s="1"/>
      <c r="AW1117" s="1"/>
      <c r="AX1117" s="488"/>
      <c r="AY1117" s="1"/>
      <c r="AZ1117" s="1"/>
      <c r="BA1117" s="1"/>
      <c r="BB1117" s="1"/>
      <c r="BC1117" s="1"/>
      <c r="BD1117" s="1"/>
      <c r="BE1117" s="1"/>
    </row>
    <row r="1118" spans="9:57" x14ac:dyDescent="0.25">
      <c r="I1118" s="1"/>
      <c r="J1118" s="1"/>
      <c r="K1118" s="1"/>
      <c r="L1118" s="1"/>
      <c r="M1118" s="1"/>
      <c r="N1118" s="1"/>
      <c r="O1118" s="1"/>
      <c r="P1118" s="1"/>
      <c r="Q1118" s="1"/>
      <c r="R1118" s="1332"/>
      <c r="S1118" s="1332"/>
      <c r="T1118" s="1332"/>
      <c r="U1118" s="1332"/>
      <c r="V1118" s="1332"/>
      <c r="W1118" s="1332"/>
      <c r="X1118" s="1332"/>
      <c r="Y1118" s="1332"/>
      <c r="Z1118" s="1332"/>
      <c r="AA1118" s="1332"/>
      <c r="AB1118" s="1332"/>
      <c r="AC1118" s="1332"/>
      <c r="AD1118" s="1332"/>
      <c r="AE1118" s="1"/>
      <c r="AF1118" s="1"/>
      <c r="AG1118" s="1"/>
      <c r="AH1118" s="1"/>
      <c r="AI1118" s="1"/>
      <c r="AJ1118" s="1"/>
      <c r="AK1118" s="1"/>
      <c r="AL1118" s="1"/>
      <c r="AM1118" s="1"/>
      <c r="AN1118" s="1"/>
      <c r="AO1118" s="1"/>
      <c r="AP1118" s="488"/>
      <c r="AQ1118" s="488"/>
      <c r="AR1118" s="1"/>
      <c r="AS1118" s="1"/>
      <c r="AT1118" s="1"/>
      <c r="AU1118" s="1"/>
      <c r="AV1118" s="1"/>
      <c r="AW1118" s="1"/>
      <c r="AX1118" s="488"/>
      <c r="AY1118" s="1"/>
      <c r="AZ1118" s="1"/>
      <c r="BA1118" s="1"/>
      <c r="BB1118" s="1"/>
      <c r="BC1118" s="1"/>
      <c r="BD1118" s="1"/>
      <c r="BE1118" s="1"/>
    </row>
    <row r="1119" spans="9:57" x14ac:dyDescent="0.25">
      <c r="I1119" s="1"/>
      <c r="J1119" s="1"/>
      <c r="K1119" s="1"/>
      <c r="L1119" s="1"/>
      <c r="M1119" s="1"/>
      <c r="N1119" s="1"/>
      <c r="O1119" s="1"/>
      <c r="P1119" s="1"/>
      <c r="Q1119" s="1"/>
      <c r="R1119" s="1332"/>
      <c r="S1119" s="1332"/>
      <c r="T1119" s="1332"/>
      <c r="U1119" s="1332"/>
      <c r="V1119" s="1332"/>
      <c r="W1119" s="1332"/>
      <c r="X1119" s="1332"/>
      <c r="Y1119" s="1332"/>
      <c r="Z1119" s="1332"/>
      <c r="AA1119" s="1332"/>
      <c r="AB1119" s="1332"/>
      <c r="AC1119" s="1332"/>
      <c r="AD1119" s="1332"/>
      <c r="AE1119" s="1"/>
      <c r="AF1119" s="1"/>
      <c r="AG1119" s="1"/>
      <c r="AH1119" s="1"/>
      <c r="AI1119" s="1"/>
      <c r="AJ1119" s="1"/>
      <c r="AK1119" s="1"/>
      <c r="AL1119" s="1"/>
      <c r="AM1119" s="1"/>
      <c r="AN1119" s="1"/>
      <c r="AO1119" s="1"/>
      <c r="AP1119" s="488"/>
      <c r="AQ1119" s="488"/>
      <c r="AR1119" s="1"/>
      <c r="AS1119" s="1"/>
      <c r="AT1119" s="1"/>
      <c r="AU1119" s="1"/>
      <c r="AV1119" s="1"/>
      <c r="AW1119" s="1"/>
      <c r="AX1119" s="488"/>
      <c r="AY1119" s="1"/>
      <c r="AZ1119" s="1"/>
      <c r="BA1119" s="1"/>
      <c r="BB1119" s="1"/>
      <c r="BC1119" s="1"/>
      <c r="BD1119" s="1"/>
      <c r="BE1119" s="1"/>
    </row>
    <row r="1120" spans="9:57" x14ac:dyDescent="0.25">
      <c r="I1120" s="1"/>
      <c r="J1120" s="1"/>
      <c r="K1120" s="1"/>
      <c r="L1120" s="1"/>
      <c r="M1120" s="1"/>
      <c r="N1120" s="1"/>
      <c r="O1120" s="1"/>
      <c r="P1120" s="1"/>
      <c r="Q1120" s="1"/>
      <c r="R1120" s="1332"/>
      <c r="S1120" s="1332"/>
      <c r="T1120" s="1332"/>
      <c r="U1120" s="1332"/>
      <c r="V1120" s="1332"/>
      <c r="W1120" s="1332"/>
      <c r="X1120" s="1332"/>
      <c r="Y1120" s="1332"/>
      <c r="Z1120" s="1332"/>
      <c r="AA1120" s="1332"/>
      <c r="AB1120" s="1332"/>
      <c r="AC1120" s="1332"/>
      <c r="AD1120" s="1332"/>
      <c r="AE1120" s="1"/>
      <c r="AF1120" s="1"/>
      <c r="AG1120" s="1"/>
      <c r="AH1120" s="1"/>
      <c r="AI1120" s="1"/>
      <c r="AJ1120" s="1"/>
      <c r="AK1120" s="1"/>
      <c r="AL1120" s="1"/>
      <c r="AM1120" s="1"/>
      <c r="AN1120" s="1"/>
      <c r="AO1120" s="1"/>
      <c r="AP1120" s="488"/>
      <c r="AQ1120" s="488"/>
      <c r="AR1120" s="1"/>
      <c r="AS1120" s="1"/>
      <c r="AT1120" s="1"/>
      <c r="AU1120" s="1"/>
      <c r="AV1120" s="1"/>
      <c r="AW1120" s="1"/>
      <c r="AX1120" s="488"/>
      <c r="AY1120" s="1"/>
      <c r="AZ1120" s="1"/>
      <c r="BA1120" s="1"/>
      <c r="BB1120" s="1"/>
      <c r="BC1120" s="1"/>
      <c r="BD1120" s="1"/>
      <c r="BE1120" s="1"/>
    </row>
    <row r="1121" spans="9:57" x14ac:dyDescent="0.25">
      <c r="I1121" s="1"/>
      <c r="J1121" s="1"/>
      <c r="K1121" s="1"/>
      <c r="L1121" s="1"/>
      <c r="M1121" s="1"/>
      <c r="N1121" s="1"/>
      <c r="O1121" s="1"/>
      <c r="P1121" s="1"/>
      <c r="Q1121" s="1"/>
      <c r="R1121" s="1332"/>
      <c r="S1121" s="1332"/>
      <c r="T1121" s="1332"/>
      <c r="U1121" s="1332"/>
      <c r="V1121" s="1332"/>
      <c r="W1121" s="1332"/>
      <c r="X1121" s="1332"/>
      <c r="Y1121" s="1332"/>
      <c r="Z1121" s="1332"/>
      <c r="AA1121" s="1332"/>
      <c r="AB1121" s="1332"/>
      <c r="AC1121" s="1332"/>
      <c r="AD1121" s="1332"/>
      <c r="AE1121" s="1"/>
      <c r="AF1121" s="1"/>
      <c r="AG1121" s="1"/>
      <c r="AH1121" s="1"/>
      <c r="AI1121" s="1"/>
      <c r="AJ1121" s="1"/>
      <c r="AK1121" s="1"/>
      <c r="AL1121" s="1"/>
      <c r="AM1121" s="1"/>
      <c r="AN1121" s="1"/>
      <c r="AO1121" s="1"/>
      <c r="AP1121" s="488"/>
      <c r="AQ1121" s="488"/>
      <c r="AR1121" s="1"/>
      <c r="AS1121" s="1"/>
      <c r="AT1121" s="1"/>
      <c r="AU1121" s="1"/>
      <c r="AV1121" s="1"/>
      <c r="AW1121" s="1"/>
      <c r="AX1121" s="488"/>
      <c r="AY1121" s="1"/>
      <c r="AZ1121" s="1"/>
      <c r="BA1121" s="1"/>
      <c r="BB1121" s="1"/>
      <c r="BC1121" s="1"/>
      <c r="BD1121" s="1"/>
      <c r="BE1121" s="1"/>
    </row>
    <row r="1122" spans="9:57" x14ac:dyDescent="0.25">
      <c r="I1122" s="1"/>
      <c r="J1122" s="1"/>
      <c r="K1122" s="1"/>
      <c r="L1122" s="1"/>
      <c r="M1122" s="1"/>
      <c r="N1122" s="1"/>
      <c r="O1122" s="1"/>
      <c r="P1122" s="1"/>
      <c r="Q1122" s="1"/>
      <c r="R1122" s="1332"/>
      <c r="S1122" s="1332"/>
      <c r="T1122" s="1332"/>
      <c r="U1122" s="1332"/>
      <c r="V1122" s="1332"/>
      <c r="W1122" s="1332"/>
      <c r="X1122" s="1332"/>
      <c r="Y1122" s="1332"/>
      <c r="Z1122" s="1332"/>
      <c r="AA1122" s="1332"/>
      <c r="AB1122" s="1332"/>
      <c r="AC1122" s="1332"/>
      <c r="AD1122" s="1332"/>
      <c r="AE1122" s="1"/>
      <c r="AF1122" s="1"/>
      <c r="AG1122" s="1"/>
      <c r="AH1122" s="1"/>
      <c r="AI1122" s="1"/>
      <c r="AJ1122" s="1"/>
      <c r="AK1122" s="1"/>
      <c r="AL1122" s="1"/>
      <c r="AM1122" s="1"/>
      <c r="AN1122" s="1"/>
      <c r="AO1122" s="1"/>
      <c r="AP1122" s="488"/>
      <c r="AQ1122" s="488"/>
      <c r="AR1122" s="1"/>
      <c r="AS1122" s="1"/>
      <c r="AT1122" s="1"/>
      <c r="AU1122" s="1"/>
      <c r="AV1122" s="1"/>
      <c r="AW1122" s="1"/>
      <c r="AX1122" s="488"/>
      <c r="AY1122" s="1"/>
      <c r="AZ1122" s="1"/>
      <c r="BA1122" s="1"/>
      <c r="BB1122" s="1"/>
      <c r="BC1122" s="1"/>
      <c r="BD1122" s="1"/>
      <c r="BE1122" s="1"/>
    </row>
    <row r="1123" spans="9:57" x14ac:dyDescent="0.25">
      <c r="I1123" s="1"/>
      <c r="J1123" s="1"/>
      <c r="K1123" s="1"/>
      <c r="L1123" s="1"/>
      <c r="M1123" s="1"/>
      <c r="N1123" s="1"/>
      <c r="O1123" s="1"/>
      <c r="P1123" s="1"/>
      <c r="Q1123" s="1"/>
      <c r="R1123" s="1332"/>
      <c r="S1123" s="1332"/>
      <c r="T1123" s="1332"/>
      <c r="U1123" s="1332"/>
      <c r="V1123" s="1332"/>
      <c r="W1123" s="1332"/>
      <c r="X1123" s="1332"/>
      <c r="Y1123" s="1332"/>
      <c r="Z1123" s="1332"/>
      <c r="AA1123" s="1332"/>
      <c r="AB1123" s="1332"/>
      <c r="AC1123" s="1332"/>
      <c r="AD1123" s="1332"/>
      <c r="AE1123" s="1"/>
      <c r="AF1123" s="1"/>
      <c r="AG1123" s="1"/>
      <c r="AH1123" s="1"/>
      <c r="AI1123" s="1"/>
      <c r="AJ1123" s="1"/>
      <c r="AK1123" s="1"/>
      <c r="AL1123" s="1"/>
      <c r="AM1123" s="1"/>
      <c r="AN1123" s="1"/>
      <c r="AO1123" s="1"/>
      <c r="AP1123" s="488"/>
      <c r="AQ1123" s="488"/>
      <c r="AR1123" s="1"/>
      <c r="AS1123" s="1"/>
      <c r="AT1123" s="1"/>
      <c r="AU1123" s="1"/>
      <c r="AV1123" s="1"/>
      <c r="AW1123" s="1"/>
      <c r="AX1123" s="488"/>
      <c r="AY1123" s="1"/>
      <c r="AZ1123" s="1"/>
      <c r="BA1123" s="1"/>
      <c r="BB1123" s="1"/>
      <c r="BC1123" s="1"/>
      <c r="BD1123" s="1"/>
      <c r="BE1123" s="1"/>
    </row>
    <row r="1124" spans="9:57" x14ac:dyDescent="0.25">
      <c r="I1124" s="1"/>
      <c r="J1124" s="1"/>
      <c r="K1124" s="1"/>
      <c r="L1124" s="1"/>
      <c r="M1124" s="1"/>
      <c r="N1124" s="1"/>
      <c r="O1124" s="1"/>
      <c r="P1124" s="1"/>
      <c r="Q1124" s="1"/>
      <c r="R1124" s="1332"/>
      <c r="S1124" s="1332"/>
      <c r="T1124" s="1332"/>
      <c r="U1124" s="1332"/>
      <c r="V1124" s="1332"/>
      <c r="W1124" s="1332"/>
      <c r="X1124" s="1332"/>
      <c r="Y1124" s="1332"/>
      <c r="Z1124" s="1332"/>
      <c r="AA1124" s="1332"/>
      <c r="AB1124" s="1332"/>
      <c r="AC1124" s="1332"/>
      <c r="AD1124" s="1332"/>
      <c r="AE1124" s="1"/>
      <c r="AF1124" s="1"/>
      <c r="AG1124" s="1"/>
      <c r="AH1124" s="1"/>
      <c r="AI1124" s="1"/>
      <c r="AJ1124" s="1"/>
      <c r="AK1124" s="1"/>
      <c r="AL1124" s="1"/>
      <c r="AM1124" s="1"/>
      <c r="AN1124" s="1"/>
      <c r="AO1124" s="1"/>
      <c r="AP1124" s="488"/>
      <c r="AQ1124" s="488"/>
      <c r="AR1124" s="1"/>
      <c r="AS1124" s="1"/>
      <c r="AT1124" s="1"/>
      <c r="AU1124" s="1"/>
      <c r="AV1124" s="1"/>
      <c r="AW1124" s="1"/>
      <c r="AX1124" s="488"/>
      <c r="AY1124" s="1"/>
      <c r="AZ1124" s="1"/>
      <c r="BA1124" s="1"/>
      <c r="BB1124" s="1"/>
      <c r="BC1124" s="1"/>
      <c r="BD1124" s="1"/>
      <c r="BE1124" s="1"/>
    </row>
    <row r="1125" spans="9:57" x14ac:dyDescent="0.25">
      <c r="I1125" s="1"/>
      <c r="J1125" s="1"/>
      <c r="K1125" s="1"/>
      <c r="L1125" s="1"/>
      <c r="M1125" s="1"/>
      <c r="N1125" s="1"/>
      <c r="O1125" s="1"/>
      <c r="P1125" s="1"/>
      <c r="Q1125" s="1"/>
      <c r="R1125" s="1332"/>
      <c r="S1125" s="1332"/>
      <c r="T1125" s="1332"/>
      <c r="U1125" s="1332"/>
      <c r="V1125" s="1332"/>
      <c r="W1125" s="1332"/>
      <c r="X1125" s="1332"/>
      <c r="Y1125" s="1332"/>
      <c r="Z1125" s="1332"/>
      <c r="AA1125" s="1332"/>
      <c r="AB1125" s="1332"/>
      <c r="AC1125" s="1332"/>
      <c r="AD1125" s="1332"/>
      <c r="AE1125" s="1"/>
      <c r="AF1125" s="1"/>
      <c r="AG1125" s="1"/>
      <c r="AH1125" s="1"/>
      <c r="AI1125" s="1"/>
      <c r="AJ1125" s="1"/>
      <c r="AK1125" s="1"/>
      <c r="AL1125" s="1"/>
      <c r="AM1125" s="1"/>
      <c r="AN1125" s="1"/>
      <c r="AO1125" s="1"/>
      <c r="AP1125" s="488"/>
      <c r="AQ1125" s="488"/>
      <c r="AR1125" s="1"/>
      <c r="AS1125" s="1"/>
      <c r="AT1125" s="1"/>
      <c r="AU1125" s="1"/>
      <c r="AV1125" s="1"/>
      <c r="AW1125" s="1"/>
      <c r="AX1125" s="488"/>
      <c r="AY1125" s="1"/>
      <c r="AZ1125" s="1"/>
      <c r="BA1125" s="1"/>
      <c r="BB1125" s="1"/>
      <c r="BC1125" s="1"/>
      <c r="BD1125" s="1"/>
      <c r="BE1125" s="1"/>
    </row>
    <row r="1126" spans="9:57" x14ac:dyDescent="0.25">
      <c r="I1126" s="1"/>
      <c r="J1126" s="1"/>
      <c r="K1126" s="1"/>
      <c r="L1126" s="1"/>
      <c r="M1126" s="1"/>
      <c r="N1126" s="1"/>
      <c r="O1126" s="1"/>
      <c r="P1126" s="1"/>
      <c r="Q1126" s="1"/>
      <c r="R1126" s="1332"/>
      <c r="S1126" s="1332"/>
      <c r="T1126" s="1332"/>
      <c r="U1126" s="1332"/>
      <c r="V1126" s="1332"/>
      <c r="W1126" s="1332"/>
      <c r="X1126" s="1332"/>
      <c r="Y1126" s="1332"/>
      <c r="Z1126" s="1332"/>
      <c r="AA1126" s="1332"/>
      <c r="AB1126" s="1332"/>
      <c r="AC1126" s="1332"/>
      <c r="AD1126" s="1332"/>
      <c r="AE1126" s="1"/>
      <c r="AF1126" s="1"/>
      <c r="AG1126" s="1"/>
      <c r="AH1126" s="1"/>
      <c r="AI1126" s="1"/>
      <c r="AJ1126" s="1"/>
      <c r="AK1126" s="1"/>
      <c r="AL1126" s="1"/>
      <c r="AM1126" s="1"/>
      <c r="AN1126" s="1"/>
      <c r="AO1126" s="1"/>
      <c r="AP1126" s="488"/>
      <c r="AQ1126" s="488"/>
      <c r="AR1126" s="1"/>
      <c r="AS1126" s="1"/>
      <c r="AT1126" s="1"/>
      <c r="AU1126" s="1"/>
      <c r="AV1126" s="1"/>
      <c r="AW1126" s="1"/>
      <c r="AX1126" s="488"/>
      <c r="AY1126" s="1"/>
      <c r="AZ1126" s="1"/>
      <c r="BA1126" s="1"/>
      <c r="BB1126" s="1"/>
      <c r="BC1126" s="1"/>
      <c r="BD1126" s="1"/>
      <c r="BE1126" s="1"/>
    </row>
    <row r="1127" spans="9:57" x14ac:dyDescent="0.25">
      <c r="I1127" s="1"/>
      <c r="J1127" s="1"/>
      <c r="K1127" s="1"/>
      <c r="L1127" s="1"/>
      <c r="M1127" s="1"/>
      <c r="N1127" s="1"/>
      <c r="O1127" s="1"/>
      <c r="P1127" s="1"/>
      <c r="Q1127" s="1"/>
      <c r="R1127" s="1332"/>
      <c r="S1127" s="1332"/>
      <c r="T1127" s="1332"/>
      <c r="U1127" s="1332"/>
      <c r="V1127" s="1332"/>
      <c r="W1127" s="1332"/>
      <c r="X1127" s="1332"/>
      <c r="Y1127" s="1332"/>
      <c r="Z1127" s="1332"/>
      <c r="AA1127" s="1332"/>
      <c r="AB1127" s="1332"/>
      <c r="AC1127" s="1332"/>
      <c r="AD1127" s="1332"/>
      <c r="AE1127" s="1"/>
      <c r="AF1127" s="1"/>
      <c r="AG1127" s="1"/>
      <c r="AH1127" s="1"/>
      <c r="AI1127" s="1"/>
      <c r="AJ1127" s="1"/>
      <c r="AK1127" s="1"/>
      <c r="AL1127" s="1"/>
      <c r="AM1127" s="1"/>
      <c r="AN1127" s="1"/>
      <c r="AO1127" s="1"/>
      <c r="AP1127" s="488"/>
      <c r="AQ1127" s="488"/>
      <c r="AR1127" s="1"/>
      <c r="AS1127" s="1"/>
      <c r="AT1127" s="1"/>
      <c r="AU1127" s="1"/>
      <c r="AV1127" s="1"/>
      <c r="AW1127" s="1"/>
      <c r="AX1127" s="488"/>
      <c r="AY1127" s="1"/>
      <c r="AZ1127" s="1"/>
      <c r="BA1127" s="1"/>
      <c r="BB1127" s="1"/>
      <c r="BC1127" s="1"/>
      <c r="BD1127" s="1"/>
      <c r="BE1127" s="1"/>
    </row>
    <row r="1128" spans="9:57" x14ac:dyDescent="0.25">
      <c r="I1128" s="1"/>
      <c r="J1128" s="1"/>
      <c r="K1128" s="1"/>
      <c r="L1128" s="1"/>
      <c r="M1128" s="1"/>
      <c r="N1128" s="1"/>
      <c r="O1128" s="1"/>
      <c r="P1128" s="1"/>
      <c r="Q1128" s="1"/>
      <c r="R1128" s="1332"/>
      <c r="S1128" s="1332"/>
      <c r="T1128" s="1332"/>
      <c r="U1128" s="1332"/>
      <c r="V1128" s="1332"/>
      <c r="W1128" s="1332"/>
      <c r="X1128" s="1332"/>
      <c r="Y1128" s="1332"/>
      <c r="Z1128" s="1332"/>
      <c r="AA1128" s="1332"/>
      <c r="AB1128" s="1332"/>
      <c r="AC1128" s="1332"/>
      <c r="AD1128" s="1332"/>
      <c r="AE1128" s="1"/>
      <c r="AF1128" s="1"/>
      <c r="AG1128" s="1"/>
      <c r="AH1128" s="1"/>
      <c r="AI1128" s="1"/>
      <c r="AJ1128" s="1"/>
      <c r="AK1128" s="1"/>
      <c r="AL1128" s="1"/>
      <c r="AM1128" s="1"/>
      <c r="AN1128" s="1"/>
      <c r="AO1128" s="1"/>
      <c r="AP1128" s="488"/>
      <c r="AQ1128" s="488"/>
      <c r="AR1128" s="1"/>
      <c r="AS1128" s="1"/>
      <c r="AT1128" s="1"/>
      <c r="AU1128" s="1"/>
      <c r="AV1128" s="1"/>
      <c r="AW1128" s="1"/>
      <c r="AX1128" s="488"/>
      <c r="AY1128" s="1"/>
      <c r="AZ1128" s="1"/>
      <c r="BA1128" s="1"/>
      <c r="BB1128" s="1"/>
      <c r="BC1128" s="1"/>
      <c r="BD1128" s="1"/>
      <c r="BE1128" s="1"/>
    </row>
    <row r="1129" spans="9:57" x14ac:dyDescent="0.25">
      <c r="I1129" s="1"/>
      <c r="J1129" s="1"/>
      <c r="K1129" s="1"/>
      <c r="L1129" s="1"/>
      <c r="M1129" s="1"/>
      <c r="N1129" s="1"/>
      <c r="O1129" s="1"/>
      <c r="P1129" s="1"/>
      <c r="Q1129" s="1"/>
      <c r="R1129" s="1332"/>
      <c r="S1129" s="1332"/>
      <c r="T1129" s="1332"/>
      <c r="U1129" s="1332"/>
      <c r="V1129" s="1332"/>
      <c r="W1129" s="1332"/>
      <c r="X1129" s="1332"/>
      <c r="Y1129" s="1332"/>
      <c r="Z1129" s="1332"/>
      <c r="AA1129" s="1332"/>
      <c r="AB1129" s="1332"/>
      <c r="AC1129" s="1332"/>
      <c r="AD1129" s="1332"/>
      <c r="AE1129" s="1"/>
      <c r="AF1129" s="1"/>
      <c r="AG1129" s="1"/>
      <c r="AH1129" s="1"/>
      <c r="AI1129" s="1"/>
      <c r="AJ1129" s="1"/>
      <c r="AK1129" s="1"/>
      <c r="AL1129" s="1"/>
      <c r="AM1129" s="1"/>
      <c r="AN1129" s="1"/>
      <c r="AO1129" s="1"/>
      <c r="AP1129" s="488"/>
      <c r="AQ1129" s="488"/>
      <c r="AR1129" s="1"/>
      <c r="AS1129" s="1"/>
      <c r="AT1129" s="1"/>
      <c r="AU1129" s="1"/>
      <c r="AV1129" s="1"/>
      <c r="AW1129" s="1"/>
      <c r="AX1129" s="488"/>
      <c r="AY1129" s="1"/>
      <c r="AZ1129" s="1"/>
      <c r="BA1129" s="1"/>
      <c r="BB1129" s="1"/>
      <c r="BC1129" s="1"/>
      <c r="BD1129" s="1"/>
      <c r="BE1129" s="1"/>
    </row>
    <row r="1130" spans="9:57" x14ac:dyDescent="0.25">
      <c r="I1130" s="1"/>
      <c r="J1130" s="1"/>
      <c r="K1130" s="1"/>
      <c r="L1130" s="1"/>
      <c r="M1130" s="1"/>
      <c r="N1130" s="1"/>
      <c r="O1130" s="1"/>
      <c r="P1130" s="1"/>
      <c r="Q1130" s="1"/>
      <c r="R1130" s="1332"/>
      <c r="S1130" s="1332"/>
      <c r="T1130" s="1332"/>
      <c r="U1130" s="1332"/>
      <c r="V1130" s="1332"/>
      <c r="W1130" s="1332"/>
      <c r="X1130" s="1332"/>
      <c r="Y1130" s="1332"/>
      <c r="Z1130" s="1332"/>
      <c r="AA1130" s="1332"/>
      <c r="AB1130" s="1332"/>
      <c r="AC1130" s="1332"/>
      <c r="AD1130" s="1332"/>
      <c r="AE1130" s="1"/>
      <c r="AF1130" s="1"/>
      <c r="AG1130" s="1"/>
      <c r="AH1130" s="1"/>
      <c r="AI1130" s="1"/>
      <c r="AJ1130" s="1"/>
      <c r="AK1130" s="1"/>
      <c r="AL1130" s="1"/>
      <c r="AM1130" s="1"/>
      <c r="AN1130" s="1"/>
      <c r="AO1130" s="1"/>
      <c r="AP1130" s="488"/>
      <c r="AQ1130" s="488"/>
      <c r="AR1130" s="1"/>
      <c r="AS1130" s="1"/>
      <c r="AT1130" s="1"/>
      <c r="AU1130" s="1"/>
      <c r="AV1130" s="1"/>
      <c r="AW1130" s="1"/>
      <c r="AX1130" s="488"/>
      <c r="AY1130" s="1"/>
      <c r="AZ1130" s="1"/>
      <c r="BA1130" s="1"/>
      <c r="BB1130" s="1"/>
      <c r="BC1130" s="1"/>
      <c r="BD1130" s="1"/>
      <c r="BE1130" s="1"/>
    </row>
    <row r="1131" spans="9:57" x14ac:dyDescent="0.25">
      <c r="I1131" s="1"/>
      <c r="J1131" s="1"/>
      <c r="K1131" s="1"/>
      <c r="L1131" s="1"/>
      <c r="M1131" s="1"/>
      <c r="N1131" s="1"/>
      <c r="O1131" s="1"/>
      <c r="P1131" s="1"/>
      <c r="Q1131" s="1"/>
      <c r="R1131" s="1332"/>
      <c r="S1131" s="1332"/>
      <c r="T1131" s="1332"/>
      <c r="U1131" s="1332"/>
      <c r="V1131" s="1332"/>
      <c r="W1131" s="1332"/>
      <c r="X1131" s="1332"/>
      <c r="Y1131" s="1332"/>
      <c r="Z1131" s="1332"/>
      <c r="AA1131" s="1332"/>
      <c r="AB1131" s="1332"/>
      <c r="AC1131" s="1332"/>
      <c r="AD1131" s="1332"/>
      <c r="AE1131" s="1"/>
      <c r="AF1131" s="1"/>
      <c r="AG1131" s="1"/>
      <c r="AH1131" s="1"/>
      <c r="AI1131" s="1"/>
      <c r="AJ1131" s="1"/>
      <c r="AK1131" s="1"/>
      <c r="AL1131" s="1"/>
      <c r="AM1131" s="1"/>
      <c r="AN1131" s="1"/>
      <c r="AO1131" s="1"/>
      <c r="AP1131" s="488"/>
      <c r="AQ1131" s="488"/>
      <c r="AR1131" s="1"/>
      <c r="AS1131" s="1"/>
      <c r="AT1131" s="1"/>
      <c r="AU1131" s="1"/>
      <c r="AV1131" s="1"/>
      <c r="AW1131" s="1"/>
      <c r="AX1131" s="488"/>
      <c r="AY1131" s="1"/>
      <c r="AZ1131" s="1"/>
      <c r="BA1131" s="1"/>
      <c r="BB1131" s="1"/>
      <c r="BC1131" s="1"/>
      <c r="BD1131" s="1"/>
      <c r="BE1131" s="1"/>
    </row>
    <row r="1132" spans="9:57" x14ac:dyDescent="0.25">
      <c r="I1132" s="1"/>
      <c r="J1132" s="1"/>
      <c r="K1132" s="1"/>
      <c r="L1132" s="1"/>
      <c r="M1132" s="1"/>
      <c r="N1132" s="1"/>
      <c r="O1132" s="1"/>
      <c r="P1132" s="1"/>
      <c r="Q1132" s="1"/>
      <c r="R1132" s="1332"/>
      <c r="S1132" s="1332"/>
      <c r="T1132" s="1332"/>
      <c r="U1132" s="1332"/>
      <c r="V1132" s="1332"/>
      <c r="W1132" s="1332"/>
      <c r="X1132" s="1332"/>
      <c r="Y1132" s="1332"/>
      <c r="Z1132" s="1332"/>
      <c r="AA1132" s="1332"/>
      <c r="AB1132" s="1332"/>
      <c r="AC1132" s="1332"/>
      <c r="AD1132" s="1332"/>
      <c r="AE1132" s="1"/>
      <c r="AF1132" s="1"/>
      <c r="AG1132" s="1"/>
      <c r="AH1132" s="1"/>
      <c r="AI1132" s="1"/>
      <c r="AJ1132" s="1"/>
      <c r="AK1132" s="1"/>
      <c r="AL1132" s="1"/>
      <c r="AM1132" s="1"/>
      <c r="AN1132" s="1"/>
      <c r="AO1132" s="1"/>
      <c r="AP1132" s="488"/>
      <c r="AQ1132" s="488"/>
      <c r="AR1132" s="1"/>
      <c r="AS1132" s="1"/>
      <c r="AT1132" s="1"/>
      <c r="AU1132" s="1"/>
      <c r="AV1132" s="1"/>
      <c r="AW1132" s="1"/>
      <c r="AX1132" s="488"/>
      <c r="AY1132" s="1"/>
      <c r="AZ1132" s="1"/>
      <c r="BA1132" s="1"/>
      <c r="BB1132" s="1"/>
      <c r="BC1132" s="1"/>
      <c r="BD1132" s="1"/>
      <c r="BE1132" s="1"/>
    </row>
    <row r="1133" spans="9:57" x14ac:dyDescent="0.25">
      <c r="I1133" s="1"/>
      <c r="J1133" s="1"/>
      <c r="K1133" s="1"/>
      <c r="L1133" s="1"/>
      <c r="M1133" s="1"/>
      <c r="N1133" s="1"/>
      <c r="O1133" s="1"/>
      <c r="P1133" s="1"/>
      <c r="Q1133" s="1"/>
      <c r="R1133" s="1332"/>
      <c r="S1133" s="1332"/>
      <c r="T1133" s="1332"/>
      <c r="U1133" s="1332"/>
      <c r="V1133" s="1332"/>
      <c r="W1133" s="1332"/>
      <c r="X1133" s="1332"/>
      <c r="Y1133" s="1332"/>
      <c r="Z1133" s="1332"/>
      <c r="AA1133" s="1332"/>
      <c r="AB1133" s="1332"/>
      <c r="AC1133" s="1332"/>
      <c r="AD1133" s="1332"/>
      <c r="AE1133" s="1"/>
      <c r="AF1133" s="1"/>
      <c r="AG1133" s="1"/>
      <c r="AH1133" s="1"/>
      <c r="AI1133" s="1"/>
      <c r="AJ1133" s="1"/>
      <c r="AK1133" s="1"/>
      <c r="AL1133" s="1"/>
      <c r="AM1133" s="1"/>
      <c r="AN1133" s="1"/>
      <c r="AO1133" s="1"/>
      <c r="AP1133" s="488"/>
      <c r="AQ1133" s="488"/>
      <c r="AR1133" s="1"/>
      <c r="AS1133" s="1"/>
      <c r="AT1133" s="1"/>
      <c r="AU1133" s="1"/>
      <c r="AV1133" s="1"/>
      <c r="AW1133" s="1"/>
      <c r="AX1133" s="488"/>
      <c r="AY1133" s="1"/>
      <c r="AZ1133" s="1"/>
      <c r="BA1133" s="1"/>
      <c r="BB1133" s="1"/>
      <c r="BC1133" s="1"/>
      <c r="BD1133" s="1"/>
      <c r="BE1133" s="1"/>
    </row>
    <row r="1134" spans="9:57" x14ac:dyDescent="0.25">
      <c r="I1134" s="1"/>
      <c r="J1134" s="1"/>
      <c r="K1134" s="1"/>
      <c r="L1134" s="1"/>
      <c r="M1134" s="1"/>
      <c r="N1134" s="1"/>
      <c r="O1134" s="1"/>
      <c r="P1134" s="1"/>
      <c r="Q1134" s="1"/>
      <c r="R1134" s="1332"/>
      <c r="S1134" s="1332"/>
      <c r="T1134" s="1332"/>
      <c r="U1134" s="1332"/>
      <c r="V1134" s="1332"/>
      <c r="W1134" s="1332"/>
      <c r="X1134" s="1332"/>
      <c r="Y1134" s="1332"/>
      <c r="Z1134" s="1332"/>
      <c r="AA1134" s="1332"/>
      <c r="AB1134" s="1332"/>
      <c r="AC1134" s="1332"/>
      <c r="AD1134" s="1332"/>
      <c r="AE1134" s="1"/>
      <c r="AF1134" s="1"/>
      <c r="AG1134" s="1"/>
      <c r="AH1134" s="1"/>
      <c r="AI1134" s="1"/>
      <c r="AJ1134" s="1"/>
      <c r="AK1134" s="1"/>
      <c r="AL1134" s="1"/>
      <c r="AM1134" s="1"/>
      <c r="AN1134" s="1"/>
      <c r="AO1134" s="1"/>
      <c r="AP1134" s="488"/>
      <c r="AQ1134" s="488"/>
      <c r="AR1134" s="1"/>
      <c r="AS1134" s="1"/>
      <c r="AT1134" s="1"/>
      <c r="AU1134" s="1"/>
      <c r="AV1134" s="1"/>
      <c r="AW1134" s="1"/>
      <c r="AX1134" s="488"/>
      <c r="AY1134" s="1"/>
      <c r="AZ1134" s="1"/>
      <c r="BA1134" s="1"/>
      <c r="BB1134" s="1"/>
      <c r="BC1134" s="1"/>
      <c r="BD1134" s="1"/>
      <c r="BE1134" s="1"/>
    </row>
    <row r="1135" spans="9:57" x14ac:dyDescent="0.25">
      <c r="I1135" s="1"/>
      <c r="J1135" s="1"/>
      <c r="K1135" s="1"/>
      <c r="L1135" s="1"/>
      <c r="M1135" s="1"/>
      <c r="N1135" s="1"/>
      <c r="O1135" s="1"/>
      <c r="P1135" s="1"/>
      <c r="Q1135" s="1"/>
      <c r="R1135" s="1332"/>
      <c r="S1135" s="1332"/>
      <c r="T1135" s="1332"/>
      <c r="U1135" s="1332"/>
      <c r="V1135" s="1332"/>
      <c r="W1135" s="1332"/>
      <c r="X1135" s="1332"/>
      <c r="Y1135" s="1332"/>
      <c r="Z1135" s="1332"/>
      <c r="AA1135" s="1332"/>
      <c r="AB1135" s="1332"/>
      <c r="AC1135" s="1332"/>
      <c r="AD1135" s="1332"/>
      <c r="AE1135" s="1"/>
      <c r="AF1135" s="1"/>
      <c r="AG1135" s="1"/>
      <c r="AH1135" s="1"/>
      <c r="AI1135" s="1"/>
      <c r="AJ1135" s="1"/>
      <c r="AK1135" s="1"/>
      <c r="AL1135" s="1"/>
      <c r="AM1135" s="1"/>
      <c r="AN1135" s="1"/>
      <c r="AO1135" s="1"/>
      <c r="AP1135" s="488"/>
      <c r="AQ1135" s="488"/>
      <c r="AR1135" s="1"/>
      <c r="AS1135" s="1"/>
      <c r="AT1135" s="1"/>
      <c r="AU1135" s="1"/>
      <c r="AV1135" s="1"/>
      <c r="AW1135" s="1"/>
      <c r="AX1135" s="488"/>
      <c r="AY1135" s="1"/>
      <c r="AZ1135" s="1"/>
      <c r="BA1135" s="1"/>
      <c r="BB1135" s="1"/>
      <c r="BC1135" s="1"/>
      <c r="BD1135" s="1"/>
      <c r="BE1135" s="1"/>
    </row>
    <row r="1136" spans="9:57" x14ac:dyDescent="0.25">
      <c r="I1136" s="1"/>
      <c r="J1136" s="1"/>
      <c r="K1136" s="1"/>
      <c r="L1136" s="1"/>
      <c r="M1136" s="1"/>
      <c r="N1136" s="1"/>
      <c r="O1136" s="1"/>
      <c r="P1136" s="1"/>
      <c r="Q1136" s="1"/>
      <c r="R1136" s="1332"/>
      <c r="S1136" s="1332"/>
      <c r="T1136" s="1332"/>
      <c r="U1136" s="1332"/>
      <c r="V1136" s="1332"/>
      <c r="W1136" s="1332"/>
      <c r="X1136" s="1332"/>
      <c r="Y1136" s="1332"/>
      <c r="Z1136" s="1332"/>
      <c r="AA1136" s="1332"/>
      <c r="AB1136" s="1332"/>
      <c r="AC1136" s="1332"/>
      <c r="AD1136" s="1332"/>
      <c r="AE1136" s="1"/>
      <c r="AF1136" s="1"/>
      <c r="AG1136" s="1"/>
      <c r="AH1136" s="1"/>
      <c r="AI1136" s="1"/>
      <c r="AJ1136" s="1"/>
      <c r="AK1136" s="1"/>
      <c r="AL1136" s="1"/>
      <c r="AM1136" s="1"/>
      <c r="AN1136" s="1"/>
      <c r="AO1136" s="1"/>
      <c r="AP1136" s="488"/>
      <c r="AQ1136" s="488"/>
      <c r="AR1136" s="1"/>
      <c r="AS1136" s="1"/>
      <c r="AT1136" s="1"/>
      <c r="AU1136" s="1"/>
      <c r="AV1136" s="1"/>
      <c r="AW1136" s="1"/>
      <c r="AX1136" s="488"/>
      <c r="AY1136" s="1"/>
      <c r="AZ1136" s="1"/>
      <c r="BA1136" s="1"/>
      <c r="BB1136" s="1"/>
      <c r="BC1136" s="1"/>
      <c r="BD1136" s="1"/>
      <c r="BE1136" s="1"/>
    </row>
    <row r="1137" spans="9:57" x14ac:dyDescent="0.25">
      <c r="I1137" s="1"/>
      <c r="J1137" s="1"/>
      <c r="K1137" s="1"/>
      <c r="L1137" s="1"/>
      <c r="M1137" s="1"/>
      <c r="N1137" s="1"/>
      <c r="O1137" s="1"/>
      <c r="P1137" s="1"/>
      <c r="Q1137" s="1"/>
      <c r="R1137" s="1332"/>
      <c r="S1137" s="1332"/>
      <c r="T1137" s="1332"/>
      <c r="U1137" s="1332"/>
      <c r="V1137" s="1332"/>
      <c r="W1137" s="1332"/>
      <c r="X1137" s="1332"/>
      <c r="Y1137" s="1332"/>
      <c r="Z1137" s="1332"/>
      <c r="AA1137" s="1332"/>
      <c r="AB1137" s="1332"/>
      <c r="AC1137" s="1332"/>
      <c r="AD1137" s="1332"/>
      <c r="AE1137" s="1"/>
      <c r="AF1137" s="1"/>
      <c r="AG1137" s="1"/>
      <c r="AH1137" s="1"/>
      <c r="AI1137" s="1"/>
      <c r="AJ1137" s="1"/>
      <c r="AK1137" s="1"/>
      <c r="AL1137" s="1"/>
      <c r="AM1137" s="1"/>
      <c r="AN1137" s="1"/>
      <c r="AO1137" s="1"/>
      <c r="AP1137" s="488"/>
      <c r="AQ1137" s="488"/>
      <c r="AR1137" s="1"/>
      <c r="AS1137" s="1"/>
      <c r="AT1137" s="1"/>
      <c r="AU1137" s="1"/>
      <c r="AV1137" s="1"/>
      <c r="AW1137" s="1"/>
      <c r="AX1137" s="488"/>
      <c r="AY1137" s="1"/>
      <c r="AZ1137" s="1"/>
      <c r="BA1137" s="1"/>
      <c r="BB1137" s="1"/>
      <c r="BC1137" s="1"/>
      <c r="BD1137" s="1"/>
      <c r="BE1137" s="1"/>
    </row>
    <row r="1138" spans="9:57" x14ac:dyDescent="0.25">
      <c r="I1138" s="1"/>
      <c r="J1138" s="1"/>
      <c r="K1138" s="1"/>
      <c r="L1138" s="1"/>
      <c r="M1138" s="1"/>
      <c r="N1138" s="1"/>
      <c r="O1138" s="1"/>
      <c r="P1138" s="1"/>
      <c r="Q1138" s="1"/>
      <c r="R1138" s="1332"/>
      <c r="S1138" s="1332"/>
      <c r="T1138" s="1332"/>
      <c r="U1138" s="1332"/>
      <c r="V1138" s="1332"/>
      <c r="W1138" s="1332"/>
      <c r="X1138" s="1332"/>
      <c r="Y1138" s="1332"/>
      <c r="Z1138" s="1332"/>
      <c r="AA1138" s="1332"/>
      <c r="AB1138" s="1332"/>
      <c r="AC1138" s="1332"/>
      <c r="AD1138" s="1332"/>
      <c r="AE1138" s="1"/>
      <c r="AF1138" s="1"/>
      <c r="AG1138" s="1"/>
      <c r="AH1138" s="1"/>
      <c r="AI1138" s="1"/>
      <c r="AJ1138" s="1"/>
      <c r="AK1138" s="1"/>
      <c r="AL1138" s="1"/>
      <c r="AM1138" s="1"/>
      <c r="AN1138" s="1"/>
      <c r="AO1138" s="1"/>
      <c r="AP1138" s="488"/>
      <c r="AQ1138" s="488"/>
      <c r="AR1138" s="1"/>
      <c r="AS1138" s="1"/>
      <c r="AT1138" s="1"/>
      <c r="AU1138" s="1"/>
      <c r="AV1138" s="1"/>
      <c r="AW1138" s="1"/>
      <c r="AX1138" s="488"/>
      <c r="AY1138" s="1"/>
      <c r="AZ1138" s="1"/>
      <c r="BA1138" s="1"/>
      <c r="BB1138" s="1"/>
      <c r="BC1138" s="1"/>
      <c r="BD1138" s="1"/>
      <c r="BE1138" s="1"/>
    </row>
    <row r="1139" spans="9:57" x14ac:dyDescent="0.25">
      <c r="I1139" s="1"/>
      <c r="J1139" s="1"/>
      <c r="K1139" s="1"/>
      <c r="L1139" s="1"/>
      <c r="M1139" s="1"/>
      <c r="N1139" s="1"/>
      <c r="O1139" s="1"/>
      <c r="P1139" s="1"/>
      <c r="Q1139" s="1"/>
      <c r="R1139" s="1332"/>
      <c r="S1139" s="1332"/>
      <c r="T1139" s="1332"/>
      <c r="U1139" s="1332"/>
      <c r="V1139" s="1332"/>
      <c r="W1139" s="1332"/>
      <c r="X1139" s="1332"/>
      <c r="Y1139" s="1332"/>
      <c r="Z1139" s="1332"/>
      <c r="AA1139" s="1332"/>
      <c r="AB1139" s="1332"/>
      <c r="AC1139" s="1332"/>
      <c r="AD1139" s="1332"/>
      <c r="AE1139" s="1"/>
      <c r="AF1139" s="1"/>
      <c r="AG1139" s="1"/>
      <c r="AH1139" s="1"/>
      <c r="AI1139" s="1"/>
      <c r="AJ1139" s="1"/>
      <c r="AK1139" s="1"/>
      <c r="AL1139" s="1"/>
      <c r="AM1139" s="1"/>
      <c r="AN1139" s="1"/>
      <c r="AO1139" s="1"/>
      <c r="AP1139" s="488"/>
      <c r="AQ1139" s="488"/>
      <c r="AR1139" s="1"/>
      <c r="AS1139" s="1"/>
      <c r="AT1139" s="1"/>
      <c r="AU1139" s="1"/>
      <c r="AV1139" s="1"/>
      <c r="AW1139" s="1"/>
      <c r="AX1139" s="488"/>
      <c r="AY1139" s="1"/>
      <c r="AZ1139" s="1"/>
      <c r="BA1139" s="1"/>
      <c r="BB1139" s="1"/>
      <c r="BC1139" s="1"/>
      <c r="BD1139" s="1"/>
      <c r="BE1139" s="1"/>
    </row>
    <row r="1140" spans="9:57" x14ac:dyDescent="0.25">
      <c r="I1140" s="1"/>
      <c r="J1140" s="1"/>
      <c r="K1140" s="1"/>
      <c r="L1140" s="1"/>
      <c r="M1140" s="1"/>
      <c r="N1140" s="1"/>
      <c r="O1140" s="1"/>
      <c r="P1140" s="1"/>
      <c r="Q1140" s="1"/>
      <c r="R1140" s="1332"/>
      <c r="S1140" s="1332"/>
      <c r="T1140" s="1332"/>
      <c r="U1140" s="1332"/>
      <c r="V1140" s="1332"/>
      <c r="W1140" s="1332"/>
      <c r="X1140" s="1332"/>
      <c r="Y1140" s="1332"/>
      <c r="Z1140" s="1332"/>
      <c r="AA1140" s="1332"/>
      <c r="AB1140" s="1332"/>
      <c r="AC1140" s="1332"/>
      <c r="AD1140" s="1332"/>
      <c r="AE1140" s="1"/>
      <c r="AF1140" s="1"/>
      <c r="AG1140" s="1"/>
      <c r="AH1140" s="1"/>
      <c r="AI1140" s="1"/>
      <c r="AJ1140" s="1"/>
      <c r="AK1140" s="1"/>
      <c r="AL1140" s="1"/>
      <c r="AM1140" s="1"/>
      <c r="AN1140" s="1"/>
      <c r="AO1140" s="1"/>
      <c r="AP1140" s="488"/>
      <c r="AQ1140" s="488"/>
      <c r="AR1140" s="1"/>
      <c r="AS1140" s="1"/>
      <c r="AT1140" s="1"/>
      <c r="AU1140" s="1"/>
      <c r="AV1140" s="1"/>
      <c r="AW1140" s="1"/>
      <c r="AX1140" s="488"/>
      <c r="AY1140" s="1"/>
      <c r="AZ1140" s="1"/>
      <c r="BA1140" s="1"/>
      <c r="BB1140" s="1"/>
      <c r="BC1140" s="1"/>
      <c r="BD1140" s="1"/>
      <c r="BE1140" s="1"/>
    </row>
    <row r="1141" spans="9:57" x14ac:dyDescent="0.25">
      <c r="I1141" s="1"/>
      <c r="J1141" s="1"/>
      <c r="K1141" s="1"/>
      <c r="L1141" s="1"/>
      <c r="M1141" s="1"/>
      <c r="N1141" s="1"/>
      <c r="O1141" s="1"/>
      <c r="P1141" s="1"/>
      <c r="Q1141" s="1"/>
      <c r="R1141" s="1332"/>
      <c r="S1141" s="1332"/>
      <c r="T1141" s="1332"/>
      <c r="U1141" s="1332"/>
      <c r="V1141" s="1332"/>
      <c r="W1141" s="1332"/>
      <c r="X1141" s="1332"/>
      <c r="Y1141" s="1332"/>
      <c r="Z1141" s="1332"/>
      <c r="AA1141" s="1332"/>
      <c r="AB1141" s="1332"/>
      <c r="AC1141" s="1332"/>
      <c r="AD1141" s="1332"/>
      <c r="AE1141" s="1"/>
      <c r="AF1141" s="1"/>
      <c r="AG1141" s="1"/>
      <c r="AH1141" s="1"/>
      <c r="AI1141" s="1"/>
      <c r="AJ1141" s="1"/>
      <c r="AK1141" s="1"/>
      <c r="AL1141" s="1"/>
      <c r="AM1141" s="1"/>
      <c r="AN1141" s="1"/>
      <c r="AO1141" s="1"/>
      <c r="AP1141" s="488"/>
      <c r="AQ1141" s="488"/>
      <c r="AR1141" s="1"/>
      <c r="AS1141" s="1"/>
      <c r="AT1141" s="1"/>
      <c r="AU1141" s="1"/>
      <c r="AV1141" s="1"/>
      <c r="AW1141" s="1"/>
      <c r="AX1141" s="488"/>
      <c r="AY1141" s="1"/>
      <c r="AZ1141" s="1"/>
      <c r="BA1141" s="1"/>
      <c r="BB1141" s="1"/>
      <c r="BC1141" s="1"/>
      <c r="BD1141" s="1"/>
      <c r="BE1141" s="1"/>
    </row>
    <row r="1142" spans="9:57" x14ac:dyDescent="0.25">
      <c r="I1142" s="1"/>
      <c r="J1142" s="1"/>
      <c r="K1142" s="1"/>
      <c r="L1142" s="1"/>
      <c r="M1142" s="1"/>
      <c r="N1142" s="1"/>
      <c r="O1142" s="1"/>
      <c r="P1142" s="1"/>
      <c r="Q1142" s="1"/>
      <c r="R1142" s="1332"/>
      <c r="S1142" s="1332"/>
      <c r="T1142" s="1332"/>
      <c r="U1142" s="1332"/>
      <c r="V1142" s="1332"/>
      <c r="W1142" s="1332"/>
      <c r="X1142" s="1332"/>
      <c r="Y1142" s="1332"/>
      <c r="Z1142" s="1332"/>
      <c r="AA1142" s="1332"/>
      <c r="AB1142" s="1332"/>
      <c r="AC1142" s="1332"/>
      <c r="AD1142" s="1332"/>
      <c r="AE1142" s="1"/>
      <c r="AF1142" s="1"/>
      <c r="AG1142" s="1"/>
      <c r="AH1142" s="1"/>
      <c r="AI1142" s="1"/>
      <c r="AJ1142" s="1"/>
      <c r="AK1142" s="1"/>
      <c r="AL1142" s="1"/>
      <c r="AM1142" s="1"/>
      <c r="AN1142" s="1"/>
      <c r="AO1142" s="1"/>
      <c r="AP1142" s="488"/>
      <c r="AQ1142" s="488"/>
      <c r="AR1142" s="1"/>
      <c r="AS1142" s="1"/>
      <c r="AT1142" s="1"/>
      <c r="AU1142" s="1"/>
      <c r="AV1142" s="1"/>
      <c r="AW1142" s="1"/>
      <c r="AX1142" s="488"/>
      <c r="AY1142" s="1"/>
      <c r="AZ1142" s="1"/>
      <c r="BA1142" s="1"/>
      <c r="BB1142" s="1"/>
      <c r="BC1142" s="1"/>
      <c r="BD1142" s="1"/>
      <c r="BE1142" s="1"/>
    </row>
    <row r="1143" spans="9:57" x14ac:dyDescent="0.25">
      <c r="I1143" s="1"/>
      <c r="J1143" s="1"/>
      <c r="K1143" s="1"/>
      <c r="L1143" s="1"/>
      <c r="M1143" s="1"/>
      <c r="N1143" s="1"/>
      <c r="O1143" s="1"/>
      <c r="P1143" s="1"/>
      <c r="Q1143" s="1"/>
      <c r="R1143" s="1332"/>
      <c r="S1143" s="1332"/>
      <c r="T1143" s="1332"/>
      <c r="U1143" s="1332"/>
      <c r="V1143" s="1332"/>
      <c r="W1143" s="1332"/>
      <c r="X1143" s="1332"/>
      <c r="Y1143" s="1332"/>
      <c r="Z1143" s="1332"/>
      <c r="AA1143" s="1332"/>
      <c r="AB1143" s="1332"/>
      <c r="AC1143" s="1332"/>
      <c r="AD1143" s="1332"/>
      <c r="AE1143" s="1"/>
      <c r="AF1143" s="1"/>
      <c r="AG1143" s="1"/>
      <c r="AH1143" s="1"/>
      <c r="AI1143" s="1"/>
      <c r="AJ1143" s="1"/>
      <c r="AK1143" s="1"/>
      <c r="AL1143" s="1"/>
      <c r="AM1143" s="1"/>
      <c r="AN1143" s="1"/>
      <c r="AO1143" s="1"/>
      <c r="AP1143" s="488"/>
      <c r="AQ1143" s="488"/>
      <c r="AR1143" s="1"/>
      <c r="AS1143" s="1"/>
      <c r="AT1143" s="1"/>
      <c r="AU1143" s="1"/>
      <c r="AV1143" s="1"/>
      <c r="AW1143" s="1"/>
      <c r="AX1143" s="488"/>
      <c r="AY1143" s="1"/>
      <c r="AZ1143" s="1"/>
      <c r="BA1143" s="1"/>
      <c r="BB1143" s="1"/>
      <c r="BC1143" s="1"/>
      <c r="BD1143" s="1"/>
      <c r="BE1143" s="1"/>
    </row>
    <row r="1144" spans="9:57" x14ac:dyDescent="0.25">
      <c r="I1144" s="1"/>
      <c r="J1144" s="1"/>
      <c r="K1144" s="1"/>
      <c r="L1144" s="1"/>
      <c r="M1144" s="1"/>
      <c r="N1144" s="1"/>
      <c r="O1144" s="1"/>
      <c r="P1144" s="1"/>
      <c r="Q1144" s="1"/>
      <c r="R1144" s="1332"/>
      <c r="S1144" s="1332"/>
      <c r="T1144" s="1332"/>
      <c r="U1144" s="1332"/>
      <c r="V1144" s="1332"/>
      <c r="W1144" s="1332"/>
      <c r="X1144" s="1332"/>
      <c r="Y1144" s="1332"/>
      <c r="Z1144" s="1332"/>
      <c r="AA1144" s="1332"/>
      <c r="AB1144" s="1332"/>
      <c r="AC1144" s="1332"/>
      <c r="AD1144" s="1332"/>
      <c r="AE1144" s="1"/>
      <c r="AF1144" s="1"/>
      <c r="AG1144" s="1"/>
      <c r="AH1144" s="1"/>
      <c r="AI1144" s="1"/>
      <c r="AJ1144" s="1"/>
      <c r="AK1144" s="1"/>
      <c r="AL1144" s="1"/>
      <c r="AM1144" s="1"/>
      <c r="AN1144" s="1"/>
      <c r="AO1144" s="1"/>
      <c r="AP1144" s="488"/>
      <c r="AQ1144" s="488"/>
      <c r="AR1144" s="1"/>
      <c r="AS1144" s="1"/>
      <c r="AT1144" s="1"/>
      <c r="AU1144" s="1"/>
      <c r="AV1144" s="1"/>
      <c r="AW1144" s="1"/>
      <c r="AX1144" s="488"/>
      <c r="AY1144" s="1"/>
      <c r="AZ1144" s="1"/>
      <c r="BA1144" s="1"/>
      <c r="BB1144" s="1"/>
      <c r="BC1144" s="1"/>
      <c r="BD1144" s="1"/>
      <c r="BE1144" s="1"/>
    </row>
    <row r="1145" spans="9:57" x14ac:dyDescent="0.25">
      <c r="I1145" s="1"/>
      <c r="J1145" s="1"/>
      <c r="K1145" s="1"/>
      <c r="L1145" s="1"/>
      <c r="M1145" s="1"/>
      <c r="N1145" s="1"/>
      <c r="O1145" s="1"/>
      <c r="P1145" s="1"/>
      <c r="Q1145" s="1"/>
      <c r="R1145" s="1332"/>
      <c r="S1145" s="1332"/>
      <c r="T1145" s="1332"/>
      <c r="U1145" s="1332"/>
      <c r="V1145" s="1332"/>
      <c r="W1145" s="1332"/>
      <c r="X1145" s="1332"/>
      <c r="Y1145" s="1332"/>
      <c r="Z1145" s="1332"/>
      <c r="AA1145" s="1332"/>
      <c r="AB1145" s="1332"/>
      <c r="AC1145" s="1332"/>
      <c r="AD1145" s="1332"/>
      <c r="AE1145" s="1"/>
      <c r="AF1145" s="1"/>
      <c r="AG1145" s="1"/>
      <c r="AH1145" s="1"/>
      <c r="AI1145" s="1"/>
      <c r="AJ1145" s="1"/>
      <c r="AK1145" s="1"/>
      <c r="AL1145" s="1"/>
      <c r="AM1145" s="1"/>
      <c r="AN1145" s="1"/>
      <c r="AO1145" s="1"/>
      <c r="AP1145" s="488"/>
      <c r="AQ1145" s="488"/>
      <c r="AR1145" s="1"/>
      <c r="AS1145" s="1"/>
      <c r="AT1145" s="1"/>
      <c r="AU1145" s="1"/>
      <c r="AV1145" s="1"/>
      <c r="AW1145" s="1"/>
      <c r="AX1145" s="488"/>
      <c r="AY1145" s="1"/>
      <c r="AZ1145" s="1"/>
      <c r="BA1145" s="1"/>
      <c r="BB1145" s="1"/>
      <c r="BC1145" s="1"/>
      <c r="BD1145" s="1"/>
      <c r="BE1145" s="1"/>
    </row>
    <row r="1146" spans="9:57" x14ac:dyDescent="0.25">
      <c r="I1146" s="1"/>
      <c r="J1146" s="1"/>
      <c r="K1146" s="1"/>
      <c r="L1146" s="1"/>
      <c r="M1146" s="1"/>
      <c r="N1146" s="1"/>
      <c r="O1146" s="1"/>
      <c r="P1146" s="1"/>
      <c r="Q1146" s="1"/>
      <c r="R1146" s="1332"/>
      <c r="S1146" s="1332"/>
      <c r="T1146" s="1332"/>
      <c r="U1146" s="1332"/>
      <c r="V1146" s="1332"/>
      <c r="W1146" s="1332"/>
      <c r="X1146" s="1332"/>
      <c r="Y1146" s="1332"/>
      <c r="Z1146" s="1332"/>
      <c r="AA1146" s="1332"/>
      <c r="AB1146" s="1332"/>
      <c r="AC1146" s="1332"/>
      <c r="AD1146" s="1332"/>
      <c r="AE1146" s="1"/>
      <c r="AF1146" s="1"/>
      <c r="AG1146" s="1"/>
      <c r="AH1146" s="1"/>
      <c r="AI1146" s="1"/>
      <c r="AJ1146" s="1"/>
      <c r="AK1146" s="1"/>
      <c r="AL1146" s="1"/>
      <c r="AM1146" s="1"/>
      <c r="AN1146" s="1"/>
      <c r="AO1146" s="1"/>
      <c r="AP1146" s="488"/>
      <c r="AQ1146" s="488"/>
      <c r="AR1146" s="1"/>
      <c r="AS1146" s="1"/>
      <c r="AT1146" s="1"/>
      <c r="AU1146" s="1"/>
      <c r="AV1146" s="1"/>
      <c r="AW1146" s="1"/>
      <c r="AX1146" s="488"/>
      <c r="AY1146" s="1"/>
      <c r="AZ1146" s="1"/>
      <c r="BA1146" s="1"/>
      <c r="BB1146" s="1"/>
      <c r="BC1146" s="1"/>
      <c r="BD1146" s="1"/>
      <c r="BE1146" s="1"/>
    </row>
    <row r="1147" spans="9:57" x14ac:dyDescent="0.25">
      <c r="I1147" s="1"/>
      <c r="J1147" s="1"/>
      <c r="K1147" s="1"/>
      <c r="L1147" s="1"/>
      <c r="M1147" s="1"/>
      <c r="N1147" s="1"/>
      <c r="O1147" s="1"/>
      <c r="P1147" s="1"/>
      <c r="Q1147" s="1"/>
      <c r="R1147" s="1332"/>
      <c r="S1147" s="1332"/>
      <c r="T1147" s="1332"/>
      <c r="U1147" s="1332"/>
      <c r="V1147" s="1332"/>
      <c r="W1147" s="1332"/>
      <c r="X1147" s="1332"/>
      <c r="Y1147" s="1332"/>
      <c r="Z1147" s="1332"/>
      <c r="AA1147" s="1332"/>
      <c r="AB1147" s="1332"/>
      <c r="AC1147" s="1332"/>
      <c r="AD1147" s="1332"/>
      <c r="AE1147" s="1"/>
      <c r="AF1147" s="1"/>
      <c r="AG1147" s="1"/>
      <c r="AH1147" s="1"/>
      <c r="AI1147" s="1"/>
      <c r="AJ1147" s="1"/>
      <c r="AK1147" s="1"/>
      <c r="AL1147" s="1"/>
      <c r="AM1147" s="1"/>
      <c r="AN1147" s="1"/>
      <c r="AO1147" s="1"/>
      <c r="AP1147" s="488"/>
      <c r="AQ1147" s="488"/>
      <c r="AR1147" s="1"/>
      <c r="AS1147" s="1"/>
      <c r="AT1147" s="1"/>
      <c r="AU1147" s="1"/>
      <c r="AV1147" s="1"/>
      <c r="AW1147" s="1"/>
      <c r="AX1147" s="488"/>
      <c r="AY1147" s="1"/>
      <c r="AZ1147" s="1"/>
      <c r="BA1147" s="1"/>
      <c r="BB1147" s="1"/>
      <c r="BC1147" s="1"/>
      <c r="BD1147" s="1"/>
      <c r="BE1147" s="1"/>
    </row>
    <row r="1148" spans="9:57" x14ac:dyDescent="0.25">
      <c r="I1148" s="1"/>
      <c r="J1148" s="1"/>
      <c r="K1148" s="1"/>
      <c r="L1148" s="1"/>
      <c r="M1148" s="1"/>
      <c r="N1148" s="1"/>
      <c r="O1148" s="1"/>
      <c r="P1148" s="1"/>
      <c r="Q1148" s="1"/>
      <c r="R1148" s="1332"/>
      <c r="S1148" s="1332"/>
      <c r="T1148" s="1332"/>
      <c r="U1148" s="1332"/>
      <c r="V1148" s="1332"/>
      <c r="W1148" s="1332"/>
      <c r="X1148" s="1332"/>
      <c r="Y1148" s="1332"/>
      <c r="Z1148" s="1332"/>
      <c r="AA1148" s="1332"/>
      <c r="AB1148" s="1332"/>
      <c r="AC1148" s="1332"/>
      <c r="AD1148" s="1332"/>
      <c r="AE1148" s="1"/>
      <c r="AF1148" s="1"/>
      <c r="AG1148" s="1"/>
      <c r="AH1148" s="1"/>
      <c r="AI1148" s="1"/>
      <c r="AJ1148" s="1"/>
      <c r="AK1148" s="1"/>
      <c r="AL1148" s="1"/>
      <c r="AM1148" s="1"/>
      <c r="AN1148" s="1"/>
      <c r="AO1148" s="1"/>
      <c r="AP1148" s="488"/>
      <c r="AQ1148" s="488"/>
      <c r="AR1148" s="1"/>
      <c r="AS1148" s="1"/>
      <c r="AT1148" s="1"/>
      <c r="AU1148" s="1"/>
      <c r="AV1148" s="1"/>
      <c r="AW1148" s="1"/>
      <c r="AX1148" s="488"/>
      <c r="AY1148" s="1"/>
      <c r="AZ1148" s="1"/>
      <c r="BA1148" s="1"/>
      <c r="BB1148" s="1"/>
      <c r="BC1148" s="1"/>
      <c r="BD1148" s="1"/>
      <c r="BE1148" s="1"/>
    </row>
    <row r="1149" spans="9:57" x14ac:dyDescent="0.25">
      <c r="I1149" s="1"/>
      <c r="J1149" s="1"/>
      <c r="K1149" s="1"/>
      <c r="L1149" s="1"/>
      <c r="M1149" s="1"/>
      <c r="N1149" s="1"/>
      <c r="O1149" s="1"/>
      <c r="P1149" s="1"/>
      <c r="Q1149" s="1"/>
      <c r="R1149" s="1332"/>
      <c r="S1149" s="1332"/>
      <c r="T1149" s="1332"/>
      <c r="U1149" s="1332"/>
      <c r="V1149" s="1332"/>
      <c r="W1149" s="1332"/>
      <c r="X1149" s="1332"/>
      <c r="Y1149" s="1332"/>
      <c r="Z1149" s="1332"/>
      <c r="AA1149" s="1332"/>
      <c r="AB1149" s="1332"/>
      <c r="AC1149" s="1332"/>
      <c r="AD1149" s="1332"/>
      <c r="AE1149" s="1"/>
      <c r="AF1149" s="1"/>
      <c r="AG1149" s="1"/>
      <c r="AH1149" s="1"/>
      <c r="AI1149" s="1"/>
      <c r="AJ1149" s="1"/>
      <c r="AK1149" s="1"/>
      <c r="AL1149" s="1"/>
      <c r="AM1149" s="1"/>
      <c r="AN1149" s="1"/>
      <c r="AO1149" s="1"/>
      <c r="AP1149" s="488"/>
      <c r="AQ1149" s="488"/>
      <c r="AR1149" s="1"/>
      <c r="AS1149" s="1"/>
      <c r="AT1149" s="1"/>
      <c r="AU1149" s="1"/>
      <c r="AV1149" s="1"/>
      <c r="AW1149" s="1"/>
      <c r="AX1149" s="488"/>
      <c r="AY1149" s="1"/>
      <c r="AZ1149" s="1"/>
      <c r="BA1149" s="1"/>
      <c r="BB1149" s="1"/>
      <c r="BC1149" s="1"/>
      <c r="BD1149" s="1"/>
      <c r="BE1149" s="1"/>
    </row>
    <row r="1150" spans="9:57" x14ac:dyDescent="0.25">
      <c r="I1150" s="1"/>
      <c r="J1150" s="1"/>
      <c r="K1150" s="1"/>
      <c r="L1150" s="1"/>
      <c r="M1150" s="1"/>
      <c r="N1150" s="1"/>
      <c r="O1150" s="1"/>
      <c r="P1150" s="1"/>
      <c r="Q1150" s="1"/>
      <c r="R1150" s="1332"/>
      <c r="S1150" s="1332"/>
      <c r="T1150" s="1332"/>
      <c r="U1150" s="1332"/>
      <c r="V1150" s="1332"/>
      <c r="W1150" s="1332"/>
      <c r="X1150" s="1332"/>
      <c r="Y1150" s="1332"/>
      <c r="Z1150" s="1332"/>
      <c r="AA1150" s="1332"/>
      <c r="AB1150" s="1332"/>
      <c r="AC1150" s="1332"/>
      <c r="AD1150" s="1332"/>
      <c r="AE1150" s="1"/>
      <c r="AF1150" s="1"/>
      <c r="AG1150" s="1"/>
      <c r="AH1150" s="1"/>
      <c r="AI1150" s="1"/>
      <c r="AJ1150" s="1"/>
      <c r="AK1150" s="1"/>
      <c r="AL1150" s="1"/>
      <c r="AM1150" s="1"/>
      <c r="AN1150" s="1"/>
      <c r="AO1150" s="1"/>
      <c r="AP1150" s="488"/>
      <c r="AQ1150" s="488"/>
      <c r="AR1150" s="1"/>
      <c r="AS1150" s="1"/>
      <c r="AT1150" s="1"/>
      <c r="AU1150" s="1"/>
      <c r="AV1150" s="1"/>
      <c r="AW1150" s="1"/>
      <c r="AX1150" s="488"/>
      <c r="AY1150" s="1"/>
      <c r="AZ1150" s="1"/>
      <c r="BA1150" s="1"/>
      <c r="BB1150" s="1"/>
      <c r="BC1150" s="1"/>
      <c r="BD1150" s="1"/>
      <c r="BE1150" s="1"/>
    </row>
    <row r="1151" spans="9:57" x14ac:dyDescent="0.25">
      <c r="I1151" s="1"/>
      <c r="J1151" s="1"/>
      <c r="K1151" s="1"/>
      <c r="L1151" s="1"/>
      <c r="M1151" s="1"/>
      <c r="N1151" s="1"/>
      <c r="O1151" s="1"/>
      <c r="P1151" s="1"/>
      <c r="Q1151" s="1"/>
      <c r="R1151" s="1332"/>
      <c r="S1151" s="1332"/>
      <c r="T1151" s="1332"/>
      <c r="U1151" s="1332"/>
      <c r="V1151" s="1332"/>
      <c r="W1151" s="1332"/>
      <c r="X1151" s="1332"/>
      <c r="Y1151" s="1332"/>
      <c r="Z1151" s="1332"/>
      <c r="AA1151" s="1332"/>
      <c r="AB1151" s="1332"/>
      <c r="AC1151" s="1332"/>
      <c r="AD1151" s="1332"/>
      <c r="AE1151" s="1"/>
      <c r="AF1151" s="1"/>
      <c r="AG1151" s="1"/>
      <c r="AH1151" s="1"/>
      <c r="AI1151" s="1"/>
      <c r="AJ1151" s="1"/>
      <c r="AK1151" s="1"/>
      <c r="AL1151" s="1"/>
      <c r="AM1151" s="1"/>
      <c r="AN1151" s="1"/>
      <c r="AO1151" s="1"/>
      <c r="AP1151" s="488"/>
      <c r="AQ1151" s="488"/>
      <c r="AR1151" s="1"/>
      <c r="AS1151" s="1"/>
      <c r="AT1151" s="1"/>
      <c r="AU1151" s="1"/>
      <c r="AV1151" s="1"/>
      <c r="AW1151" s="1"/>
      <c r="AX1151" s="488"/>
      <c r="AY1151" s="1"/>
      <c r="AZ1151" s="1"/>
      <c r="BA1151" s="1"/>
      <c r="BB1151" s="1"/>
      <c r="BC1151" s="1"/>
      <c r="BD1151" s="1"/>
      <c r="BE1151" s="1"/>
    </row>
    <row r="1152" spans="9:57" x14ac:dyDescent="0.25">
      <c r="I1152" s="1"/>
      <c r="J1152" s="1"/>
      <c r="K1152" s="1"/>
      <c r="L1152" s="1"/>
      <c r="M1152" s="1"/>
      <c r="N1152" s="1"/>
      <c r="O1152" s="1"/>
      <c r="P1152" s="1"/>
      <c r="Q1152" s="1"/>
      <c r="R1152" s="1332"/>
      <c r="S1152" s="1332"/>
      <c r="T1152" s="1332"/>
      <c r="U1152" s="1332"/>
      <c r="V1152" s="1332"/>
      <c r="W1152" s="1332"/>
      <c r="X1152" s="1332"/>
      <c r="Y1152" s="1332"/>
      <c r="Z1152" s="1332"/>
      <c r="AA1152" s="1332"/>
      <c r="AB1152" s="1332"/>
      <c r="AC1152" s="1332"/>
      <c r="AD1152" s="1332"/>
      <c r="AE1152" s="1"/>
      <c r="AF1152" s="1"/>
      <c r="AG1152" s="1"/>
      <c r="AH1152" s="1"/>
      <c r="AI1152" s="1"/>
      <c r="AJ1152" s="1"/>
      <c r="AK1152" s="1"/>
      <c r="AL1152" s="1"/>
      <c r="AM1152" s="1"/>
      <c r="AN1152" s="1"/>
      <c r="AO1152" s="1"/>
      <c r="AP1152" s="488"/>
      <c r="AQ1152" s="488"/>
      <c r="AR1152" s="1"/>
      <c r="AS1152" s="1"/>
      <c r="AT1152" s="1"/>
      <c r="AU1152" s="1"/>
      <c r="AV1152" s="1"/>
      <c r="AW1152" s="1"/>
      <c r="AX1152" s="488"/>
      <c r="AY1152" s="1"/>
      <c r="AZ1152" s="1"/>
      <c r="BA1152" s="1"/>
      <c r="BB1152" s="1"/>
      <c r="BC1152" s="1"/>
      <c r="BD1152" s="1"/>
      <c r="BE1152" s="1"/>
    </row>
    <row r="1153" spans="9:57" x14ac:dyDescent="0.25">
      <c r="I1153" s="1"/>
      <c r="J1153" s="1"/>
      <c r="K1153" s="1"/>
      <c r="L1153" s="1"/>
      <c r="M1153" s="1"/>
      <c r="N1153" s="1"/>
      <c r="O1153" s="1"/>
      <c r="P1153" s="1"/>
      <c r="Q1153" s="1"/>
      <c r="R1153" s="1332"/>
      <c r="S1153" s="1332"/>
      <c r="T1153" s="1332"/>
      <c r="U1153" s="1332"/>
      <c r="V1153" s="1332"/>
      <c r="W1153" s="1332"/>
      <c r="X1153" s="1332"/>
      <c r="Y1153" s="1332"/>
      <c r="Z1153" s="1332"/>
      <c r="AA1153" s="1332"/>
      <c r="AB1153" s="1332"/>
      <c r="AC1153" s="1332"/>
      <c r="AD1153" s="1332"/>
      <c r="AE1153" s="1"/>
      <c r="AF1153" s="1"/>
      <c r="AG1153" s="1"/>
      <c r="AH1153" s="1"/>
      <c r="AI1153" s="1"/>
      <c r="AJ1153" s="1"/>
      <c r="AK1153" s="1"/>
      <c r="AL1153" s="1"/>
      <c r="AM1153" s="1"/>
      <c r="AN1153" s="1"/>
      <c r="AO1153" s="1"/>
      <c r="AP1153" s="488"/>
      <c r="AQ1153" s="488"/>
      <c r="AR1153" s="1"/>
      <c r="AS1153" s="1"/>
      <c r="AT1153" s="1"/>
      <c r="AU1153" s="1"/>
      <c r="AV1153" s="1"/>
      <c r="AW1153" s="1"/>
      <c r="AX1153" s="488"/>
      <c r="AY1153" s="1"/>
      <c r="AZ1153" s="1"/>
      <c r="BA1153" s="1"/>
      <c r="BB1153" s="1"/>
      <c r="BC1153" s="1"/>
      <c r="BD1153" s="1"/>
      <c r="BE1153" s="1"/>
    </row>
    <row r="1154" spans="9:57" x14ac:dyDescent="0.25">
      <c r="I1154" s="1"/>
      <c r="J1154" s="1"/>
      <c r="K1154" s="1"/>
      <c r="L1154" s="1"/>
      <c r="M1154" s="1"/>
      <c r="N1154" s="1"/>
      <c r="O1154" s="1"/>
      <c r="P1154" s="1"/>
      <c r="Q1154" s="1"/>
      <c r="R1154" s="1332"/>
      <c r="S1154" s="1332"/>
      <c r="T1154" s="1332"/>
      <c r="U1154" s="1332"/>
      <c r="V1154" s="1332"/>
      <c r="W1154" s="1332"/>
      <c r="X1154" s="1332"/>
      <c r="Y1154" s="1332"/>
      <c r="Z1154" s="1332"/>
      <c r="AA1154" s="1332"/>
      <c r="AB1154" s="1332"/>
      <c r="AC1154" s="1332"/>
      <c r="AD1154" s="1332"/>
      <c r="AE1154" s="1"/>
      <c r="AF1154" s="1"/>
      <c r="AG1154" s="1"/>
      <c r="AH1154" s="1"/>
      <c r="AI1154" s="1"/>
      <c r="AJ1154" s="1"/>
      <c r="AK1154" s="1"/>
      <c r="AL1154" s="1"/>
      <c r="AM1154" s="1"/>
      <c r="AN1154" s="1"/>
      <c r="AO1154" s="1"/>
      <c r="AP1154" s="488"/>
      <c r="AQ1154" s="488"/>
      <c r="AR1154" s="1"/>
      <c r="AS1154" s="1"/>
      <c r="AT1154" s="1"/>
      <c r="AU1154" s="1"/>
      <c r="AV1154" s="1"/>
      <c r="AW1154" s="1"/>
      <c r="AX1154" s="488"/>
      <c r="AY1154" s="1"/>
      <c r="AZ1154" s="1"/>
      <c r="BA1154" s="1"/>
      <c r="BB1154" s="1"/>
      <c r="BC1154" s="1"/>
      <c r="BD1154" s="1"/>
      <c r="BE1154" s="1"/>
    </row>
    <row r="1155" spans="9:57" x14ac:dyDescent="0.25">
      <c r="I1155" s="1"/>
      <c r="J1155" s="1"/>
      <c r="K1155" s="1"/>
      <c r="L1155" s="1"/>
      <c r="M1155" s="1"/>
      <c r="N1155" s="1"/>
      <c r="O1155" s="1"/>
      <c r="P1155" s="1"/>
      <c r="Q1155" s="1"/>
      <c r="R1155" s="1332"/>
      <c r="S1155" s="1332"/>
      <c r="T1155" s="1332"/>
      <c r="U1155" s="1332"/>
      <c r="V1155" s="1332"/>
      <c r="W1155" s="1332"/>
      <c r="X1155" s="1332"/>
      <c r="Y1155" s="1332"/>
      <c r="Z1155" s="1332"/>
      <c r="AA1155" s="1332"/>
      <c r="AB1155" s="1332"/>
      <c r="AC1155" s="1332"/>
      <c r="AD1155" s="1332"/>
      <c r="AE1155" s="1"/>
      <c r="AF1155" s="1"/>
      <c r="AG1155" s="1"/>
      <c r="AH1155" s="1"/>
      <c r="AI1155" s="1"/>
      <c r="AJ1155" s="1"/>
      <c r="AK1155" s="1"/>
      <c r="AL1155" s="1"/>
      <c r="AM1155" s="1"/>
      <c r="AN1155" s="1"/>
      <c r="AO1155" s="1"/>
      <c r="AP1155" s="488"/>
      <c r="AQ1155" s="488"/>
      <c r="AR1155" s="1"/>
      <c r="AS1155" s="1"/>
      <c r="AT1155" s="1"/>
      <c r="AU1155" s="1"/>
      <c r="AV1155" s="1"/>
      <c r="AW1155" s="1"/>
      <c r="AX1155" s="488"/>
      <c r="AY1155" s="1"/>
      <c r="AZ1155" s="1"/>
      <c r="BA1155" s="1"/>
      <c r="BB1155" s="1"/>
      <c r="BC1155" s="1"/>
      <c r="BD1155" s="1"/>
      <c r="BE1155" s="1"/>
    </row>
    <row r="1156" spans="9:57" x14ac:dyDescent="0.25">
      <c r="I1156" s="1"/>
      <c r="J1156" s="1"/>
      <c r="K1156" s="1"/>
      <c r="L1156" s="1"/>
      <c r="M1156" s="1"/>
      <c r="N1156" s="1"/>
      <c r="O1156" s="1"/>
      <c r="P1156" s="1"/>
      <c r="Q1156" s="1"/>
      <c r="R1156" s="1332"/>
      <c r="S1156" s="1332"/>
      <c r="T1156" s="1332"/>
      <c r="U1156" s="1332"/>
      <c r="V1156" s="1332"/>
      <c r="W1156" s="1332"/>
      <c r="X1156" s="1332"/>
      <c r="Y1156" s="1332"/>
      <c r="Z1156" s="1332"/>
      <c r="AA1156" s="1332"/>
      <c r="AB1156" s="1332"/>
      <c r="AC1156" s="1332"/>
      <c r="AD1156" s="1332"/>
      <c r="AE1156" s="1"/>
      <c r="AF1156" s="1"/>
      <c r="AG1156" s="1"/>
      <c r="AH1156" s="1"/>
      <c r="AI1156" s="1"/>
      <c r="AJ1156" s="1"/>
      <c r="AK1156" s="1"/>
      <c r="AL1156" s="1"/>
      <c r="AM1156" s="1"/>
      <c r="AN1156" s="1"/>
      <c r="AO1156" s="1"/>
      <c r="AP1156" s="488"/>
      <c r="AQ1156" s="488"/>
      <c r="AR1156" s="1"/>
      <c r="AS1156" s="1"/>
      <c r="AT1156" s="1"/>
      <c r="AU1156" s="1"/>
      <c r="AV1156" s="1"/>
      <c r="AW1156" s="1"/>
      <c r="AX1156" s="488"/>
      <c r="AY1156" s="1"/>
      <c r="AZ1156" s="1"/>
      <c r="BA1156" s="1"/>
      <c r="BB1156" s="1"/>
      <c r="BC1156" s="1"/>
      <c r="BD1156" s="1"/>
      <c r="BE1156" s="1"/>
    </row>
    <row r="1157" spans="9:57" x14ac:dyDescent="0.25">
      <c r="I1157" s="1"/>
      <c r="J1157" s="1"/>
      <c r="K1157" s="1"/>
      <c r="L1157" s="1"/>
      <c r="M1157" s="1"/>
      <c r="N1157" s="1"/>
      <c r="O1157" s="1"/>
      <c r="P1157" s="1"/>
      <c r="Q1157" s="1"/>
      <c r="R1157" s="1332"/>
      <c r="S1157" s="1332"/>
      <c r="T1157" s="1332"/>
      <c r="U1157" s="1332"/>
      <c r="V1157" s="1332"/>
      <c r="W1157" s="1332"/>
      <c r="X1157" s="1332"/>
      <c r="Y1157" s="1332"/>
      <c r="Z1157" s="1332"/>
      <c r="AA1157" s="1332"/>
      <c r="AB1157" s="1332"/>
      <c r="AC1157" s="1332"/>
      <c r="AD1157" s="1332"/>
      <c r="AE1157" s="1"/>
      <c r="AF1157" s="1"/>
      <c r="AG1157" s="1"/>
      <c r="AH1157" s="1"/>
      <c r="AI1157" s="1"/>
      <c r="AJ1157" s="1"/>
      <c r="AK1157" s="1"/>
      <c r="AL1157" s="1"/>
      <c r="AM1157" s="1"/>
      <c r="AN1157" s="1"/>
      <c r="AO1157" s="1"/>
      <c r="AP1157" s="488"/>
      <c r="AQ1157" s="488"/>
      <c r="AR1157" s="1"/>
      <c r="AS1157" s="1"/>
      <c r="AT1157" s="1"/>
      <c r="AU1157" s="1"/>
      <c r="AV1157" s="1"/>
      <c r="AW1157" s="1"/>
      <c r="AX1157" s="488"/>
      <c r="AY1157" s="1"/>
      <c r="AZ1157" s="1"/>
      <c r="BA1157" s="1"/>
      <c r="BB1157" s="1"/>
      <c r="BC1157" s="1"/>
      <c r="BD1157" s="1"/>
      <c r="BE1157" s="1"/>
    </row>
    <row r="1158" spans="9:57" x14ac:dyDescent="0.25">
      <c r="I1158" s="1"/>
      <c r="J1158" s="1"/>
      <c r="K1158" s="1"/>
      <c r="L1158" s="1"/>
      <c r="M1158" s="1"/>
      <c r="N1158" s="1"/>
      <c r="O1158" s="1"/>
      <c r="P1158" s="1"/>
      <c r="Q1158" s="1"/>
      <c r="R1158" s="1332"/>
      <c r="S1158" s="1332"/>
      <c r="T1158" s="1332"/>
      <c r="U1158" s="1332"/>
      <c r="V1158" s="1332"/>
      <c r="W1158" s="1332"/>
      <c r="X1158" s="1332"/>
      <c r="Y1158" s="1332"/>
      <c r="Z1158" s="1332"/>
      <c r="AA1158" s="1332"/>
      <c r="AB1158" s="1332"/>
      <c r="AC1158" s="1332"/>
      <c r="AD1158" s="1332"/>
      <c r="AE1158" s="1"/>
      <c r="AF1158" s="1"/>
      <c r="AG1158" s="1"/>
      <c r="AH1158" s="1"/>
      <c r="AI1158" s="1"/>
      <c r="AJ1158" s="1"/>
      <c r="AK1158" s="1"/>
      <c r="AL1158" s="1"/>
      <c r="AM1158" s="1"/>
      <c r="AN1158" s="1"/>
      <c r="AO1158" s="1"/>
      <c r="AP1158" s="488"/>
      <c r="AQ1158" s="488"/>
      <c r="AR1158" s="1"/>
      <c r="AS1158" s="1"/>
      <c r="AT1158" s="1"/>
      <c r="AU1158" s="1"/>
      <c r="AV1158" s="1"/>
      <c r="AW1158" s="1"/>
      <c r="AX1158" s="488"/>
      <c r="AY1158" s="1"/>
      <c r="AZ1158" s="1"/>
      <c r="BA1158" s="1"/>
      <c r="BB1158" s="1"/>
      <c r="BC1158" s="1"/>
      <c r="BD1158" s="1"/>
      <c r="BE1158" s="1"/>
    </row>
    <row r="1159" spans="9:57" x14ac:dyDescent="0.25">
      <c r="I1159" s="1"/>
      <c r="J1159" s="1"/>
      <c r="K1159" s="1"/>
      <c r="L1159" s="1"/>
      <c r="M1159" s="1"/>
      <c r="N1159" s="1"/>
      <c r="O1159" s="1"/>
      <c r="P1159" s="1"/>
      <c r="Q1159" s="1"/>
      <c r="R1159" s="1332"/>
      <c r="S1159" s="1332"/>
      <c r="T1159" s="1332"/>
      <c r="U1159" s="1332"/>
      <c r="V1159" s="1332"/>
      <c r="W1159" s="1332"/>
      <c r="X1159" s="1332"/>
      <c r="Y1159" s="1332"/>
      <c r="Z1159" s="1332"/>
      <c r="AA1159" s="1332"/>
      <c r="AB1159" s="1332"/>
      <c r="AC1159" s="1332"/>
      <c r="AD1159" s="1332"/>
      <c r="AE1159" s="1"/>
      <c r="AF1159" s="1"/>
      <c r="AG1159" s="1"/>
      <c r="AH1159" s="1"/>
      <c r="AI1159" s="1"/>
      <c r="AJ1159" s="1"/>
      <c r="AK1159" s="1"/>
      <c r="AL1159" s="1"/>
      <c r="AM1159" s="1"/>
      <c r="AN1159" s="1"/>
      <c r="AO1159" s="1"/>
      <c r="AP1159" s="488"/>
      <c r="AQ1159" s="488"/>
      <c r="AR1159" s="1"/>
      <c r="AS1159" s="1"/>
      <c r="AT1159" s="1"/>
      <c r="AU1159" s="1"/>
      <c r="AV1159" s="1"/>
      <c r="AW1159" s="1"/>
      <c r="AX1159" s="488"/>
      <c r="AY1159" s="1"/>
      <c r="AZ1159" s="1"/>
      <c r="BA1159" s="1"/>
      <c r="BB1159" s="1"/>
      <c r="BC1159" s="1"/>
      <c r="BD1159" s="1"/>
      <c r="BE1159" s="1"/>
    </row>
    <row r="1160" spans="9:57" x14ac:dyDescent="0.25">
      <c r="I1160" s="1"/>
      <c r="J1160" s="1"/>
      <c r="K1160" s="1"/>
      <c r="L1160" s="1"/>
      <c r="M1160" s="1"/>
      <c r="N1160" s="1"/>
      <c r="O1160" s="1"/>
      <c r="P1160" s="1"/>
      <c r="Q1160" s="1"/>
      <c r="R1160" s="1332"/>
      <c r="S1160" s="1332"/>
      <c r="T1160" s="1332"/>
      <c r="U1160" s="1332"/>
      <c r="V1160" s="1332"/>
      <c r="W1160" s="1332"/>
      <c r="X1160" s="1332"/>
      <c r="Y1160" s="1332"/>
      <c r="Z1160" s="1332"/>
      <c r="AA1160" s="1332"/>
      <c r="AB1160" s="1332"/>
      <c r="AC1160" s="1332"/>
      <c r="AD1160" s="1332"/>
      <c r="AE1160" s="1"/>
      <c r="AF1160" s="1"/>
      <c r="AG1160" s="1"/>
      <c r="AH1160" s="1"/>
      <c r="AI1160" s="1"/>
      <c r="AJ1160" s="1"/>
      <c r="AK1160" s="1"/>
      <c r="AL1160" s="1"/>
      <c r="AM1160" s="1"/>
      <c r="AN1160" s="1"/>
      <c r="AO1160" s="1"/>
      <c r="AP1160" s="488"/>
      <c r="AQ1160" s="488"/>
      <c r="AR1160" s="1"/>
      <c r="AS1160" s="1"/>
      <c r="AT1160" s="1"/>
      <c r="AU1160" s="1"/>
      <c r="AV1160" s="1"/>
      <c r="AW1160" s="1"/>
      <c r="AX1160" s="488"/>
      <c r="AY1160" s="1"/>
      <c r="AZ1160" s="1"/>
      <c r="BA1160" s="1"/>
      <c r="BB1160" s="1"/>
      <c r="BC1160" s="1"/>
      <c r="BD1160" s="1"/>
      <c r="BE1160" s="1"/>
    </row>
    <row r="1161" spans="9:57" x14ac:dyDescent="0.25">
      <c r="I1161" s="1"/>
      <c r="J1161" s="1"/>
      <c r="K1161" s="1"/>
      <c r="L1161" s="1"/>
      <c r="M1161" s="1"/>
      <c r="N1161" s="1"/>
      <c r="O1161" s="1"/>
      <c r="P1161" s="1"/>
      <c r="Q1161" s="1"/>
      <c r="R1161" s="1332"/>
      <c r="S1161" s="1332"/>
      <c r="T1161" s="1332"/>
      <c r="U1161" s="1332"/>
      <c r="V1161" s="1332"/>
      <c r="W1161" s="1332"/>
      <c r="X1161" s="1332"/>
      <c r="Y1161" s="1332"/>
      <c r="Z1161" s="1332"/>
      <c r="AA1161" s="1332"/>
      <c r="AB1161" s="1332"/>
      <c r="AC1161" s="1332"/>
      <c r="AD1161" s="1332"/>
      <c r="AE1161" s="1"/>
      <c r="AF1161" s="1"/>
      <c r="AG1161" s="1"/>
      <c r="AH1161" s="1"/>
      <c r="AI1161" s="1"/>
      <c r="AJ1161" s="1"/>
      <c r="AK1161" s="1"/>
      <c r="AL1161" s="1"/>
      <c r="AM1161" s="1"/>
      <c r="AN1161" s="1"/>
      <c r="AO1161" s="1"/>
      <c r="AP1161" s="488"/>
      <c r="AQ1161" s="488"/>
      <c r="AR1161" s="1"/>
      <c r="AS1161" s="1"/>
      <c r="AT1161" s="1"/>
      <c r="AU1161" s="1"/>
      <c r="AV1161" s="1"/>
      <c r="AW1161" s="1"/>
      <c r="AX1161" s="488"/>
      <c r="AY1161" s="1"/>
      <c r="AZ1161" s="1"/>
      <c r="BA1161" s="1"/>
      <c r="BB1161" s="1"/>
      <c r="BC1161" s="1"/>
      <c r="BD1161" s="1"/>
      <c r="BE1161" s="1"/>
    </row>
    <row r="1162" spans="9:57" x14ac:dyDescent="0.25">
      <c r="I1162" s="1"/>
      <c r="J1162" s="1"/>
      <c r="K1162" s="1"/>
      <c r="L1162" s="1"/>
      <c r="M1162" s="1"/>
      <c r="N1162" s="1"/>
      <c r="O1162" s="1"/>
      <c r="P1162" s="1"/>
      <c r="Q1162" s="1"/>
      <c r="R1162" s="1332"/>
      <c r="S1162" s="1332"/>
      <c r="T1162" s="1332"/>
      <c r="U1162" s="1332"/>
      <c r="V1162" s="1332"/>
      <c r="W1162" s="1332"/>
      <c r="X1162" s="1332"/>
      <c r="Y1162" s="1332"/>
      <c r="Z1162" s="1332"/>
      <c r="AA1162" s="1332"/>
      <c r="AB1162" s="1332"/>
      <c r="AC1162" s="1332"/>
      <c r="AD1162" s="1332"/>
      <c r="AE1162" s="1"/>
      <c r="AF1162" s="1"/>
      <c r="AG1162" s="1"/>
      <c r="AH1162" s="1"/>
      <c r="AI1162" s="1"/>
      <c r="AJ1162" s="1"/>
      <c r="AK1162" s="1"/>
      <c r="AL1162" s="1"/>
      <c r="AM1162" s="1"/>
      <c r="AN1162" s="1"/>
      <c r="AO1162" s="1"/>
      <c r="AP1162" s="488"/>
      <c r="AQ1162" s="488"/>
      <c r="AR1162" s="1"/>
      <c r="AS1162" s="1"/>
      <c r="AT1162" s="1"/>
      <c r="AU1162" s="1"/>
      <c r="AV1162" s="1"/>
      <c r="AW1162" s="1"/>
      <c r="AX1162" s="488"/>
      <c r="AY1162" s="1"/>
      <c r="AZ1162" s="1"/>
      <c r="BA1162" s="1"/>
      <c r="BB1162" s="1"/>
      <c r="BC1162" s="1"/>
      <c r="BD1162" s="1"/>
      <c r="BE1162" s="1"/>
    </row>
    <row r="1163" spans="9:57" x14ac:dyDescent="0.25">
      <c r="I1163" s="1"/>
      <c r="J1163" s="1"/>
      <c r="K1163" s="1"/>
      <c r="L1163" s="1"/>
      <c r="M1163" s="1"/>
      <c r="N1163" s="1"/>
      <c r="O1163" s="1"/>
      <c r="P1163" s="1"/>
      <c r="Q1163" s="1"/>
      <c r="R1163" s="1332"/>
      <c r="S1163" s="1332"/>
      <c r="T1163" s="1332"/>
      <c r="U1163" s="1332"/>
      <c r="V1163" s="1332"/>
      <c r="W1163" s="1332"/>
      <c r="X1163" s="1332"/>
      <c r="Y1163" s="1332"/>
      <c r="Z1163" s="1332"/>
      <c r="AA1163" s="1332"/>
      <c r="AB1163" s="1332"/>
      <c r="AC1163" s="1332"/>
      <c r="AD1163" s="1332"/>
      <c r="AE1163" s="1"/>
      <c r="AF1163" s="1"/>
      <c r="AG1163" s="1"/>
      <c r="AH1163" s="1"/>
      <c r="AI1163" s="1"/>
      <c r="AJ1163" s="1"/>
      <c r="AK1163" s="1"/>
      <c r="AL1163" s="1"/>
      <c r="AM1163" s="1"/>
      <c r="AN1163" s="1"/>
      <c r="AO1163" s="1"/>
      <c r="AP1163" s="488"/>
      <c r="AQ1163" s="488"/>
      <c r="AR1163" s="1"/>
      <c r="AS1163" s="1"/>
      <c r="AT1163" s="1"/>
      <c r="AU1163" s="1"/>
      <c r="AV1163" s="1"/>
      <c r="AW1163" s="1"/>
      <c r="AX1163" s="488"/>
      <c r="AY1163" s="1"/>
      <c r="AZ1163" s="1"/>
      <c r="BA1163" s="1"/>
      <c r="BB1163" s="1"/>
      <c r="BC1163" s="1"/>
      <c r="BD1163" s="1"/>
      <c r="BE1163" s="1"/>
    </row>
    <row r="1164" spans="9:57" x14ac:dyDescent="0.25">
      <c r="I1164" s="1"/>
      <c r="J1164" s="1"/>
      <c r="K1164" s="1"/>
      <c r="L1164" s="1"/>
      <c r="M1164" s="1"/>
      <c r="N1164" s="1"/>
      <c r="O1164" s="1"/>
      <c r="P1164" s="1"/>
      <c r="Q1164" s="1"/>
      <c r="R1164" s="1332"/>
      <c r="S1164" s="1332"/>
      <c r="T1164" s="1332"/>
      <c r="U1164" s="1332"/>
      <c r="V1164" s="1332"/>
      <c r="W1164" s="1332"/>
      <c r="X1164" s="1332"/>
      <c r="Y1164" s="1332"/>
      <c r="Z1164" s="1332"/>
      <c r="AA1164" s="1332"/>
      <c r="AB1164" s="1332"/>
      <c r="AC1164" s="1332"/>
      <c r="AD1164" s="1332"/>
      <c r="AE1164" s="1"/>
      <c r="AF1164" s="1"/>
      <c r="AG1164" s="1"/>
      <c r="AH1164" s="1"/>
      <c r="AI1164" s="1"/>
      <c r="AJ1164" s="1"/>
      <c r="AK1164" s="1"/>
      <c r="AL1164" s="1"/>
      <c r="AM1164" s="1"/>
      <c r="AN1164" s="1"/>
      <c r="AO1164" s="1"/>
      <c r="AP1164" s="488"/>
      <c r="AQ1164" s="488"/>
      <c r="AR1164" s="1"/>
      <c r="AS1164" s="1"/>
      <c r="AT1164" s="1"/>
      <c r="AU1164" s="1"/>
      <c r="AV1164" s="1"/>
      <c r="AW1164" s="1"/>
      <c r="AX1164" s="488"/>
      <c r="AY1164" s="1"/>
      <c r="AZ1164" s="1"/>
      <c r="BA1164" s="1"/>
      <c r="BB1164" s="1"/>
      <c r="BC1164" s="1"/>
      <c r="BD1164" s="1"/>
      <c r="BE1164" s="1"/>
    </row>
    <row r="1165" spans="9:57" x14ac:dyDescent="0.25">
      <c r="I1165" s="1"/>
      <c r="J1165" s="1"/>
      <c r="K1165" s="1"/>
      <c r="L1165" s="1"/>
      <c r="M1165" s="1"/>
      <c r="N1165" s="1"/>
      <c r="O1165" s="1"/>
      <c r="P1165" s="1"/>
      <c r="Q1165" s="1"/>
      <c r="R1165" s="1332"/>
      <c r="S1165" s="1332"/>
      <c r="T1165" s="1332"/>
      <c r="U1165" s="1332"/>
      <c r="V1165" s="1332"/>
      <c r="W1165" s="1332"/>
      <c r="X1165" s="1332"/>
      <c r="Y1165" s="1332"/>
      <c r="Z1165" s="1332"/>
      <c r="AA1165" s="1332"/>
      <c r="AB1165" s="1332"/>
      <c r="AC1165" s="1332"/>
      <c r="AD1165" s="1332"/>
      <c r="AE1165" s="1"/>
      <c r="AF1165" s="1"/>
      <c r="AG1165" s="1"/>
      <c r="AH1165" s="1"/>
      <c r="AI1165" s="1"/>
      <c r="AJ1165" s="1"/>
      <c r="AK1165" s="1"/>
      <c r="AL1165" s="1"/>
      <c r="AM1165" s="1"/>
      <c r="AN1165" s="1"/>
      <c r="AO1165" s="1"/>
      <c r="AP1165" s="488"/>
      <c r="AQ1165" s="488"/>
      <c r="AR1165" s="1"/>
      <c r="AS1165" s="1"/>
      <c r="AT1165" s="1"/>
      <c r="AU1165" s="1"/>
      <c r="AV1165" s="1"/>
      <c r="AW1165" s="1"/>
      <c r="AX1165" s="488"/>
      <c r="AY1165" s="1"/>
      <c r="AZ1165" s="1"/>
      <c r="BA1165" s="1"/>
      <c r="BB1165" s="1"/>
      <c r="BC1165" s="1"/>
      <c r="BD1165" s="1"/>
      <c r="BE1165" s="1"/>
    </row>
    <row r="1166" spans="9:57" x14ac:dyDescent="0.25">
      <c r="I1166" s="1"/>
      <c r="J1166" s="1"/>
      <c r="K1166" s="1"/>
      <c r="L1166" s="1"/>
      <c r="M1166" s="1"/>
      <c r="N1166" s="1"/>
      <c r="O1166" s="1"/>
      <c r="P1166" s="1"/>
      <c r="Q1166" s="1"/>
      <c r="R1166" s="1332"/>
      <c r="S1166" s="1332"/>
      <c r="T1166" s="1332"/>
      <c r="U1166" s="1332"/>
      <c r="V1166" s="1332"/>
      <c r="W1166" s="1332"/>
      <c r="X1166" s="1332"/>
      <c r="Y1166" s="1332"/>
      <c r="Z1166" s="1332"/>
      <c r="AA1166" s="1332"/>
      <c r="AB1166" s="1332"/>
      <c r="AC1166" s="1332"/>
      <c r="AD1166" s="1332"/>
      <c r="AE1166" s="1"/>
      <c r="AF1166" s="1"/>
      <c r="AG1166" s="1"/>
      <c r="AH1166" s="1"/>
      <c r="AI1166" s="1"/>
      <c r="AJ1166" s="1"/>
      <c r="AK1166" s="1"/>
      <c r="AL1166" s="1"/>
      <c r="AM1166" s="1"/>
      <c r="AN1166" s="1"/>
      <c r="AO1166" s="1"/>
      <c r="AP1166" s="488"/>
      <c r="AQ1166" s="488"/>
      <c r="AR1166" s="1"/>
      <c r="AS1166" s="1"/>
      <c r="AT1166" s="1"/>
      <c r="AU1166" s="1"/>
      <c r="AV1166" s="1"/>
      <c r="AW1166" s="1"/>
      <c r="AX1166" s="488"/>
      <c r="AY1166" s="1"/>
      <c r="AZ1166" s="1"/>
      <c r="BA1166" s="1"/>
      <c r="BB1166" s="1"/>
      <c r="BC1166" s="1"/>
      <c r="BD1166" s="1"/>
      <c r="BE1166" s="1"/>
    </row>
    <row r="1167" spans="9:57" x14ac:dyDescent="0.25">
      <c r="I1167" s="1"/>
      <c r="J1167" s="1"/>
      <c r="K1167" s="1"/>
      <c r="L1167" s="1"/>
      <c r="M1167" s="1"/>
      <c r="N1167" s="1"/>
      <c r="O1167" s="1"/>
      <c r="P1167" s="1"/>
      <c r="Q1167" s="1"/>
      <c r="R1167" s="1332"/>
      <c r="S1167" s="1332"/>
      <c r="T1167" s="1332"/>
      <c r="U1167" s="1332"/>
      <c r="V1167" s="1332"/>
      <c r="W1167" s="1332"/>
      <c r="X1167" s="1332"/>
      <c r="Y1167" s="1332"/>
      <c r="Z1167" s="1332"/>
      <c r="AA1167" s="1332"/>
      <c r="AB1167" s="1332"/>
      <c r="AC1167" s="1332"/>
      <c r="AD1167" s="1332"/>
      <c r="AE1167" s="1"/>
      <c r="AF1167" s="1"/>
      <c r="AG1167" s="1"/>
      <c r="AH1167" s="1"/>
      <c r="AI1167" s="1"/>
      <c r="AJ1167" s="1"/>
      <c r="AK1167" s="1"/>
      <c r="AL1167" s="1"/>
      <c r="AM1167" s="1"/>
      <c r="AN1167" s="1"/>
      <c r="AO1167" s="1"/>
      <c r="AP1167" s="488"/>
      <c r="AQ1167" s="488"/>
      <c r="AR1167" s="1"/>
      <c r="AS1167" s="1"/>
      <c r="AT1167" s="1"/>
      <c r="AU1167" s="1"/>
      <c r="AV1167" s="1"/>
      <c r="AW1167" s="1"/>
      <c r="AX1167" s="488"/>
      <c r="AY1167" s="1"/>
      <c r="AZ1167" s="1"/>
      <c r="BA1167" s="1"/>
      <c r="BB1167" s="1"/>
      <c r="BC1167" s="1"/>
      <c r="BD1167" s="1"/>
      <c r="BE1167" s="1"/>
    </row>
    <row r="1168" spans="9:57" x14ac:dyDescent="0.25">
      <c r="I1168" s="1"/>
      <c r="J1168" s="1"/>
      <c r="K1168" s="1"/>
      <c r="L1168" s="1"/>
      <c r="M1168" s="1"/>
      <c r="N1168" s="1"/>
      <c r="O1168" s="1"/>
      <c r="P1168" s="1"/>
      <c r="Q1168" s="1"/>
      <c r="R1168" s="1332"/>
      <c r="S1168" s="1332"/>
      <c r="T1168" s="1332"/>
      <c r="U1168" s="1332"/>
      <c r="V1168" s="1332"/>
      <c r="W1168" s="1332"/>
      <c r="X1168" s="1332"/>
      <c r="Y1168" s="1332"/>
      <c r="Z1168" s="1332"/>
      <c r="AA1168" s="1332"/>
      <c r="AB1168" s="1332"/>
      <c r="AC1168" s="1332"/>
      <c r="AD1168" s="1332"/>
      <c r="AE1168" s="1"/>
      <c r="AF1168" s="1"/>
      <c r="AG1168" s="1"/>
      <c r="AH1168" s="1"/>
      <c r="AI1168" s="1"/>
      <c r="AJ1168" s="1"/>
      <c r="AK1168" s="1"/>
      <c r="AL1168" s="1"/>
      <c r="AM1168" s="1"/>
      <c r="AN1168" s="1"/>
      <c r="AO1168" s="1"/>
      <c r="AP1168" s="488"/>
      <c r="AQ1168" s="488"/>
      <c r="AR1168" s="1"/>
      <c r="AS1168" s="1"/>
      <c r="AT1168" s="1"/>
      <c r="AU1168" s="1"/>
      <c r="AV1168" s="1"/>
      <c r="AW1168" s="1"/>
      <c r="AX1168" s="488"/>
      <c r="AY1168" s="1"/>
      <c r="AZ1168" s="1"/>
      <c r="BA1168" s="1"/>
      <c r="BB1168" s="1"/>
      <c r="BC1168" s="1"/>
      <c r="BD1168" s="1"/>
      <c r="BE1168" s="1"/>
    </row>
    <row r="1169" spans="9:57" x14ac:dyDescent="0.25">
      <c r="I1169" s="1"/>
      <c r="J1169" s="1"/>
      <c r="K1169" s="1"/>
      <c r="L1169" s="1"/>
      <c r="M1169" s="1"/>
      <c r="N1169" s="1"/>
      <c r="O1169" s="1"/>
      <c r="P1169" s="1"/>
      <c r="Q1169" s="1"/>
      <c r="R1169" s="1332"/>
      <c r="S1169" s="1332"/>
      <c r="T1169" s="1332"/>
      <c r="U1169" s="1332"/>
      <c r="V1169" s="1332"/>
      <c r="W1169" s="1332"/>
      <c r="X1169" s="1332"/>
      <c r="Y1169" s="1332"/>
      <c r="Z1169" s="1332"/>
      <c r="AA1169" s="1332"/>
      <c r="AB1169" s="1332"/>
      <c r="AC1169" s="1332"/>
      <c r="AD1169" s="1332"/>
      <c r="AE1169" s="1"/>
      <c r="AF1169" s="1"/>
      <c r="AG1169" s="1"/>
      <c r="AH1169" s="1"/>
      <c r="AI1169" s="1"/>
      <c r="AJ1169" s="1"/>
      <c r="AK1169" s="1"/>
      <c r="AL1169" s="1"/>
      <c r="AM1169" s="1"/>
      <c r="AN1169" s="1"/>
      <c r="AO1169" s="1"/>
      <c r="AP1169" s="488"/>
      <c r="AQ1169" s="488"/>
      <c r="AR1169" s="1"/>
      <c r="AS1169" s="1"/>
      <c r="AT1169" s="1"/>
      <c r="AU1169" s="1"/>
      <c r="AV1169" s="1"/>
      <c r="AW1169" s="1"/>
      <c r="AX1169" s="488"/>
      <c r="AY1169" s="1"/>
      <c r="AZ1169" s="1"/>
      <c r="BA1169" s="1"/>
      <c r="BB1169" s="1"/>
      <c r="BC1169" s="1"/>
      <c r="BD1169" s="1"/>
      <c r="BE1169" s="1"/>
    </row>
    <row r="1170" spans="9:57" x14ac:dyDescent="0.25">
      <c r="I1170" s="1"/>
      <c r="J1170" s="1"/>
      <c r="K1170" s="1"/>
      <c r="L1170" s="1"/>
      <c r="M1170" s="1"/>
      <c r="N1170" s="1"/>
      <c r="O1170" s="1"/>
      <c r="P1170" s="1"/>
      <c r="Q1170" s="1"/>
      <c r="R1170" s="1332"/>
      <c r="S1170" s="1332"/>
      <c r="T1170" s="1332"/>
      <c r="U1170" s="1332"/>
      <c r="V1170" s="1332"/>
      <c r="W1170" s="1332"/>
      <c r="X1170" s="1332"/>
      <c r="Y1170" s="1332"/>
      <c r="Z1170" s="1332"/>
      <c r="AA1170" s="1332"/>
      <c r="AB1170" s="1332"/>
      <c r="AC1170" s="1332"/>
      <c r="AD1170" s="1332"/>
      <c r="AE1170" s="1"/>
      <c r="AF1170" s="1"/>
      <c r="AG1170" s="1"/>
      <c r="AH1170" s="1"/>
      <c r="AI1170" s="1"/>
      <c r="AJ1170" s="1"/>
      <c r="AK1170" s="1"/>
      <c r="AL1170" s="1"/>
      <c r="AM1170" s="1"/>
      <c r="AN1170" s="1"/>
      <c r="AO1170" s="1"/>
      <c r="AP1170" s="488"/>
      <c r="AQ1170" s="488"/>
      <c r="AR1170" s="1"/>
      <c r="AS1170" s="1"/>
      <c r="AT1170" s="1"/>
      <c r="AU1170" s="1"/>
      <c r="AV1170" s="1"/>
      <c r="AW1170" s="1"/>
      <c r="AX1170" s="488"/>
      <c r="AY1170" s="1"/>
      <c r="AZ1170" s="1"/>
      <c r="BA1170" s="1"/>
      <c r="BB1170" s="1"/>
      <c r="BC1170" s="1"/>
      <c r="BD1170" s="1"/>
      <c r="BE1170" s="1"/>
    </row>
    <row r="1171" spans="9:57" x14ac:dyDescent="0.25">
      <c r="I1171" s="1"/>
      <c r="J1171" s="1"/>
      <c r="K1171" s="1"/>
      <c r="L1171" s="1"/>
      <c r="M1171" s="1"/>
      <c r="N1171" s="1"/>
      <c r="O1171" s="1"/>
      <c r="P1171" s="1"/>
      <c r="Q1171" s="1"/>
      <c r="R1171" s="1332"/>
      <c r="S1171" s="1332"/>
      <c r="T1171" s="1332"/>
      <c r="U1171" s="1332"/>
      <c r="V1171" s="1332"/>
      <c r="W1171" s="1332"/>
      <c r="X1171" s="1332"/>
      <c r="Y1171" s="1332"/>
      <c r="Z1171" s="1332"/>
      <c r="AA1171" s="1332"/>
      <c r="AB1171" s="1332"/>
      <c r="AC1171" s="1332"/>
      <c r="AD1171" s="1332"/>
      <c r="AE1171" s="1"/>
      <c r="AF1171" s="1"/>
      <c r="AG1171" s="1"/>
      <c r="AH1171" s="1"/>
      <c r="AI1171" s="1"/>
      <c r="AJ1171" s="1"/>
      <c r="AK1171" s="1"/>
      <c r="AL1171" s="1"/>
      <c r="AM1171" s="1"/>
      <c r="AN1171" s="1"/>
      <c r="AO1171" s="1"/>
      <c r="AP1171" s="488"/>
      <c r="AQ1171" s="488"/>
      <c r="AR1171" s="1"/>
      <c r="AS1171" s="1"/>
      <c r="AT1171" s="1"/>
      <c r="AU1171" s="1"/>
      <c r="AV1171" s="1"/>
      <c r="AW1171" s="1"/>
      <c r="AX1171" s="488"/>
      <c r="AY1171" s="1"/>
      <c r="AZ1171" s="1"/>
      <c r="BA1171" s="1"/>
      <c r="BB1171" s="1"/>
      <c r="BC1171" s="1"/>
      <c r="BD1171" s="1"/>
      <c r="BE1171" s="1"/>
    </row>
    <row r="1172" spans="9:57" x14ac:dyDescent="0.25">
      <c r="I1172" s="1"/>
      <c r="J1172" s="1"/>
      <c r="K1172" s="1"/>
      <c r="L1172" s="1"/>
      <c r="M1172" s="1"/>
      <c r="N1172" s="1"/>
      <c r="O1172" s="1"/>
      <c r="P1172" s="1"/>
      <c r="Q1172" s="1"/>
      <c r="R1172" s="1332"/>
      <c r="S1172" s="1332"/>
      <c r="T1172" s="1332"/>
      <c r="U1172" s="1332"/>
      <c r="V1172" s="1332"/>
      <c r="W1172" s="1332"/>
      <c r="X1172" s="1332"/>
      <c r="Y1172" s="1332"/>
      <c r="Z1172" s="1332"/>
      <c r="AA1172" s="1332"/>
      <c r="AB1172" s="1332"/>
      <c r="AC1172" s="1332"/>
      <c r="AD1172" s="1332"/>
      <c r="AE1172" s="1"/>
      <c r="AF1172" s="1"/>
      <c r="AG1172" s="1"/>
      <c r="AH1172" s="1"/>
      <c r="AI1172" s="1"/>
      <c r="AJ1172" s="1"/>
      <c r="AK1172" s="1"/>
      <c r="AL1172" s="1"/>
      <c r="AM1172" s="1"/>
      <c r="AN1172" s="1"/>
      <c r="AO1172" s="1"/>
      <c r="AP1172" s="488"/>
      <c r="AQ1172" s="488"/>
      <c r="AR1172" s="1"/>
      <c r="AS1172" s="1"/>
      <c r="AT1172" s="1"/>
      <c r="AU1172" s="1"/>
      <c r="AV1172" s="1"/>
      <c r="AW1172" s="1"/>
      <c r="AX1172" s="488"/>
      <c r="AY1172" s="1"/>
      <c r="AZ1172" s="1"/>
      <c r="BA1172" s="1"/>
      <c r="BB1172" s="1"/>
      <c r="BC1172" s="1"/>
      <c r="BD1172" s="1"/>
      <c r="BE1172" s="1"/>
    </row>
    <row r="1173" spans="9:57" x14ac:dyDescent="0.25">
      <c r="I1173" s="1"/>
      <c r="J1173" s="1"/>
      <c r="K1173" s="1"/>
      <c r="L1173" s="1"/>
      <c r="M1173" s="1"/>
      <c r="N1173" s="1"/>
      <c r="O1173" s="1"/>
      <c r="P1173" s="1"/>
      <c r="Q1173" s="1"/>
      <c r="R1173" s="1332"/>
      <c r="S1173" s="1332"/>
      <c r="T1173" s="1332"/>
      <c r="U1173" s="1332"/>
      <c r="V1173" s="1332"/>
      <c r="W1173" s="1332"/>
      <c r="X1173" s="1332"/>
      <c r="Y1173" s="1332"/>
      <c r="Z1173" s="1332"/>
      <c r="AA1173" s="1332"/>
      <c r="AB1173" s="1332"/>
      <c r="AC1173" s="1332"/>
      <c r="AD1173" s="1332"/>
      <c r="AE1173" s="1"/>
      <c r="AF1173" s="1"/>
      <c r="AG1173" s="1"/>
      <c r="AH1173" s="1"/>
      <c r="AI1173" s="1"/>
      <c r="AJ1173" s="1"/>
      <c r="AK1173" s="1"/>
      <c r="AL1173" s="1"/>
      <c r="AM1173" s="1"/>
      <c r="AN1173" s="1"/>
      <c r="AO1173" s="1"/>
      <c r="AP1173" s="488"/>
      <c r="AQ1173" s="488"/>
      <c r="AR1173" s="1"/>
      <c r="AS1173" s="1"/>
      <c r="AT1173" s="1"/>
      <c r="AU1173" s="1"/>
      <c r="AV1173" s="1"/>
      <c r="AW1173" s="1"/>
      <c r="AX1173" s="488"/>
      <c r="AY1173" s="1"/>
      <c r="AZ1173" s="1"/>
      <c r="BA1173" s="1"/>
      <c r="BB1173" s="1"/>
      <c r="BC1173" s="1"/>
      <c r="BD1173" s="1"/>
      <c r="BE1173" s="1"/>
    </row>
    <row r="1174" spans="9:57" x14ac:dyDescent="0.25">
      <c r="I1174" s="1"/>
      <c r="J1174" s="1"/>
      <c r="K1174" s="1"/>
      <c r="L1174" s="1"/>
      <c r="M1174" s="1"/>
      <c r="N1174" s="1"/>
      <c r="O1174" s="1"/>
      <c r="P1174" s="1"/>
      <c r="Q1174" s="1"/>
      <c r="R1174" s="1332"/>
      <c r="S1174" s="1332"/>
      <c r="T1174" s="1332"/>
      <c r="U1174" s="1332"/>
      <c r="V1174" s="1332"/>
      <c r="W1174" s="1332"/>
      <c r="X1174" s="1332"/>
      <c r="Y1174" s="1332"/>
      <c r="Z1174" s="1332"/>
      <c r="AA1174" s="1332"/>
      <c r="AB1174" s="1332"/>
      <c r="AC1174" s="1332"/>
      <c r="AD1174" s="1332"/>
      <c r="AE1174" s="1"/>
      <c r="AF1174" s="1"/>
      <c r="AG1174" s="1"/>
      <c r="AH1174" s="1"/>
      <c r="AI1174" s="1"/>
      <c r="AJ1174" s="1"/>
      <c r="AK1174" s="1"/>
      <c r="AL1174" s="1"/>
      <c r="AM1174" s="1"/>
      <c r="AN1174" s="1"/>
      <c r="AO1174" s="1"/>
      <c r="AP1174" s="488"/>
      <c r="AQ1174" s="488"/>
      <c r="AR1174" s="1"/>
      <c r="AS1174" s="1"/>
      <c r="AT1174" s="1"/>
      <c r="AU1174" s="1"/>
      <c r="AV1174" s="1"/>
      <c r="AW1174" s="1"/>
      <c r="AX1174" s="488"/>
      <c r="AY1174" s="1"/>
      <c r="AZ1174" s="1"/>
      <c r="BA1174" s="1"/>
      <c r="BB1174" s="1"/>
      <c r="BC1174" s="1"/>
      <c r="BD1174" s="1"/>
      <c r="BE1174" s="1"/>
    </row>
    <row r="1175" spans="9:57" x14ac:dyDescent="0.25">
      <c r="I1175" s="1"/>
      <c r="J1175" s="1"/>
      <c r="K1175" s="1"/>
      <c r="L1175" s="1"/>
      <c r="M1175" s="1"/>
      <c r="N1175" s="1"/>
      <c r="O1175" s="1"/>
      <c r="P1175" s="1"/>
      <c r="Q1175" s="1"/>
      <c r="R1175" s="1332"/>
      <c r="S1175" s="1332"/>
      <c r="T1175" s="1332"/>
      <c r="U1175" s="1332"/>
      <c r="V1175" s="1332"/>
      <c r="W1175" s="1332"/>
      <c r="X1175" s="1332"/>
      <c r="Y1175" s="1332"/>
      <c r="Z1175" s="1332"/>
      <c r="AA1175" s="1332"/>
      <c r="AB1175" s="1332"/>
      <c r="AC1175" s="1332"/>
      <c r="AD1175" s="1332"/>
      <c r="AE1175" s="1"/>
      <c r="AF1175" s="1"/>
      <c r="AG1175" s="1"/>
      <c r="AH1175" s="1"/>
      <c r="AI1175" s="1"/>
      <c r="AJ1175" s="1"/>
      <c r="AK1175" s="1"/>
      <c r="AL1175" s="1"/>
      <c r="AM1175" s="1"/>
      <c r="AN1175" s="1"/>
      <c r="AO1175" s="1"/>
      <c r="AP1175" s="488"/>
      <c r="AQ1175" s="488"/>
      <c r="AR1175" s="1"/>
      <c r="AS1175" s="1"/>
      <c r="AT1175" s="1"/>
      <c r="AU1175" s="1"/>
      <c r="AV1175" s="1"/>
      <c r="AW1175" s="1"/>
      <c r="AX1175" s="488"/>
      <c r="AY1175" s="1"/>
      <c r="AZ1175" s="1"/>
      <c r="BA1175" s="1"/>
      <c r="BB1175" s="1"/>
      <c r="BC1175" s="1"/>
      <c r="BD1175" s="1"/>
      <c r="BE1175" s="1"/>
    </row>
    <row r="1176" spans="9:57" x14ac:dyDescent="0.25">
      <c r="I1176" s="1"/>
      <c r="J1176" s="1"/>
      <c r="K1176" s="1"/>
      <c r="L1176" s="1"/>
      <c r="M1176" s="1"/>
      <c r="N1176" s="1"/>
      <c r="O1176" s="1"/>
      <c r="P1176" s="1"/>
      <c r="Q1176" s="1"/>
      <c r="R1176" s="1332"/>
      <c r="S1176" s="1332"/>
      <c r="T1176" s="1332"/>
      <c r="U1176" s="1332"/>
      <c r="V1176" s="1332"/>
      <c r="W1176" s="1332"/>
      <c r="X1176" s="1332"/>
      <c r="Y1176" s="1332"/>
      <c r="Z1176" s="1332"/>
      <c r="AA1176" s="1332"/>
      <c r="AB1176" s="1332"/>
      <c r="AC1176" s="1332"/>
      <c r="AD1176" s="1332"/>
      <c r="AE1176" s="1"/>
      <c r="AF1176" s="1"/>
      <c r="AG1176" s="1"/>
      <c r="AH1176" s="1"/>
      <c r="AI1176" s="1"/>
      <c r="AJ1176" s="1"/>
      <c r="AK1176" s="1"/>
      <c r="AL1176" s="1"/>
      <c r="AM1176" s="1"/>
      <c r="AN1176" s="1"/>
      <c r="AO1176" s="1"/>
      <c r="AP1176" s="488"/>
      <c r="AQ1176" s="488"/>
      <c r="AR1176" s="1"/>
      <c r="AS1176" s="1"/>
      <c r="AT1176" s="1"/>
      <c r="AU1176" s="1"/>
      <c r="AV1176" s="1"/>
      <c r="AW1176" s="1"/>
      <c r="AX1176" s="488"/>
      <c r="AY1176" s="1"/>
      <c r="AZ1176" s="1"/>
      <c r="BA1176" s="1"/>
      <c r="BB1176" s="1"/>
      <c r="BC1176" s="1"/>
      <c r="BD1176" s="1"/>
      <c r="BE1176" s="1"/>
    </row>
    <row r="1177" spans="9:57" x14ac:dyDescent="0.25">
      <c r="I1177" s="1"/>
      <c r="J1177" s="1"/>
      <c r="K1177" s="1"/>
      <c r="L1177" s="1"/>
      <c r="M1177" s="1"/>
      <c r="N1177" s="1"/>
      <c r="O1177" s="1"/>
      <c r="P1177" s="1"/>
      <c r="Q1177" s="1"/>
      <c r="R1177" s="1332"/>
      <c r="S1177" s="1332"/>
      <c r="T1177" s="1332"/>
      <c r="U1177" s="1332"/>
      <c r="V1177" s="1332"/>
      <c r="W1177" s="1332"/>
      <c r="X1177" s="1332"/>
      <c r="Y1177" s="1332"/>
      <c r="Z1177" s="1332"/>
      <c r="AA1177" s="1332"/>
      <c r="AB1177" s="1332"/>
      <c r="AC1177" s="1332"/>
      <c r="AD1177" s="1332"/>
      <c r="AE1177" s="1"/>
      <c r="AF1177" s="1"/>
      <c r="AG1177" s="1"/>
      <c r="AH1177" s="1"/>
      <c r="AI1177" s="1"/>
      <c r="AJ1177" s="1"/>
      <c r="AK1177" s="1"/>
      <c r="AL1177" s="1"/>
      <c r="AM1177" s="1"/>
      <c r="AN1177" s="1"/>
      <c r="AO1177" s="1"/>
      <c r="AP1177" s="488"/>
      <c r="AQ1177" s="488"/>
      <c r="AR1177" s="1"/>
      <c r="AS1177" s="1"/>
      <c r="AT1177" s="1"/>
      <c r="AU1177" s="1"/>
      <c r="AV1177" s="1"/>
      <c r="AW1177" s="1"/>
      <c r="AX1177" s="488"/>
      <c r="AY1177" s="1"/>
      <c r="AZ1177" s="1"/>
      <c r="BA1177" s="1"/>
      <c r="BB1177" s="1"/>
      <c r="BC1177" s="1"/>
      <c r="BD1177" s="1"/>
      <c r="BE1177" s="1"/>
    </row>
    <row r="1178" spans="9:57" x14ac:dyDescent="0.25">
      <c r="I1178" s="1"/>
      <c r="J1178" s="1"/>
      <c r="K1178" s="1"/>
      <c r="L1178" s="1"/>
      <c r="M1178" s="1"/>
      <c r="N1178" s="1"/>
      <c r="O1178" s="1"/>
      <c r="P1178" s="1"/>
      <c r="Q1178" s="1"/>
      <c r="R1178" s="1332"/>
      <c r="S1178" s="1332"/>
      <c r="T1178" s="1332"/>
      <c r="U1178" s="1332"/>
      <c r="V1178" s="1332"/>
      <c r="W1178" s="1332"/>
      <c r="X1178" s="1332"/>
      <c r="Y1178" s="1332"/>
      <c r="Z1178" s="1332"/>
      <c r="AA1178" s="1332"/>
      <c r="AB1178" s="1332"/>
      <c r="AC1178" s="1332"/>
      <c r="AD1178" s="1332"/>
      <c r="AE1178" s="1"/>
      <c r="AF1178" s="1"/>
      <c r="AG1178" s="1"/>
      <c r="AH1178" s="1"/>
      <c r="AI1178" s="1"/>
      <c r="AJ1178" s="1"/>
      <c r="AK1178" s="1"/>
      <c r="AL1178" s="1"/>
      <c r="AM1178" s="1"/>
      <c r="AN1178" s="1"/>
      <c r="AO1178" s="1"/>
      <c r="AP1178" s="488"/>
      <c r="AQ1178" s="488"/>
      <c r="AR1178" s="1"/>
      <c r="AS1178" s="1"/>
      <c r="AT1178" s="1"/>
      <c r="AU1178" s="1"/>
      <c r="AV1178" s="1"/>
      <c r="AW1178" s="1"/>
      <c r="AX1178" s="488"/>
      <c r="AY1178" s="1"/>
      <c r="AZ1178" s="1"/>
      <c r="BA1178" s="1"/>
      <c r="BB1178" s="1"/>
      <c r="BC1178" s="1"/>
      <c r="BD1178" s="1"/>
      <c r="BE1178" s="1"/>
    </row>
    <row r="1179" spans="9:57" x14ac:dyDescent="0.25">
      <c r="I1179" s="1"/>
      <c r="J1179" s="1"/>
      <c r="K1179" s="1"/>
      <c r="L1179" s="1"/>
      <c r="M1179" s="1"/>
      <c r="N1179" s="1"/>
      <c r="O1179" s="1"/>
      <c r="P1179" s="1"/>
      <c r="Q1179" s="1"/>
      <c r="R1179" s="1332"/>
      <c r="S1179" s="1332"/>
      <c r="T1179" s="1332"/>
      <c r="U1179" s="1332"/>
      <c r="V1179" s="1332"/>
      <c r="W1179" s="1332"/>
      <c r="X1179" s="1332"/>
      <c r="Y1179" s="1332"/>
      <c r="Z1179" s="1332"/>
      <c r="AA1179" s="1332"/>
      <c r="AB1179" s="1332"/>
      <c r="AC1179" s="1332"/>
      <c r="AD1179" s="1332"/>
      <c r="AE1179" s="1"/>
      <c r="AF1179" s="1"/>
      <c r="AG1179" s="1"/>
      <c r="AH1179" s="1"/>
      <c r="AI1179" s="1"/>
      <c r="AJ1179" s="1"/>
      <c r="AK1179" s="1"/>
      <c r="AL1179" s="1"/>
      <c r="AM1179" s="1"/>
      <c r="AN1179" s="1"/>
      <c r="AO1179" s="1"/>
      <c r="AP1179" s="488"/>
      <c r="AQ1179" s="488"/>
      <c r="AR1179" s="1"/>
      <c r="AS1179" s="1"/>
      <c r="AT1179" s="1"/>
      <c r="AU1179" s="1"/>
      <c r="AV1179" s="1"/>
      <c r="AW1179" s="1"/>
      <c r="AX1179" s="488"/>
      <c r="AY1179" s="1"/>
      <c r="AZ1179" s="1"/>
      <c r="BA1179" s="1"/>
      <c r="BB1179" s="1"/>
      <c r="BC1179" s="1"/>
      <c r="BD1179" s="1"/>
      <c r="BE1179" s="1"/>
    </row>
    <row r="1180" spans="9:57" x14ac:dyDescent="0.25">
      <c r="I1180" s="1"/>
      <c r="J1180" s="1"/>
      <c r="K1180" s="1"/>
      <c r="L1180" s="1"/>
      <c r="M1180" s="1"/>
      <c r="N1180" s="1"/>
      <c r="O1180" s="1"/>
      <c r="P1180" s="1"/>
      <c r="Q1180" s="1"/>
      <c r="R1180" s="1332"/>
      <c r="S1180" s="1332"/>
      <c r="T1180" s="1332"/>
      <c r="U1180" s="1332"/>
      <c r="V1180" s="1332"/>
      <c r="W1180" s="1332"/>
      <c r="X1180" s="1332"/>
      <c r="Y1180" s="1332"/>
      <c r="Z1180" s="1332"/>
      <c r="AA1180" s="1332"/>
      <c r="AB1180" s="1332"/>
      <c r="AC1180" s="1332"/>
      <c r="AD1180" s="1332"/>
      <c r="AE1180" s="1"/>
      <c r="AF1180" s="1"/>
      <c r="AG1180" s="1"/>
      <c r="AH1180" s="1"/>
      <c r="AI1180" s="1"/>
      <c r="AJ1180" s="1"/>
      <c r="AK1180" s="1"/>
      <c r="AL1180" s="1"/>
      <c r="AM1180" s="1"/>
      <c r="AN1180" s="1"/>
      <c r="AO1180" s="1"/>
      <c r="AP1180" s="488"/>
      <c r="AQ1180" s="488"/>
      <c r="AR1180" s="1"/>
      <c r="AS1180" s="1"/>
      <c r="AT1180" s="1"/>
      <c r="AU1180" s="1"/>
      <c r="AV1180" s="1"/>
      <c r="AW1180" s="1"/>
      <c r="AX1180" s="488"/>
      <c r="AY1180" s="1"/>
      <c r="AZ1180" s="1"/>
      <c r="BA1180" s="1"/>
      <c r="BB1180" s="1"/>
      <c r="BC1180" s="1"/>
      <c r="BD1180" s="1"/>
      <c r="BE1180" s="1"/>
    </row>
    <row r="1181" spans="9:57" x14ac:dyDescent="0.25">
      <c r="I1181" s="1"/>
      <c r="J1181" s="1"/>
      <c r="K1181" s="1"/>
      <c r="L1181" s="1"/>
      <c r="M1181" s="1"/>
      <c r="N1181" s="1"/>
      <c r="O1181" s="1"/>
      <c r="P1181" s="1"/>
      <c r="Q1181" s="1"/>
      <c r="R1181" s="1332"/>
      <c r="S1181" s="1332"/>
      <c r="T1181" s="1332"/>
      <c r="U1181" s="1332"/>
      <c r="V1181" s="1332"/>
      <c r="W1181" s="1332"/>
      <c r="X1181" s="1332"/>
      <c r="Y1181" s="1332"/>
      <c r="Z1181" s="1332"/>
      <c r="AA1181" s="1332"/>
      <c r="AB1181" s="1332"/>
      <c r="AC1181" s="1332"/>
      <c r="AD1181" s="1332"/>
      <c r="AE1181" s="1"/>
      <c r="AF1181" s="1"/>
      <c r="AG1181" s="1"/>
      <c r="AH1181" s="1"/>
      <c r="AI1181" s="1"/>
      <c r="AJ1181" s="1"/>
      <c r="AK1181" s="1"/>
      <c r="AL1181" s="1"/>
      <c r="AM1181" s="1"/>
      <c r="AN1181" s="1"/>
      <c r="AO1181" s="1"/>
      <c r="AP1181" s="488"/>
      <c r="AQ1181" s="488"/>
      <c r="AR1181" s="1"/>
      <c r="AS1181" s="1"/>
      <c r="AT1181" s="1"/>
      <c r="AU1181" s="1"/>
      <c r="AV1181" s="1"/>
      <c r="AW1181" s="1"/>
      <c r="AX1181" s="488"/>
      <c r="AY1181" s="1"/>
      <c r="AZ1181" s="1"/>
      <c r="BA1181" s="1"/>
      <c r="BB1181" s="1"/>
      <c r="BC1181" s="1"/>
      <c r="BD1181" s="1"/>
      <c r="BE1181" s="1"/>
    </row>
    <row r="1182" spans="9:57" x14ac:dyDescent="0.25">
      <c r="I1182" s="1"/>
      <c r="J1182" s="1"/>
      <c r="K1182" s="1"/>
      <c r="L1182" s="1"/>
      <c r="M1182" s="1"/>
      <c r="N1182" s="1"/>
      <c r="O1182" s="1"/>
      <c r="P1182" s="1"/>
      <c r="Q1182" s="1"/>
      <c r="R1182" s="1332"/>
      <c r="S1182" s="1332"/>
      <c r="T1182" s="1332"/>
      <c r="U1182" s="1332"/>
      <c r="V1182" s="1332"/>
      <c r="W1182" s="1332"/>
      <c r="X1182" s="1332"/>
      <c r="Y1182" s="1332"/>
      <c r="Z1182" s="1332"/>
      <c r="AA1182" s="1332"/>
      <c r="AB1182" s="1332"/>
      <c r="AC1182" s="1332"/>
      <c r="AD1182" s="1332"/>
      <c r="AE1182" s="1"/>
      <c r="AF1182" s="1"/>
      <c r="AG1182" s="1"/>
      <c r="AH1182" s="1"/>
      <c r="AI1182" s="1"/>
      <c r="AJ1182" s="1"/>
      <c r="AK1182" s="1"/>
      <c r="AL1182" s="1"/>
      <c r="AM1182" s="1"/>
      <c r="AN1182" s="1"/>
      <c r="AO1182" s="1"/>
      <c r="AP1182" s="488"/>
      <c r="AQ1182" s="488"/>
      <c r="AR1182" s="1"/>
      <c r="AS1182" s="1"/>
      <c r="AT1182" s="1"/>
      <c r="AU1182" s="1"/>
      <c r="AV1182" s="1"/>
      <c r="AW1182" s="1"/>
      <c r="AX1182" s="488"/>
      <c r="AY1182" s="1"/>
      <c r="AZ1182" s="1"/>
      <c r="BA1182" s="1"/>
      <c r="BB1182" s="1"/>
      <c r="BC1182" s="1"/>
      <c r="BD1182" s="1"/>
      <c r="BE1182" s="1"/>
    </row>
    <row r="1183" spans="9:57" x14ac:dyDescent="0.25">
      <c r="I1183" s="1"/>
      <c r="J1183" s="1"/>
      <c r="K1183" s="1"/>
      <c r="L1183" s="1"/>
      <c r="M1183" s="1"/>
      <c r="N1183" s="1"/>
      <c r="O1183" s="1"/>
      <c r="P1183" s="1"/>
      <c r="Q1183" s="1"/>
      <c r="R1183" s="1332"/>
      <c r="S1183" s="1332"/>
      <c r="T1183" s="1332"/>
      <c r="U1183" s="1332"/>
      <c r="V1183" s="1332"/>
      <c r="W1183" s="1332"/>
      <c r="X1183" s="1332"/>
      <c r="Y1183" s="1332"/>
      <c r="Z1183" s="1332"/>
      <c r="AA1183" s="1332"/>
      <c r="AB1183" s="1332"/>
      <c r="AC1183" s="1332"/>
      <c r="AD1183" s="1332"/>
      <c r="AE1183" s="1"/>
      <c r="AF1183" s="1"/>
      <c r="AG1183" s="1"/>
      <c r="AH1183" s="1"/>
      <c r="AI1183" s="1"/>
      <c r="AJ1183" s="1"/>
      <c r="AK1183" s="1"/>
      <c r="AL1183" s="1"/>
      <c r="AM1183" s="1"/>
      <c r="AN1183" s="1"/>
      <c r="AO1183" s="1"/>
      <c r="AP1183" s="488"/>
      <c r="AQ1183" s="488"/>
      <c r="AR1183" s="1"/>
      <c r="AS1183" s="1"/>
      <c r="AT1183" s="1"/>
      <c r="AU1183" s="1"/>
      <c r="AV1183" s="1"/>
      <c r="AW1183" s="1"/>
      <c r="AX1183" s="488"/>
      <c r="AY1183" s="1"/>
      <c r="AZ1183" s="1"/>
      <c r="BA1183" s="1"/>
      <c r="BB1183" s="1"/>
      <c r="BC1183" s="1"/>
      <c r="BD1183" s="1"/>
      <c r="BE1183" s="1"/>
    </row>
    <row r="1184" spans="9:57" x14ac:dyDescent="0.25">
      <c r="I1184" s="1"/>
      <c r="J1184" s="1"/>
      <c r="K1184" s="1"/>
      <c r="L1184" s="1"/>
      <c r="M1184" s="1"/>
      <c r="N1184" s="1"/>
      <c r="O1184" s="1"/>
      <c r="P1184" s="1"/>
      <c r="Q1184" s="1"/>
      <c r="R1184" s="1332"/>
      <c r="S1184" s="1332"/>
      <c r="T1184" s="1332"/>
      <c r="U1184" s="1332"/>
      <c r="V1184" s="1332"/>
      <c r="W1184" s="1332"/>
      <c r="X1184" s="1332"/>
      <c r="Y1184" s="1332"/>
      <c r="Z1184" s="1332"/>
      <c r="AA1184" s="1332"/>
      <c r="AB1184" s="1332"/>
      <c r="AC1184" s="1332"/>
      <c r="AD1184" s="1332"/>
      <c r="AE1184" s="1"/>
      <c r="AF1184" s="1"/>
      <c r="AG1184" s="1"/>
      <c r="AH1184" s="1"/>
      <c r="AI1184" s="1"/>
      <c r="AJ1184" s="1"/>
      <c r="AK1184" s="1"/>
      <c r="AL1184" s="1"/>
      <c r="AM1184" s="1"/>
      <c r="AN1184" s="1"/>
      <c r="AO1184" s="1"/>
      <c r="AP1184" s="488"/>
      <c r="AQ1184" s="488"/>
      <c r="AR1184" s="1"/>
      <c r="AS1184" s="1"/>
      <c r="AT1184" s="1"/>
      <c r="AU1184" s="1"/>
      <c r="AV1184" s="1"/>
      <c r="AW1184" s="1"/>
      <c r="AX1184" s="488"/>
      <c r="AY1184" s="1"/>
      <c r="AZ1184" s="1"/>
      <c r="BA1184" s="1"/>
      <c r="BB1184" s="1"/>
      <c r="BC1184" s="1"/>
      <c r="BD1184" s="1"/>
      <c r="BE1184" s="1"/>
    </row>
    <row r="1185" spans="9:57" x14ac:dyDescent="0.25">
      <c r="I1185" s="1"/>
      <c r="J1185" s="1"/>
      <c r="K1185" s="1"/>
      <c r="L1185" s="1"/>
      <c r="M1185" s="1"/>
      <c r="N1185" s="1"/>
      <c r="O1185" s="1"/>
      <c r="P1185" s="1"/>
      <c r="Q1185" s="1"/>
      <c r="R1185" s="1332"/>
      <c r="S1185" s="1332"/>
      <c r="T1185" s="1332"/>
      <c r="U1185" s="1332"/>
      <c r="V1185" s="1332"/>
      <c r="W1185" s="1332"/>
      <c r="X1185" s="1332"/>
      <c r="Y1185" s="1332"/>
      <c r="Z1185" s="1332"/>
      <c r="AA1185" s="1332"/>
      <c r="AB1185" s="1332"/>
      <c r="AC1185" s="1332"/>
      <c r="AD1185" s="1332"/>
      <c r="AE1185" s="1"/>
      <c r="AF1185" s="1"/>
      <c r="AG1185" s="1"/>
      <c r="AH1185" s="1"/>
      <c r="AI1185" s="1"/>
      <c r="AJ1185" s="1"/>
      <c r="AK1185" s="1"/>
      <c r="AL1185" s="1"/>
      <c r="AM1185" s="1"/>
      <c r="AN1185" s="1"/>
      <c r="AO1185" s="1"/>
      <c r="AP1185" s="488"/>
      <c r="AQ1185" s="488"/>
      <c r="AR1185" s="1"/>
      <c r="AS1185" s="1"/>
      <c r="AT1185" s="1"/>
      <c r="AU1185" s="1"/>
      <c r="AV1185" s="1"/>
      <c r="AW1185" s="1"/>
      <c r="AX1185" s="488"/>
      <c r="AY1185" s="1"/>
      <c r="AZ1185" s="1"/>
      <c r="BA1185" s="1"/>
      <c r="BB1185" s="1"/>
      <c r="BC1185" s="1"/>
      <c r="BD1185" s="1"/>
      <c r="BE1185" s="1"/>
    </row>
    <row r="1186" spans="9:57" x14ac:dyDescent="0.25">
      <c r="I1186" s="1"/>
      <c r="J1186" s="1"/>
      <c r="K1186" s="1"/>
      <c r="L1186" s="1"/>
      <c r="M1186" s="1"/>
      <c r="N1186" s="1"/>
      <c r="O1186" s="1"/>
      <c r="P1186" s="1"/>
      <c r="Q1186" s="1"/>
      <c r="R1186" s="1332"/>
      <c r="S1186" s="1332"/>
      <c r="T1186" s="1332"/>
      <c r="U1186" s="1332"/>
      <c r="V1186" s="1332"/>
      <c r="W1186" s="1332"/>
      <c r="X1186" s="1332"/>
      <c r="Y1186" s="1332"/>
      <c r="Z1186" s="1332"/>
      <c r="AA1186" s="1332"/>
      <c r="AB1186" s="1332"/>
      <c r="AC1186" s="1332"/>
      <c r="AD1186" s="1332"/>
      <c r="AE1186" s="1"/>
      <c r="AF1186" s="1"/>
      <c r="AG1186" s="1"/>
      <c r="AH1186" s="1"/>
      <c r="AI1186" s="1"/>
      <c r="AJ1186" s="1"/>
      <c r="AK1186" s="1"/>
      <c r="AL1186" s="1"/>
      <c r="AM1186" s="1"/>
      <c r="AN1186" s="1"/>
      <c r="AO1186" s="1"/>
      <c r="AP1186" s="488"/>
      <c r="AQ1186" s="488"/>
      <c r="AR1186" s="1"/>
      <c r="AS1186" s="1"/>
      <c r="AT1186" s="1"/>
      <c r="AU1186" s="1"/>
      <c r="AV1186" s="1"/>
      <c r="AW1186" s="1"/>
      <c r="AX1186" s="488"/>
      <c r="AY1186" s="1"/>
      <c r="AZ1186" s="1"/>
      <c r="BA1186" s="1"/>
      <c r="BB1186" s="1"/>
      <c r="BC1186" s="1"/>
      <c r="BD1186" s="1"/>
      <c r="BE1186" s="1"/>
    </row>
    <row r="1187" spans="9:57" x14ac:dyDescent="0.25">
      <c r="I1187" s="1"/>
      <c r="J1187" s="1"/>
      <c r="K1187" s="1"/>
      <c r="L1187" s="1"/>
      <c r="M1187" s="1"/>
      <c r="N1187" s="1"/>
      <c r="O1187" s="1"/>
      <c r="P1187" s="1"/>
      <c r="Q1187" s="1"/>
      <c r="R1187" s="1332"/>
      <c r="S1187" s="1332"/>
      <c r="T1187" s="1332"/>
      <c r="U1187" s="1332"/>
      <c r="V1187" s="1332"/>
      <c r="W1187" s="1332"/>
      <c r="X1187" s="1332"/>
      <c r="Y1187" s="1332"/>
      <c r="Z1187" s="1332"/>
      <c r="AA1187" s="1332"/>
      <c r="AB1187" s="1332"/>
      <c r="AC1187" s="1332"/>
      <c r="AD1187" s="1332"/>
      <c r="AE1187" s="1"/>
      <c r="AF1187" s="1"/>
      <c r="AG1187" s="1"/>
      <c r="AH1187" s="1"/>
      <c r="AI1187" s="1"/>
      <c r="AJ1187" s="1"/>
      <c r="AK1187" s="1"/>
      <c r="AL1187" s="1"/>
      <c r="AM1187" s="1"/>
      <c r="AN1187" s="1"/>
      <c r="AO1187" s="1"/>
      <c r="AP1187" s="488"/>
      <c r="AQ1187" s="488"/>
      <c r="AR1187" s="1"/>
      <c r="AS1187" s="1"/>
      <c r="AT1187" s="1"/>
      <c r="AU1187" s="1"/>
      <c r="AV1187" s="1"/>
      <c r="AW1187" s="1"/>
      <c r="AX1187" s="488"/>
      <c r="AY1187" s="1"/>
      <c r="AZ1187" s="1"/>
      <c r="BA1187" s="1"/>
      <c r="BB1187" s="1"/>
      <c r="BC1187" s="1"/>
      <c r="BD1187" s="1"/>
      <c r="BE1187" s="1"/>
    </row>
    <row r="1188" spans="9:57" x14ac:dyDescent="0.25">
      <c r="I1188" s="1"/>
      <c r="J1188" s="1"/>
      <c r="K1188" s="1"/>
      <c r="L1188" s="1"/>
      <c r="M1188" s="1"/>
      <c r="N1188" s="1"/>
      <c r="O1188" s="1"/>
      <c r="P1188" s="1"/>
      <c r="Q1188" s="1"/>
      <c r="R1188" s="1332"/>
      <c r="S1188" s="1332"/>
      <c r="T1188" s="1332"/>
      <c r="U1188" s="1332"/>
      <c r="V1188" s="1332"/>
      <c r="W1188" s="1332"/>
      <c r="X1188" s="1332"/>
      <c r="Y1188" s="1332"/>
      <c r="Z1188" s="1332"/>
      <c r="AA1188" s="1332"/>
      <c r="AB1188" s="1332"/>
      <c r="AC1188" s="1332"/>
      <c r="AD1188" s="1332"/>
      <c r="AE1188" s="1"/>
      <c r="AF1188" s="1"/>
      <c r="AG1188" s="1"/>
      <c r="AH1188" s="1"/>
      <c r="AI1188" s="1"/>
      <c r="AJ1188" s="1"/>
      <c r="AK1188" s="1"/>
      <c r="AL1188" s="1"/>
      <c r="AM1188" s="1"/>
      <c r="AN1188" s="1"/>
      <c r="AO1188" s="1"/>
      <c r="AP1188" s="488"/>
      <c r="AQ1188" s="488"/>
      <c r="AR1188" s="1"/>
      <c r="AS1188" s="1"/>
      <c r="AT1188" s="1"/>
      <c r="AU1188" s="1"/>
      <c r="AV1188" s="1"/>
      <c r="AW1188" s="1"/>
      <c r="AX1188" s="488"/>
      <c r="AY1188" s="1"/>
      <c r="AZ1188" s="1"/>
      <c r="BA1188" s="1"/>
      <c r="BB1188" s="1"/>
      <c r="BC1188" s="1"/>
      <c r="BD1188" s="1"/>
      <c r="BE1188" s="1"/>
    </row>
    <row r="1189" spans="9:57" x14ac:dyDescent="0.25">
      <c r="I1189" s="1"/>
      <c r="J1189" s="1"/>
      <c r="K1189" s="1"/>
      <c r="L1189" s="1"/>
      <c r="M1189" s="1"/>
      <c r="N1189" s="1"/>
      <c r="O1189" s="1"/>
      <c r="P1189" s="1"/>
      <c r="Q1189" s="1"/>
      <c r="R1189" s="1332"/>
      <c r="S1189" s="1332"/>
      <c r="T1189" s="1332"/>
      <c r="U1189" s="1332"/>
      <c r="V1189" s="1332"/>
      <c r="W1189" s="1332"/>
      <c r="X1189" s="1332"/>
      <c r="Y1189" s="1332"/>
      <c r="Z1189" s="1332"/>
      <c r="AA1189" s="1332"/>
      <c r="AB1189" s="1332"/>
      <c r="AC1189" s="1332"/>
      <c r="AD1189" s="1332"/>
      <c r="AE1189" s="1"/>
      <c r="AF1189" s="1"/>
      <c r="AG1189" s="1"/>
      <c r="AH1189" s="1"/>
      <c r="AI1189" s="1"/>
      <c r="AJ1189" s="1"/>
      <c r="AK1189" s="1"/>
      <c r="AL1189" s="1"/>
      <c r="AM1189" s="1"/>
      <c r="AN1189" s="1"/>
      <c r="AO1189" s="1"/>
      <c r="AP1189" s="488"/>
      <c r="AQ1189" s="488"/>
      <c r="AR1189" s="1"/>
      <c r="AS1189" s="1"/>
      <c r="AT1189" s="1"/>
      <c r="AU1189" s="1"/>
      <c r="AV1189" s="1"/>
      <c r="AW1189" s="1"/>
      <c r="AX1189" s="488"/>
      <c r="AY1189" s="1"/>
      <c r="AZ1189" s="1"/>
      <c r="BA1189" s="1"/>
      <c r="BB1189" s="1"/>
      <c r="BC1189" s="1"/>
      <c r="BD1189" s="1"/>
      <c r="BE1189" s="1"/>
    </row>
    <row r="1190" spans="9:57" x14ac:dyDescent="0.25">
      <c r="I1190" s="1"/>
      <c r="J1190" s="1"/>
      <c r="K1190" s="1"/>
      <c r="L1190" s="1"/>
      <c r="M1190" s="1"/>
      <c r="N1190" s="1"/>
      <c r="O1190" s="1"/>
      <c r="P1190" s="1"/>
      <c r="Q1190" s="1"/>
      <c r="R1190" s="1332"/>
      <c r="S1190" s="1332"/>
      <c r="T1190" s="1332"/>
      <c r="U1190" s="1332"/>
      <c r="V1190" s="1332"/>
      <c r="W1190" s="1332"/>
      <c r="X1190" s="1332"/>
      <c r="Y1190" s="1332"/>
      <c r="Z1190" s="1332"/>
      <c r="AA1190" s="1332"/>
      <c r="AB1190" s="1332"/>
      <c r="AC1190" s="1332"/>
      <c r="AD1190" s="1332"/>
      <c r="AE1190" s="1"/>
      <c r="AF1190" s="1"/>
      <c r="AG1190" s="1"/>
      <c r="AH1190" s="1"/>
      <c r="AI1190" s="1"/>
      <c r="AJ1190" s="1"/>
      <c r="AK1190" s="1"/>
      <c r="AL1190" s="1"/>
      <c r="AM1190" s="1"/>
      <c r="AN1190" s="1"/>
      <c r="AO1190" s="1"/>
      <c r="AP1190" s="488"/>
      <c r="AQ1190" s="488"/>
      <c r="AR1190" s="1"/>
      <c r="AS1190" s="1"/>
      <c r="AT1190" s="1"/>
      <c r="AU1190" s="1"/>
      <c r="AV1190" s="1"/>
      <c r="AW1190" s="1"/>
      <c r="AX1190" s="488"/>
      <c r="AY1190" s="1"/>
      <c r="AZ1190" s="1"/>
      <c r="BA1190" s="1"/>
      <c r="BB1190" s="1"/>
      <c r="BC1190" s="1"/>
      <c r="BD1190" s="1"/>
      <c r="BE1190" s="1"/>
    </row>
    <row r="1191" spans="9:57" x14ac:dyDescent="0.25">
      <c r="I1191" s="1"/>
      <c r="J1191" s="1"/>
      <c r="K1191" s="1"/>
      <c r="L1191" s="1"/>
      <c r="M1191" s="1"/>
      <c r="N1191" s="1"/>
      <c r="O1191" s="1"/>
      <c r="P1191" s="1"/>
      <c r="Q1191" s="1"/>
      <c r="R1191" s="1332"/>
      <c r="S1191" s="1332"/>
      <c r="T1191" s="1332"/>
      <c r="U1191" s="1332"/>
      <c r="V1191" s="1332"/>
      <c r="W1191" s="1332"/>
      <c r="X1191" s="1332"/>
      <c r="Y1191" s="1332"/>
      <c r="Z1191" s="1332"/>
      <c r="AA1191" s="1332"/>
      <c r="AB1191" s="1332"/>
      <c r="AC1191" s="1332"/>
      <c r="AD1191" s="1332"/>
      <c r="AE1191" s="1"/>
      <c r="AF1191" s="1"/>
      <c r="AG1191" s="1"/>
      <c r="AH1191" s="1"/>
      <c r="AI1191" s="1"/>
      <c r="AJ1191" s="1"/>
      <c r="AK1191" s="1"/>
      <c r="AL1191" s="1"/>
      <c r="AM1191" s="1"/>
      <c r="AN1191" s="1"/>
      <c r="AO1191" s="1"/>
      <c r="AP1191" s="488"/>
      <c r="AQ1191" s="488"/>
      <c r="AR1191" s="1"/>
      <c r="AS1191" s="1"/>
      <c r="AT1191" s="1"/>
      <c r="AU1191" s="1"/>
      <c r="AV1191" s="1"/>
      <c r="AW1191" s="1"/>
      <c r="AX1191" s="488"/>
      <c r="AY1191" s="1"/>
      <c r="AZ1191" s="1"/>
      <c r="BA1191" s="1"/>
      <c r="BB1191" s="1"/>
      <c r="BC1191" s="1"/>
      <c r="BD1191" s="1"/>
      <c r="BE1191" s="1"/>
    </row>
    <row r="1192" spans="9:57" x14ac:dyDescent="0.25">
      <c r="I1192" s="1"/>
      <c r="J1192" s="1"/>
      <c r="K1192" s="1"/>
      <c r="L1192" s="1"/>
      <c r="M1192" s="1"/>
      <c r="N1192" s="1"/>
      <c r="O1192" s="1"/>
      <c r="P1192" s="1"/>
      <c r="Q1192" s="1"/>
      <c r="R1192" s="1332"/>
      <c r="S1192" s="1332"/>
      <c r="T1192" s="1332"/>
      <c r="U1192" s="1332"/>
      <c r="V1192" s="1332"/>
      <c r="W1192" s="1332"/>
      <c r="X1192" s="1332"/>
      <c r="Y1192" s="1332"/>
      <c r="Z1192" s="1332"/>
      <c r="AA1192" s="1332"/>
      <c r="AB1192" s="1332"/>
      <c r="AC1192" s="1332"/>
      <c r="AD1192" s="1332"/>
      <c r="AE1192" s="1"/>
      <c r="AF1192" s="1"/>
      <c r="AG1192" s="1"/>
      <c r="AH1192" s="1"/>
      <c r="AI1192" s="1"/>
      <c r="AJ1192" s="1"/>
      <c r="AK1192" s="1"/>
      <c r="AL1192" s="1"/>
      <c r="AM1192" s="1"/>
      <c r="AN1192" s="1"/>
      <c r="AO1192" s="1"/>
      <c r="AP1192" s="488"/>
      <c r="AQ1192" s="488"/>
      <c r="AR1192" s="1"/>
      <c r="AS1192" s="1"/>
      <c r="AT1192" s="1"/>
      <c r="AU1192" s="1"/>
      <c r="AV1192" s="1"/>
      <c r="AW1192" s="1"/>
      <c r="AX1192" s="488"/>
      <c r="AY1192" s="1"/>
      <c r="AZ1192" s="1"/>
      <c r="BA1192" s="1"/>
      <c r="BB1192" s="1"/>
      <c r="BC1192" s="1"/>
      <c r="BD1192" s="1"/>
      <c r="BE1192" s="1"/>
    </row>
    <row r="1193" spans="9:57" x14ac:dyDescent="0.25">
      <c r="I1193" s="1"/>
      <c r="J1193" s="1"/>
      <c r="K1193" s="1"/>
      <c r="L1193" s="1"/>
      <c r="M1193" s="1"/>
      <c r="N1193" s="1"/>
      <c r="O1193" s="1"/>
      <c r="P1193" s="1"/>
      <c r="Q1193" s="1"/>
      <c r="R1193" s="1332"/>
      <c r="S1193" s="1332"/>
      <c r="T1193" s="1332"/>
      <c r="U1193" s="1332"/>
      <c r="V1193" s="1332"/>
      <c r="W1193" s="1332"/>
      <c r="X1193" s="1332"/>
      <c r="Y1193" s="1332"/>
      <c r="Z1193" s="1332"/>
      <c r="AA1193" s="1332"/>
      <c r="AB1193" s="1332"/>
      <c r="AC1193" s="1332"/>
      <c r="AD1193" s="1332"/>
      <c r="AE1193" s="1"/>
      <c r="AF1193" s="1"/>
      <c r="AG1193" s="1"/>
      <c r="AH1193" s="1"/>
      <c r="AI1193" s="1"/>
      <c r="AJ1193" s="1"/>
      <c r="AK1193" s="1"/>
      <c r="AL1193" s="1"/>
      <c r="AM1193" s="1"/>
      <c r="AN1193" s="1"/>
      <c r="AO1193" s="1"/>
      <c r="AP1193" s="488"/>
      <c r="AQ1193" s="488"/>
      <c r="AR1193" s="1"/>
      <c r="AS1193" s="1"/>
      <c r="AT1193" s="1"/>
      <c r="AU1193" s="1"/>
      <c r="AV1193" s="1"/>
      <c r="AW1193" s="1"/>
      <c r="AX1193" s="488"/>
      <c r="AY1193" s="1"/>
      <c r="AZ1193" s="1"/>
      <c r="BA1193" s="1"/>
      <c r="BB1193" s="1"/>
      <c r="BC1193" s="1"/>
      <c r="BD1193" s="1"/>
      <c r="BE1193" s="1"/>
    </row>
    <row r="1194" spans="9:57" x14ac:dyDescent="0.25">
      <c r="I1194" s="1"/>
      <c r="J1194" s="1"/>
      <c r="K1194" s="1"/>
      <c r="L1194" s="1"/>
      <c r="M1194" s="1"/>
      <c r="N1194" s="1"/>
      <c r="O1194" s="1"/>
      <c r="P1194" s="1"/>
      <c r="Q1194" s="1"/>
      <c r="R1194" s="1332"/>
      <c r="S1194" s="1332"/>
      <c r="T1194" s="1332"/>
      <c r="U1194" s="1332"/>
      <c r="V1194" s="1332"/>
      <c r="W1194" s="1332"/>
      <c r="X1194" s="1332"/>
      <c r="Y1194" s="1332"/>
      <c r="Z1194" s="1332"/>
      <c r="AA1194" s="1332"/>
      <c r="AB1194" s="1332"/>
      <c r="AC1194" s="1332"/>
      <c r="AD1194" s="1332"/>
      <c r="AE1194" s="1"/>
      <c r="AF1194" s="1"/>
      <c r="AG1194" s="1"/>
      <c r="AH1194" s="1"/>
      <c r="AI1194" s="1"/>
      <c r="AJ1194" s="1"/>
      <c r="AK1194" s="1"/>
      <c r="AL1194" s="1"/>
      <c r="AM1194" s="1"/>
      <c r="AN1194" s="1"/>
      <c r="AO1194" s="1"/>
      <c r="AP1194" s="488"/>
      <c r="AQ1194" s="488"/>
      <c r="AR1194" s="1"/>
      <c r="AS1194" s="1"/>
      <c r="AT1194" s="1"/>
      <c r="AU1194" s="1"/>
      <c r="AV1194" s="1"/>
      <c r="AW1194" s="1"/>
      <c r="AX1194" s="488"/>
      <c r="AY1194" s="1"/>
      <c r="AZ1194" s="1"/>
      <c r="BA1194" s="1"/>
      <c r="BB1194" s="1"/>
      <c r="BC1194" s="1"/>
      <c r="BD1194" s="1"/>
      <c r="BE1194" s="1"/>
    </row>
    <row r="1195" spans="9:57" x14ac:dyDescent="0.25">
      <c r="I1195" s="1"/>
      <c r="J1195" s="1"/>
      <c r="K1195" s="1"/>
      <c r="L1195" s="1"/>
      <c r="M1195" s="1"/>
      <c r="N1195" s="1"/>
      <c r="O1195" s="1"/>
      <c r="P1195" s="1"/>
      <c r="Q1195" s="1"/>
      <c r="R1195" s="1332"/>
      <c r="S1195" s="1332"/>
      <c r="T1195" s="1332"/>
      <c r="U1195" s="1332"/>
      <c r="V1195" s="1332"/>
      <c r="W1195" s="1332"/>
      <c r="X1195" s="1332"/>
      <c r="Y1195" s="1332"/>
      <c r="Z1195" s="1332"/>
      <c r="AA1195" s="1332"/>
      <c r="AB1195" s="1332"/>
      <c r="AC1195" s="1332"/>
      <c r="AD1195" s="1332"/>
      <c r="AE1195" s="1"/>
      <c r="AF1195" s="1"/>
      <c r="AG1195" s="1"/>
      <c r="AH1195" s="1"/>
      <c r="AI1195" s="1"/>
      <c r="AJ1195" s="1"/>
      <c r="AK1195" s="1"/>
      <c r="AL1195" s="1"/>
      <c r="AM1195" s="1"/>
      <c r="AN1195" s="1"/>
      <c r="AO1195" s="1"/>
      <c r="AP1195" s="488"/>
      <c r="AQ1195" s="488"/>
      <c r="AR1195" s="1"/>
      <c r="AS1195" s="1"/>
      <c r="AT1195" s="1"/>
      <c r="AU1195" s="1"/>
      <c r="AV1195" s="1"/>
      <c r="AW1195" s="1"/>
      <c r="AX1195" s="488"/>
      <c r="AY1195" s="1"/>
      <c r="AZ1195" s="1"/>
      <c r="BA1195" s="1"/>
      <c r="BB1195" s="1"/>
      <c r="BC1195" s="1"/>
      <c r="BD1195" s="1"/>
      <c r="BE1195" s="1"/>
    </row>
    <row r="1196" spans="9:57" x14ac:dyDescent="0.25">
      <c r="I1196" s="1"/>
      <c r="J1196" s="1"/>
      <c r="K1196" s="1"/>
      <c r="L1196" s="1"/>
      <c r="M1196" s="1"/>
      <c r="N1196" s="1"/>
      <c r="O1196" s="1"/>
      <c r="P1196" s="1"/>
      <c r="Q1196" s="1"/>
      <c r="R1196" s="1332"/>
      <c r="S1196" s="1332"/>
      <c r="T1196" s="1332"/>
      <c r="U1196" s="1332"/>
      <c r="V1196" s="1332"/>
      <c r="W1196" s="1332"/>
      <c r="X1196" s="1332"/>
      <c r="Y1196" s="1332"/>
      <c r="Z1196" s="1332"/>
      <c r="AA1196" s="1332"/>
      <c r="AB1196" s="1332"/>
      <c r="AC1196" s="1332"/>
      <c r="AD1196" s="1332"/>
      <c r="AE1196" s="1"/>
      <c r="AF1196" s="1"/>
      <c r="AG1196" s="1"/>
      <c r="AH1196" s="1"/>
      <c r="AI1196" s="1"/>
      <c r="AJ1196" s="1"/>
      <c r="AK1196" s="1"/>
      <c r="AL1196" s="1"/>
      <c r="AM1196" s="1"/>
      <c r="AN1196" s="1"/>
      <c r="AO1196" s="1"/>
      <c r="AP1196" s="488"/>
      <c r="AQ1196" s="488"/>
      <c r="AR1196" s="1"/>
      <c r="AS1196" s="1"/>
      <c r="AT1196" s="1"/>
      <c r="AU1196" s="1"/>
      <c r="AV1196" s="1"/>
      <c r="AW1196" s="1"/>
      <c r="AX1196" s="488"/>
      <c r="AY1196" s="1"/>
      <c r="AZ1196" s="1"/>
      <c r="BA1196" s="1"/>
      <c r="BB1196" s="1"/>
      <c r="BC1196" s="1"/>
      <c r="BD1196" s="1"/>
      <c r="BE1196" s="1"/>
    </row>
    <row r="1197" spans="9:57" x14ac:dyDescent="0.25">
      <c r="I1197" s="1"/>
      <c r="J1197" s="1"/>
      <c r="K1197" s="1"/>
      <c r="L1197" s="1"/>
      <c r="M1197" s="1"/>
      <c r="N1197" s="1"/>
      <c r="O1197" s="1"/>
      <c r="P1197" s="1"/>
      <c r="Q1197" s="1"/>
      <c r="R1197" s="1332"/>
      <c r="S1197" s="1332"/>
      <c r="T1197" s="1332"/>
      <c r="U1197" s="1332"/>
      <c r="V1197" s="1332"/>
      <c r="W1197" s="1332"/>
      <c r="X1197" s="1332"/>
      <c r="Y1197" s="1332"/>
      <c r="Z1197" s="1332"/>
      <c r="AA1197" s="1332"/>
      <c r="AB1197" s="1332"/>
      <c r="AC1197" s="1332"/>
      <c r="AD1197" s="1332"/>
      <c r="AE1197" s="1"/>
      <c r="AF1197" s="1"/>
      <c r="AG1197" s="1"/>
      <c r="AH1197" s="1"/>
      <c r="AI1197" s="1"/>
      <c r="AJ1197" s="1"/>
      <c r="AK1197" s="1"/>
      <c r="AL1197" s="1"/>
      <c r="AM1197" s="1"/>
      <c r="AN1197" s="1"/>
      <c r="AO1197" s="1"/>
      <c r="AP1197" s="488"/>
      <c r="AQ1197" s="488"/>
      <c r="AR1197" s="1"/>
      <c r="AS1197" s="1"/>
      <c r="AT1197" s="1"/>
      <c r="AU1197" s="1"/>
      <c r="AV1197" s="1"/>
      <c r="AW1197" s="1"/>
      <c r="AX1197" s="488"/>
      <c r="AY1197" s="1"/>
      <c r="AZ1197" s="1"/>
      <c r="BA1197" s="1"/>
      <c r="BB1197" s="1"/>
      <c r="BC1197" s="1"/>
      <c r="BD1197" s="1"/>
      <c r="BE1197" s="1"/>
    </row>
    <row r="1198" spans="9:57" x14ac:dyDescent="0.25">
      <c r="I1198" s="1"/>
      <c r="J1198" s="1"/>
      <c r="K1198" s="1"/>
      <c r="L1198" s="1"/>
      <c r="M1198" s="1"/>
      <c r="N1198" s="1"/>
      <c r="O1198" s="1"/>
      <c r="P1198" s="1"/>
      <c r="Q1198" s="1"/>
      <c r="R1198" s="1332"/>
      <c r="S1198" s="1332"/>
      <c r="T1198" s="1332"/>
      <c r="U1198" s="1332"/>
      <c r="V1198" s="1332"/>
      <c r="W1198" s="1332"/>
      <c r="X1198" s="1332"/>
      <c r="Y1198" s="1332"/>
      <c r="Z1198" s="1332"/>
      <c r="AA1198" s="1332"/>
      <c r="AB1198" s="1332"/>
      <c r="AC1198" s="1332"/>
      <c r="AD1198" s="1332"/>
      <c r="AE1198" s="1"/>
      <c r="AF1198" s="1"/>
      <c r="AG1198" s="1"/>
      <c r="AH1198" s="1"/>
      <c r="AI1198" s="1"/>
      <c r="AJ1198" s="1"/>
      <c r="AK1198" s="1"/>
      <c r="AL1198" s="1"/>
      <c r="AM1198" s="1"/>
      <c r="AN1198" s="1"/>
      <c r="AO1198" s="1"/>
      <c r="AP1198" s="488"/>
      <c r="AQ1198" s="488"/>
      <c r="AR1198" s="1"/>
      <c r="AS1198" s="1"/>
      <c r="AT1198" s="1"/>
      <c r="AU1198" s="1"/>
      <c r="AV1198" s="1"/>
      <c r="AW1198" s="1"/>
      <c r="AX1198" s="488"/>
      <c r="AY1198" s="1"/>
      <c r="AZ1198" s="1"/>
      <c r="BA1198" s="1"/>
      <c r="BB1198" s="1"/>
      <c r="BC1198" s="1"/>
      <c r="BD1198" s="1"/>
      <c r="BE1198" s="1"/>
    </row>
    <row r="1199" spans="9:57" x14ac:dyDescent="0.25">
      <c r="I1199" s="1"/>
      <c r="J1199" s="1"/>
      <c r="K1199" s="1"/>
      <c r="L1199" s="1"/>
      <c r="M1199" s="1"/>
      <c r="N1199" s="1"/>
      <c r="O1199" s="1"/>
      <c r="P1199" s="1"/>
      <c r="Q1199" s="1"/>
      <c r="R1199" s="1332"/>
      <c r="S1199" s="1332"/>
      <c r="T1199" s="1332"/>
      <c r="U1199" s="1332"/>
      <c r="V1199" s="1332"/>
      <c r="W1199" s="1332"/>
      <c r="X1199" s="1332"/>
      <c r="Y1199" s="1332"/>
      <c r="Z1199" s="1332"/>
      <c r="AA1199" s="1332"/>
      <c r="AB1199" s="1332"/>
      <c r="AC1199" s="1332"/>
      <c r="AD1199" s="1332"/>
      <c r="AE1199" s="1"/>
      <c r="AF1199" s="1"/>
      <c r="AG1199" s="1"/>
      <c r="AH1199" s="1"/>
      <c r="AI1199" s="1"/>
      <c r="AJ1199" s="1"/>
      <c r="AK1199" s="1"/>
      <c r="AL1199" s="1"/>
      <c r="AM1199" s="1"/>
      <c r="AN1199" s="1"/>
      <c r="AO1199" s="1"/>
      <c r="AP1199" s="488"/>
      <c r="AQ1199" s="488"/>
      <c r="AR1199" s="1"/>
      <c r="AS1199" s="1"/>
      <c r="AT1199" s="1"/>
      <c r="AU1199" s="1"/>
      <c r="AV1199" s="1"/>
      <c r="AW1199" s="1"/>
      <c r="AX1199" s="488"/>
      <c r="AY1199" s="1"/>
      <c r="AZ1199" s="1"/>
      <c r="BA1199" s="1"/>
      <c r="BB1199" s="1"/>
      <c r="BC1199" s="1"/>
      <c r="BD1199" s="1"/>
      <c r="BE1199" s="1"/>
    </row>
    <row r="1200" spans="9:57" x14ac:dyDescent="0.25">
      <c r="I1200" s="1"/>
      <c r="J1200" s="1"/>
      <c r="K1200" s="1"/>
      <c r="L1200" s="1"/>
      <c r="M1200" s="1"/>
      <c r="N1200" s="1"/>
      <c r="O1200" s="1"/>
      <c r="P1200" s="1"/>
      <c r="Q1200" s="1"/>
      <c r="R1200" s="1332"/>
      <c r="S1200" s="1332"/>
      <c r="T1200" s="1332"/>
      <c r="U1200" s="1332"/>
      <c r="V1200" s="1332"/>
      <c r="W1200" s="1332"/>
      <c r="X1200" s="1332"/>
      <c r="Y1200" s="1332"/>
      <c r="Z1200" s="1332"/>
      <c r="AA1200" s="1332"/>
      <c r="AB1200" s="1332"/>
      <c r="AC1200" s="1332"/>
      <c r="AD1200" s="1332"/>
      <c r="AE1200" s="1"/>
      <c r="AF1200" s="1"/>
      <c r="AG1200" s="1"/>
      <c r="AH1200" s="1"/>
      <c r="AI1200" s="1"/>
      <c r="AJ1200" s="1"/>
      <c r="AK1200" s="1"/>
      <c r="AL1200" s="1"/>
      <c r="AM1200" s="1"/>
      <c r="AN1200" s="1"/>
      <c r="AO1200" s="1"/>
      <c r="AP1200" s="488"/>
      <c r="AQ1200" s="488"/>
      <c r="AR1200" s="1"/>
      <c r="AS1200" s="1"/>
      <c r="AT1200" s="1"/>
      <c r="AU1200" s="1"/>
      <c r="AV1200" s="1"/>
      <c r="AW1200" s="1"/>
      <c r="AX1200" s="488"/>
      <c r="AY1200" s="1"/>
      <c r="AZ1200" s="1"/>
      <c r="BA1200" s="1"/>
      <c r="BB1200" s="1"/>
      <c r="BC1200" s="1"/>
      <c r="BD1200" s="1"/>
      <c r="BE1200" s="1"/>
    </row>
    <row r="1201" spans="9:57" x14ac:dyDescent="0.25">
      <c r="I1201" s="1"/>
      <c r="J1201" s="1"/>
      <c r="K1201" s="1"/>
      <c r="L1201" s="1"/>
      <c r="M1201" s="1"/>
      <c r="N1201" s="1"/>
      <c r="O1201" s="1"/>
      <c r="P1201" s="1"/>
      <c r="Q1201" s="1"/>
      <c r="R1201" s="1332"/>
      <c r="S1201" s="1332"/>
      <c r="T1201" s="1332"/>
      <c r="U1201" s="1332"/>
      <c r="V1201" s="1332"/>
      <c r="W1201" s="1332"/>
      <c r="X1201" s="1332"/>
      <c r="Y1201" s="1332"/>
      <c r="Z1201" s="1332"/>
      <c r="AA1201" s="1332"/>
      <c r="AB1201" s="1332"/>
      <c r="AC1201" s="1332"/>
      <c r="AD1201" s="1332"/>
      <c r="AE1201" s="1"/>
      <c r="AF1201" s="1"/>
      <c r="AG1201" s="1"/>
      <c r="AH1201" s="1"/>
      <c r="AI1201" s="1"/>
      <c r="AJ1201" s="1"/>
      <c r="AK1201" s="1"/>
      <c r="AL1201" s="1"/>
      <c r="AM1201" s="1"/>
      <c r="AN1201" s="1"/>
      <c r="AO1201" s="1"/>
      <c r="AP1201" s="488"/>
      <c r="AQ1201" s="488"/>
      <c r="AR1201" s="1"/>
      <c r="AS1201" s="1"/>
      <c r="AT1201" s="1"/>
      <c r="AU1201" s="1"/>
      <c r="AV1201" s="1"/>
      <c r="AW1201" s="1"/>
      <c r="AX1201" s="488"/>
      <c r="AY1201" s="1"/>
      <c r="AZ1201" s="1"/>
      <c r="BA1201" s="1"/>
      <c r="BB1201" s="1"/>
      <c r="BC1201" s="1"/>
      <c r="BD1201" s="1"/>
      <c r="BE1201" s="1"/>
    </row>
    <row r="1202" spans="9:57" x14ac:dyDescent="0.25">
      <c r="I1202" s="1"/>
      <c r="J1202" s="1"/>
      <c r="K1202" s="1"/>
      <c r="L1202" s="1"/>
      <c r="M1202" s="1"/>
      <c r="N1202" s="1"/>
      <c r="O1202" s="1"/>
      <c r="P1202" s="1"/>
      <c r="Q1202" s="1"/>
      <c r="R1202" s="1332"/>
      <c r="S1202" s="1332"/>
      <c r="T1202" s="1332"/>
      <c r="U1202" s="1332"/>
      <c r="V1202" s="1332"/>
      <c r="W1202" s="1332"/>
      <c r="X1202" s="1332"/>
      <c r="Y1202" s="1332"/>
      <c r="Z1202" s="1332"/>
      <c r="AA1202" s="1332"/>
      <c r="AB1202" s="1332"/>
      <c r="AC1202" s="1332"/>
      <c r="AD1202" s="1332"/>
      <c r="AE1202" s="1"/>
      <c r="AF1202" s="1"/>
      <c r="AG1202" s="1"/>
      <c r="AH1202" s="1"/>
      <c r="AI1202" s="1"/>
      <c r="AJ1202" s="1"/>
      <c r="AK1202" s="1"/>
      <c r="AL1202" s="1"/>
      <c r="AM1202" s="1"/>
      <c r="AN1202" s="1"/>
      <c r="AO1202" s="1"/>
      <c r="AP1202" s="488"/>
      <c r="AQ1202" s="488"/>
      <c r="AR1202" s="1"/>
      <c r="AS1202" s="1"/>
      <c r="AT1202" s="1"/>
      <c r="AU1202" s="1"/>
      <c r="AV1202" s="1"/>
      <c r="AW1202" s="1"/>
      <c r="AX1202" s="488"/>
      <c r="AY1202" s="1"/>
      <c r="AZ1202" s="1"/>
      <c r="BA1202" s="1"/>
      <c r="BB1202" s="1"/>
      <c r="BC1202" s="1"/>
      <c r="BD1202" s="1"/>
      <c r="BE1202" s="1"/>
    </row>
    <row r="1203" spans="9:57" x14ac:dyDescent="0.25">
      <c r="I1203" s="1"/>
      <c r="J1203" s="1"/>
      <c r="K1203" s="1"/>
      <c r="L1203" s="1"/>
      <c r="M1203" s="1"/>
      <c r="N1203" s="1"/>
      <c r="O1203" s="1"/>
      <c r="P1203" s="1"/>
      <c r="Q1203" s="1"/>
      <c r="R1203" s="1332"/>
      <c r="S1203" s="1332"/>
      <c r="T1203" s="1332"/>
      <c r="U1203" s="1332"/>
      <c r="V1203" s="1332"/>
      <c r="W1203" s="1332"/>
      <c r="X1203" s="1332"/>
      <c r="Y1203" s="1332"/>
      <c r="Z1203" s="1332"/>
      <c r="AA1203" s="1332"/>
      <c r="AB1203" s="1332"/>
      <c r="AC1203" s="1332"/>
      <c r="AD1203" s="1332"/>
      <c r="AE1203" s="1"/>
      <c r="AF1203" s="1"/>
      <c r="AG1203" s="1"/>
      <c r="AH1203" s="1"/>
      <c r="AI1203" s="1"/>
      <c r="AJ1203" s="1"/>
      <c r="AK1203" s="1"/>
      <c r="AL1203" s="1"/>
      <c r="AM1203" s="1"/>
      <c r="AN1203" s="1"/>
      <c r="AO1203" s="1"/>
      <c r="AP1203" s="488"/>
      <c r="AQ1203" s="488"/>
      <c r="AR1203" s="1"/>
      <c r="AS1203" s="1"/>
      <c r="AT1203" s="1"/>
      <c r="AU1203" s="1"/>
      <c r="AV1203" s="1"/>
      <c r="AW1203" s="1"/>
      <c r="AX1203" s="488"/>
      <c r="AY1203" s="1"/>
      <c r="AZ1203" s="1"/>
      <c r="BA1203" s="1"/>
      <c r="BB1203" s="1"/>
      <c r="BC1203" s="1"/>
      <c r="BD1203" s="1"/>
      <c r="BE1203" s="1"/>
    </row>
    <row r="1204" spans="9:57" x14ac:dyDescent="0.25">
      <c r="I1204" s="1"/>
      <c r="J1204" s="1"/>
      <c r="K1204" s="1"/>
      <c r="L1204" s="1"/>
      <c r="M1204" s="1"/>
      <c r="N1204" s="1"/>
      <c r="O1204" s="1"/>
      <c r="P1204" s="1"/>
      <c r="Q1204" s="1"/>
      <c r="R1204" s="1332"/>
      <c r="S1204" s="1332"/>
      <c r="T1204" s="1332"/>
      <c r="U1204" s="1332"/>
      <c r="V1204" s="1332"/>
      <c r="W1204" s="1332"/>
      <c r="X1204" s="1332"/>
      <c r="Y1204" s="1332"/>
      <c r="Z1204" s="1332"/>
      <c r="AA1204" s="1332"/>
      <c r="AB1204" s="1332"/>
      <c r="AC1204" s="1332"/>
      <c r="AD1204" s="1332"/>
      <c r="AE1204" s="1"/>
      <c r="AF1204" s="1"/>
      <c r="AG1204" s="1"/>
      <c r="AH1204" s="1"/>
      <c r="AI1204" s="1"/>
      <c r="AJ1204" s="1"/>
      <c r="AK1204" s="1"/>
      <c r="AL1204" s="1"/>
      <c r="AM1204" s="1"/>
      <c r="AN1204" s="1"/>
      <c r="AO1204" s="1"/>
      <c r="AP1204" s="488"/>
      <c r="AQ1204" s="488"/>
      <c r="AR1204" s="1"/>
      <c r="AS1204" s="1"/>
      <c r="AT1204" s="1"/>
      <c r="AU1204" s="1"/>
      <c r="AV1204" s="1"/>
      <c r="AW1204" s="1"/>
      <c r="AX1204" s="488"/>
      <c r="AY1204" s="1"/>
      <c r="AZ1204" s="1"/>
      <c r="BA1204" s="1"/>
      <c r="BB1204" s="1"/>
      <c r="BC1204" s="1"/>
      <c r="BD1204" s="1"/>
      <c r="BE1204" s="1"/>
    </row>
    <row r="1205" spans="9:57" x14ac:dyDescent="0.25">
      <c r="I1205" s="1"/>
      <c r="J1205" s="1"/>
      <c r="K1205" s="1"/>
      <c r="L1205" s="1"/>
      <c r="M1205" s="1"/>
      <c r="N1205" s="1"/>
      <c r="O1205" s="1"/>
      <c r="P1205" s="1"/>
      <c r="Q1205" s="1"/>
      <c r="R1205" s="1332"/>
      <c r="S1205" s="1332"/>
      <c r="T1205" s="1332"/>
      <c r="U1205" s="1332"/>
      <c r="V1205" s="1332"/>
      <c r="W1205" s="1332"/>
      <c r="X1205" s="1332"/>
      <c r="Y1205" s="1332"/>
      <c r="Z1205" s="1332"/>
      <c r="AA1205" s="1332"/>
      <c r="AB1205" s="1332"/>
      <c r="AC1205" s="1332"/>
      <c r="AD1205" s="1332"/>
      <c r="AE1205" s="1"/>
      <c r="AF1205" s="1"/>
      <c r="AG1205" s="1"/>
      <c r="AH1205" s="1"/>
      <c r="AI1205" s="1"/>
      <c r="AJ1205" s="1"/>
      <c r="AK1205" s="1"/>
      <c r="AL1205" s="1"/>
      <c r="AM1205" s="1"/>
      <c r="AN1205" s="1"/>
      <c r="AO1205" s="1"/>
      <c r="AP1205" s="488"/>
      <c r="AQ1205" s="488"/>
      <c r="AR1205" s="1"/>
      <c r="AS1205" s="1"/>
      <c r="AT1205" s="1"/>
      <c r="AU1205" s="1"/>
      <c r="AV1205" s="1"/>
      <c r="AW1205" s="1"/>
      <c r="AX1205" s="488"/>
      <c r="AY1205" s="1"/>
      <c r="AZ1205" s="1"/>
      <c r="BA1205" s="1"/>
      <c r="BB1205" s="1"/>
      <c r="BC1205" s="1"/>
      <c r="BD1205" s="1"/>
      <c r="BE1205" s="1"/>
    </row>
    <row r="1206" spans="9:57" x14ac:dyDescent="0.25">
      <c r="I1206" s="1"/>
      <c r="J1206" s="1"/>
      <c r="K1206" s="1"/>
      <c r="L1206" s="1"/>
      <c r="M1206" s="1"/>
      <c r="N1206" s="1"/>
      <c r="O1206" s="1"/>
      <c r="P1206" s="1"/>
      <c r="Q1206" s="1"/>
      <c r="R1206" s="1332"/>
      <c r="S1206" s="1332"/>
      <c r="T1206" s="1332"/>
      <c r="U1206" s="1332"/>
      <c r="V1206" s="1332"/>
      <c r="W1206" s="1332"/>
      <c r="X1206" s="1332"/>
      <c r="Y1206" s="1332"/>
      <c r="Z1206" s="1332"/>
      <c r="AA1206" s="1332"/>
      <c r="AB1206" s="1332"/>
      <c r="AC1206" s="1332"/>
      <c r="AD1206" s="1332"/>
      <c r="AE1206" s="1"/>
      <c r="AF1206" s="1"/>
      <c r="AG1206" s="1"/>
      <c r="AH1206" s="1"/>
      <c r="AI1206" s="1"/>
      <c r="AJ1206" s="1"/>
      <c r="AK1206" s="1"/>
      <c r="AL1206" s="1"/>
      <c r="AM1206" s="1"/>
      <c r="AN1206" s="1"/>
      <c r="AO1206" s="1"/>
      <c r="AP1206" s="488"/>
      <c r="AQ1206" s="488"/>
      <c r="AR1206" s="1"/>
      <c r="AS1206" s="1"/>
      <c r="AT1206" s="1"/>
      <c r="AU1206" s="1"/>
      <c r="AV1206" s="1"/>
      <c r="AW1206" s="1"/>
      <c r="AX1206" s="488"/>
      <c r="AY1206" s="1"/>
      <c r="AZ1206" s="1"/>
      <c r="BA1206" s="1"/>
      <c r="BB1206" s="1"/>
      <c r="BC1206" s="1"/>
      <c r="BD1206" s="1"/>
      <c r="BE1206" s="1"/>
    </row>
    <row r="1207" spans="9:57" x14ac:dyDescent="0.25">
      <c r="I1207" s="1"/>
      <c r="J1207" s="1"/>
      <c r="K1207" s="1"/>
      <c r="L1207" s="1"/>
      <c r="M1207" s="1"/>
      <c r="N1207" s="1"/>
      <c r="O1207" s="1"/>
      <c r="P1207" s="1"/>
      <c r="Q1207" s="1"/>
      <c r="R1207" s="1332"/>
      <c r="S1207" s="1332"/>
      <c r="T1207" s="1332"/>
      <c r="U1207" s="1332"/>
      <c r="V1207" s="1332"/>
      <c r="W1207" s="1332"/>
      <c r="X1207" s="1332"/>
      <c r="Y1207" s="1332"/>
      <c r="Z1207" s="1332"/>
      <c r="AA1207" s="1332"/>
      <c r="AB1207" s="1332"/>
      <c r="AC1207" s="1332"/>
      <c r="AD1207" s="1332"/>
      <c r="AE1207" s="1"/>
      <c r="AF1207" s="1"/>
      <c r="AG1207" s="1"/>
      <c r="AH1207" s="1"/>
      <c r="AI1207" s="1"/>
      <c r="AJ1207" s="1"/>
      <c r="AK1207" s="1"/>
      <c r="AL1207" s="1"/>
      <c r="AM1207" s="1"/>
      <c r="AN1207" s="1"/>
      <c r="AO1207" s="1"/>
      <c r="AP1207" s="488"/>
      <c r="AQ1207" s="488"/>
      <c r="AR1207" s="1"/>
      <c r="AS1207" s="1"/>
      <c r="AT1207" s="1"/>
      <c r="AU1207" s="1"/>
      <c r="AV1207" s="1"/>
      <c r="AW1207" s="1"/>
      <c r="AX1207" s="488"/>
      <c r="AY1207" s="1"/>
      <c r="AZ1207" s="1"/>
      <c r="BA1207" s="1"/>
      <c r="BB1207" s="1"/>
      <c r="BC1207" s="1"/>
      <c r="BD1207" s="1"/>
      <c r="BE1207" s="1"/>
    </row>
    <row r="1208" spans="9:57" x14ac:dyDescent="0.25">
      <c r="I1208" s="1"/>
      <c r="J1208" s="1"/>
      <c r="K1208" s="1"/>
      <c r="L1208" s="1"/>
      <c r="M1208" s="1"/>
      <c r="N1208" s="1"/>
      <c r="O1208" s="1"/>
      <c r="P1208" s="1"/>
      <c r="Q1208" s="1"/>
      <c r="R1208" s="1332"/>
      <c r="S1208" s="1332"/>
      <c r="T1208" s="1332"/>
      <c r="U1208" s="1332"/>
      <c r="V1208" s="1332"/>
      <c r="W1208" s="1332"/>
      <c r="X1208" s="1332"/>
      <c r="Y1208" s="1332"/>
      <c r="Z1208" s="1332"/>
      <c r="AA1208" s="1332"/>
      <c r="AB1208" s="1332"/>
      <c r="AC1208" s="1332"/>
      <c r="AD1208" s="1332"/>
      <c r="AE1208" s="1"/>
      <c r="AF1208" s="1"/>
      <c r="AG1208" s="1"/>
      <c r="AH1208" s="1"/>
      <c r="AI1208" s="1"/>
      <c r="AJ1208" s="1"/>
      <c r="AK1208" s="1"/>
      <c r="AL1208" s="1"/>
      <c r="AM1208" s="1"/>
      <c r="AN1208" s="1"/>
      <c r="AO1208" s="1"/>
      <c r="AP1208" s="488"/>
      <c r="AQ1208" s="488"/>
      <c r="AR1208" s="1"/>
      <c r="AS1208" s="1"/>
      <c r="AT1208" s="1"/>
      <c r="AU1208" s="1"/>
      <c r="AV1208" s="1"/>
      <c r="AW1208" s="1"/>
      <c r="AX1208" s="488"/>
      <c r="AY1208" s="1"/>
      <c r="AZ1208" s="1"/>
      <c r="BA1208" s="1"/>
      <c r="BB1208" s="1"/>
      <c r="BC1208" s="1"/>
      <c r="BD1208" s="1"/>
      <c r="BE1208" s="1"/>
    </row>
    <row r="1209" spans="9:57" x14ac:dyDescent="0.25">
      <c r="I1209" s="1"/>
      <c r="J1209" s="1"/>
      <c r="K1209" s="1"/>
      <c r="L1209" s="1"/>
      <c r="M1209" s="1"/>
      <c r="N1209" s="1"/>
      <c r="O1209" s="1"/>
      <c r="P1209" s="1"/>
      <c r="Q1209" s="1"/>
      <c r="R1209" s="1332"/>
      <c r="S1209" s="1332"/>
      <c r="T1209" s="1332"/>
      <c r="U1209" s="1332"/>
      <c r="V1209" s="1332"/>
      <c r="W1209" s="1332"/>
      <c r="X1209" s="1332"/>
      <c r="Y1209" s="1332"/>
      <c r="Z1209" s="1332"/>
      <c r="AA1209" s="1332"/>
      <c r="AB1209" s="1332"/>
      <c r="AC1209" s="1332"/>
      <c r="AD1209" s="1332"/>
      <c r="AE1209" s="1"/>
      <c r="AF1209" s="1"/>
      <c r="AG1209" s="1"/>
      <c r="AH1209" s="1"/>
      <c r="AI1209" s="1"/>
      <c r="AJ1209" s="1"/>
      <c r="AK1209" s="1"/>
      <c r="AL1209" s="1"/>
      <c r="AM1209" s="1"/>
      <c r="AN1209" s="1"/>
      <c r="AO1209" s="1"/>
      <c r="AP1209" s="488"/>
      <c r="AQ1209" s="488"/>
      <c r="AR1209" s="1"/>
      <c r="AS1209" s="1"/>
      <c r="AT1209" s="1"/>
      <c r="AU1209" s="1"/>
      <c r="AV1209" s="1"/>
      <c r="AW1209" s="1"/>
      <c r="AX1209" s="488"/>
      <c r="AY1209" s="1"/>
      <c r="AZ1209" s="1"/>
      <c r="BA1209" s="1"/>
      <c r="BB1209" s="1"/>
      <c r="BC1209" s="1"/>
      <c r="BD1209" s="1"/>
      <c r="BE1209" s="1"/>
    </row>
    <row r="1210" spans="9:57" x14ac:dyDescent="0.25">
      <c r="I1210" s="1"/>
      <c r="J1210" s="1"/>
      <c r="K1210" s="1"/>
      <c r="L1210" s="1"/>
      <c r="M1210" s="1"/>
      <c r="N1210" s="1"/>
      <c r="O1210" s="1"/>
      <c r="P1210" s="1"/>
      <c r="Q1210" s="1"/>
      <c r="R1210" s="1332"/>
      <c r="S1210" s="1332"/>
      <c r="T1210" s="1332"/>
      <c r="U1210" s="1332"/>
      <c r="V1210" s="1332"/>
      <c r="W1210" s="1332"/>
      <c r="X1210" s="1332"/>
      <c r="Y1210" s="1332"/>
      <c r="Z1210" s="1332"/>
      <c r="AA1210" s="1332"/>
      <c r="AB1210" s="1332"/>
      <c r="AC1210" s="1332"/>
      <c r="AD1210" s="1332"/>
      <c r="AE1210" s="1"/>
      <c r="AF1210" s="1"/>
      <c r="AG1210" s="1"/>
      <c r="AH1210" s="1"/>
      <c r="AI1210" s="1"/>
      <c r="AJ1210" s="1"/>
      <c r="AK1210" s="1"/>
      <c r="AL1210" s="1"/>
      <c r="AM1210" s="1"/>
      <c r="AN1210" s="1"/>
      <c r="AO1210" s="1"/>
      <c r="AP1210" s="488"/>
      <c r="AQ1210" s="488"/>
      <c r="AR1210" s="1"/>
      <c r="AS1210" s="1"/>
      <c r="AT1210" s="1"/>
      <c r="AU1210" s="1"/>
      <c r="AV1210" s="1"/>
      <c r="AW1210" s="1"/>
      <c r="AX1210" s="488"/>
      <c r="AY1210" s="1"/>
      <c r="AZ1210" s="1"/>
      <c r="BA1210" s="1"/>
      <c r="BB1210" s="1"/>
      <c r="BC1210" s="1"/>
      <c r="BD1210" s="1"/>
      <c r="BE1210" s="1"/>
    </row>
    <row r="1211" spans="9:57" x14ac:dyDescent="0.25">
      <c r="I1211" s="1"/>
      <c r="J1211" s="1"/>
      <c r="K1211" s="1"/>
      <c r="L1211" s="1"/>
      <c r="M1211" s="1"/>
      <c r="N1211" s="1"/>
      <c r="O1211" s="1"/>
      <c r="P1211" s="1"/>
      <c r="Q1211" s="1"/>
      <c r="R1211" s="1332"/>
      <c r="S1211" s="1332"/>
      <c r="T1211" s="1332"/>
      <c r="U1211" s="1332"/>
      <c r="V1211" s="1332"/>
      <c r="W1211" s="1332"/>
      <c r="X1211" s="1332"/>
      <c r="Y1211" s="1332"/>
      <c r="Z1211" s="1332"/>
      <c r="AA1211" s="1332"/>
      <c r="AB1211" s="1332"/>
      <c r="AC1211" s="1332"/>
      <c r="AD1211" s="1332"/>
      <c r="AE1211" s="1"/>
      <c r="AF1211" s="1"/>
      <c r="AG1211" s="1"/>
      <c r="AH1211" s="1"/>
      <c r="AI1211" s="1"/>
      <c r="AJ1211" s="1"/>
      <c r="AK1211" s="1"/>
      <c r="AL1211" s="1"/>
      <c r="AM1211" s="1"/>
      <c r="AN1211" s="1"/>
      <c r="AO1211" s="1"/>
      <c r="AP1211" s="488"/>
      <c r="AQ1211" s="488"/>
      <c r="AR1211" s="1"/>
      <c r="AS1211" s="1"/>
      <c r="AT1211" s="1"/>
      <c r="AU1211" s="1"/>
      <c r="AV1211" s="1"/>
      <c r="AW1211" s="1"/>
      <c r="AX1211" s="488"/>
      <c r="AY1211" s="1"/>
      <c r="AZ1211" s="1"/>
      <c r="BA1211" s="1"/>
      <c r="BB1211" s="1"/>
      <c r="BC1211" s="1"/>
      <c r="BD1211" s="1"/>
      <c r="BE1211" s="1"/>
    </row>
    <row r="1212" spans="9:57" x14ac:dyDescent="0.25">
      <c r="I1212" s="1"/>
      <c r="J1212" s="1"/>
      <c r="K1212" s="1"/>
      <c r="L1212" s="1"/>
      <c r="M1212" s="1"/>
      <c r="N1212" s="1"/>
      <c r="O1212" s="1"/>
      <c r="P1212" s="1"/>
      <c r="Q1212" s="1"/>
      <c r="R1212" s="1332"/>
      <c r="S1212" s="1332"/>
      <c r="T1212" s="1332"/>
      <c r="U1212" s="1332"/>
      <c r="V1212" s="1332"/>
      <c r="W1212" s="1332"/>
      <c r="X1212" s="1332"/>
      <c r="Y1212" s="1332"/>
      <c r="Z1212" s="1332"/>
      <c r="AA1212" s="1332"/>
      <c r="AB1212" s="1332"/>
      <c r="AC1212" s="1332"/>
      <c r="AD1212" s="1332"/>
      <c r="AE1212" s="1"/>
      <c r="AF1212" s="1"/>
      <c r="AG1212" s="1"/>
      <c r="AH1212" s="1"/>
      <c r="AI1212" s="1"/>
      <c r="AJ1212" s="1"/>
      <c r="AK1212" s="1"/>
      <c r="AL1212" s="1"/>
      <c r="AM1212" s="1"/>
      <c r="AN1212" s="1"/>
      <c r="AO1212" s="1"/>
      <c r="AP1212" s="488"/>
      <c r="AQ1212" s="488"/>
      <c r="AR1212" s="1"/>
      <c r="AS1212" s="1"/>
      <c r="AT1212" s="1"/>
      <c r="AU1212" s="1"/>
      <c r="AV1212" s="1"/>
      <c r="AW1212" s="1"/>
      <c r="AX1212" s="488"/>
      <c r="AY1212" s="1"/>
      <c r="AZ1212" s="1"/>
      <c r="BA1212" s="1"/>
      <c r="BB1212" s="1"/>
      <c r="BC1212" s="1"/>
      <c r="BD1212" s="1"/>
      <c r="BE1212" s="1"/>
    </row>
    <row r="1213" spans="9:57" x14ac:dyDescent="0.25">
      <c r="I1213" s="1"/>
      <c r="J1213" s="1"/>
      <c r="K1213" s="1"/>
      <c r="L1213" s="1"/>
      <c r="M1213" s="1"/>
      <c r="N1213" s="1"/>
      <c r="O1213" s="1"/>
      <c r="P1213" s="1"/>
      <c r="Q1213" s="1"/>
      <c r="R1213" s="1332"/>
      <c r="S1213" s="1332"/>
      <c r="T1213" s="1332"/>
      <c r="U1213" s="1332"/>
      <c r="V1213" s="1332"/>
      <c r="W1213" s="1332"/>
      <c r="X1213" s="1332"/>
      <c r="Y1213" s="1332"/>
      <c r="Z1213" s="1332"/>
      <c r="AA1213" s="1332"/>
      <c r="AB1213" s="1332"/>
      <c r="AC1213" s="1332"/>
      <c r="AD1213" s="1332"/>
      <c r="AE1213" s="1"/>
      <c r="AF1213" s="1"/>
      <c r="AG1213" s="1"/>
      <c r="AH1213" s="1"/>
      <c r="AI1213" s="1"/>
      <c r="AJ1213" s="1"/>
      <c r="AK1213" s="1"/>
      <c r="AL1213" s="1"/>
      <c r="AM1213" s="1"/>
      <c r="AN1213" s="1"/>
      <c r="AO1213" s="1"/>
      <c r="AP1213" s="488"/>
      <c r="AQ1213" s="488"/>
      <c r="AR1213" s="1"/>
      <c r="AS1213" s="1"/>
      <c r="AT1213" s="1"/>
      <c r="AU1213" s="1"/>
      <c r="AV1213" s="1"/>
      <c r="AW1213" s="1"/>
      <c r="AX1213" s="488"/>
      <c r="AY1213" s="1"/>
      <c r="AZ1213" s="1"/>
      <c r="BA1213" s="1"/>
      <c r="BB1213" s="1"/>
      <c r="BC1213" s="1"/>
      <c r="BD1213" s="1"/>
      <c r="BE1213" s="1"/>
    </row>
    <row r="1214" spans="9:57" x14ac:dyDescent="0.25">
      <c r="I1214" s="1"/>
      <c r="J1214" s="1"/>
      <c r="K1214" s="1"/>
      <c r="L1214" s="1"/>
      <c r="M1214" s="1"/>
      <c r="N1214" s="1"/>
      <c r="O1214" s="1"/>
      <c r="P1214" s="1"/>
      <c r="Q1214" s="1"/>
      <c r="R1214" s="1332"/>
      <c r="S1214" s="1332"/>
      <c r="T1214" s="1332"/>
      <c r="U1214" s="1332"/>
      <c r="V1214" s="1332"/>
      <c r="W1214" s="1332"/>
      <c r="X1214" s="1332"/>
      <c r="Y1214" s="1332"/>
      <c r="Z1214" s="1332"/>
      <c r="AA1214" s="1332"/>
      <c r="AB1214" s="1332"/>
      <c r="AC1214" s="1332"/>
      <c r="AD1214" s="1332"/>
      <c r="AE1214" s="1"/>
      <c r="AF1214" s="1"/>
      <c r="AG1214" s="1"/>
      <c r="AH1214" s="1"/>
      <c r="AI1214" s="1"/>
      <c r="AJ1214" s="1"/>
      <c r="AK1214" s="1"/>
      <c r="AL1214" s="1"/>
      <c r="AM1214" s="1"/>
      <c r="AN1214" s="1"/>
      <c r="AO1214" s="1"/>
      <c r="AP1214" s="488"/>
      <c r="AQ1214" s="488"/>
      <c r="AR1214" s="1"/>
      <c r="AS1214" s="1"/>
      <c r="AT1214" s="1"/>
      <c r="AU1214" s="1"/>
      <c r="AV1214" s="1"/>
      <c r="AW1214" s="1"/>
      <c r="AX1214" s="488"/>
      <c r="AY1214" s="1"/>
      <c r="AZ1214" s="1"/>
      <c r="BA1214" s="1"/>
      <c r="BB1214" s="1"/>
      <c r="BC1214" s="1"/>
      <c r="BD1214" s="1"/>
      <c r="BE1214" s="1"/>
    </row>
    <row r="1215" spans="9:57" x14ac:dyDescent="0.25">
      <c r="I1215" s="1"/>
      <c r="J1215" s="1"/>
      <c r="K1215" s="1"/>
      <c r="L1215" s="1"/>
      <c r="M1215" s="1"/>
      <c r="N1215" s="1"/>
      <c r="O1215" s="1"/>
      <c r="P1215" s="1"/>
      <c r="Q1215" s="1"/>
      <c r="R1215" s="1332"/>
      <c r="S1215" s="1332"/>
      <c r="T1215" s="1332"/>
      <c r="U1215" s="1332"/>
      <c r="V1215" s="1332"/>
      <c r="W1215" s="1332"/>
      <c r="X1215" s="1332"/>
      <c r="Y1215" s="1332"/>
      <c r="Z1215" s="1332"/>
      <c r="AA1215" s="1332"/>
      <c r="AB1215" s="1332"/>
      <c r="AC1215" s="1332"/>
      <c r="AD1215" s="1332"/>
      <c r="AE1215" s="1"/>
      <c r="AF1215" s="1"/>
      <c r="AG1215" s="1"/>
      <c r="AH1215" s="1"/>
      <c r="AI1215" s="1"/>
      <c r="AJ1215" s="1"/>
      <c r="AK1215" s="1"/>
      <c r="AL1215" s="1"/>
      <c r="AM1215" s="1"/>
      <c r="AN1215" s="1"/>
      <c r="AO1215" s="1"/>
      <c r="AP1215" s="488"/>
      <c r="AQ1215" s="488"/>
      <c r="AR1215" s="1"/>
      <c r="AS1215" s="1"/>
      <c r="AT1215" s="1"/>
      <c r="AU1215" s="1"/>
      <c r="AV1215" s="1"/>
      <c r="AW1215" s="1"/>
      <c r="AX1215" s="488"/>
      <c r="AY1215" s="1"/>
      <c r="AZ1215" s="1"/>
      <c r="BA1215" s="1"/>
      <c r="BB1215" s="1"/>
      <c r="BC1215" s="1"/>
      <c r="BD1215" s="1"/>
      <c r="BE1215" s="1"/>
    </row>
    <row r="1216" spans="9:57" x14ac:dyDescent="0.25">
      <c r="I1216" s="1"/>
      <c r="J1216" s="1"/>
      <c r="K1216" s="1"/>
      <c r="L1216" s="1"/>
      <c r="M1216" s="1"/>
      <c r="N1216" s="1"/>
      <c r="O1216" s="1"/>
      <c r="P1216" s="1"/>
      <c r="Q1216" s="1"/>
      <c r="R1216" s="1332"/>
      <c r="S1216" s="1332"/>
      <c r="T1216" s="1332"/>
      <c r="U1216" s="1332"/>
      <c r="V1216" s="1332"/>
      <c r="W1216" s="1332"/>
      <c r="X1216" s="1332"/>
      <c r="Y1216" s="1332"/>
      <c r="Z1216" s="1332"/>
      <c r="AA1216" s="1332"/>
      <c r="AB1216" s="1332"/>
      <c r="AC1216" s="1332"/>
      <c r="AD1216" s="1332"/>
      <c r="AE1216" s="1"/>
      <c r="AF1216" s="1"/>
      <c r="AG1216" s="1"/>
      <c r="AH1216" s="1"/>
      <c r="AI1216" s="1"/>
      <c r="AJ1216" s="1"/>
      <c r="AK1216" s="1"/>
      <c r="AL1216" s="1"/>
      <c r="AM1216" s="1"/>
      <c r="AN1216" s="1"/>
      <c r="AO1216" s="1"/>
      <c r="AP1216" s="488"/>
      <c r="AQ1216" s="488"/>
      <c r="AR1216" s="1"/>
      <c r="AS1216" s="1"/>
      <c r="AT1216" s="1"/>
      <c r="AU1216" s="1"/>
      <c r="AV1216" s="1"/>
      <c r="AW1216" s="1"/>
      <c r="AX1216" s="488"/>
      <c r="AY1216" s="1"/>
      <c r="AZ1216" s="1"/>
      <c r="BA1216" s="1"/>
      <c r="BB1216" s="1"/>
      <c r="BC1216" s="1"/>
      <c r="BD1216" s="1"/>
      <c r="BE1216" s="1"/>
    </row>
    <row r="1217" spans="9:57" x14ac:dyDescent="0.25">
      <c r="I1217" s="1"/>
      <c r="J1217" s="1"/>
      <c r="K1217" s="1"/>
      <c r="L1217" s="1"/>
      <c r="M1217" s="1"/>
      <c r="N1217" s="1"/>
      <c r="O1217" s="1"/>
      <c r="P1217" s="1"/>
      <c r="Q1217" s="1"/>
      <c r="R1217" s="1332"/>
      <c r="S1217" s="1332"/>
      <c r="T1217" s="1332"/>
      <c r="U1217" s="1332"/>
      <c r="V1217" s="1332"/>
      <c r="W1217" s="1332"/>
      <c r="X1217" s="1332"/>
      <c r="Y1217" s="1332"/>
      <c r="Z1217" s="1332"/>
      <c r="AA1217" s="1332"/>
      <c r="AB1217" s="1332"/>
      <c r="AC1217" s="1332"/>
      <c r="AD1217" s="1332"/>
      <c r="AE1217" s="1"/>
      <c r="AF1217" s="1"/>
      <c r="AG1217" s="1"/>
      <c r="AH1217" s="1"/>
      <c r="AI1217" s="1"/>
      <c r="AJ1217" s="1"/>
      <c r="AK1217" s="1"/>
      <c r="AL1217" s="1"/>
      <c r="AM1217" s="1"/>
      <c r="AN1217" s="1"/>
      <c r="AO1217" s="1"/>
      <c r="AP1217" s="488"/>
      <c r="AQ1217" s="488"/>
      <c r="AR1217" s="1"/>
      <c r="AS1217" s="1"/>
      <c r="AT1217" s="1"/>
      <c r="AU1217" s="1"/>
      <c r="AV1217" s="1"/>
      <c r="AW1217" s="1"/>
      <c r="AX1217" s="488"/>
      <c r="AY1217" s="1"/>
      <c r="AZ1217" s="1"/>
      <c r="BA1217" s="1"/>
      <c r="BB1217" s="1"/>
      <c r="BC1217" s="1"/>
      <c r="BD1217" s="1"/>
      <c r="BE1217" s="1"/>
    </row>
    <row r="1218" spans="9:57" x14ac:dyDescent="0.25">
      <c r="I1218" s="1"/>
      <c r="J1218" s="1"/>
      <c r="K1218" s="1"/>
      <c r="L1218" s="1"/>
      <c r="M1218" s="1"/>
      <c r="N1218" s="1"/>
      <c r="O1218" s="1"/>
      <c r="P1218" s="1"/>
      <c r="Q1218" s="1"/>
      <c r="R1218" s="1332"/>
      <c r="S1218" s="1332"/>
      <c r="T1218" s="1332"/>
      <c r="U1218" s="1332"/>
      <c r="V1218" s="1332"/>
      <c r="W1218" s="1332"/>
      <c r="X1218" s="1332"/>
      <c r="Y1218" s="1332"/>
      <c r="Z1218" s="1332"/>
      <c r="AA1218" s="1332"/>
      <c r="AB1218" s="1332"/>
      <c r="AC1218" s="1332"/>
      <c r="AD1218" s="1332"/>
      <c r="AE1218" s="1"/>
      <c r="AF1218" s="1"/>
      <c r="AG1218" s="1"/>
      <c r="AH1218" s="1"/>
      <c r="AI1218" s="1"/>
      <c r="AJ1218" s="1"/>
      <c r="AK1218" s="1"/>
      <c r="AL1218" s="1"/>
      <c r="AM1218" s="1"/>
      <c r="AN1218" s="1"/>
      <c r="AO1218" s="1"/>
      <c r="AP1218" s="488"/>
      <c r="AQ1218" s="488"/>
      <c r="AR1218" s="1"/>
      <c r="AS1218" s="1"/>
      <c r="AT1218" s="1"/>
      <c r="AU1218" s="1"/>
      <c r="AV1218" s="1"/>
      <c r="AW1218" s="1"/>
      <c r="AX1218" s="488"/>
      <c r="AY1218" s="1"/>
      <c r="AZ1218" s="1"/>
      <c r="BA1218" s="1"/>
      <c r="BB1218" s="1"/>
      <c r="BC1218" s="1"/>
      <c r="BD1218" s="1"/>
      <c r="BE1218" s="1"/>
    </row>
    <row r="1219" spans="9:57" x14ac:dyDescent="0.25">
      <c r="I1219" s="1"/>
      <c r="J1219" s="1"/>
      <c r="K1219" s="1"/>
      <c r="L1219" s="1"/>
      <c r="M1219" s="1"/>
      <c r="N1219" s="1"/>
      <c r="O1219" s="1"/>
      <c r="P1219" s="1"/>
      <c r="Q1219" s="1"/>
      <c r="R1219" s="1332"/>
      <c r="S1219" s="1332"/>
      <c r="T1219" s="1332"/>
      <c r="U1219" s="1332"/>
      <c r="V1219" s="1332"/>
      <c r="W1219" s="1332"/>
      <c r="X1219" s="1332"/>
      <c r="Y1219" s="1332"/>
      <c r="Z1219" s="1332"/>
      <c r="AA1219" s="1332"/>
      <c r="AB1219" s="1332"/>
      <c r="AC1219" s="1332"/>
      <c r="AD1219" s="1332"/>
      <c r="AE1219" s="1"/>
      <c r="AF1219" s="1"/>
      <c r="AG1219" s="1"/>
      <c r="AH1219" s="1"/>
      <c r="AI1219" s="1"/>
      <c r="AJ1219" s="1"/>
      <c r="AK1219" s="1"/>
      <c r="AL1219" s="1"/>
      <c r="AM1219" s="1"/>
      <c r="AN1219" s="1"/>
      <c r="AO1219" s="1"/>
      <c r="AP1219" s="488"/>
      <c r="AQ1219" s="488"/>
      <c r="AR1219" s="1"/>
      <c r="AS1219" s="1"/>
      <c r="AT1219" s="1"/>
      <c r="AU1219" s="1"/>
      <c r="AV1219" s="1"/>
      <c r="AW1219" s="1"/>
      <c r="AX1219" s="488"/>
      <c r="AY1219" s="1"/>
      <c r="AZ1219" s="1"/>
      <c r="BA1219" s="1"/>
      <c r="BB1219" s="1"/>
      <c r="BC1219" s="1"/>
      <c r="BD1219" s="1"/>
      <c r="BE1219" s="1"/>
    </row>
    <row r="1220" spans="9:57" x14ac:dyDescent="0.25">
      <c r="I1220" s="1"/>
      <c r="J1220" s="1"/>
      <c r="K1220" s="1"/>
      <c r="L1220" s="1"/>
      <c r="M1220" s="1"/>
      <c r="N1220" s="1"/>
      <c r="O1220" s="1"/>
      <c r="P1220" s="1"/>
      <c r="Q1220" s="1"/>
      <c r="R1220" s="1332"/>
      <c r="S1220" s="1332"/>
      <c r="T1220" s="1332"/>
      <c r="U1220" s="1332"/>
      <c r="V1220" s="1332"/>
      <c r="W1220" s="1332"/>
      <c r="X1220" s="1332"/>
      <c r="Y1220" s="1332"/>
      <c r="Z1220" s="1332"/>
      <c r="AA1220" s="1332"/>
      <c r="AB1220" s="1332"/>
      <c r="AC1220" s="1332"/>
      <c r="AD1220" s="1332"/>
      <c r="AE1220" s="1"/>
      <c r="AF1220" s="1"/>
      <c r="AG1220" s="1"/>
      <c r="AH1220" s="1"/>
      <c r="AI1220" s="1"/>
      <c r="AJ1220" s="1"/>
      <c r="AK1220" s="1"/>
      <c r="AL1220" s="1"/>
      <c r="AM1220" s="1"/>
      <c r="AN1220" s="1"/>
      <c r="AO1220" s="1"/>
      <c r="AP1220" s="488"/>
      <c r="AQ1220" s="488"/>
      <c r="AR1220" s="1"/>
      <c r="AS1220" s="1"/>
      <c r="AT1220" s="1"/>
      <c r="AU1220" s="1"/>
      <c r="AV1220" s="1"/>
      <c r="AW1220" s="1"/>
      <c r="AX1220" s="488"/>
      <c r="AY1220" s="1"/>
      <c r="AZ1220" s="1"/>
      <c r="BA1220" s="1"/>
      <c r="BB1220" s="1"/>
      <c r="BC1220" s="1"/>
      <c r="BD1220" s="1"/>
      <c r="BE1220" s="1"/>
    </row>
    <row r="1221" spans="9:57" x14ac:dyDescent="0.25">
      <c r="I1221" s="1"/>
      <c r="J1221" s="1"/>
      <c r="K1221" s="1"/>
      <c r="L1221" s="1"/>
      <c r="M1221" s="1"/>
      <c r="N1221" s="1"/>
      <c r="O1221" s="1"/>
      <c r="P1221" s="1"/>
      <c r="Q1221" s="1"/>
      <c r="R1221" s="1332"/>
      <c r="S1221" s="1332"/>
      <c r="T1221" s="1332"/>
      <c r="U1221" s="1332"/>
      <c r="V1221" s="1332"/>
      <c r="W1221" s="1332"/>
      <c r="X1221" s="1332"/>
      <c r="Y1221" s="1332"/>
      <c r="Z1221" s="1332"/>
      <c r="AA1221" s="1332"/>
      <c r="AB1221" s="1332"/>
      <c r="AC1221" s="1332"/>
      <c r="AD1221" s="1332"/>
      <c r="AE1221" s="1"/>
      <c r="AF1221" s="1"/>
      <c r="AG1221" s="1"/>
      <c r="AH1221" s="1"/>
      <c r="AI1221" s="1"/>
      <c r="AJ1221" s="1"/>
      <c r="AK1221" s="1"/>
      <c r="AL1221" s="1"/>
      <c r="AM1221" s="1"/>
      <c r="AN1221" s="1"/>
      <c r="AO1221" s="1"/>
      <c r="AP1221" s="488"/>
      <c r="AQ1221" s="488"/>
      <c r="AR1221" s="1"/>
      <c r="AS1221" s="1"/>
      <c r="AT1221" s="1"/>
      <c r="AU1221" s="1"/>
      <c r="AV1221" s="1"/>
      <c r="AW1221" s="1"/>
      <c r="AX1221" s="488"/>
      <c r="AY1221" s="1"/>
      <c r="AZ1221" s="1"/>
      <c r="BA1221" s="1"/>
      <c r="BB1221" s="1"/>
      <c r="BC1221" s="1"/>
      <c r="BD1221" s="1"/>
      <c r="BE1221" s="1"/>
    </row>
    <row r="1222" spans="9:57" x14ac:dyDescent="0.25">
      <c r="I1222" s="1"/>
      <c r="J1222" s="1"/>
      <c r="K1222" s="1"/>
      <c r="L1222" s="1"/>
      <c r="M1222" s="1"/>
      <c r="N1222" s="1"/>
      <c r="O1222" s="1"/>
      <c r="P1222" s="1"/>
      <c r="Q1222" s="1"/>
      <c r="R1222" s="1332"/>
      <c r="S1222" s="1332"/>
      <c r="T1222" s="1332"/>
      <c r="U1222" s="1332"/>
      <c r="V1222" s="1332"/>
      <c r="W1222" s="1332"/>
      <c r="X1222" s="1332"/>
      <c r="Y1222" s="1332"/>
      <c r="Z1222" s="1332"/>
      <c r="AA1222" s="1332"/>
      <c r="AB1222" s="1332"/>
      <c r="AC1222" s="1332"/>
      <c r="AD1222" s="1332"/>
      <c r="AE1222" s="1"/>
      <c r="AF1222" s="1"/>
      <c r="AG1222" s="1"/>
      <c r="AH1222" s="1"/>
      <c r="AI1222" s="1"/>
      <c r="AJ1222" s="1"/>
      <c r="AK1222" s="1"/>
      <c r="AL1222" s="1"/>
      <c r="AM1222" s="1"/>
      <c r="AN1222" s="1"/>
      <c r="AO1222" s="1"/>
      <c r="AP1222" s="488"/>
      <c r="AQ1222" s="488"/>
      <c r="AR1222" s="1"/>
      <c r="AS1222" s="1"/>
      <c r="AT1222" s="1"/>
      <c r="AU1222" s="1"/>
      <c r="AV1222" s="1"/>
      <c r="AW1222" s="1"/>
      <c r="AX1222" s="488"/>
      <c r="AY1222" s="1"/>
      <c r="AZ1222" s="1"/>
      <c r="BA1222" s="1"/>
      <c r="BB1222" s="1"/>
      <c r="BC1222" s="1"/>
      <c r="BD1222" s="1"/>
      <c r="BE1222" s="1"/>
    </row>
    <row r="1223" spans="9:57" x14ac:dyDescent="0.25">
      <c r="I1223" s="1"/>
      <c r="J1223" s="1"/>
      <c r="K1223" s="1"/>
      <c r="L1223" s="1"/>
      <c r="M1223" s="1"/>
      <c r="N1223" s="1"/>
      <c r="O1223" s="1"/>
      <c r="P1223" s="1"/>
      <c r="Q1223" s="1"/>
      <c r="R1223" s="1332"/>
      <c r="S1223" s="1332"/>
      <c r="T1223" s="1332"/>
      <c r="U1223" s="1332"/>
      <c r="V1223" s="1332"/>
      <c r="W1223" s="1332"/>
      <c r="X1223" s="1332"/>
      <c r="Y1223" s="1332"/>
      <c r="Z1223" s="1332"/>
      <c r="AA1223" s="1332"/>
      <c r="AB1223" s="1332"/>
      <c r="AC1223" s="1332"/>
      <c r="AD1223" s="1332"/>
      <c r="AE1223" s="1"/>
      <c r="AF1223" s="1"/>
      <c r="AG1223" s="1"/>
      <c r="AH1223" s="1"/>
      <c r="AI1223" s="1"/>
      <c r="AJ1223" s="1"/>
      <c r="AK1223" s="1"/>
      <c r="AL1223" s="1"/>
      <c r="AM1223" s="1"/>
      <c r="AN1223" s="1"/>
      <c r="AO1223" s="1"/>
      <c r="AP1223" s="488"/>
      <c r="AQ1223" s="488"/>
      <c r="AR1223" s="1"/>
      <c r="AS1223" s="1"/>
      <c r="AT1223" s="1"/>
      <c r="AU1223" s="1"/>
      <c r="AV1223" s="1"/>
      <c r="AW1223" s="1"/>
      <c r="AX1223" s="488"/>
      <c r="AY1223" s="1"/>
      <c r="AZ1223" s="1"/>
      <c r="BA1223" s="1"/>
      <c r="BB1223" s="1"/>
      <c r="BC1223" s="1"/>
      <c r="BD1223" s="1"/>
      <c r="BE1223" s="1"/>
    </row>
    <row r="1224" spans="9:57" x14ac:dyDescent="0.25">
      <c r="I1224" s="1"/>
      <c r="J1224" s="1"/>
      <c r="K1224" s="1"/>
      <c r="L1224" s="1"/>
      <c r="M1224" s="1"/>
      <c r="N1224" s="1"/>
      <c r="O1224" s="1"/>
      <c r="P1224" s="1"/>
      <c r="Q1224" s="1"/>
      <c r="R1224" s="1332"/>
      <c r="S1224" s="1332"/>
      <c r="T1224" s="1332"/>
      <c r="U1224" s="1332"/>
      <c r="V1224" s="1332"/>
      <c r="W1224" s="1332"/>
      <c r="X1224" s="1332"/>
      <c r="Y1224" s="1332"/>
      <c r="Z1224" s="1332"/>
      <c r="AA1224" s="1332"/>
      <c r="AB1224" s="1332"/>
      <c r="AC1224" s="1332"/>
      <c r="AD1224" s="1332"/>
      <c r="AE1224" s="1"/>
      <c r="AF1224" s="1"/>
      <c r="AG1224" s="1"/>
      <c r="AH1224" s="1"/>
      <c r="AI1224" s="1"/>
      <c r="AJ1224" s="1"/>
      <c r="AK1224" s="1"/>
      <c r="AL1224" s="1"/>
      <c r="AM1224" s="1"/>
      <c r="AN1224" s="1"/>
      <c r="AO1224" s="1"/>
      <c r="AP1224" s="488"/>
      <c r="AQ1224" s="488"/>
      <c r="AR1224" s="1"/>
      <c r="AS1224" s="1"/>
      <c r="AT1224" s="1"/>
      <c r="AU1224" s="1"/>
      <c r="AV1224" s="1"/>
      <c r="AW1224" s="1"/>
      <c r="AX1224" s="488"/>
      <c r="AY1224" s="1"/>
      <c r="AZ1224" s="1"/>
      <c r="BA1224" s="1"/>
      <c r="BB1224" s="1"/>
      <c r="BC1224" s="1"/>
      <c r="BD1224" s="1"/>
      <c r="BE1224" s="1"/>
    </row>
    <row r="1225" spans="9:57" x14ac:dyDescent="0.25">
      <c r="I1225" s="1"/>
      <c r="J1225" s="1"/>
      <c r="K1225" s="1"/>
      <c r="L1225" s="1"/>
      <c r="M1225" s="1"/>
      <c r="N1225" s="1"/>
      <c r="O1225" s="1"/>
      <c r="P1225" s="1"/>
      <c r="Q1225" s="1"/>
      <c r="R1225" s="1332"/>
      <c r="S1225" s="1332"/>
      <c r="T1225" s="1332"/>
      <c r="U1225" s="1332"/>
      <c r="V1225" s="1332"/>
      <c r="W1225" s="1332"/>
      <c r="X1225" s="1332"/>
      <c r="Y1225" s="1332"/>
      <c r="Z1225" s="1332"/>
      <c r="AA1225" s="1332"/>
      <c r="AB1225" s="1332"/>
      <c r="AC1225" s="1332"/>
      <c r="AD1225" s="1332"/>
      <c r="AE1225" s="1"/>
      <c r="AF1225" s="1"/>
      <c r="AG1225" s="1"/>
      <c r="AH1225" s="1"/>
      <c r="AI1225" s="1"/>
      <c r="AJ1225" s="1"/>
      <c r="AK1225" s="1"/>
      <c r="AL1225" s="1"/>
      <c r="AM1225" s="1"/>
      <c r="AN1225" s="1"/>
      <c r="AO1225" s="1"/>
      <c r="AP1225" s="488"/>
      <c r="AQ1225" s="488"/>
      <c r="AR1225" s="1"/>
      <c r="AS1225" s="1"/>
      <c r="AT1225" s="1"/>
      <c r="AU1225" s="1"/>
      <c r="AV1225" s="1"/>
      <c r="AW1225" s="1"/>
      <c r="AX1225" s="488"/>
      <c r="AY1225" s="1"/>
      <c r="AZ1225" s="1"/>
      <c r="BA1225" s="1"/>
      <c r="BB1225" s="1"/>
      <c r="BC1225" s="1"/>
      <c r="BD1225" s="1"/>
      <c r="BE1225" s="1"/>
    </row>
    <row r="1226" spans="9:57" x14ac:dyDescent="0.25">
      <c r="I1226" s="1"/>
      <c r="J1226" s="1"/>
      <c r="K1226" s="1"/>
      <c r="L1226" s="1"/>
      <c r="M1226" s="1"/>
      <c r="N1226" s="1"/>
      <c r="O1226" s="1"/>
      <c r="P1226" s="1"/>
      <c r="Q1226" s="1"/>
      <c r="R1226" s="1332"/>
      <c r="S1226" s="1332"/>
      <c r="T1226" s="1332"/>
      <c r="U1226" s="1332"/>
      <c r="V1226" s="1332"/>
      <c r="W1226" s="1332"/>
      <c r="X1226" s="1332"/>
      <c r="Y1226" s="1332"/>
      <c r="Z1226" s="1332"/>
      <c r="AA1226" s="1332"/>
      <c r="AB1226" s="1332"/>
      <c r="AC1226" s="1332"/>
      <c r="AD1226" s="1332"/>
      <c r="AE1226" s="1"/>
      <c r="AF1226" s="1"/>
      <c r="AG1226" s="1"/>
      <c r="AH1226" s="1"/>
      <c r="AI1226" s="1"/>
      <c r="AJ1226" s="1"/>
      <c r="AK1226" s="1"/>
      <c r="AL1226" s="1"/>
      <c r="AM1226" s="1"/>
      <c r="AN1226" s="1"/>
      <c r="AO1226" s="1"/>
      <c r="AP1226" s="488"/>
      <c r="AQ1226" s="488"/>
      <c r="AR1226" s="1"/>
      <c r="AS1226" s="1"/>
      <c r="AT1226" s="1"/>
      <c r="AU1226" s="1"/>
      <c r="AV1226" s="1"/>
      <c r="AW1226" s="1"/>
      <c r="AX1226" s="488"/>
      <c r="AY1226" s="1"/>
      <c r="AZ1226" s="1"/>
      <c r="BA1226" s="1"/>
      <c r="BB1226" s="1"/>
      <c r="BC1226" s="1"/>
      <c r="BD1226" s="1"/>
      <c r="BE1226" s="1"/>
    </row>
    <row r="1227" spans="9:57" x14ac:dyDescent="0.25">
      <c r="I1227" s="1"/>
      <c r="J1227" s="1"/>
      <c r="K1227" s="1"/>
      <c r="L1227" s="1"/>
      <c r="M1227" s="1"/>
      <c r="N1227" s="1"/>
      <c r="O1227" s="1"/>
      <c r="P1227" s="1"/>
      <c r="Q1227" s="1"/>
      <c r="R1227" s="1332"/>
      <c r="S1227" s="1332"/>
      <c r="T1227" s="1332"/>
      <c r="U1227" s="1332"/>
      <c r="V1227" s="1332"/>
      <c r="W1227" s="1332"/>
      <c r="X1227" s="1332"/>
      <c r="Y1227" s="1332"/>
      <c r="Z1227" s="1332"/>
      <c r="AA1227" s="1332"/>
      <c r="AB1227" s="1332"/>
      <c r="AC1227" s="1332"/>
      <c r="AD1227" s="1332"/>
      <c r="AE1227" s="1"/>
      <c r="AF1227" s="1"/>
      <c r="AG1227" s="1"/>
      <c r="AH1227" s="1"/>
      <c r="AI1227" s="1"/>
      <c r="AJ1227" s="1"/>
      <c r="AK1227" s="1"/>
      <c r="AL1227" s="1"/>
      <c r="AM1227" s="1"/>
      <c r="AN1227" s="1"/>
      <c r="AO1227" s="1"/>
      <c r="AP1227" s="488"/>
      <c r="AQ1227" s="488"/>
      <c r="AR1227" s="1"/>
      <c r="AS1227" s="1"/>
      <c r="AT1227" s="1"/>
      <c r="AU1227" s="1"/>
      <c r="AV1227" s="1"/>
      <c r="AW1227" s="1"/>
      <c r="AX1227" s="488"/>
      <c r="AY1227" s="1"/>
      <c r="AZ1227" s="1"/>
      <c r="BA1227" s="1"/>
      <c r="BB1227" s="1"/>
      <c r="BC1227" s="1"/>
      <c r="BD1227" s="1"/>
      <c r="BE1227" s="1"/>
    </row>
    <row r="1228" spans="9:57" x14ac:dyDescent="0.25">
      <c r="I1228" s="1"/>
      <c r="J1228" s="1"/>
      <c r="K1228" s="1"/>
      <c r="L1228" s="1"/>
      <c r="M1228" s="1"/>
      <c r="N1228" s="1"/>
      <c r="O1228" s="1"/>
      <c r="P1228" s="1"/>
      <c r="Q1228" s="1"/>
      <c r="R1228" s="1332"/>
      <c r="S1228" s="1332"/>
      <c r="T1228" s="1332"/>
      <c r="U1228" s="1332"/>
      <c r="V1228" s="1332"/>
      <c r="W1228" s="1332"/>
      <c r="X1228" s="1332"/>
      <c r="Y1228" s="1332"/>
      <c r="Z1228" s="1332"/>
      <c r="AA1228" s="1332"/>
      <c r="AB1228" s="1332"/>
      <c r="AC1228" s="1332"/>
      <c r="AD1228" s="1332"/>
      <c r="AE1228" s="1"/>
      <c r="AF1228" s="1"/>
      <c r="AG1228" s="1"/>
      <c r="AH1228" s="1"/>
      <c r="AI1228" s="1"/>
      <c r="AJ1228" s="1"/>
      <c r="AK1228" s="1"/>
      <c r="AL1228" s="1"/>
      <c r="AM1228" s="1"/>
      <c r="AN1228" s="1"/>
      <c r="AO1228" s="1"/>
      <c r="AP1228" s="488"/>
      <c r="AQ1228" s="488"/>
      <c r="AR1228" s="1"/>
      <c r="AS1228" s="1"/>
      <c r="AT1228" s="1"/>
      <c r="AU1228" s="1"/>
      <c r="AV1228" s="1"/>
      <c r="AW1228" s="1"/>
      <c r="AX1228" s="488"/>
      <c r="AY1228" s="1"/>
      <c r="AZ1228" s="1"/>
      <c r="BA1228" s="1"/>
      <c r="BB1228" s="1"/>
      <c r="BC1228" s="1"/>
      <c r="BD1228" s="1"/>
      <c r="BE1228" s="1"/>
    </row>
    <row r="1229" spans="9:57" x14ac:dyDescent="0.25">
      <c r="I1229" s="1"/>
      <c r="J1229" s="1"/>
      <c r="K1229" s="1"/>
      <c r="L1229" s="1"/>
      <c r="M1229" s="1"/>
      <c r="N1229" s="1"/>
      <c r="O1229" s="1"/>
      <c r="P1229" s="1"/>
      <c r="Q1229" s="1"/>
      <c r="R1229" s="1332"/>
      <c r="S1229" s="1332"/>
      <c r="T1229" s="1332"/>
      <c r="U1229" s="1332"/>
      <c r="V1229" s="1332"/>
      <c r="W1229" s="1332"/>
      <c r="X1229" s="1332"/>
      <c r="Y1229" s="1332"/>
      <c r="Z1229" s="1332"/>
      <c r="AA1229" s="1332"/>
      <c r="AB1229" s="1332"/>
      <c r="AC1229" s="1332"/>
      <c r="AD1229" s="1332"/>
      <c r="AE1229" s="1"/>
      <c r="AF1229" s="1"/>
      <c r="AG1229" s="1"/>
      <c r="AH1229" s="1"/>
      <c r="AI1229" s="1"/>
      <c r="AJ1229" s="1"/>
      <c r="AK1229" s="1"/>
      <c r="AL1229" s="1"/>
      <c r="AM1229" s="1"/>
      <c r="AN1229" s="1"/>
      <c r="AO1229" s="1"/>
      <c r="AP1229" s="488"/>
      <c r="AQ1229" s="488"/>
      <c r="AR1229" s="1"/>
      <c r="AS1229" s="1"/>
      <c r="AT1229" s="1"/>
      <c r="AU1229" s="1"/>
      <c r="AV1229" s="1"/>
      <c r="AW1229" s="1"/>
      <c r="AX1229" s="488"/>
      <c r="AY1229" s="1"/>
      <c r="AZ1229" s="1"/>
      <c r="BA1229" s="1"/>
      <c r="BB1229" s="1"/>
      <c r="BC1229" s="1"/>
      <c r="BD1229" s="1"/>
      <c r="BE1229" s="1"/>
    </row>
    <row r="1230" spans="9:57" x14ac:dyDescent="0.25">
      <c r="I1230" s="1"/>
      <c r="J1230" s="1"/>
      <c r="K1230" s="1"/>
      <c r="L1230" s="1"/>
      <c r="M1230" s="1"/>
      <c r="N1230" s="1"/>
      <c r="O1230" s="1"/>
      <c r="P1230" s="1"/>
      <c r="Q1230" s="1"/>
      <c r="R1230" s="1332"/>
      <c r="S1230" s="1332"/>
      <c r="T1230" s="1332"/>
      <c r="U1230" s="1332"/>
      <c r="V1230" s="1332"/>
      <c r="W1230" s="1332"/>
      <c r="X1230" s="1332"/>
      <c r="Y1230" s="1332"/>
      <c r="Z1230" s="1332"/>
      <c r="AA1230" s="1332"/>
      <c r="AB1230" s="1332"/>
      <c r="AC1230" s="1332"/>
      <c r="AD1230" s="1332"/>
      <c r="AE1230" s="1"/>
      <c r="AF1230" s="1"/>
      <c r="AG1230" s="1"/>
      <c r="AH1230" s="1"/>
      <c r="AI1230" s="1"/>
      <c r="AJ1230" s="1"/>
      <c r="AK1230" s="1"/>
      <c r="AL1230" s="1"/>
      <c r="AM1230" s="1"/>
      <c r="AN1230" s="1"/>
      <c r="AO1230" s="1"/>
      <c r="AP1230" s="488"/>
      <c r="AQ1230" s="488"/>
      <c r="AR1230" s="1"/>
      <c r="AS1230" s="1"/>
      <c r="AT1230" s="1"/>
      <c r="AU1230" s="1"/>
      <c r="AV1230" s="1"/>
      <c r="AW1230" s="1"/>
      <c r="AX1230" s="488"/>
      <c r="AY1230" s="1"/>
      <c r="AZ1230" s="1"/>
      <c r="BA1230" s="1"/>
      <c r="BB1230" s="1"/>
      <c r="BC1230" s="1"/>
      <c r="BD1230" s="1"/>
      <c r="BE1230" s="1"/>
    </row>
    <row r="1231" spans="9:57" x14ac:dyDescent="0.25">
      <c r="I1231" s="1"/>
      <c r="J1231" s="1"/>
      <c r="K1231" s="1"/>
      <c r="L1231" s="1"/>
      <c r="M1231" s="1"/>
      <c r="N1231" s="1"/>
      <c r="O1231" s="1"/>
      <c r="P1231" s="1"/>
      <c r="Q1231" s="1"/>
      <c r="R1231" s="1332"/>
      <c r="S1231" s="1332"/>
      <c r="T1231" s="1332"/>
      <c r="U1231" s="1332"/>
      <c r="V1231" s="1332"/>
      <c r="W1231" s="1332"/>
      <c r="X1231" s="1332"/>
      <c r="Y1231" s="1332"/>
      <c r="Z1231" s="1332"/>
      <c r="AA1231" s="1332"/>
      <c r="AB1231" s="1332"/>
      <c r="AC1231" s="1332"/>
      <c r="AD1231" s="1332"/>
      <c r="AE1231" s="1"/>
      <c r="AF1231" s="1"/>
      <c r="AG1231" s="1"/>
      <c r="AH1231" s="1"/>
      <c r="AI1231" s="1"/>
      <c r="AJ1231" s="1"/>
      <c r="AK1231" s="1"/>
      <c r="AL1231" s="1"/>
      <c r="AM1231" s="1"/>
      <c r="AN1231" s="1"/>
      <c r="AO1231" s="1"/>
      <c r="AP1231" s="488"/>
      <c r="AQ1231" s="488"/>
      <c r="AR1231" s="1"/>
      <c r="AS1231" s="1"/>
      <c r="AT1231" s="1"/>
      <c r="AU1231" s="1"/>
      <c r="AV1231" s="1"/>
      <c r="AW1231" s="1"/>
      <c r="AX1231" s="488"/>
      <c r="AY1231" s="1"/>
      <c r="AZ1231" s="1"/>
      <c r="BA1231" s="1"/>
      <c r="BB1231" s="1"/>
      <c r="BC1231" s="1"/>
      <c r="BD1231" s="1"/>
      <c r="BE1231" s="1"/>
    </row>
    <row r="1232" spans="9:57" x14ac:dyDescent="0.25">
      <c r="I1232" s="1"/>
      <c r="J1232" s="1"/>
      <c r="K1232" s="1"/>
      <c r="L1232" s="1"/>
      <c r="M1232" s="1"/>
      <c r="N1232" s="1"/>
      <c r="O1232" s="1"/>
      <c r="P1232" s="1"/>
      <c r="Q1232" s="1"/>
      <c r="R1232" s="1332"/>
      <c r="S1232" s="1332"/>
      <c r="T1232" s="1332"/>
      <c r="U1232" s="1332"/>
      <c r="V1232" s="1332"/>
      <c r="W1232" s="1332"/>
      <c r="X1232" s="1332"/>
      <c r="Y1232" s="1332"/>
      <c r="Z1232" s="1332"/>
      <c r="AA1232" s="1332"/>
      <c r="AB1232" s="1332"/>
      <c r="AC1232" s="1332"/>
      <c r="AD1232" s="1332"/>
      <c r="AE1232" s="1"/>
      <c r="AF1232" s="1"/>
      <c r="AG1232" s="1"/>
      <c r="AH1232" s="1"/>
      <c r="AI1232" s="1"/>
      <c r="AJ1232" s="1"/>
      <c r="AK1232" s="1"/>
      <c r="AL1232" s="1"/>
      <c r="AM1232" s="1"/>
      <c r="AN1232" s="1"/>
      <c r="AO1232" s="1"/>
      <c r="AP1232" s="488"/>
      <c r="AQ1232" s="488"/>
      <c r="AR1232" s="1"/>
      <c r="AS1232" s="1"/>
      <c r="AT1232" s="1"/>
      <c r="AU1232" s="1"/>
      <c r="AV1232" s="1"/>
      <c r="AW1232" s="1"/>
      <c r="AX1232" s="488"/>
      <c r="AY1232" s="1"/>
      <c r="AZ1232" s="1"/>
      <c r="BA1232" s="1"/>
      <c r="BB1232" s="1"/>
      <c r="BC1232" s="1"/>
      <c r="BD1232" s="1"/>
      <c r="BE1232" s="1"/>
    </row>
    <row r="1233" spans="9:57" x14ac:dyDescent="0.25">
      <c r="I1233" s="1"/>
      <c r="J1233" s="1"/>
      <c r="K1233" s="1"/>
      <c r="L1233" s="1"/>
      <c r="M1233" s="1"/>
      <c r="N1233" s="1"/>
      <c r="O1233" s="1"/>
      <c r="P1233" s="1"/>
      <c r="Q1233" s="1"/>
      <c r="R1233" s="1332"/>
      <c r="S1233" s="1332"/>
      <c r="T1233" s="1332"/>
      <c r="U1233" s="1332"/>
      <c r="V1233" s="1332"/>
      <c r="W1233" s="1332"/>
      <c r="X1233" s="1332"/>
      <c r="Y1233" s="1332"/>
      <c r="Z1233" s="1332"/>
      <c r="AA1233" s="1332"/>
      <c r="AB1233" s="1332"/>
      <c r="AC1233" s="1332"/>
      <c r="AD1233" s="1332"/>
      <c r="AE1233" s="1"/>
      <c r="AF1233" s="1"/>
      <c r="AG1233" s="1"/>
      <c r="AH1233" s="1"/>
      <c r="AI1233" s="1"/>
      <c r="AJ1233" s="1"/>
      <c r="AK1233" s="1"/>
      <c r="AL1233" s="1"/>
      <c r="AM1233" s="1"/>
      <c r="AN1233" s="1"/>
      <c r="AO1233" s="1"/>
      <c r="AP1233" s="488"/>
      <c r="AQ1233" s="488"/>
      <c r="AR1233" s="1"/>
      <c r="AS1233" s="1"/>
      <c r="AT1233" s="1"/>
      <c r="AU1233" s="1"/>
      <c r="AV1233" s="1"/>
      <c r="AW1233" s="1"/>
      <c r="AX1233" s="488"/>
      <c r="AY1233" s="1"/>
      <c r="AZ1233" s="1"/>
      <c r="BA1233" s="1"/>
      <c r="BB1233" s="1"/>
      <c r="BC1233" s="1"/>
      <c r="BD1233" s="1"/>
      <c r="BE1233" s="1"/>
    </row>
    <row r="1234" spans="9:57" x14ac:dyDescent="0.25">
      <c r="I1234" s="1"/>
      <c r="J1234" s="1"/>
      <c r="K1234" s="1"/>
      <c r="L1234" s="1"/>
      <c r="M1234" s="1"/>
      <c r="N1234" s="1"/>
      <c r="O1234" s="1"/>
      <c r="P1234" s="1"/>
      <c r="Q1234" s="1"/>
      <c r="R1234" s="1332"/>
      <c r="S1234" s="1332"/>
      <c r="T1234" s="1332"/>
      <c r="U1234" s="1332"/>
      <c r="V1234" s="1332"/>
      <c r="W1234" s="1332"/>
      <c r="X1234" s="1332"/>
      <c r="Y1234" s="1332"/>
      <c r="Z1234" s="1332"/>
      <c r="AA1234" s="1332"/>
      <c r="AB1234" s="1332"/>
      <c r="AC1234" s="1332"/>
      <c r="AD1234" s="1332"/>
      <c r="AE1234" s="1"/>
      <c r="AF1234" s="1"/>
      <c r="AG1234" s="1"/>
      <c r="AH1234" s="1"/>
      <c r="AI1234" s="1"/>
      <c r="AJ1234" s="1"/>
      <c r="AK1234" s="1"/>
      <c r="AL1234" s="1"/>
      <c r="AM1234" s="1"/>
      <c r="AN1234" s="1"/>
      <c r="AO1234" s="1"/>
      <c r="AP1234" s="488"/>
      <c r="AQ1234" s="488"/>
      <c r="AR1234" s="1"/>
      <c r="AS1234" s="1"/>
      <c r="AT1234" s="1"/>
      <c r="AU1234" s="1"/>
      <c r="AV1234" s="1"/>
      <c r="AW1234" s="1"/>
      <c r="AX1234" s="488"/>
      <c r="AY1234" s="1"/>
      <c r="AZ1234" s="1"/>
      <c r="BA1234" s="1"/>
      <c r="BB1234" s="1"/>
      <c r="BC1234" s="1"/>
      <c r="BD1234" s="1"/>
      <c r="BE1234" s="1"/>
    </row>
    <row r="1235" spans="9:57" x14ac:dyDescent="0.25">
      <c r="I1235" s="1"/>
      <c r="J1235" s="1"/>
      <c r="K1235" s="1"/>
      <c r="L1235" s="1"/>
      <c r="M1235" s="1"/>
      <c r="N1235" s="1"/>
      <c r="O1235" s="1"/>
      <c r="P1235" s="1"/>
      <c r="Q1235" s="1"/>
      <c r="R1235" s="1332"/>
      <c r="S1235" s="1332"/>
      <c r="T1235" s="1332"/>
      <c r="U1235" s="1332"/>
      <c r="V1235" s="1332"/>
      <c r="W1235" s="1332"/>
      <c r="X1235" s="1332"/>
      <c r="Y1235" s="1332"/>
      <c r="Z1235" s="1332"/>
      <c r="AA1235" s="1332"/>
      <c r="AB1235" s="1332"/>
      <c r="AC1235" s="1332"/>
      <c r="AD1235" s="1332"/>
      <c r="AE1235" s="1"/>
      <c r="AF1235" s="1"/>
      <c r="AG1235" s="1"/>
      <c r="AH1235" s="1"/>
      <c r="AI1235" s="1"/>
      <c r="AJ1235" s="1"/>
      <c r="AK1235" s="1"/>
      <c r="AL1235" s="1"/>
      <c r="AM1235" s="1"/>
      <c r="AN1235" s="1"/>
      <c r="AO1235" s="1"/>
      <c r="AP1235" s="488"/>
      <c r="AQ1235" s="488"/>
      <c r="AR1235" s="1"/>
      <c r="AS1235" s="1"/>
      <c r="AT1235" s="1"/>
      <c r="AU1235" s="1"/>
      <c r="AV1235" s="1"/>
      <c r="AW1235" s="1"/>
      <c r="AX1235" s="488"/>
      <c r="AY1235" s="1"/>
      <c r="AZ1235" s="1"/>
      <c r="BA1235" s="1"/>
      <c r="BB1235" s="1"/>
      <c r="BC1235" s="1"/>
      <c r="BD1235" s="1"/>
      <c r="BE1235" s="1"/>
    </row>
    <row r="1236" spans="9:57" x14ac:dyDescent="0.25">
      <c r="I1236" s="1"/>
      <c r="J1236" s="1"/>
      <c r="K1236" s="1"/>
      <c r="L1236" s="1"/>
      <c r="M1236" s="1"/>
      <c r="N1236" s="1"/>
      <c r="O1236" s="1"/>
      <c r="P1236" s="1"/>
      <c r="Q1236" s="1"/>
      <c r="R1236" s="1332"/>
      <c r="S1236" s="1332"/>
      <c r="T1236" s="1332"/>
      <c r="U1236" s="1332"/>
      <c r="V1236" s="1332"/>
      <c r="W1236" s="1332"/>
      <c r="X1236" s="1332"/>
      <c r="Y1236" s="1332"/>
      <c r="Z1236" s="1332"/>
      <c r="AA1236" s="1332"/>
      <c r="AB1236" s="1332"/>
      <c r="AC1236" s="1332"/>
      <c r="AD1236" s="1332"/>
      <c r="AE1236" s="1"/>
      <c r="AF1236" s="1"/>
      <c r="AG1236" s="1"/>
      <c r="AH1236" s="1"/>
      <c r="AI1236" s="1"/>
      <c r="AJ1236" s="1"/>
      <c r="AK1236" s="1"/>
      <c r="AL1236" s="1"/>
      <c r="AM1236" s="1"/>
      <c r="AN1236" s="1"/>
      <c r="AO1236" s="1"/>
      <c r="AP1236" s="488"/>
      <c r="AQ1236" s="488"/>
      <c r="AR1236" s="1"/>
      <c r="AS1236" s="1"/>
      <c r="AT1236" s="1"/>
      <c r="AU1236" s="1"/>
      <c r="AV1236" s="1"/>
      <c r="AW1236" s="1"/>
      <c r="AX1236" s="488"/>
      <c r="AY1236" s="1"/>
      <c r="AZ1236" s="1"/>
      <c r="BA1236" s="1"/>
      <c r="BB1236" s="1"/>
      <c r="BC1236" s="1"/>
      <c r="BD1236" s="1"/>
      <c r="BE1236" s="1"/>
    </row>
    <row r="1237" spans="9:57" x14ac:dyDescent="0.25">
      <c r="I1237" s="1"/>
      <c r="J1237" s="1"/>
      <c r="K1237" s="1"/>
      <c r="L1237" s="1"/>
      <c r="M1237" s="1"/>
      <c r="N1237" s="1"/>
      <c r="O1237" s="1"/>
      <c r="P1237" s="1"/>
      <c r="Q1237" s="1"/>
      <c r="R1237" s="1332"/>
      <c r="S1237" s="1332"/>
      <c r="T1237" s="1332"/>
      <c r="U1237" s="1332"/>
      <c r="V1237" s="1332"/>
      <c r="W1237" s="1332"/>
      <c r="X1237" s="1332"/>
      <c r="Y1237" s="1332"/>
      <c r="Z1237" s="1332"/>
      <c r="AA1237" s="1332"/>
      <c r="AB1237" s="1332"/>
      <c r="AC1237" s="1332"/>
      <c r="AD1237" s="1332"/>
      <c r="AE1237" s="1"/>
      <c r="AF1237" s="1"/>
      <c r="AG1237" s="1"/>
      <c r="AH1237" s="1"/>
      <c r="AI1237" s="1"/>
      <c r="AJ1237" s="1"/>
      <c r="AK1237" s="1"/>
      <c r="AL1237" s="1"/>
      <c r="AM1237" s="1"/>
      <c r="AN1237" s="1"/>
      <c r="AO1237" s="1"/>
      <c r="AP1237" s="488"/>
      <c r="AQ1237" s="488"/>
      <c r="AR1237" s="1"/>
      <c r="AS1237" s="1"/>
      <c r="AT1237" s="1"/>
      <c r="AU1237" s="1"/>
      <c r="AV1237" s="1"/>
      <c r="AW1237" s="1"/>
      <c r="AX1237" s="488"/>
      <c r="AY1237" s="1"/>
      <c r="AZ1237" s="1"/>
      <c r="BA1237" s="1"/>
      <c r="BB1237" s="1"/>
      <c r="BC1237" s="1"/>
      <c r="BD1237" s="1"/>
      <c r="BE1237" s="1"/>
    </row>
    <row r="1238" spans="9:57" x14ac:dyDescent="0.25">
      <c r="I1238" s="1"/>
      <c r="J1238" s="1"/>
      <c r="K1238" s="1"/>
      <c r="L1238" s="1"/>
      <c r="M1238" s="1"/>
      <c r="N1238" s="1"/>
      <c r="O1238" s="1"/>
      <c r="P1238" s="1"/>
      <c r="Q1238" s="1"/>
      <c r="R1238" s="1332"/>
      <c r="S1238" s="1332"/>
      <c r="T1238" s="1332"/>
      <c r="U1238" s="1332"/>
      <c r="V1238" s="1332"/>
      <c r="W1238" s="1332"/>
      <c r="X1238" s="1332"/>
      <c r="Y1238" s="1332"/>
      <c r="Z1238" s="1332"/>
      <c r="AA1238" s="1332"/>
      <c r="AB1238" s="1332"/>
      <c r="AC1238" s="1332"/>
      <c r="AD1238" s="1332"/>
      <c r="AE1238" s="1"/>
      <c r="AF1238" s="1"/>
      <c r="AG1238" s="1"/>
      <c r="AH1238" s="1"/>
      <c r="AI1238" s="1"/>
      <c r="AJ1238" s="1"/>
      <c r="AK1238" s="1"/>
      <c r="AL1238" s="1"/>
      <c r="AM1238" s="1"/>
      <c r="AN1238" s="1"/>
      <c r="AO1238" s="1"/>
      <c r="AP1238" s="488"/>
      <c r="AQ1238" s="488"/>
      <c r="AR1238" s="1"/>
      <c r="AS1238" s="1"/>
      <c r="AT1238" s="1"/>
      <c r="AU1238" s="1"/>
      <c r="AV1238" s="1"/>
      <c r="AW1238" s="1"/>
      <c r="AX1238" s="488"/>
      <c r="AY1238" s="1"/>
      <c r="AZ1238" s="1"/>
      <c r="BA1238" s="1"/>
      <c r="BB1238" s="1"/>
      <c r="BC1238" s="1"/>
      <c r="BD1238" s="1"/>
      <c r="BE1238" s="1"/>
    </row>
    <row r="1239" spans="9:57" x14ac:dyDescent="0.25">
      <c r="I1239" s="1"/>
      <c r="J1239" s="1"/>
      <c r="K1239" s="1"/>
      <c r="L1239" s="1"/>
      <c r="M1239" s="1"/>
      <c r="N1239" s="1"/>
      <c r="O1239" s="1"/>
      <c r="P1239" s="1"/>
      <c r="Q1239" s="1"/>
      <c r="R1239" s="1332"/>
      <c r="S1239" s="1332"/>
      <c r="T1239" s="1332"/>
      <c r="U1239" s="1332"/>
      <c r="V1239" s="1332"/>
      <c r="W1239" s="1332"/>
      <c r="X1239" s="1332"/>
      <c r="Y1239" s="1332"/>
      <c r="Z1239" s="1332"/>
      <c r="AA1239" s="1332"/>
      <c r="AB1239" s="1332"/>
      <c r="AC1239" s="1332"/>
      <c r="AD1239" s="1332"/>
      <c r="AE1239" s="1"/>
      <c r="AF1239" s="1"/>
      <c r="AG1239" s="1"/>
      <c r="AH1239" s="1"/>
      <c r="AI1239" s="1"/>
      <c r="AJ1239" s="1"/>
      <c r="AK1239" s="1"/>
      <c r="AL1239" s="1"/>
      <c r="AM1239" s="1"/>
      <c r="AN1239" s="1"/>
      <c r="AO1239" s="1"/>
      <c r="AP1239" s="488"/>
      <c r="AQ1239" s="488"/>
      <c r="AR1239" s="1"/>
      <c r="AS1239" s="1"/>
      <c r="AT1239" s="1"/>
      <c r="AU1239" s="1"/>
      <c r="AV1239" s="1"/>
      <c r="AW1239" s="1"/>
      <c r="AX1239" s="488"/>
      <c r="AY1239" s="1"/>
      <c r="AZ1239" s="1"/>
      <c r="BA1239" s="1"/>
      <c r="BB1239" s="1"/>
      <c r="BC1239" s="1"/>
      <c r="BD1239" s="1"/>
      <c r="BE1239" s="1"/>
    </row>
    <row r="1240" spans="9:57" x14ac:dyDescent="0.25">
      <c r="I1240" s="1"/>
      <c r="J1240" s="1"/>
      <c r="K1240" s="1"/>
      <c r="L1240" s="1"/>
      <c r="M1240" s="1"/>
      <c r="N1240" s="1"/>
      <c r="O1240" s="1"/>
      <c r="P1240" s="1"/>
      <c r="Q1240" s="1"/>
      <c r="R1240" s="1332"/>
      <c r="S1240" s="1332"/>
      <c r="T1240" s="1332"/>
      <c r="U1240" s="1332"/>
      <c r="V1240" s="1332"/>
      <c r="W1240" s="1332"/>
      <c r="X1240" s="1332"/>
      <c r="Y1240" s="1332"/>
      <c r="Z1240" s="1332"/>
      <c r="AA1240" s="1332"/>
      <c r="AB1240" s="1332"/>
      <c r="AC1240" s="1332"/>
      <c r="AD1240" s="1332"/>
      <c r="AE1240" s="1"/>
      <c r="AF1240" s="1"/>
      <c r="AG1240" s="1"/>
      <c r="AH1240" s="1"/>
      <c r="AI1240" s="1"/>
      <c r="AJ1240" s="1"/>
      <c r="AK1240" s="1"/>
      <c r="AL1240" s="1"/>
      <c r="AM1240" s="1"/>
      <c r="AN1240" s="1"/>
      <c r="AO1240" s="1"/>
      <c r="AP1240" s="488"/>
      <c r="AQ1240" s="488"/>
      <c r="AR1240" s="1"/>
      <c r="AS1240" s="1"/>
      <c r="AT1240" s="1"/>
      <c r="AU1240" s="1"/>
      <c r="AV1240" s="1"/>
      <c r="AW1240" s="1"/>
      <c r="AX1240" s="488"/>
      <c r="AY1240" s="1"/>
      <c r="AZ1240" s="1"/>
      <c r="BA1240" s="1"/>
      <c r="BB1240" s="1"/>
      <c r="BC1240" s="1"/>
      <c r="BD1240" s="1"/>
      <c r="BE1240" s="1"/>
    </row>
    <row r="1241" spans="9:57" x14ac:dyDescent="0.25">
      <c r="I1241" s="1"/>
      <c r="J1241" s="1"/>
      <c r="K1241" s="1"/>
      <c r="L1241" s="1"/>
      <c r="M1241" s="1"/>
      <c r="N1241" s="1"/>
      <c r="O1241" s="1"/>
      <c r="P1241" s="1"/>
      <c r="Q1241" s="1"/>
      <c r="R1241" s="1332"/>
      <c r="S1241" s="1332"/>
      <c r="T1241" s="1332"/>
      <c r="U1241" s="1332"/>
      <c r="V1241" s="1332"/>
      <c r="W1241" s="1332"/>
      <c r="X1241" s="1332"/>
      <c r="Y1241" s="1332"/>
      <c r="Z1241" s="1332"/>
      <c r="AA1241" s="1332"/>
      <c r="AB1241" s="1332"/>
      <c r="AC1241" s="1332"/>
      <c r="AD1241" s="1332"/>
      <c r="AE1241" s="1"/>
      <c r="AF1241" s="1"/>
      <c r="AG1241" s="1"/>
      <c r="AH1241" s="1"/>
      <c r="AI1241" s="1"/>
      <c r="AJ1241" s="1"/>
      <c r="AK1241" s="1"/>
      <c r="AL1241" s="1"/>
      <c r="AM1241" s="1"/>
      <c r="AN1241" s="1"/>
      <c r="AO1241" s="1"/>
      <c r="AP1241" s="488"/>
      <c r="AQ1241" s="488"/>
      <c r="AR1241" s="1"/>
      <c r="AS1241" s="1"/>
      <c r="AT1241" s="1"/>
      <c r="AU1241" s="1"/>
      <c r="AV1241" s="1"/>
      <c r="AW1241" s="1"/>
      <c r="AX1241" s="488"/>
      <c r="AY1241" s="1"/>
      <c r="AZ1241" s="1"/>
      <c r="BA1241" s="1"/>
      <c r="BB1241" s="1"/>
      <c r="BC1241" s="1"/>
      <c r="BD1241" s="1"/>
      <c r="BE1241" s="1"/>
    </row>
    <row r="1242" spans="9:57" x14ac:dyDescent="0.25">
      <c r="I1242" s="1"/>
      <c r="J1242" s="1"/>
      <c r="K1242" s="1"/>
      <c r="L1242" s="1"/>
      <c r="M1242" s="1"/>
      <c r="N1242" s="1"/>
      <c r="O1242" s="1"/>
      <c r="P1242" s="1"/>
      <c r="Q1242" s="1"/>
      <c r="R1242" s="1332"/>
      <c r="S1242" s="1332"/>
      <c r="T1242" s="1332"/>
      <c r="U1242" s="1332"/>
      <c r="V1242" s="1332"/>
      <c r="W1242" s="1332"/>
      <c r="X1242" s="1332"/>
      <c r="Y1242" s="1332"/>
      <c r="Z1242" s="1332"/>
      <c r="AA1242" s="1332"/>
      <c r="AB1242" s="1332"/>
      <c r="AC1242" s="1332"/>
      <c r="AD1242" s="1332"/>
      <c r="AE1242" s="1"/>
      <c r="AF1242" s="1"/>
      <c r="AG1242" s="1"/>
      <c r="AH1242" s="1"/>
      <c r="AI1242" s="1"/>
      <c r="AJ1242" s="1"/>
      <c r="AK1242" s="1"/>
      <c r="AL1242" s="1"/>
      <c r="AM1242" s="1"/>
      <c r="AN1242" s="1"/>
      <c r="AO1242" s="1"/>
      <c r="AP1242" s="488"/>
      <c r="AQ1242" s="488"/>
      <c r="AR1242" s="1"/>
      <c r="AS1242" s="1"/>
      <c r="AT1242" s="1"/>
      <c r="AU1242" s="1"/>
      <c r="AV1242" s="1"/>
      <c r="AW1242" s="1"/>
      <c r="AX1242" s="488"/>
      <c r="AY1242" s="1"/>
      <c r="AZ1242" s="1"/>
      <c r="BA1242" s="1"/>
      <c r="BB1242" s="1"/>
      <c r="BC1242" s="1"/>
      <c r="BD1242" s="1"/>
      <c r="BE1242" s="1"/>
    </row>
    <row r="1243" spans="9:57" x14ac:dyDescent="0.25">
      <c r="I1243" s="1"/>
      <c r="J1243" s="1"/>
      <c r="K1243" s="1"/>
      <c r="L1243" s="1"/>
      <c r="M1243" s="1"/>
      <c r="N1243" s="1"/>
      <c r="O1243" s="1"/>
      <c r="P1243" s="1"/>
      <c r="Q1243" s="1"/>
      <c r="R1243" s="1332"/>
      <c r="S1243" s="1332"/>
      <c r="T1243" s="1332"/>
      <c r="U1243" s="1332"/>
      <c r="V1243" s="1332"/>
      <c r="W1243" s="1332"/>
      <c r="X1243" s="1332"/>
      <c r="Y1243" s="1332"/>
      <c r="Z1243" s="1332"/>
      <c r="AA1243" s="1332"/>
      <c r="AB1243" s="1332"/>
      <c r="AC1243" s="1332"/>
      <c r="AD1243" s="1332"/>
      <c r="AE1243" s="1"/>
      <c r="AF1243" s="1"/>
      <c r="AG1243" s="1"/>
      <c r="AH1243" s="1"/>
      <c r="AI1243" s="1"/>
      <c r="AJ1243" s="1"/>
      <c r="AK1243" s="1"/>
      <c r="AL1243" s="1"/>
      <c r="AM1243" s="1"/>
      <c r="AN1243" s="1"/>
      <c r="AO1243" s="1"/>
      <c r="AP1243" s="488"/>
      <c r="AQ1243" s="488"/>
      <c r="AR1243" s="1"/>
      <c r="AS1243" s="1"/>
      <c r="AT1243" s="1"/>
      <c r="AU1243" s="1"/>
      <c r="AV1243" s="1"/>
      <c r="AW1243" s="1"/>
      <c r="AX1243" s="488"/>
      <c r="AY1243" s="1"/>
      <c r="AZ1243" s="1"/>
      <c r="BA1243" s="1"/>
      <c r="BB1243" s="1"/>
      <c r="BC1243" s="1"/>
      <c r="BD1243" s="1"/>
      <c r="BE1243" s="1"/>
    </row>
    <row r="1244" spans="9:57" x14ac:dyDescent="0.25">
      <c r="I1244" s="1"/>
      <c r="J1244" s="1"/>
      <c r="K1244" s="1"/>
      <c r="L1244" s="1"/>
      <c r="M1244" s="1"/>
      <c r="N1244" s="1"/>
      <c r="O1244" s="1"/>
      <c r="P1244" s="1"/>
      <c r="Q1244" s="1"/>
      <c r="R1244" s="1332"/>
      <c r="S1244" s="1332"/>
      <c r="T1244" s="1332"/>
      <c r="U1244" s="1332"/>
      <c r="V1244" s="1332"/>
      <c r="W1244" s="1332"/>
      <c r="X1244" s="1332"/>
      <c r="Y1244" s="1332"/>
      <c r="Z1244" s="1332"/>
      <c r="AA1244" s="1332"/>
      <c r="AB1244" s="1332"/>
      <c r="AC1244" s="1332"/>
      <c r="AD1244" s="1332"/>
      <c r="AE1244" s="1"/>
      <c r="AF1244" s="1"/>
      <c r="AG1244" s="1"/>
      <c r="AH1244" s="1"/>
      <c r="AI1244" s="1"/>
      <c r="AJ1244" s="1"/>
      <c r="AK1244" s="1"/>
      <c r="AL1244" s="1"/>
      <c r="AM1244" s="1"/>
      <c r="AN1244" s="1"/>
      <c r="AO1244" s="1"/>
      <c r="AP1244" s="488"/>
      <c r="AQ1244" s="488"/>
      <c r="AR1244" s="1"/>
      <c r="AS1244" s="1"/>
      <c r="AT1244" s="1"/>
      <c r="AU1244" s="1"/>
      <c r="AV1244" s="1"/>
      <c r="AW1244" s="1"/>
      <c r="AX1244" s="488"/>
      <c r="AY1244" s="1"/>
      <c r="AZ1244" s="1"/>
      <c r="BA1244" s="1"/>
      <c r="BB1244" s="1"/>
      <c r="BC1244" s="1"/>
      <c r="BD1244" s="1"/>
      <c r="BE1244" s="1"/>
    </row>
    <row r="1245" spans="9:57" x14ac:dyDescent="0.25">
      <c r="I1245" s="1"/>
      <c r="J1245" s="1"/>
      <c r="K1245" s="1"/>
      <c r="L1245" s="1"/>
      <c r="M1245" s="1"/>
      <c r="N1245" s="1"/>
      <c r="O1245" s="1"/>
      <c r="P1245" s="1"/>
      <c r="Q1245" s="1"/>
      <c r="R1245" s="1332"/>
      <c r="S1245" s="1332"/>
      <c r="T1245" s="1332"/>
      <c r="U1245" s="1332"/>
      <c r="V1245" s="1332"/>
      <c r="W1245" s="1332"/>
      <c r="X1245" s="1332"/>
      <c r="Y1245" s="1332"/>
      <c r="Z1245" s="1332"/>
      <c r="AA1245" s="1332"/>
      <c r="AB1245" s="1332"/>
      <c r="AC1245" s="1332"/>
      <c r="AD1245" s="1332"/>
      <c r="AE1245" s="1"/>
      <c r="AF1245" s="1"/>
      <c r="AG1245" s="1"/>
      <c r="AH1245" s="1"/>
      <c r="AI1245" s="1"/>
      <c r="AJ1245" s="1"/>
      <c r="AK1245" s="1"/>
      <c r="AL1245" s="1"/>
      <c r="AM1245" s="1"/>
      <c r="AN1245" s="1"/>
      <c r="AO1245" s="1"/>
      <c r="AP1245" s="488"/>
      <c r="AQ1245" s="488"/>
      <c r="AR1245" s="1"/>
      <c r="AS1245" s="1"/>
      <c r="AT1245" s="1"/>
      <c r="AU1245" s="1"/>
      <c r="AV1245" s="1"/>
      <c r="AW1245" s="1"/>
      <c r="AX1245" s="488"/>
      <c r="AY1245" s="1"/>
      <c r="AZ1245" s="1"/>
      <c r="BA1245" s="1"/>
      <c r="BB1245" s="1"/>
      <c r="BC1245" s="1"/>
      <c r="BD1245" s="1"/>
      <c r="BE1245" s="1"/>
    </row>
    <row r="1246" spans="9:57" x14ac:dyDescent="0.25">
      <c r="I1246" s="1"/>
      <c r="J1246" s="1"/>
      <c r="K1246" s="1"/>
      <c r="L1246" s="1"/>
      <c r="M1246" s="1"/>
      <c r="N1246" s="1"/>
      <c r="O1246" s="1"/>
      <c r="P1246" s="1"/>
      <c r="Q1246" s="1"/>
      <c r="R1246" s="1332"/>
      <c r="S1246" s="1332"/>
      <c r="T1246" s="1332"/>
      <c r="U1246" s="1332"/>
      <c r="V1246" s="1332"/>
      <c r="W1246" s="1332"/>
      <c r="X1246" s="1332"/>
      <c r="Y1246" s="1332"/>
      <c r="Z1246" s="1332"/>
      <c r="AA1246" s="1332"/>
      <c r="AB1246" s="1332"/>
      <c r="AC1246" s="1332"/>
      <c r="AD1246" s="1332"/>
      <c r="AE1246" s="1"/>
      <c r="AF1246" s="1"/>
      <c r="AG1246" s="1"/>
      <c r="AH1246" s="1"/>
      <c r="AI1246" s="1"/>
      <c r="AJ1246" s="1"/>
      <c r="AK1246" s="1"/>
      <c r="AL1246" s="1"/>
      <c r="AM1246" s="1"/>
      <c r="AN1246" s="1"/>
      <c r="AO1246" s="1"/>
      <c r="AP1246" s="488"/>
      <c r="AQ1246" s="488"/>
      <c r="AR1246" s="1"/>
      <c r="AS1246" s="1"/>
      <c r="AT1246" s="1"/>
      <c r="AU1246" s="1"/>
      <c r="AV1246" s="1"/>
      <c r="AW1246" s="1"/>
      <c r="AX1246" s="488"/>
      <c r="AY1246" s="1"/>
      <c r="AZ1246" s="1"/>
      <c r="BA1246" s="1"/>
      <c r="BB1246" s="1"/>
      <c r="BC1246" s="1"/>
      <c r="BD1246" s="1"/>
      <c r="BE1246" s="1"/>
    </row>
    <row r="1247" spans="9:57" x14ac:dyDescent="0.25">
      <c r="I1247" s="1"/>
      <c r="J1247" s="1"/>
      <c r="K1247" s="1"/>
      <c r="L1247" s="1"/>
      <c r="M1247" s="1"/>
      <c r="N1247" s="1"/>
      <c r="O1247" s="1"/>
      <c r="P1247" s="1"/>
      <c r="Q1247" s="1"/>
      <c r="R1247" s="1332"/>
      <c r="S1247" s="1332"/>
      <c r="T1247" s="1332"/>
      <c r="U1247" s="1332"/>
      <c r="V1247" s="1332"/>
      <c r="W1247" s="1332"/>
      <c r="X1247" s="1332"/>
      <c r="Y1247" s="1332"/>
      <c r="Z1247" s="1332"/>
      <c r="AA1247" s="1332"/>
      <c r="AB1247" s="1332"/>
      <c r="AC1247" s="1332"/>
      <c r="AD1247" s="1332"/>
      <c r="AE1247" s="1"/>
      <c r="AF1247" s="1"/>
      <c r="AG1247" s="1"/>
      <c r="AH1247" s="1"/>
      <c r="AI1247" s="1"/>
      <c r="AJ1247" s="1"/>
      <c r="AK1247" s="1"/>
      <c r="AL1247" s="1"/>
      <c r="AM1247" s="1"/>
      <c r="AN1247" s="1"/>
      <c r="AO1247" s="1"/>
      <c r="AP1247" s="488"/>
      <c r="AQ1247" s="488"/>
      <c r="AR1247" s="1"/>
      <c r="AS1247" s="1"/>
      <c r="AT1247" s="1"/>
      <c r="AU1247" s="1"/>
      <c r="AV1247" s="1"/>
      <c r="AW1247" s="1"/>
      <c r="AX1247" s="488"/>
      <c r="AY1247" s="1"/>
      <c r="AZ1247" s="1"/>
      <c r="BA1247" s="1"/>
      <c r="BB1247" s="1"/>
      <c r="BC1247" s="1"/>
      <c r="BD1247" s="1"/>
      <c r="BE1247" s="1"/>
    </row>
    <row r="1248" spans="9:57" x14ac:dyDescent="0.25">
      <c r="I1248" s="1"/>
      <c r="J1248" s="1"/>
      <c r="K1248" s="1"/>
      <c r="L1248" s="1"/>
      <c r="M1248" s="1"/>
      <c r="N1248" s="1"/>
      <c r="O1248" s="1"/>
      <c r="P1248" s="1"/>
      <c r="Q1248" s="1"/>
      <c r="R1248" s="1332"/>
      <c r="S1248" s="1332"/>
      <c r="T1248" s="1332"/>
      <c r="U1248" s="1332"/>
      <c r="V1248" s="1332"/>
      <c r="W1248" s="1332"/>
      <c r="X1248" s="1332"/>
      <c r="Y1248" s="1332"/>
      <c r="Z1248" s="1332"/>
      <c r="AA1248" s="1332"/>
      <c r="AB1248" s="1332"/>
      <c r="AC1248" s="1332"/>
      <c r="AD1248" s="1332"/>
      <c r="AE1248" s="1"/>
      <c r="AF1248" s="1"/>
      <c r="AG1248" s="1"/>
      <c r="AH1248" s="1"/>
      <c r="AI1248" s="1"/>
      <c r="AJ1248" s="1"/>
      <c r="AK1248" s="1"/>
      <c r="AL1248" s="1"/>
      <c r="AM1248" s="1"/>
      <c r="AN1248" s="1"/>
      <c r="AO1248" s="1"/>
      <c r="AP1248" s="488"/>
      <c r="AQ1248" s="488"/>
      <c r="AR1248" s="1"/>
      <c r="AS1248" s="1"/>
      <c r="AT1248" s="1"/>
      <c r="AU1248" s="1"/>
      <c r="AV1248" s="1"/>
      <c r="AW1248" s="1"/>
      <c r="AX1248" s="488"/>
      <c r="AY1248" s="1"/>
      <c r="AZ1248" s="1"/>
      <c r="BA1248" s="1"/>
      <c r="BB1248" s="1"/>
      <c r="BC1248" s="1"/>
      <c r="BD1248" s="1"/>
      <c r="BE1248" s="1"/>
    </row>
    <row r="1249" spans="9:57" x14ac:dyDescent="0.25">
      <c r="I1249" s="1"/>
      <c r="J1249" s="1"/>
      <c r="K1249" s="1"/>
      <c r="L1249" s="1"/>
      <c r="M1249" s="1"/>
      <c r="N1249" s="1"/>
      <c r="O1249" s="1"/>
      <c r="P1249" s="1"/>
      <c r="Q1249" s="1"/>
      <c r="R1249" s="1332"/>
      <c r="S1249" s="1332"/>
      <c r="T1249" s="1332"/>
      <c r="U1249" s="1332"/>
      <c r="V1249" s="1332"/>
      <c r="W1249" s="1332"/>
      <c r="X1249" s="1332"/>
      <c r="Y1249" s="1332"/>
      <c r="Z1249" s="1332"/>
      <c r="AA1249" s="1332"/>
      <c r="AB1249" s="1332"/>
      <c r="AC1249" s="1332"/>
      <c r="AD1249" s="1332"/>
      <c r="AE1249" s="1"/>
      <c r="AF1249" s="1"/>
      <c r="AG1249" s="1"/>
      <c r="AH1249" s="1"/>
      <c r="AI1249" s="1"/>
      <c r="AJ1249" s="1"/>
      <c r="AK1249" s="1"/>
      <c r="AL1249" s="1"/>
      <c r="AM1249" s="1"/>
      <c r="AN1249" s="1"/>
      <c r="AO1249" s="1"/>
      <c r="AP1249" s="488"/>
      <c r="AQ1249" s="488"/>
      <c r="AR1249" s="1"/>
      <c r="AS1249" s="1"/>
      <c r="AT1249" s="1"/>
      <c r="AU1249" s="1"/>
      <c r="AV1249" s="1"/>
      <c r="AW1249" s="1"/>
      <c r="AX1249" s="488"/>
      <c r="AY1249" s="1"/>
      <c r="AZ1249" s="1"/>
      <c r="BA1249" s="1"/>
      <c r="BB1249" s="1"/>
      <c r="BC1249" s="1"/>
      <c r="BD1249" s="1"/>
      <c r="BE1249" s="1"/>
    </row>
    <row r="1250" spans="9:57" x14ac:dyDescent="0.25">
      <c r="I1250" s="1"/>
      <c r="J1250" s="1"/>
      <c r="K1250" s="1"/>
      <c r="L1250" s="1"/>
      <c r="M1250" s="1"/>
      <c r="N1250" s="1"/>
      <c r="O1250" s="1"/>
      <c r="P1250" s="1"/>
      <c r="Q1250" s="1"/>
      <c r="R1250" s="1332"/>
      <c r="S1250" s="1332"/>
      <c r="T1250" s="1332"/>
      <c r="U1250" s="1332"/>
      <c r="V1250" s="1332"/>
      <c r="W1250" s="1332"/>
      <c r="X1250" s="1332"/>
      <c r="Y1250" s="1332"/>
      <c r="Z1250" s="1332"/>
      <c r="AA1250" s="1332"/>
      <c r="AB1250" s="1332"/>
      <c r="AC1250" s="1332"/>
      <c r="AD1250" s="1332"/>
      <c r="AE1250" s="1"/>
      <c r="AF1250" s="1"/>
      <c r="AG1250" s="1"/>
      <c r="AH1250" s="1"/>
      <c r="AI1250" s="1"/>
      <c r="AJ1250" s="1"/>
      <c r="AK1250" s="1"/>
      <c r="AL1250" s="1"/>
      <c r="AM1250" s="1"/>
      <c r="AN1250" s="1"/>
      <c r="AO1250" s="1"/>
      <c r="AP1250" s="488"/>
      <c r="AQ1250" s="488"/>
      <c r="AR1250" s="1"/>
      <c r="AS1250" s="1"/>
      <c r="AT1250" s="1"/>
      <c r="AU1250" s="1"/>
      <c r="AV1250" s="1"/>
      <c r="AW1250" s="1"/>
      <c r="AX1250" s="488"/>
      <c r="AY1250" s="1"/>
      <c r="AZ1250" s="1"/>
      <c r="BA1250" s="1"/>
      <c r="BB1250" s="1"/>
      <c r="BC1250" s="1"/>
      <c r="BD1250" s="1"/>
      <c r="BE1250" s="1"/>
    </row>
    <row r="1251" spans="9:57" x14ac:dyDescent="0.25">
      <c r="I1251" s="1"/>
      <c r="J1251" s="1"/>
      <c r="K1251" s="1"/>
      <c r="L1251" s="1"/>
      <c r="M1251" s="1"/>
      <c r="N1251" s="1"/>
      <c r="O1251" s="1"/>
      <c r="P1251" s="1"/>
      <c r="Q1251" s="1"/>
      <c r="R1251" s="1332"/>
      <c r="S1251" s="1332"/>
      <c r="T1251" s="1332"/>
      <c r="U1251" s="1332"/>
      <c r="V1251" s="1332"/>
      <c r="W1251" s="1332"/>
      <c r="X1251" s="1332"/>
      <c r="Y1251" s="1332"/>
      <c r="Z1251" s="1332"/>
      <c r="AA1251" s="1332"/>
      <c r="AB1251" s="1332"/>
      <c r="AC1251" s="1332"/>
      <c r="AD1251" s="1332"/>
      <c r="AE1251" s="1"/>
      <c r="AF1251" s="1"/>
      <c r="AG1251" s="1"/>
      <c r="AH1251" s="1"/>
      <c r="AI1251" s="1"/>
      <c r="AJ1251" s="1"/>
      <c r="AK1251" s="1"/>
      <c r="AL1251" s="1"/>
      <c r="AM1251" s="1"/>
      <c r="AN1251" s="1"/>
      <c r="AO1251" s="1"/>
      <c r="AP1251" s="488"/>
      <c r="AQ1251" s="488"/>
      <c r="AR1251" s="1"/>
      <c r="AS1251" s="1"/>
      <c r="AT1251" s="1"/>
      <c r="AU1251" s="1"/>
      <c r="AV1251" s="1"/>
      <c r="AW1251" s="1"/>
      <c r="AX1251" s="488"/>
      <c r="AY1251" s="1"/>
      <c r="AZ1251" s="1"/>
      <c r="BA1251" s="1"/>
      <c r="BB1251" s="1"/>
      <c r="BC1251" s="1"/>
      <c r="BD1251" s="1"/>
      <c r="BE1251" s="1"/>
    </row>
    <row r="1252" spans="9:57" x14ac:dyDescent="0.25">
      <c r="I1252" s="1"/>
      <c r="J1252" s="1"/>
      <c r="K1252" s="1"/>
      <c r="L1252" s="1"/>
      <c r="M1252" s="1"/>
      <c r="N1252" s="1"/>
      <c r="O1252" s="1"/>
      <c r="P1252" s="1"/>
      <c r="Q1252" s="1"/>
      <c r="R1252" s="1332"/>
      <c r="S1252" s="1332"/>
      <c r="T1252" s="1332"/>
      <c r="U1252" s="1332"/>
      <c r="V1252" s="1332"/>
      <c r="W1252" s="1332"/>
      <c r="X1252" s="1332"/>
      <c r="Y1252" s="1332"/>
      <c r="Z1252" s="1332"/>
      <c r="AA1252" s="1332"/>
      <c r="AB1252" s="1332"/>
      <c r="AC1252" s="1332"/>
      <c r="AD1252" s="1332"/>
      <c r="AE1252" s="1"/>
      <c r="AF1252" s="1"/>
      <c r="AG1252" s="1"/>
      <c r="AH1252" s="1"/>
      <c r="AI1252" s="1"/>
      <c r="AJ1252" s="1"/>
      <c r="AK1252" s="1"/>
      <c r="AL1252" s="1"/>
      <c r="AM1252" s="1"/>
      <c r="AN1252" s="1"/>
      <c r="AO1252" s="1"/>
      <c r="AP1252" s="488"/>
      <c r="AQ1252" s="488"/>
      <c r="AR1252" s="1"/>
      <c r="AS1252" s="1"/>
      <c r="AT1252" s="1"/>
      <c r="AU1252" s="1"/>
      <c r="AV1252" s="1"/>
      <c r="AW1252" s="1"/>
      <c r="AX1252" s="488"/>
      <c r="AY1252" s="1"/>
      <c r="AZ1252" s="1"/>
      <c r="BA1252" s="1"/>
      <c r="BB1252" s="1"/>
      <c r="BC1252" s="1"/>
      <c r="BD1252" s="1"/>
      <c r="BE1252" s="1"/>
    </row>
    <row r="1253" spans="9:57" x14ac:dyDescent="0.25">
      <c r="I1253" s="1"/>
      <c r="J1253" s="1"/>
      <c r="K1253" s="1"/>
      <c r="L1253" s="1"/>
      <c r="M1253" s="1"/>
      <c r="N1253" s="1"/>
      <c r="O1253" s="1"/>
      <c r="P1253" s="1"/>
      <c r="Q1253" s="1"/>
      <c r="R1253" s="1332"/>
      <c r="S1253" s="1332"/>
      <c r="T1253" s="1332"/>
      <c r="U1253" s="1332"/>
      <c r="V1253" s="1332"/>
      <c r="W1253" s="1332"/>
      <c r="X1253" s="1332"/>
      <c r="Y1253" s="1332"/>
      <c r="Z1253" s="1332"/>
      <c r="AA1253" s="1332"/>
      <c r="AB1253" s="1332"/>
      <c r="AC1253" s="1332"/>
      <c r="AD1253" s="1332"/>
      <c r="AE1253" s="1"/>
      <c r="AF1253" s="1"/>
      <c r="AG1253" s="1"/>
      <c r="AH1253" s="1"/>
      <c r="AI1253" s="1"/>
      <c r="AJ1253" s="1"/>
      <c r="AK1253" s="1"/>
      <c r="AL1253" s="1"/>
      <c r="AM1253" s="1"/>
      <c r="AN1253" s="1"/>
      <c r="AO1253" s="1"/>
      <c r="AP1253" s="488"/>
      <c r="AQ1253" s="488"/>
      <c r="AR1253" s="1"/>
      <c r="AS1253" s="1"/>
      <c r="AT1253" s="1"/>
      <c r="AU1253" s="1"/>
      <c r="AV1253" s="1"/>
      <c r="AW1253" s="1"/>
      <c r="AX1253" s="488"/>
      <c r="AY1253" s="1"/>
      <c r="AZ1253" s="1"/>
      <c r="BA1253" s="1"/>
      <c r="BB1253" s="1"/>
      <c r="BC1253" s="1"/>
      <c r="BD1253" s="1"/>
      <c r="BE1253" s="1"/>
    </row>
    <row r="1254" spans="9:57" x14ac:dyDescent="0.25">
      <c r="I1254" s="1"/>
      <c r="J1254" s="1"/>
      <c r="K1254" s="1"/>
      <c r="L1254" s="1"/>
      <c r="M1254" s="1"/>
      <c r="N1254" s="1"/>
      <c r="O1254" s="1"/>
      <c r="P1254" s="1"/>
      <c r="Q1254" s="1"/>
      <c r="R1254" s="1332"/>
      <c r="S1254" s="1332"/>
      <c r="T1254" s="1332"/>
      <c r="U1254" s="1332"/>
      <c r="V1254" s="1332"/>
      <c r="W1254" s="1332"/>
      <c r="X1254" s="1332"/>
      <c r="Y1254" s="1332"/>
      <c r="Z1254" s="1332"/>
      <c r="AA1254" s="1332"/>
      <c r="AB1254" s="1332"/>
      <c r="AC1254" s="1332"/>
      <c r="AD1254" s="1332"/>
      <c r="AE1254" s="1"/>
      <c r="AF1254" s="1"/>
      <c r="AG1254" s="1"/>
      <c r="AH1254" s="1"/>
      <c r="AI1254" s="1"/>
      <c r="AJ1254" s="1"/>
      <c r="AK1254" s="1"/>
      <c r="AL1254" s="1"/>
      <c r="AM1254" s="1"/>
      <c r="AN1254" s="1"/>
      <c r="AO1254" s="1"/>
      <c r="AP1254" s="488"/>
      <c r="AQ1254" s="488"/>
      <c r="AR1254" s="1"/>
      <c r="AS1254" s="1"/>
      <c r="AT1254" s="1"/>
      <c r="AU1254" s="1"/>
      <c r="AV1254" s="1"/>
      <c r="AW1254" s="1"/>
      <c r="AX1254" s="488"/>
      <c r="AY1254" s="1"/>
      <c r="AZ1254" s="1"/>
      <c r="BA1254" s="1"/>
      <c r="BB1254" s="1"/>
      <c r="BC1254" s="1"/>
      <c r="BD1254" s="1"/>
      <c r="BE1254" s="1"/>
    </row>
    <row r="1255" spans="9:57" x14ac:dyDescent="0.25">
      <c r="I1255" s="1"/>
      <c r="J1255" s="1"/>
      <c r="K1255" s="1"/>
      <c r="L1255" s="1"/>
      <c r="M1255" s="1"/>
      <c r="N1255" s="1"/>
      <c r="O1255" s="1"/>
      <c r="P1255" s="1"/>
      <c r="Q1255" s="1"/>
      <c r="R1255" s="1332"/>
      <c r="S1255" s="1332"/>
      <c r="T1255" s="1332"/>
      <c r="U1255" s="1332"/>
      <c r="V1255" s="1332"/>
      <c r="W1255" s="1332"/>
      <c r="X1255" s="1332"/>
      <c r="Y1255" s="1332"/>
      <c r="Z1255" s="1332"/>
      <c r="AA1255" s="1332"/>
      <c r="AB1255" s="1332"/>
      <c r="AC1255" s="1332"/>
      <c r="AD1255" s="1332"/>
      <c r="AE1255" s="1"/>
      <c r="AF1255" s="1"/>
      <c r="AG1255" s="1"/>
      <c r="AH1255" s="1"/>
      <c r="AI1255" s="1"/>
      <c r="AJ1255" s="1"/>
      <c r="AK1255" s="1"/>
      <c r="AL1255" s="1"/>
      <c r="AM1255" s="1"/>
      <c r="AN1255" s="1"/>
      <c r="AO1255" s="1"/>
      <c r="AP1255" s="488"/>
      <c r="AQ1255" s="488"/>
      <c r="AR1255" s="1"/>
      <c r="AS1255" s="1"/>
      <c r="AT1255" s="1"/>
      <c r="AU1255" s="1"/>
      <c r="AV1255" s="1"/>
      <c r="AW1255" s="1"/>
      <c r="AX1255" s="488"/>
      <c r="AY1255" s="1"/>
      <c r="AZ1255" s="1"/>
      <c r="BA1255" s="1"/>
      <c r="BB1255" s="1"/>
      <c r="BC1255" s="1"/>
      <c r="BD1255" s="1"/>
      <c r="BE1255" s="1"/>
    </row>
    <row r="1256" spans="9:57" x14ac:dyDescent="0.25">
      <c r="I1256" s="1"/>
      <c r="J1256" s="1"/>
      <c r="K1256" s="1"/>
      <c r="L1256" s="1"/>
      <c r="M1256" s="1"/>
      <c r="N1256" s="1"/>
      <c r="O1256" s="1"/>
      <c r="P1256" s="1"/>
      <c r="Q1256" s="1"/>
      <c r="R1256" s="1332"/>
      <c r="S1256" s="1332"/>
      <c r="T1256" s="1332"/>
      <c r="U1256" s="1332"/>
      <c r="V1256" s="1332"/>
      <c r="W1256" s="1332"/>
      <c r="X1256" s="1332"/>
      <c r="Y1256" s="1332"/>
      <c r="Z1256" s="1332"/>
      <c r="AA1256" s="1332"/>
      <c r="AB1256" s="1332"/>
      <c r="AC1256" s="1332"/>
      <c r="AD1256" s="1332"/>
      <c r="AE1256" s="1"/>
      <c r="AF1256" s="1"/>
      <c r="AG1256" s="1"/>
      <c r="AH1256" s="1"/>
      <c r="AI1256" s="1"/>
      <c r="AJ1256" s="1"/>
      <c r="AK1256" s="1"/>
      <c r="AL1256" s="1"/>
      <c r="AM1256" s="1"/>
      <c r="AN1256" s="1"/>
      <c r="AO1256" s="1"/>
      <c r="AP1256" s="488"/>
      <c r="AQ1256" s="488"/>
      <c r="AR1256" s="1"/>
      <c r="AS1256" s="1"/>
      <c r="AT1256" s="1"/>
      <c r="AU1256" s="1"/>
      <c r="AV1256" s="1"/>
      <c r="AW1256" s="1"/>
      <c r="AX1256" s="488"/>
      <c r="AY1256" s="1"/>
      <c r="AZ1256" s="1"/>
      <c r="BA1256" s="1"/>
      <c r="BB1256" s="1"/>
      <c r="BC1256" s="1"/>
      <c r="BD1256" s="1"/>
      <c r="BE1256" s="1"/>
    </row>
    <row r="1257" spans="9:57" x14ac:dyDescent="0.25">
      <c r="I1257" s="1"/>
      <c r="J1257" s="1"/>
      <c r="K1257" s="1"/>
      <c r="L1257" s="1"/>
      <c r="M1257" s="1"/>
      <c r="N1257" s="1"/>
      <c r="O1257" s="1"/>
      <c r="P1257" s="1"/>
      <c r="Q1257" s="1"/>
      <c r="R1257" s="1332"/>
      <c r="S1257" s="1332"/>
      <c r="T1257" s="1332"/>
      <c r="U1257" s="1332"/>
      <c r="V1257" s="1332"/>
      <c r="W1257" s="1332"/>
      <c r="X1257" s="1332"/>
      <c r="Y1257" s="1332"/>
      <c r="Z1257" s="1332"/>
      <c r="AA1257" s="1332"/>
      <c r="AB1257" s="1332"/>
      <c r="AC1257" s="1332"/>
      <c r="AD1257" s="1332"/>
      <c r="AE1257" s="1"/>
      <c r="AF1257" s="1"/>
      <c r="AG1257" s="1"/>
      <c r="AH1257" s="1"/>
      <c r="AI1257" s="1"/>
      <c r="AJ1257" s="1"/>
      <c r="AK1257" s="1"/>
      <c r="AL1257" s="1"/>
      <c r="AM1257" s="1"/>
      <c r="AN1257" s="1"/>
      <c r="AO1257" s="1"/>
      <c r="AP1257" s="488"/>
      <c r="AQ1257" s="488"/>
      <c r="AR1257" s="1"/>
      <c r="AS1257" s="1"/>
      <c r="AT1257" s="1"/>
      <c r="AU1257" s="1"/>
      <c r="AV1257" s="1"/>
      <c r="AW1257" s="1"/>
      <c r="AX1257" s="488"/>
      <c r="AY1257" s="1"/>
      <c r="AZ1257" s="1"/>
      <c r="BA1257" s="1"/>
      <c r="BB1257" s="1"/>
      <c r="BC1257" s="1"/>
      <c r="BD1257" s="1"/>
      <c r="BE1257" s="1"/>
    </row>
    <row r="1258" spans="9:57" x14ac:dyDescent="0.25">
      <c r="I1258" s="1"/>
      <c r="J1258" s="1"/>
      <c r="K1258" s="1"/>
      <c r="L1258" s="1"/>
      <c r="M1258" s="1"/>
      <c r="N1258" s="1"/>
      <c r="O1258" s="1"/>
      <c r="P1258" s="1"/>
      <c r="Q1258" s="1"/>
      <c r="R1258" s="1332"/>
      <c r="S1258" s="1332"/>
      <c r="T1258" s="1332"/>
      <c r="U1258" s="1332"/>
      <c r="V1258" s="1332"/>
      <c r="W1258" s="1332"/>
      <c r="X1258" s="1332"/>
      <c r="Y1258" s="1332"/>
      <c r="Z1258" s="1332"/>
      <c r="AA1258" s="1332"/>
      <c r="AB1258" s="1332"/>
      <c r="AC1258" s="1332"/>
      <c r="AD1258" s="1332"/>
      <c r="AE1258" s="1"/>
      <c r="AF1258" s="1"/>
      <c r="AG1258" s="1"/>
      <c r="AH1258" s="1"/>
      <c r="AI1258" s="1"/>
      <c r="AJ1258" s="1"/>
      <c r="AK1258" s="1"/>
      <c r="AL1258" s="1"/>
      <c r="AM1258" s="1"/>
      <c r="AN1258" s="1"/>
      <c r="AO1258" s="1"/>
      <c r="AP1258" s="488"/>
      <c r="AQ1258" s="488"/>
      <c r="AR1258" s="1"/>
      <c r="AS1258" s="1"/>
      <c r="AT1258" s="1"/>
      <c r="AU1258" s="1"/>
      <c r="AV1258" s="1"/>
      <c r="AW1258" s="1"/>
      <c r="AX1258" s="488"/>
      <c r="AY1258" s="1"/>
      <c r="AZ1258" s="1"/>
      <c r="BA1258" s="1"/>
      <c r="BB1258" s="1"/>
      <c r="BC1258" s="1"/>
      <c r="BD1258" s="1"/>
      <c r="BE1258" s="1"/>
    </row>
    <row r="1259" spans="9:57" x14ac:dyDescent="0.25">
      <c r="I1259" s="1"/>
      <c r="J1259" s="1"/>
      <c r="K1259" s="1"/>
      <c r="L1259" s="1"/>
      <c r="M1259" s="1"/>
      <c r="N1259" s="1"/>
      <c r="O1259" s="1"/>
      <c r="P1259" s="1"/>
      <c r="Q1259" s="1"/>
      <c r="R1259" s="1332"/>
      <c r="S1259" s="1332"/>
      <c r="T1259" s="1332"/>
      <c r="U1259" s="1332"/>
      <c r="V1259" s="1332"/>
      <c r="W1259" s="1332"/>
      <c r="X1259" s="1332"/>
      <c r="Y1259" s="1332"/>
      <c r="Z1259" s="1332"/>
      <c r="AA1259" s="1332"/>
      <c r="AB1259" s="1332"/>
      <c r="AC1259" s="1332"/>
      <c r="AD1259" s="1332"/>
      <c r="AE1259" s="1"/>
      <c r="AF1259" s="1"/>
      <c r="AG1259" s="1"/>
      <c r="AH1259" s="1"/>
      <c r="AI1259" s="1"/>
      <c r="AJ1259" s="1"/>
      <c r="AK1259" s="1"/>
      <c r="AL1259" s="1"/>
      <c r="AM1259" s="1"/>
      <c r="AN1259" s="1"/>
      <c r="AO1259" s="1"/>
      <c r="AP1259" s="488"/>
      <c r="AQ1259" s="488"/>
      <c r="AR1259" s="1"/>
      <c r="AS1259" s="1"/>
      <c r="AT1259" s="1"/>
      <c r="AU1259" s="1"/>
      <c r="AV1259" s="1"/>
      <c r="AW1259" s="1"/>
      <c r="AX1259" s="488"/>
      <c r="AY1259" s="1"/>
      <c r="AZ1259" s="1"/>
      <c r="BA1259" s="1"/>
      <c r="BB1259" s="1"/>
      <c r="BC1259" s="1"/>
      <c r="BD1259" s="1"/>
      <c r="BE1259" s="1"/>
    </row>
    <row r="1260" spans="9:57" x14ac:dyDescent="0.25">
      <c r="I1260" s="1"/>
      <c r="J1260" s="1"/>
      <c r="K1260" s="1"/>
      <c r="L1260" s="1"/>
      <c r="M1260" s="1"/>
      <c r="N1260" s="1"/>
      <c r="O1260" s="1"/>
      <c r="P1260" s="1"/>
      <c r="Q1260" s="1"/>
      <c r="R1260" s="1332"/>
      <c r="S1260" s="1332"/>
      <c r="T1260" s="1332"/>
      <c r="U1260" s="1332"/>
      <c r="V1260" s="1332"/>
      <c r="W1260" s="1332"/>
      <c r="X1260" s="1332"/>
      <c r="Y1260" s="1332"/>
      <c r="Z1260" s="1332"/>
      <c r="AA1260" s="1332"/>
      <c r="AB1260" s="1332"/>
      <c r="AC1260" s="1332"/>
      <c r="AD1260" s="1332"/>
      <c r="AE1260" s="1"/>
      <c r="AF1260" s="1"/>
      <c r="AG1260" s="1"/>
      <c r="AH1260" s="1"/>
      <c r="AI1260" s="1"/>
      <c r="AJ1260" s="1"/>
      <c r="AK1260" s="1"/>
      <c r="AL1260" s="1"/>
      <c r="AM1260" s="1"/>
      <c r="AN1260" s="1"/>
      <c r="AO1260" s="1"/>
      <c r="AP1260" s="488"/>
      <c r="AQ1260" s="488"/>
      <c r="AR1260" s="1"/>
      <c r="AS1260" s="1"/>
      <c r="AT1260" s="1"/>
      <c r="AU1260" s="1"/>
      <c r="AV1260" s="1"/>
      <c r="AW1260" s="1"/>
      <c r="AX1260" s="488"/>
      <c r="AY1260" s="1"/>
      <c r="AZ1260" s="1"/>
      <c r="BA1260" s="1"/>
      <c r="BB1260" s="1"/>
      <c r="BC1260" s="1"/>
      <c r="BD1260" s="1"/>
      <c r="BE1260" s="1"/>
    </row>
    <row r="1261" spans="9:57" x14ac:dyDescent="0.25">
      <c r="I1261" s="1"/>
      <c r="J1261" s="1"/>
      <c r="K1261" s="1"/>
      <c r="L1261" s="1"/>
      <c r="M1261" s="1"/>
      <c r="N1261" s="1"/>
      <c r="O1261" s="1"/>
      <c r="P1261" s="1"/>
      <c r="Q1261" s="1"/>
      <c r="R1261" s="1332"/>
      <c r="S1261" s="1332"/>
      <c r="T1261" s="1332"/>
      <c r="U1261" s="1332"/>
      <c r="V1261" s="1332"/>
      <c r="W1261" s="1332"/>
      <c r="X1261" s="1332"/>
      <c r="Y1261" s="1332"/>
      <c r="Z1261" s="1332"/>
      <c r="AA1261" s="1332"/>
      <c r="AB1261" s="1332"/>
      <c r="AC1261" s="1332"/>
      <c r="AD1261" s="1332"/>
      <c r="AE1261" s="1"/>
      <c r="AF1261" s="1"/>
      <c r="AG1261" s="1"/>
      <c r="AH1261" s="1"/>
      <c r="AI1261" s="1"/>
      <c r="AJ1261" s="1"/>
      <c r="AK1261" s="1"/>
      <c r="AL1261" s="1"/>
      <c r="AM1261" s="1"/>
      <c r="AN1261" s="1"/>
      <c r="AO1261" s="1"/>
      <c r="AP1261" s="488"/>
      <c r="AQ1261" s="488"/>
      <c r="AR1261" s="1"/>
      <c r="AS1261" s="1"/>
      <c r="AT1261" s="1"/>
      <c r="AU1261" s="1"/>
      <c r="AV1261" s="1"/>
      <c r="AW1261" s="1"/>
      <c r="AX1261" s="488"/>
      <c r="AY1261" s="1"/>
      <c r="AZ1261" s="1"/>
      <c r="BA1261" s="1"/>
      <c r="BB1261" s="1"/>
      <c r="BC1261" s="1"/>
      <c r="BD1261" s="1"/>
      <c r="BE1261" s="1"/>
    </row>
    <row r="1262" spans="9:57" x14ac:dyDescent="0.25">
      <c r="I1262" s="1"/>
      <c r="J1262" s="1"/>
      <c r="K1262" s="1"/>
      <c r="L1262" s="1"/>
      <c r="M1262" s="1"/>
      <c r="N1262" s="1"/>
      <c r="O1262" s="1"/>
      <c r="P1262" s="1"/>
      <c r="Q1262" s="1"/>
      <c r="R1262" s="1332"/>
      <c r="S1262" s="1332"/>
      <c r="T1262" s="1332"/>
      <c r="U1262" s="1332"/>
      <c r="V1262" s="1332"/>
      <c r="W1262" s="1332"/>
      <c r="X1262" s="1332"/>
      <c r="Y1262" s="1332"/>
      <c r="Z1262" s="1332"/>
      <c r="AA1262" s="1332"/>
      <c r="AB1262" s="1332"/>
      <c r="AC1262" s="1332"/>
      <c r="AD1262" s="1332"/>
      <c r="AE1262" s="1"/>
      <c r="AF1262" s="1"/>
      <c r="AG1262" s="1"/>
      <c r="AH1262" s="1"/>
      <c r="AI1262" s="1"/>
      <c r="AJ1262" s="1"/>
      <c r="AK1262" s="1"/>
      <c r="AL1262" s="1"/>
      <c r="AM1262" s="1"/>
      <c r="AN1262" s="1"/>
      <c r="AO1262" s="1"/>
      <c r="AP1262" s="488"/>
      <c r="AQ1262" s="488"/>
      <c r="AR1262" s="1"/>
      <c r="AS1262" s="1"/>
      <c r="AT1262" s="1"/>
      <c r="AU1262" s="1"/>
      <c r="AV1262" s="1"/>
      <c r="AW1262" s="1"/>
      <c r="AX1262" s="488"/>
      <c r="AY1262" s="1"/>
      <c r="AZ1262" s="1"/>
      <c r="BA1262" s="1"/>
      <c r="BB1262" s="1"/>
      <c r="BC1262" s="1"/>
      <c r="BD1262" s="1"/>
      <c r="BE1262" s="1"/>
    </row>
    <row r="1263" spans="9:57" x14ac:dyDescent="0.25">
      <c r="I1263" s="1"/>
      <c r="J1263" s="1"/>
      <c r="K1263" s="1"/>
      <c r="L1263" s="1"/>
      <c r="M1263" s="1"/>
      <c r="N1263" s="1"/>
      <c r="O1263" s="1"/>
      <c r="P1263" s="1"/>
      <c r="Q1263" s="1"/>
      <c r="R1263" s="1332"/>
      <c r="S1263" s="1332"/>
      <c r="T1263" s="1332"/>
      <c r="U1263" s="1332"/>
      <c r="V1263" s="1332"/>
      <c r="W1263" s="1332"/>
      <c r="X1263" s="1332"/>
      <c r="Y1263" s="1332"/>
      <c r="Z1263" s="1332"/>
      <c r="AA1263" s="1332"/>
      <c r="AB1263" s="1332"/>
      <c r="AC1263" s="1332"/>
      <c r="AD1263" s="1332"/>
      <c r="AE1263" s="1"/>
      <c r="AF1263" s="1"/>
      <c r="AG1263" s="1"/>
      <c r="AH1263" s="1"/>
      <c r="AI1263" s="1"/>
      <c r="AJ1263" s="1"/>
      <c r="AK1263" s="1"/>
      <c r="AL1263" s="1"/>
      <c r="AM1263" s="1"/>
      <c r="AN1263" s="1"/>
      <c r="AO1263" s="1"/>
      <c r="AP1263" s="488"/>
      <c r="AQ1263" s="488"/>
      <c r="AR1263" s="1"/>
      <c r="AS1263" s="1"/>
      <c r="AT1263" s="1"/>
      <c r="AU1263" s="1"/>
      <c r="AV1263" s="1"/>
      <c r="AW1263" s="1"/>
      <c r="AX1263" s="488"/>
      <c r="AY1263" s="1"/>
      <c r="AZ1263" s="1"/>
      <c r="BA1263" s="1"/>
      <c r="BB1263" s="1"/>
      <c r="BC1263" s="1"/>
      <c r="BD1263" s="1"/>
      <c r="BE1263" s="1"/>
    </row>
    <row r="1264" spans="9:57" x14ac:dyDescent="0.25">
      <c r="I1264" s="1"/>
      <c r="J1264" s="1"/>
      <c r="K1264" s="1"/>
      <c r="L1264" s="1"/>
      <c r="M1264" s="1"/>
      <c r="N1264" s="1"/>
      <c r="O1264" s="1"/>
      <c r="P1264" s="1"/>
      <c r="Q1264" s="1"/>
      <c r="R1264" s="1332"/>
      <c r="S1264" s="1332"/>
      <c r="T1264" s="1332"/>
      <c r="U1264" s="1332"/>
      <c r="V1264" s="1332"/>
      <c r="W1264" s="1332"/>
      <c r="X1264" s="1332"/>
      <c r="Y1264" s="1332"/>
      <c r="Z1264" s="1332"/>
      <c r="AA1264" s="1332"/>
      <c r="AB1264" s="1332"/>
      <c r="AC1264" s="1332"/>
      <c r="AD1264" s="1332"/>
      <c r="AE1264" s="1"/>
      <c r="AF1264" s="1"/>
      <c r="AG1264" s="1"/>
      <c r="AH1264" s="1"/>
      <c r="AI1264" s="1"/>
      <c r="AJ1264" s="1"/>
      <c r="AK1264" s="1"/>
      <c r="AL1264" s="1"/>
      <c r="AM1264" s="1"/>
      <c r="AN1264" s="1"/>
      <c r="AO1264" s="1"/>
      <c r="AP1264" s="488"/>
      <c r="AQ1264" s="488"/>
      <c r="AR1264" s="1"/>
      <c r="AS1264" s="1"/>
      <c r="AT1264" s="1"/>
      <c r="AU1264" s="1"/>
      <c r="AV1264" s="1"/>
      <c r="AW1264" s="1"/>
      <c r="AX1264" s="488"/>
      <c r="AY1264" s="1"/>
      <c r="AZ1264" s="1"/>
      <c r="BA1264" s="1"/>
      <c r="BB1264" s="1"/>
      <c r="BC1264" s="1"/>
      <c r="BD1264" s="1"/>
      <c r="BE1264" s="1"/>
    </row>
    <row r="1265" spans="9:57" x14ac:dyDescent="0.25">
      <c r="I1265" s="1"/>
      <c r="J1265" s="1"/>
      <c r="K1265" s="1"/>
      <c r="L1265" s="1"/>
      <c r="M1265" s="1"/>
      <c r="N1265" s="1"/>
      <c r="O1265" s="1"/>
      <c r="P1265" s="1"/>
      <c r="Q1265" s="1"/>
      <c r="R1265" s="1332"/>
      <c r="S1265" s="1332"/>
      <c r="T1265" s="1332"/>
      <c r="U1265" s="1332"/>
      <c r="V1265" s="1332"/>
      <c r="W1265" s="1332"/>
      <c r="X1265" s="1332"/>
      <c r="Y1265" s="1332"/>
      <c r="Z1265" s="1332"/>
      <c r="AA1265" s="1332"/>
      <c r="AB1265" s="1332"/>
      <c r="AC1265" s="1332"/>
      <c r="AD1265" s="1332"/>
      <c r="AE1265" s="1"/>
      <c r="AF1265" s="1"/>
      <c r="AG1265" s="1"/>
      <c r="AH1265" s="1"/>
      <c r="AI1265" s="1"/>
      <c r="AJ1265" s="1"/>
      <c r="AK1265" s="1"/>
      <c r="AL1265" s="1"/>
      <c r="AM1265" s="1"/>
      <c r="AN1265" s="1"/>
      <c r="AO1265" s="1"/>
      <c r="AP1265" s="488"/>
      <c r="AQ1265" s="488"/>
      <c r="AR1265" s="1"/>
      <c r="AS1265" s="1"/>
      <c r="AT1265" s="1"/>
      <c r="AU1265" s="1"/>
      <c r="AV1265" s="1"/>
      <c r="AW1265" s="1"/>
      <c r="AX1265" s="488"/>
      <c r="AY1265" s="1"/>
      <c r="AZ1265" s="1"/>
      <c r="BA1265" s="1"/>
      <c r="BB1265" s="1"/>
      <c r="BC1265" s="1"/>
      <c r="BD1265" s="1"/>
      <c r="BE1265" s="1"/>
    </row>
    <row r="1266" spans="9:57" x14ac:dyDescent="0.25">
      <c r="I1266" s="1"/>
      <c r="J1266" s="1"/>
      <c r="K1266" s="1"/>
      <c r="L1266" s="1"/>
      <c r="M1266" s="1"/>
      <c r="N1266" s="1"/>
      <c r="O1266" s="1"/>
      <c r="P1266" s="1"/>
      <c r="Q1266" s="1"/>
      <c r="R1266" s="1332"/>
      <c r="S1266" s="1332"/>
      <c r="T1266" s="1332"/>
      <c r="U1266" s="1332"/>
      <c r="V1266" s="1332"/>
      <c r="W1266" s="1332"/>
      <c r="X1266" s="1332"/>
      <c r="Y1266" s="1332"/>
      <c r="Z1266" s="1332"/>
      <c r="AA1266" s="1332"/>
      <c r="AB1266" s="1332"/>
      <c r="AC1266" s="1332"/>
      <c r="AD1266" s="1332"/>
      <c r="AE1266" s="1"/>
      <c r="AF1266" s="1"/>
      <c r="AG1266" s="1"/>
      <c r="AH1266" s="1"/>
      <c r="AI1266" s="1"/>
      <c r="AJ1266" s="1"/>
      <c r="AK1266" s="1"/>
      <c r="AL1266" s="1"/>
      <c r="AM1266" s="1"/>
      <c r="AN1266" s="1"/>
      <c r="AO1266" s="1"/>
      <c r="AP1266" s="488"/>
      <c r="AQ1266" s="488"/>
      <c r="AR1266" s="1"/>
      <c r="AS1266" s="1"/>
      <c r="AT1266" s="1"/>
      <c r="AU1266" s="1"/>
      <c r="AV1266" s="1"/>
      <c r="AW1266" s="1"/>
      <c r="AX1266" s="488"/>
      <c r="AY1266" s="1"/>
      <c r="AZ1266" s="1"/>
      <c r="BA1266" s="1"/>
      <c r="BB1266" s="1"/>
      <c r="BC1266" s="1"/>
      <c r="BD1266" s="1"/>
      <c r="BE1266" s="1"/>
    </row>
    <row r="1267" spans="9:57" x14ac:dyDescent="0.25">
      <c r="I1267" s="1"/>
      <c r="J1267" s="1"/>
      <c r="K1267" s="1"/>
      <c r="L1267" s="1"/>
      <c r="M1267" s="1"/>
      <c r="N1267" s="1"/>
      <c r="O1267" s="1"/>
      <c r="P1267" s="1"/>
      <c r="Q1267" s="1"/>
      <c r="R1267" s="1332"/>
      <c r="S1267" s="1332"/>
      <c r="T1267" s="1332"/>
      <c r="U1267" s="1332"/>
      <c r="V1267" s="1332"/>
      <c r="W1267" s="1332"/>
      <c r="X1267" s="1332"/>
      <c r="Y1267" s="1332"/>
      <c r="Z1267" s="1332"/>
      <c r="AA1267" s="1332"/>
      <c r="AB1267" s="1332"/>
      <c r="AC1267" s="1332"/>
      <c r="AD1267" s="1332"/>
      <c r="AE1267" s="1"/>
      <c r="AF1267" s="1"/>
      <c r="AG1267" s="1"/>
      <c r="AH1267" s="1"/>
      <c r="AI1267" s="1"/>
      <c r="AJ1267" s="1"/>
      <c r="AK1267" s="1"/>
      <c r="AL1267" s="1"/>
      <c r="AM1267" s="1"/>
      <c r="AN1267" s="1"/>
      <c r="AO1267" s="1"/>
      <c r="AP1267" s="488"/>
      <c r="AQ1267" s="488"/>
      <c r="AR1267" s="1"/>
      <c r="AS1267" s="1"/>
      <c r="AT1267" s="1"/>
      <c r="AU1267" s="1"/>
      <c r="AV1267" s="1"/>
      <c r="AW1267" s="1"/>
      <c r="AX1267" s="488"/>
      <c r="AY1267" s="1"/>
      <c r="AZ1267" s="1"/>
      <c r="BA1267" s="1"/>
      <c r="BB1267" s="1"/>
      <c r="BC1267" s="1"/>
      <c r="BD1267" s="1"/>
      <c r="BE1267" s="1"/>
    </row>
    <row r="1268" spans="9:57" x14ac:dyDescent="0.25">
      <c r="I1268" s="1"/>
      <c r="J1268" s="1"/>
      <c r="K1268" s="1"/>
      <c r="L1268" s="1"/>
      <c r="M1268" s="1"/>
      <c r="N1268" s="1"/>
      <c r="O1268" s="1"/>
      <c r="P1268" s="1"/>
      <c r="Q1268" s="1"/>
      <c r="R1268" s="1332"/>
      <c r="S1268" s="1332"/>
      <c r="T1268" s="1332"/>
      <c r="U1268" s="1332"/>
      <c r="V1268" s="1332"/>
      <c r="W1268" s="1332"/>
      <c r="X1268" s="1332"/>
      <c r="Y1268" s="1332"/>
      <c r="Z1268" s="1332"/>
      <c r="AA1268" s="1332"/>
      <c r="AB1268" s="1332"/>
      <c r="AC1268" s="1332"/>
      <c r="AD1268" s="1332"/>
      <c r="AE1268" s="1"/>
      <c r="AF1268" s="1"/>
      <c r="AG1268" s="1"/>
      <c r="AH1268" s="1"/>
      <c r="AI1268" s="1"/>
      <c r="AJ1268" s="1"/>
      <c r="AK1268" s="1"/>
      <c r="AL1268" s="1"/>
      <c r="AM1268" s="1"/>
      <c r="AN1268" s="1"/>
      <c r="AO1268" s="1"/>
      <c r="AP1268" s="488"/>
      <c r="AQ1268" s="488"/>
      <c r="AR1268" s="1"/>
      <c r="AS1268" s="1"/>
      <c r="AT1268" s="1"/>
      <c r="AU1268" s="1"/>
      <c r="AV1268" s="1"/>
      <c r="AW1268" s="1"/>
      <c r="AX1268" s="488"/>
      <c r="AY1268" s="1"/>
      <c r="AZ1268" s="1"/>
      <c r="BA1268" s="1"/>
      <c r="BB1268" s="1"/>
      <c r="BC1268" s="1"/>
      <c r="BD1268" s="1"/>
      <c r="BE1268" s="1"/>
    </row>
    <row r="1269" spans="9:57" x14ac:dyDescent="0.25">
      <c r="I1269" s="1"/>
      <c r="J1269" s="1"/>
      <c r="K1269" s="1"/>
      <c r="L1269" s="1"/>
      <c r="M1269" s="1"/>
      <c r="N1269" s="1"/>
      <c r="O1269" s="1"/>
      <c r="P1269" s="1"/>
      <c r="Q1269" s="1"/>
      <c r="R1269" s="1332"/>
      <c r="S1269" s="1332"/>
      <c r="T1269" s="1332"/>
      <c r="U1269" s="1332"/>
      <c r="V1269" s="1332"/>
      <c r="W1269" s="1332"/>
      <c r="X1269" s="1332"/>
      <c r="Y1269" s="1332"/>
      <c r="Z1269" s="1332"/>
      <c r="AA1269" s="1332"/>
      <c r="AB1269" s="1332"/>
      <c r="AC1269" s="1332"/>
      <c r="AD1269" s="1332"/>
      <c r="AE1269" s="1"/>
      <c r="AF1269" s="1"/>
      <c r="AG1269" s="1"/>
      <c r="AH1269" s="1"/>
      <c r="AI1269" s="1"/>
      <c r="AJ1269" s="1"/>
      <c r="AK1269" s="1"/>
      <c r="AL1269" s="1"/>
      <c r="AM1269" s="1"/>
      <c r="AN1269" s="1"/>
      <c r="AO1269" s="1"/>
      <c r="AP1269" s="488"/>
      <c r="AQ1269" s="488"/>
      <c r="AR1269" s="1"/>
      <c r="AS1269" s="1"/>
      <c r="AT1269" s="1"/>
      <c r="AU1269" s="1"/>
      <c r="AV1269" s="1"/>
      <c r="AW1269" s="1"/>
      <c r="AX1269" s="488"/>
      <c r="AY1269" s="1"/>
      <c r="AZ1269" s="1"/>
      <c r="BA1269" s="1"/>
      <c r="BB1269" s="1"/>
      <c r="BC1269" s="1"/>
      <c r="BD1269" s="1"/>
      <c r="BE1269" s="1"/>
    </row>
    <row r="1270" spans="9:57" x14ac:dyDescent="0.25">
      <c r="I1270" s="1"/>
      <c r="J1270" s="1"/>
      <c r="K1270" s="1"/>
      <c r="L1270" s="1"/>
      <c r="M1270" s="1"/>
      <c r="N1270" s="1"/>
      <c r="O1270" s="1"/>
      <c r="P1270" s="1"/>
      <c r="Q1270" s="1"/>
      <c r="R1270" s="1332"/>
      <c r="S1270" s="1332"/>
      <c r="T1270" s="1332"/>
      <c r="U1270" s="1332"/>
      <c r="V1270" s="1332"/>
      <c r="W1270" s="1332"/>
      <c r="X1270" s="1332"/>
      <c r="Y1270" s="1332"/>
      <c r="Z1270" s="1332"/>
      <c r="AA1270" s="1332"/>
      <c r="AB1270" s="1332"/>
      <c r="AC1270" s="1332"/>
      <c r="AD1270" s="1332"/>
      <c r="AE1270" s="1"/>
      <c r="AF1270" s="1"/>
      <c r="AG1270" s="1"/>
      <c r="AH1270" s="1"/>
      <c r="AI1270" s="1"/>
      <c r="AJ1270" s="1"/>
      <c r="AK1270" s="1"/>
      <c r="AL1270" s="1"/>
      <c r="AM1270" s="1"/>
      <c r="AN1270" s="1"/>
      <c r="AO1270" s="1"/>
      <c r="AP1270" s="488"/>
      <c r="AQ1270" s="488"/>
      <c r="AR1270" s="1"/>
      <c r="AS1270" s="1"/>
      <c r="AT1270" s="1"/>
      <c r="AU1270" s="1"/>
      <c r="AV1270" s="1"/>
      <c r="AW1270" s="1"/>
      <c r="AX1270" s="488"/>
      <c r="AY1270" s="1"/>
      <c r="AZ1270" s="1"/>
      <c r="BA1270" s="1"/>
      <c r="BB1270" s="1"/>
      <c r="BC1270" s="1"/>
      <c r="BD1270" s="1"/>
      <c r="BE1270" s="1"/>
    </row>
    <row r="1271" spans="9:57" x14ac:dyDescent="0.25">
      <c r="I1271" s="1"/>
      <c r="J1271" s="1"/>
      <c r="K1271" s="1"/>
      <c r="L1271" s="1"/>
      <c r="M1271" s="1"/>
      <c r="N1271" s="1"/>
      <c r="O1271" s="1"/>
      <c r="P1271" s="1"/>
      <c r="Q1271" s="1"/>
      <c r="R1271" s="1332"/>
      <c r="S1271" s="1332"/>
      <c r="T1271" s="1332"/>
      <c r="U1271" s="1332"/>
      <c r="V1271" s="1332"/>
      <c r="W1271" s="1332"/>
      <c r="X1271" s="1332"/>
      <c r="Y1271" s="1332"/>
      <c r="Z1271" s="1332"/>
      <c r="AA1271" s="1332"/>
      <c r="AB1271" s="1332"/>
      <c r="AC1271" s="1332"/>
      <c r="AD1271" s="1332"/>
      <c r="AE1271" s="1"/>
      <c r="AF1271" s="1"/>
      <c r="AG1271" s="1"/>
      <c r="AH1271" s="1"/>
      <c r="AI1271" s="1"/>
      <c r="AJ1271" s="1"/>
      <c r="AK1271" s="1"/>
      <c r="AL1271" s="1"/>
      <c r="AM1271" s="1"/>
      <c r="AN1271" s="1"/>
      <c r="AO1271" s="1"/>
      <c r="AP1271" s="488"/>
      <c r="AQ1271" s="488"/>
      <c r="AR1271" s="1"/>
      <c r="AS1271" s="1"/>
      <c r="AT1271" s="1"/>
      <c r="AU1271" s="1"/>
      <c r="AV1271" s="1"/>
      <c r="AW1271" s="1"/>
      <c r="AX1271" s="488"/>
      <c r="AY1271" s="1"/>
      <c r="AZ1271" s="1"/>
      <c r="BA1271" s="1"/>
      <c r="BB1271" s="1"/>
      <c r="BC1271" s="1"/>
      <c r="BD1271" s="1"/>
      <c r="BE1271" s="1"/>
    </row>
    <row r="1272" spans="9:57" x14ac:dyDescent="0.25">
      <c r="I1272" s="1"/>
      <c r="J1272" s="1"/>
      <c r="K1272" s="1"/>
      <c r="L1272" s="1"/>
      <c r="M1272" s="1"/>
      <c r="N1272" s="1"/>
      <c r="O1272" s="1"/>
      <c r="P1272" s="1"/>
      <c r="Q1272" s="1"/>
      <c r="R1272" s="1332"/>
      <c r="S1272" s="1332"/>
      <c r="T1272" s="1332"/>
      <c r="U1272" s="1332"/>
      <c r="V1272" s="1332"/>
      <c r="W1272" s="1332"/>
      <c r="X1272" s="1332"/>
      <c r="Y1272" s="1332"/>
      <c r="Z1272" s="1332"/>
      <c r="AA1272" s="1332"/>
      <c r="AB1272" s="1332"/>
      <c r="AC1272" s="1332"/>
      <c r="AD1272" s="1332"/>
      <c r="AE1272" s="1"/>
      <c r="AF1272" s="1"/>
      <c r="AG1272" s="1"/>
      <c r="AH1272" s="1"/>
      <c r="AI1272" s="1"/>
      <c r="AJ1272" s="1"/>
      <c r="AK1272" s="1"/>
      <c r="AL1272" s="1"/>
      <c r="AM1272" s="1"/>
      <c r="AN1272" s="1"/>
      <c r="AO1272" s="1"/>
      <c r="AP1272" s="488"/>
      <c r="AQ1272" s="488"/>
      <c r="AR1272" s="1"/>
      <c r="AS1272" s="1"/>
      <c r="AT1272" s="1"/>
      <c r="AU1272" s="1"/>
      <c r="AV1272" s="1"/>
      <c r="AW1272" s="1"/>
      <c r="AX1272" s="488"/>
      <c r="AY1272" s="1"/>
      <c r="AZ1272" s="1"/>
      <c r="BA1272" s="1"/>
      <c r="BB1272" s="1"/>
      <c r="BC1272" s="1"/>
      <c r="BD1272" s="1"/>
      <c r="BE1272" s="1"/>
    </row>
    <row r="1273" spans="9:57" x14ac:dyDescent="0.25">
      <c r="I1273" s="1"/>
      <c r="J1273" s="1"/>
      <c r="K1273" s="1"/>
      <c r="L1273" s="1"/>
      <c r="M1273" s="1"/>
      <c r="N1273" s="1"/>
      <c r="O1273" s="1"/>
      <c r="P1273" s="1"/>
      <c r="Q1273" s="1"/>
      <c r="R1273" s="1332"/>
      <c r="S1273" s="1332"/>
      <c r="T1273" s="1332"/>
      <c r="U1273" s="1332"/>
      <c r="V1273" s="1332"/>
      <c r="W1273" s="1332"/>
      <c r="X1273" s="1332"/>
      <c r="Y1273" s="1332"/>
      <c r="Z1273" s="1332"/>
      <c r="AA1273" s="1332"/>
      <c r="AB1273" s="1332"/>
      <c r="AC1273" s="1332"/>
      <c r="AD1273" s="1332"/>
      <c r="AE1273" s="1"/>
      <c r="AF1273" s="1"/>
      <c r="AG1273" s="1"/>
      <c r="AH1273" s="1"/>
      <c r="AI1273" s="1"/>
      <c r="AJ1273" s="1"/>
      <c r="AK1273" s="1"/>
      <c r="AL1273" s="1"/>
      <c r="AM1273" s="1"/>
      <c r="AN1273" s="1"/>
      <c r="AO1273" s="1"/>
      <c r="AP1273" s="488"/>
      <c r="AQ1273" s="488"/>
      <c r="AR1273" s="1"/>
      <c r="AS1273" s="1"/>
      <c r="AT1273" s="1"/>
      <c r="AU1273" s="1"/>
      <c r="AV1273" s="1"/>
      <c r="AW1273" s="1"/>
      <c r="AX1273" s="488"/>
      <c r="AY1273" s="1"/>
      <c r="AZ1273" s="1"/>
      <c r="BA1273" s="1"/>
      <c r="BB1273" s="1"/>
      <c r="BC1273" s="1"/>
      <c r="BD1273" s="1"/>
      <c r="BE1273" s="1"/>
    </row>
    <row r="1274" spans="9:57" x14ac:dyDescent="0.25">
      <c r="I1274" s="1"/>
      <c r="J1274" s="1"/>
      <c r="K1274" s="1"/>
      <c r="L1274" s="1"/>
      <c r="M1274" s="1"/>
      <c r="N1274" s="1"/>
      <c r="O1274" s="1"/>
      <c r="P1274" s="1"/>
      <c r="Q1274" s="1"/>
      <c r="R1274" s="1332"/>
      <c r="S1274" s="1332"/>
      <c r="T1274" s="1332"/>
      <c r="U1274" s="1332"/>
      <c r="V1274" s="1332"/>
      <c r="W1274" s="1332"/>
      <c r="X1274" s="1332"/>
      <c r="Y1274" s="1332"/>
      <c r="Z1274" s="1332"/>
      <c r="AA1274" s="1332"/>
      <c r="AB1274" s="1332"/>
      <c r="AC1274" s="1332"/>
      <c r="AD1274" s="1332"/>
      <c r="AE1274" s="1"/>
      <c r="AF1274" s="1"/>
      <c r="AG1274" s="1"/>
      <c r="AH1274" s="1"/>
      <c r="AI1274" s="1"/>
      <c r="AJ1274" s="1"/>
      <c r="AK1274" s="1"/>
      <c r="AL1274" s="1"/>
      <c r="AM1274" s="1"/>
      <c r="AN1274" s="1"/>
      <c r="AO1274" s="1"/>
      <c r="AP1274" s="488"/>
      <c r="AQ1274" s="488"/>
      <c r="AR1274" s="1"/>
      <c r="AS1274" s="1"/>
      <c r="AT1274" s="1"/>
      <c r="AU1274" s="1"/>
      <c r="AV1274" s="1"/>
      <c r="AW1274" s="1"/>
      <c r="AX1274" s="488"/>
      <c r="AY1274" s="1"/>
      <c r="AZ1274" s="1"/>
      <c r="BA1274" s="1"/>
      <c r="BB1274" s="1"/>
      <c r="BC1274" s="1"/>
      <c r="BD1274" s="1"/>
      <c r="BE1274" s="1"/>
    </row>
    <row r="1275" spans="9:57" x14ac:dyDescent="0.25">
      <c r="I1275" s="1"/>
      <c r="J1275" s="1"/>
      <c r="K1275" s="1"/>
      <c r="L1275" s="1"/>
      <c r="M1275" s="1"/>
      <c r="N1275" s="1"/>
      <c r="O1275" s="1"/>
      <c r="P1275" s="1"/>
      <c r="Q1275" s="1"/>
      <c r="R1275" s="1332"/>
      <c r="S1275" s="1332"/>
      <c r="T1275" s="1332"/>
      <c r="U1275" s="1332"/>
      <c r="V1275" s="1332"/>
      <c r="W1275" s="1332"/>
      <c r="X1275" s="1332"/>
      <c r="Y1275" s="1332"/>
      <c r="Z1275" s="1332"/>
      <c r="AA1275" s="1332"/>
      <c r="AB1275" s="1332"/>
      <c r="AC1275" s="1332"/>
      <c r="AD1275" s="1332"/>
      <c r="AE1275" s="1"/>
      <c r="AF1275" s="1"/>
      <c r="AG1275" s="1"/>
      <c r="AH1275" s="1"/>
      <c r="AI1275" s="1"/>
      <c r="AJ1275" s="1"/>
      <c r="AK1275" s="1"/>
      <c r="AL1275" s="1"/>
      <c r="AM1275" s="1"/>
      <c r="AN1275" s="1"/>
      <c r="AO1275" s="1"/>
      <c r="AP1275" s="488"/>
      <c r="AQ1275" s="488"/>
      <c r="AR1275" s="1"/>
      <c r="AS1275" s="1"/>
      <c r="AT1275" s="1"/>
      <c r="AU1275" s="1"/>
      <c r="AV1275" s="1"/>
      <c r="AW1275" s="1"/>
      <c r="AX1275" s="488"/>
      <c r="AY1275" s="1"/>
      <c r="AZ1275" s="1"/>
      <c r="BA1275" s="1"/>
      <c r="BB1275" s="1"/>
      <c r="BC1275" s="1"/>
      <c r="BD1275" s="1"/>
      <c r="BE1275" s="1"/>
    </row>
    <row r="1276" spans="9:57" x14ac:dyDescent="0.25">
      <c r="I1276" s="1"/>
      <c r="J1276" s="1"/>
      <c r="K1276" s="1"/>
      <c r="L1276" s="1"/>
      <c r="M1276" s="1"/>
      <c r="N1276" s="1"/>
      <c r="O1276" s="1"/>
      <c r="P1276" s="1"/>
      <c r="Q1276" s="1"/>
      <c r="R1276" s="1332"/>
      <c r="S1276" s="1332"/>
      <c r="T1276" s="1332"/>
      <c r="U1276" s="1332"/>
      <c r="V1276" s="1332"/>
      <c r="W1276" s="1332"/>
      <c r="X1276" s="1332"/>
      <c r="Y1276" s="1332"/>
      <c r="Z1276" s="1332"/>
      <c r="AA1276" s="1332"/>
      <c r="AB1276" s="1332"/>
      <c r="AC1276" s="1332"/>
      <c r="AD1276" s="1332"/>
      <c r="AE1276" s="1"/>
      <c r="AF1276" s="1"/>
      <c r="AG1276" s="1"/>
      <c r="AH1276" s="1"/>
      <c r="AI1276" s="1"/>
      <c r="AJ1276" s="1"/>
      <c r="AK1276" s="1"/>
      <c r="AL1276" s="1"/>
      <c r="AM1276" s="1"/>
      <c r="AN1276" s="1"/>
      <c r="AO1276" s="1"/>
      <c r="AP1276" s="488"/>
      <c r="AQ1276" s="488"/>
      <c r="AR1276" s="1"/>
      <c r="AS1276" s="1"/>
      <c r="AT1276" s="1"/>
      <c r="AU1276" s="1"/>
      <c r="AV1276" s="1"/>
      <c r="AW1276" s="1"/>
      <c r="AX1276" s="488"/>
      <c r="AY1276" s="1"/>
      <c r="AZ1276" s="1"/>
      <c r="BA1276" s="1"/>
      <c r="BB1276" s="1"/>
      <c r="BC1276" s="1"/>
      <c r="BD1276" s="1"/>
      <c r="BE1276" s="1"/>
    </row>
    <row r="1277" spans="9:57" x14ac:dyDescent="0.25">
      <c r="I1277" s="1"/>
      <c r="J1277" s="1"/>
      <c r="K1277" s="1"/>
      <c r="L1277" s="1"/>
      <c r="M1277" s="1"/>
      <c r="N1277" s="1"/>
      <c r="O1277" s="1"/>
      <c r="P1277" s="1"/>
      <c r="Q1277" s="1"/>
      <c r="R1277" s="1332"/>
      <c r="S1277" s="1332"/>
      <c r="T1277" s="1332"/>
      <c r="U1277" s="1332"/>
      <c r="V1277" s="1332"/>
      <c r="W1277" s="1332"/>
      <c r="X1277" s="1332"/>
      <c r="Y1277" s="1332"/>
      <c r="Z1277" s="1332"/>
      <c r="AA1277" s="1332"/>
      <c r="AB1277" s="1332"/>
      <c r="AC1277" s="1332"/>
      <c r="AD1277" s="1332"/>
      <c r="AE1277" s="1"/>
      <c r="AF1277" s="1"/>
      <c r="AG1277" s="1"/>
      <c r="AH1277" s="1"/>
      <c r="AI1277" s="1"/>
      <c r="AJ1277" s="1"/>
      <c r="AK1277" s="1"/>
      <c r="AL1277" s="1"/>
      <c r="AM1277" s="1"/>
      <c r="AN1277" s="1"/>
      <c r="AO1277" s="1"/>
      <c r="AP1277" s="488"/>
      <c r="AQ1277" s="488"/>
      <c r="AR1277" s="1"/>
      <c r="AS1277" s="1"/>
      <c r="AT1277" s="1"/>
      <c r="AU1277" s="1"/>
      <c r="AV1277" s="1"/>
      <c r="AW1277" s="1"/>
      <c r="AX1277" s="488"/>
      <c r="AY1277" s="1"/>
      <c r="AZ1277" s="1"/>
      <c r="BA1277" s="1"/>
      <c r="BB1277" s="1"/>
      <c r="BC1277" s="1"/>
      <c r="BD1277" s="1"/>
      <c r="BE1277" s="1"/>
    </row>
    <row r="1278" spans="9:57" x14ac:dyDescent="0.25">
      <c r="I1278" s="1"/>
      <c r="J1278" s="1"/>
      <c r="K1278" s="1"/>
      <c r="L1278" s="1"/>
      <c r="M1278" s="1"/>
      <c r="N1278" s="1"/>
      <c r="O1278" s="1"/>
      <c r="P1278" s="1"/>
      <c r="Q1278" s="1"/>
      <c r="R1278" s="1332"/>
      <c r="S1278" s="1332"/>
      <c r="T1278" s="1332"/>
      <c r="U1278" s="1332"/>
      <c r="V1278" s="1332"/>
      <c r="W1278" s="1332"/>
      <c r="X1278" s="1332"/>
      <c r="Y1278" s="1332"/>
      <c r="Z1278" s="1332"/>
      <c r="AA1278" s="1332"/>
      <c r="AB1278" s="1332"/>
      <c r="AC1278" s="1332"/>
      <c r="AD1278" s="1332"/>
      <c r="AE1278" s="1"/>
      <c r="AF1278" s="1"/>
      <c r="AG1278" s="1"/>
      <c r="AH1278" s="1"/>
      <c r="AI1278" s="1"/>
      <c r="AJ1278" s="1"/>
      <c r="AK1278" s="1"/>
      <c r="AL1278" s="1"/>
      <c r="AM1278" s="1"/>
      <c r="AN1278" s="1"/>
      <c r="AO1278" s="1"/>
      <c r="AP1278" s="488"/>
      <c r="AQ1278" s="488"/>
      <c r="AR1278" s="1"/>
      <c r="AS1278" s="1"/>
      <c r="AT1278" s="1"/>
      <c r="AU1278" s="1"/>
      <c r="AV1278" s="1"/>
      <c r="AW1278" s="1"/>
      <c r="AX1278" s="488"/>
      <c r="AY1278" s="1"/>
      <c r="AZ1278" s="1"/>
      <c r="BA1278" s="1"/>
      <c r="BB1278" s="1"/>
      <c r="BC1278" s="1"/>
      <c r="BD1278" s="1"/>
      <c r="BE1278" s="1"/>
    </row>
    <row r="1279" spans="9:57" x14ac:dyDescent="0.25">
      <c r="I1279" s="1"/>
      <c r="J1279" s="1"/>
      <c r="K1279" s="1"/>
      <c r="L1279" s="1"/>
      <c r="M1279" s="1"/>
      <c r="N1279" s="1"/>
      <c r="O1279" s="1"/>
      <c r="P1279" s="1"/>
      <c r="Q1279" s="1"/>
      <c r="R1279" s="1332"/>
      <c r="S1279" s="1332"/>
      <c r="T1279" s="1332"/>
      <c r="U1279" s="1332"/>
      <c r="V1279" s="1332"/>
      <c r="W1279" s="1332"/>
      <c r="X1279" s="1332"/>
      <c r="Y1279" s="1332"/>
      <c r="Z1279" s="1332"/>
      <c r="AA1279" s="1332"/>
      <c r="AB1279" s="1332"/>
      <c r="AC1279" s="1332"/>
      <c r="AD1279" s="1332"/>
      <c r="AE1279" s="1"/>
      <c r="AF1279" s="1"/>
      <c r="AG1279" s="1"/>
      <c r="AH1279" s="1"/>
      <c r="AI1279" s="1"/>
      <c r="AJ1279" s="1"/>
      <c r="AK1279" s="1"/>
      <c r="AL1279" s="1"/>
      <c r="AM1279" s="1"/>
      <c r="AN1279" s="1"/>
      <c r="AO1279" s="1"/>
      <c r="AP1279" s="488"/>
      <c r="AQ1279" s="488"/>
      <c r="AR1279" s="1"/>
      <c r="AS1279" s="1"/>
      <c r="AT1279" s="1"/>
      <c r="AU1279" s="1"/>
      <c r="AV1279" s="1"/>
      <c r="AW1279" s="1"/>
      <c r="AX1279" s="488"/>
      <c r="AY1279" s="1"/>
      <c r="AZ1279" s="1"/>
      <c r="BA1279" s="1"/>
      <c r="BB1279" s="1"/>
      <c r="BC1279" s="1"/>
      <c r="BD1279" s="1"/>
      <c r="BE1279" s="1"/>
    </row>
    <row r="1280" spans="9:57" x14ac:dyDescent="0.25">
      <c r="I1280" s="1"/>
      <c r="J1280" s="1"/>
      <c r="K1280" s="1"/>
      <c r="L1280" s="1"/>
      <c r="M1280" s="1"/>
      <c r="N1280" s="1"/>
      <c r="O1280" s="1"/>
      <c r="P1280" s="1"/>
      <c r="Q1280" s="1"/>
      <c r="R1280" s="1332"/>
      <c r="S1280" s="1332"/>
      <c r="T1280" s="1332"/>
      <c r="U1280" s="1332"/>
      <c r="V1280" s="1332"/>
      <c r="W1280" s="1332"/>
      <c r="X1280" s="1332"/>
      <c r="Y1280" s="1332"/>
      <c r="Z1280" s="1332"/>
      <c r="AA1280" s="1332"/>
      <c r="AB1280" s="1332"/>
      <c r="AC1280" s="1332"/>
      <c r="AD1280" s="1332"/>
      <c r="AE1280" s="1"/>
      <c r="AF1280" s="1"/>
      <c r="AG1280" s="1"/>
      <c r="AH1280" s="1"/>
      <c r="AI1280" s="1"/>
      <c r="AJ1280" s="1"/>
      <c r="AK1280" s="1"/>
      <c r="AL1280" s="1"/>
      <c r="AM1280" s="1"/>
      <c r="AN1280" s="1"/>
      <c r="AO1280" s="1"/>
      <c r="AP1280" s="488"/>
      <c r="AQ1280" s="488"/>
      <c r="AR1280" s="1"/>
      <c r="AS1280" s="1"/>
      <c r="AT1280" s="1"/>
      <c r="AU1280" s="1"/>
      <c r="AV1280" s="1"/>
      <c r="AW1280" s="1"/>
      <c r="AX1280" s="488"/>
      <c r="AY1280" s="1"/>
      <c r="AZ1280" s="1"/>
      <c r="BA1280" s="1"/>
      <c r="BB1280" s="1"/>
      <c r="BC1280" s="1"/>
      <c r="BD1280" s="1"/>
      <c r="BE1280" s="1"/>
    </row>
    <row r="1281" spans="9:57" x14ac:dyDescent="0.25">
      <c r="I1281" s="1"/>
      <c r="J1281" s="1"/>
      <c r="K1281" s="1"/>
      <c r="L1281" s="1"/>
      <c r="M1281" s="1"/>
      <c r="N1281" s="1"/>
      <c r="O1281" s="1"/>
      <c r="P1281" s="1"/>
      <c r="Q1281" s="1"/>
      <c r="R1281" s="1332"/>
      <c r="S1281" s="1332"/>
      <c r="T1281" s="1332"/>
      <c r="U1281" s="1332"/>
      <c r="V1281" s="1332"/>
      <c r="W1281" s="1332"/>
      <c r="X1281" s="1332"/>
      <c r="Y1281" s="1332"/>
      <c r="Z1281" s="1332"/>
      <c r="AA1281" s="1332"/>
      <c r="AB1281" s="1332"/>
      <c r="AC1281" s="1332"/>
      <c r="AD1281" s="1332"/>
      <c r="AE1281" s="1"/>
      <c r="AF1281" s="1"/>
      <c r="AG1281" s="1"/>
      <c r="AH1281" s="1"/>
      <c r="AI1281" s="1"/>
      <c r="AJ1281" s="1"/>
      <c r="AK1281" s="1"/>
      <c r="AL1281" s="1"/>
      <c r="AM1281" s="1"/>
      <c r="AN1281" s="1"/>
      <c r="AO1281" s="1"/>
      <c r="AP1281" s="488"/>
      <c r="AQ1281" s="488"/>
      <c r="AR1281" s="1"/>
      <c r="AS1281" s="1"/>
      <c r="AT1281" s="1"/>
      <c r="AU1281" s="1"/>
      <c r="AV1281" s="1"/>
      <c r="AW1281" s="1"/>
      <c r="AX1281" s="488"/>
      <c r="AY1281" s="1"/>
      <c r="AZ1281" s="1"/>
      <c r="BA1281" s="1"/>
      <c r="BB1281" s="1"/>
      <c r="BC1281" s="1"/>
      <c r="BD1281" s="1"/>
      <c r="BE1281" s="1"/>
    </row>
    <row r="1282" spans="9:57" x14ac:dyDescent="0.25">
      <c r="I1282" s="1"/>
      <c r="J1282" s="1"/>
      <c r="K1282" s="1"/>
      <c r="L1282" s="1"/>
      <c r="M1282" s="1"/>
      <c r="N1282" s="1"/>
      <c r="O1282" s="1"/>
      <c r="P1282" s="1"/>
      <c r="Q1282" s="1"/>
      <c r="R1282" s="1332"/>
      <c r="S1282" s="1332"/>
      <c r="T1282" s="1332"/>
      <c r="U1282" s="1332"/>
      <c r="V1282" s="1332"/>
      <c r="W1282" s="1332"/>
      <c r="X1282" s="1332"/>
      <c r="Y1282" s="1332"/>
      <c r="Z1282" s="1332"/>
      <c r="AA1282" s="1332"/>
      <c r="AB1282" s="1332"/>
      <c r="AC1282" s="1332"/>
      <c r="AD1282" s="1332"/>
      <c r="AE1282" s="1"/>
      <c r="AF1282" s="1"/>
      <c r="AG1282" s="1"/>
      <c r="AH1282" s="1"/>
      <c r="AI1282" s="1"/>
      <c r="AJ1282" s="1"/>
      <c r="AK1282" s="1"/>
      <c r="AL1282" s="1"/>
      <c r="AM1282" s="1"/>
      <c r="AN1282" s="1"/>
      <c r="AO1282" s="1"/>
      <c r="AP1282" s="488"/>
      <c r="AQ1282" s="488"/>
      <c r="AR1282" s="1"/>
      <c r="AS1282" s="1"/>
      <c r="AT1282" s="1"/>
      <c r="AU1282" s="1"/>
      <c r="AV1282" s="1"/>
      <c r="AW1282" s="1"/>
      <c r="AX1282" s="488"/>
      <c r="AY1282" s="1"/>
      <c r="AZ1282" s="1"/>
      <c r="BA1282" s="1"/>
      <c r="BB1282" s="1"/>
      <c r="BC1282" s="1"/>
      <c r="BD1282" s="1"/>
      <c r="BE1282" s="1"/>
    </row>
    <row r="1283" spans="9:57" x14ac:dyDescent="0.25">
      <c r="I1283" s="1"/>
      <c r="J1283" s="1"/>
      <c r="K1283" s="1"/>
      <c r="L1283" s="1"/>
      <c r="M1283" s="1"/>
      <c r="N1283" s="1"/>
      <c r="O1283" s="1"/>
      <c r="P1283" s="1"/>
      <c r="Q1283" s="1"/>
      <c r="R1283" s="1332"/>
      <c r="S1283" s="1332"/>
      <c r="T1283" s="1332"/>
      <c r="U1283" s="1332"/>
      <c r="V1283" s="1332"/>
      <c r="W1283" s="1332"/>
      <c r="X1283" s="1332"/>
      <c r="Y1283" s="1332"/>
      <c r="Z1283" s="1332"/>
      <c r="AA1283" s="1332"/>
      <c r="AB1283" s="1332"/>
      <c r="AC1283" s="1332"/>
      <c r="AD1283" s="1332"/>
      <c r="AE1283" s="1"/>
      <c r="AF1283" s="1"/>
      <c r="AG1283" s="1"/>
      <c r="AH1283" s="1"/>
      <c r="AI1283" s="1"/>
      <c r="AJ1283" s="1"/>
      <c r="AK1283" s="1"/>
      <c r="AL1283" s="1"/>
      <c r="AM1283" s="1"/>
      <c r="AN1283" s="1"/>
      <c r="AO1283" s="1"/>
      <c r="AP1283" s="488"/>
      <c r="AQ1283" s="488"/>
      <c r="AR1283" s="1"/>
      <c r="AS1283" s="1"/>
      <c r="AT1283" s="1"/>
      <c r="AU1283" s="1"/>
      <c r="AV1283" s="1"/>
      <c r="AW1283" s="1"/>
      <c r="AX1283" s="488"/>
      <c r="AY1283" s="1"/>
      <c r="AZ1283" s="1"/>
      <c r="BA1283" s="1"/>
      <c r="BB1283" s="1"/>
      <c r="BC1283" s="1"/>
      <c r="BD1283" s="1"/>
      <c r="BE1283" s="1"/>
    </row>
    <row r="1284" spans="9:57" x14ac:dyDescent="0.25">
      <c r="I1284" s="1"/>
      <c r="J1284" s="1"/>
      <c r="K1284" s="1"/>
      <c r="L1284" s="1"/>
      <c r="M1284" s="1"/>
      <c r="N1284" s="1"/>
      <c r="O1284" s="1"/>
      <c r="P1284" s="1"/>
      <c r="Q1284" s="1"/>
      <c r="R1284" s="1332"/>
      <c r="S1284" s="1332"/>
      <c r="T1284" s="1332"/>
      <c r="U1284" s="1332"/>
      <c r="V1284" s="1332"/>
      <c r="W1284" s="1332"/>
      <c r="X1284" s="1332"/>
      <c r="Y1284" s="1332"/>
      <c r="Z1284" s="1332"/>
      <c r="AA1284" s="1332"/>
      <c r="AB1284" s="1332"/>
      <c r="AC1284" s="1332"/>
      <c r="AD1284" s="1332"/>
      <c r="AE1284" s="1"/>
      <c r="AF1284" s="1"/>
      <c r="AG1284" s="1"/>
      <c r="AH1284" s="1"/>
      <c r="AI1284" s="1"/>
      <c r="AJ1284" s="1"/>
      <c r="AK1284" s="1"/>
      <c r="AL1284" s="1"/>
      <c r="AM1284" s="1"/>
      <c r="AN1284" s="1"/>
      <c r="AO1284" s="1"/>
      <c r="AP1284" s="488"/>
      <c r="AQ1284" s="488"/>
      <c r="AR1284" s="1"/>
      <c r="AS1284" s="1"/>
      <c r="AT1284" s="1"/>
      <c r="AU1284" s="1"/>
      <c r="AV1284" s="1"/>
      <c r="AW1284" s="1"/>
      <c r="AX1284" s="488"/>
      <c r="AY1284" s="1"/>
      <c r="AZ1284" s="1"/>
      <c r="BA1284" s="1"/>
      <c r="BB1284" s="1"/>
      <c r="BC1284" s="1"/>
      <c r="BD1284" s="1"/>
      <c r="BE1284" s="1"/>
    </row>
    <row r="1285" spans="9:57" x14ac:dyDescent="0.25">
      <c r="I1285" s="1"/>
      <c r="J1285" s="1"/>
      <c r="K1285" s="1"/>
      <c r="L1285" s="1"/>
      <c r="M1285" s="1"/>
      <c r="N1285" s="1"/>
      <c r="O1285" s="1"/>
      <c r="P1285" s="1"/>
      <c r="Q1285" s="1"/>
      <c r="R1285" s="1332"/>
      <c r="S1285" s="1332"/>
      <c r="T1285" s="1332"/>
      <c r="U1285" s="1332"/>
      <c r="V1285" s="1332"/>
      <c r="W1285" s="1332"/>
      <c r="X1285" s="1332"/>
      <c r="Y1285" s="1332"/>
      <c r="Z1285" s="1332"/>
      <c r="AA1285" s="1332"/>
      <c r="AB1285" s="1332"/>
      <c r="AC1285" s="1332"/>
      <c r="AD1285" s="1332"/>
      <c r="AE1285" s="1"/>
      <c r="AF1285" s="1"/>
      <c r="AG1285" s="1"/>
      <c r="AH1285" s="1"/>
      <c r="AI1285" s="1"/>
      <c r="AJ1285" s="1"/>
      <c r="AK1285" s="1"/>
      <c r="AL1285" s="1"/>
      <c r="AM1285" s="1"/>
      <c r="AN1285" s="1"/>
      <c r="AO1285" s="1"/>
      <c r="AP1285" s="488"/>
      <c r="AQ1285" s="488"/>
      <c r="AR1285" s="1"/>
      <c r="AS1285" s="1"/>
      <c r="AT1285" s="1"/>
      <c r="AU1285" s="1"/>
      <c r="AV1285" s="1"/>
      <c r="AW1285" s="1"/>
      <c r="AX1285" s="488"/>
      <c r="AY1285" s="1"/>
      <c r="AZ1285" s="1"/>
      <c r="BA1285" s="1"/>
      <c r="BB1285" s="1"/>
      <c r="BC1285" s="1"/>
      <c r="BD1285" s="1"/>
      <c r="BE1285" s="1"/>
    </row>
    <row r="1286" spans="9:57" x14ac:dyDescent="0.25">
      <c r="I1286" s="1"/>
      <c r="J1286" s="1"/>
      <c r="K1286" s="1"/>
      <c r="L1286" s="1"/>
      <c r="M1286" s="1"/>
      <c r="N1286" s="1"/>
      <c r="O1286" s="1"/>
      <c r="P1286" s="1"/>
      <c r="Q1286" s="1"/>
      <c r="R1286" s="1332"/>
      <c r="S1286" s="1332"/>
      <c r="T1286" s="1332"/>
      <c r="U1286" s="1332"/>
      <c r="V1286" s="1332"/>
      <c r="W1286" s="1332"/>
      <c r="X1286" s="1332"/>
      <c r="Y1286" s="1332"/>
      <c r="Z1286" s="1332"/>
      <c r="AA1286" s="1332"/>
      <c r="AB1286" s="1332"/>
      <c r="AC1286" s="1332"/>
      <c r="AD1286" s="1332"/>
      <c r="AE1286" s="1"/>
      <c r="AF1286" s="1"/>
      <c r="AG1286" s="1"/>
      <c r="AH1286" s="1"/>
      <c r="AI1286" s="1"/>
      <c r="AJ1286" s="1"/>
      <c r="AK1286" s="1"/>
      <c r="AL1286" s="1"/>
      <c r="AM1286" s="1"/>
      <c r="AN1286" s="1"/>
      <c r="AO1286" s="1"/>
      <c r="AP1286" s="488"/>
      <c r="AQ1286" s="488"/>
      <c r="AR1286" s="1"/>
      <c r="AS1286" s="1"/>
      <c r="AT1286" s="1"/>
      <c r="AU1286" s="1"/>
      <c r="AV1286" s="1"/>
      <c r="AW1286" s="1"/>
      <c r="AX1286" s="488"/>
      <c r="AY1286" s="1"/>
      <c r="AZ1286" s="1"/>
      <c r="BA1286" s="1"/>
      <c r="BB1286" s="1"/>
      <c r="BC1286" s="1"/>
      <c r="BD1286" s="1"/>
      <c r="BE1286" s="1"/>
    </row>
    <row r="1287" spans="9:57" x14ac:dyDescent="0.25">
      <c r="I1287" s="1"/>
      <c r="J1287" s="1"/>
      <c r="K1287" s="1"/>
      <c r="L1287" s="1"/>
      <c r="M1287" s="1"/>
      <c r="N1287" s="1"/>
      <c r="O1287" s="1"/>
      <c r="P1287" s="1"/>
      <c r="Q1287" s="1"/>
      <c r="R1287" s="1332"/>
      <c r="S1287" s="1332"/>
      <c r="T1287" s="1332"/>
      <c r="U1287" s="1332"/>
      <c r="V1287" s="1332"/>
      <c r="W1287" s="1332"/>
      <c r="X1287" s="1332"/>
      <c r="Y1287" s="1332"/>
      <c r="Z1287" s="1332"/>
      <c r="AA1287" s="1332"/>
      <c r="AB1287" s="1332"/>
      <c r="AC1287" s="1332"/>
      <c r="AD1287" s="1332"/>
      <c r="AE1287" s="1"/>
      <c r="AF1287" s="1"/>
      <c r="AG1287" s="1"/>
      <c r="AH1287" s="1"/>
      <c r="AI1287" s="1"/>
      <c r="AJ1287" s="1"/>
      <c r="AK1287" s="1"/>
      <c r="AL1287" s="1"/>
      <c r="AM1287" s="1"/>
      <c r="AN1287" s="1"/>
      <c r="AO1287" s="1"/>
      <c r="AP1287" s="488"/>
      <c r="AQ1287" s="488"/>
      <c r="AR1287" s="1"/>
      <c r="AS1287" s="1"/>
      <c r="AT1287" s="1"/>
      <c r="AU1287" s="1"/>
      <c r="AV1287" s="1"/>
      <c r="AW1287" s="1"/>
      <c r="AX1287" s="488"/>
      <c r="AY1287" s="1"/>
      <c r="AZ1287" s="1"/>
      <c r="BA1287" s="1"/>
      <c r="BB1287" s="1"/>
      <c r="BC1287" s="1"/>
      <c r="BD1287" s="1"/>
      <c r="BE1287" s="1"/>
    </row>
    <row r="1288" spans="9:57" x14ac:dyDescent="0.25">
      <c r="I1288" s="1"/>
      <c r="J1288" s="1"/>
      <c r="K1288" s="1"/>
      <c r="L1288" s="1"/>
      <c r="M1288" s="1"/>
      <c r="N1288" s="1"/>
      <c r="O1288" s="1"/>
      <c r="P1288" s="1"/>
      <c r="Q1288" s="1"/>
      <c r="R1288" s="1332"/>
      <c r="S1288" s="1332"/>
      <c r="T1288" s="1332"/>
      <c r="U1288" s="1332"/>
      <c r="V1288" s="1332"/>
      <c r="W1288" s="1332"/>
      <c r="X1288" s="1332"/>
      <c r="Y1288" s="1332"/>
      <c r="Z1288" s="1332"/>
      <c r="AA1288" s="1332"/>
      <c r="AB1288" s="1332"/>
      <c r="AC1288" s="1332"/>
      <c r="AD1288" s="1332"/>
      <c r="AE1288" s="1"/>
      <c r="AF1288" s="1"/>
      <c r="AG1288" s="1"/>
      <c r="AH1288" s="1"/>
      <c r="AI1288" s="1"/>
      <c r="AJ1288" s="1"/>
      <c r="AK1288" s="1"/>
      <c r="AL1288" s="1"/>
      <c r="AM1288" s="1"/>
      <c r="AN1288" s="1"/>
      <c r="AO1288" s="1"/>
      <c r="AP1288" s="488"/>
      <c r="AQ1288" s="488"/>
      <c r="AR1288" s="1"/>
      <c r="AS1288" s="1"/>
      <c r="AT1288" s="1"/>
      <c r="AU1288" s="1"/>
      <c r="AV1288" s="1"/>
      <c r="AW1288" s="1"/>
      <c r="AX1288" s="488"/>
      <c r="AY1288" s="1"/>
      <c r="AZ1288" s="1"/>
      <c r="BA1288" s="1"/>
      <c r="BB1288" s="1"/>
      <c r="BC1288" s="1"/>
      <c r="BD1288" s="1"/>
      <c r="BE1288" s="1"/>
    </row>
    <row r="1289" spans="9:57" x14ac:dyDescent="0.25">
      <c r="I1289" s="1"/>
      <c r="J1289" s="1"/>
      <c r="K1289" s="1"/>
      <c r="L1289" s="1"/>
      <c r="M1289" s="1"/>
      <c r="N1289" s="1"/>
      <c r="O1289" s="1"/>
      <c r="P1289" s="1"/>
      <c r="Q1289" s="1"/>
      <c r="R1289" s="1332"/>
      <c r="S1289" s="1332"/>
      <c r="T1289" s="1332"/>
      <c r="U1289" s="1332"/>
      <c r="V1289" s="1332"/>
      <c r="W1289" s="1332"/>
      <c r="X1289" s="1332"/>
      <c r="Y1289" s="1332"/>
      <c r="Z1289" s="1332"/>
      <c r="AA1289" s="1332"/>
      <c r="AB1289" s="1332"/>
      <c r="AC1289" s="1332"/>
      <c r="AD1289" s="1332"/>
      <c r="AE1289" s="1"/>
      <c r="AF1289" s="1"/>
      <c r="AG1289" s="1"/>
      <c r="AH1289" s="1"/>
      <c r="AI1289" s="1"/>
      <c r="AJ1289" s="1"/>
      <c r="AK1289" s="1"/>
      <c r="AL1289" s="1"/>
      <c r="AM1289" s="1"/>
      <c r="AN1289" s="1"/>
      <c r="AO1289" s="1"/>
      <c r="AP1289" s="488"/>
      <c r="AQ1289" s="488"/>
      <c r="AR1289" s="1"/>
      <c r="AS1289" s="1"/>
      <c r="AT1289" s="1"/>
      <c r="AU1289" s="1"/>
      <c r="AV1289" s="1"/>
      <c r="AW1289" s="1"/>
      <c r="AX1289" s="488"/>
      <c r="AY1289" s="1"/>
      <c r="AZ1289" s="1"/>
      <c r="BA1289" s="1"/>
      <c r="BB1289" s="1"/>
      <c r="BC1289" s="1"/>
      <c r="BD1289" s="1"/>
      <c r="BE1289" s="1"/>
    </row>
    <row r="1290" spans="9:57" x14ac:dyDescent="0.25">
      <c r="I1290" s="1"/>
      <c r="J1290" s="1"/>
      <c r="K1290" s="1"/>
      <c r="L1290" s="1"/>
      <c r="M1290" s="1"/>
      <c r="N1290" s="1"/>
      <c r="O1290" s="1"/>
      <c r="P1290" s="1"/>
      <c r="Q1290" s="1"/>
      <c r="R1290" s="1332"/>
      <c r="S1290" s="1332"/>
      <c r="T1290" s="1332"/>
      <c r="U1290" s="1332"/>
      <c r="V1290" s="1332"/>
      <c r="W1290" s="1332"/>
      <c r="X1290" s="1332"/>
      <c r="Y1290" s="1332"/>
      <c r="Z1290" s="1332"/>
      <c r="AA1290" s="1332"/>
      <c r="AB1290" s="1332"/>
      <c r="AC1290" s="1332"/>
      <c r="AD1290" s="1332"/>
      <c r="AE1290" s="1"/>
      <c r="AF1290" s="1"/>
      <c r="AG1290" s="1"/>
      <c r="AH1290" s="1"/>
      <c r="AI1290" s="1"/>
      <c r="AJ1290" s="1"/>
      <c r="AK1290" s="1"/>
      <c r="AL1290" s="1"/>
      <c r="AM1290" s="1"/>
      <c r="AN1290" s="1"/>
      <c r="AO1290" s="1"/>
      <c r="AP1290" s="488"/>
      <c r="AQ1290" s="488"/>
      <c r="AR1290" s="1"/>
      <c r="AS1290" s="1"/>
      <c r="AT1290" s="1"/>
      <c r="AU1290" s="1"/>
      <c r="AV1290" s="1"/>
      <c r="AW1290" s="1"/>
      <c r="AX1290" s="488"/>
      <c r="AY1290" s="1"/>
      <c r="AZ1290" s="1"/>
      <c r="BA1290" s="1"/>
      <c r="BB1290" s="1"/>
      <c r="BC1290" s="1"/>
      <c r="BD1290" s="1"/>
      <c r="BE1290" s="1"/>
    </row>
    <row r="1291" spans="9:57" x14ac:dyDescent="0.25">
      <c r="I1291" s="1"/>
      <c r="J1291" s="1"/>
      <c r="K1291" s="1"/>
      <c r="L1291" s="1"/>
      <c r="M1291" s="1"/>
      <c r="N1291" s="1"/>
      <c r="O1291" s="1"/>
      <c r="P1291" s="1"/>
      <c r="Q1291" s="1"/>
      <c r="R1291" s="1332"/>
      <c r="S1291" s="1332"/>
      <c r="T1291" s="1332"/>
      <c r="U1291" s="1332"/>
      <c r="V1291" s="1332"/>
      <c r="W1291" s="1332"/>
      <c r="X1291" s="1332"/>
      <c r="Y1291" s="1332"/>
      <c r="Z1291" s="1332"/>
      <c r="AA1291" s="1332"/>
      <c r="AB1291" s="1332"/>
      <c r="AC1291" s="1332"/>
      <c r="AD1291" s="1332"/>
      <c r="AE1291" s="1"/>
      <c r="AF1291" s="1"/>
      <c r="AG1291" s="1"/>
      <c r="AH1291" s="1"/>
      <c r="AI1291" s="1"/>
      <c r="AJ1291" s="1"/>
      <c r="AK1291" s="1"/>
      <c r="AL1291" s="1"/>
      <c r="AM1291" s="1"/>
      <c r="AN1291" s="1"/>
      <c r="AO1291" s="1"/>
      <c r="AP1291" s="488"/>
      <c r="AQ1291" s="488"/>
      <c r="AR1291" s="1"/>
      <c r="AS1291" s="1"/>
      <c r="AT1291" s="1"/>
      <c r="AU1291" s="1"/>
      <c r="AV1291" s="1"/>
      <c r="AW1291" s="1"/>
      <c r="AX1291" s="488"/>
      <c r="AY1291" s="1"/>
      <c r="AZ1291" s="1"/>
      <c r="BA1291" s="1"/>
      <c r="BB1291" s="1"/>
      <c r="BC1291" s="1"/>
      <c r="BD1291" s="1"/>
      <c r="BE1291" s="1"/>
    </row>
    <row r="1292" spans="9:57" x14ac:dyDescent="0.25">
      <c r="I1292" s="1"/>
      <c r="J1292" s="1"/>
      <c r="K1292" s="1"/>
      <c r="L1292" s="1"/>
      <c r="M1292" s="1"/>
      <c r="N1292" s="1"/>
      <c r="O1292" s="1"/>
      <c r="P1292" s="1"/>
      <c r="Q1292" s="1"/>
      <c r="R1292" s="1332"/>
      <c r="S1292" s="1332"/>
      <c r="T1292" s="1332"/>
      <c r="U1292" s="1332"/>
      <c r="V1292" s="1332"/>
      <c r="W1292" s="1332"/>
      <c r="X1292" s="1332"/>
      <c r="Y1292" s="1332"/>
      <c r="Z1292" s="1332"/>
      <c r="AA1292" s="1332"/>
      <c r="AB1292" s="1332"/>
      <c r="AC1292" s="1332"/>
      <c r="AD1292" s="1332"/>
      <c r="AE1292" s="1"/>
      <c r="AF1292" s="1"/>
      <c r="AG1292" s="1"/>
      <c r="AH1292" s="1"/>
      <c r="AI1292" s="1"/>
      <c r="AJ1292" s="1"/>
      <c r="AK1292" s="1"/>
      <c r="AL1292" s="1"/>
      <c r="AM1292" s="1"/>
      <c r="AN1292" s="1"/>
      <c r="AO1292" s="1"/>
      <c r="AP1292" s="488"/>
      <c r="AQ1292" s="488"/>
      <c r="AR1292" s="1"/>
      <c r="AS1292" s="1"/>
      <c r="AT1292" s="1"/>
      <c r="AU1292" s="1"/>
      <c r="AV1292" s="1"/>
      <c r="AW1292" s="1"/>
      <c r="AX1292" s="488"/>
      <c r="AY1292" s="1"/>
      <c r="AZ1292" s="1"/>
      <c r="BA1292" s="1"/>
      <c r="BB1292" s="1"/>
      <c r="BC1292" s="1"/>
      <c r="BD1292" s="1"/>
      <c r="BE1292" s="1"/>
    </row>
    <row r="1293" spans="9:57" x14ac:dyDescent="0.25">
      <c r="I1293" s="1"/>
      <c r="J1293" s="1"/>
      <c r="K1293" s="1"/>
      <c r="L1293" s="1"/>
      <c r="M1293" s="1"/>
      <c r="N1293" s="1"/>
      <c r="O1293" s="1"/>
      <c r="P1293" s="1"/>
      <c r="Q1293" s="1"/>
      <c r="R1293" s="1332"/>
      <c r="S1293" s="1332"/>
      <c r="T1293" s="1332"/>
      <c r="U1293" s="1332"/>
      <c r="V1293" s="1332"/>
      <c r="W1293" s="1332"/>
      <c r="X1293" s="1332"/>
      <c r="Y1293" s="1332"/>
      <c r="Z1293" s="1332"/>
      <c r="AA1293" s="1332"/>
      <c r="AB1293" s="1332"/>
      <c r="AC1293" s="1332"/>
      <c r="AD1293" s="1332"/>
      <c r="AE1293" s="1"/>
      <c r="AF1293" s="1"/>
      <c r="AG1293" s="1"/>
      <c r="AH1293" s="1"/>
      <c r="AI1293" s="1"/>
      <c r="AJ1293" s="1"/>
      <c r="AK1293" s="1"/>
      <c r="AL1293" s="1"/>
      <c r="AM1293" s="1"/>
      <c r="AN1293" s="1"/>
      <c r="AO1293" s="1"/>
      <c r="AP1293" s="488"/>
      <c r="AQ1293" s="488"/>
      <c r="AR1293" s="1"/>
      <c r="AS1293" s="1"/>
      <c r="AT1293" s="1"/>
      <c r="AU1293" s="1"/>
      <c r="AV1293" s="1"/>
      <c r="AW1293" s="1"/>
      <c r="AX1293" s="488"/>
      <c r="AY1293" s="1"/>
      <c r="AZ1293" s="1"/>
      <c r="BA1293" s="1"/>
      <c r="BB1293" s="1"/>
      <c r="BC1293" s="1"/>
      <c r="BD1293" s="1"/>
      <c r="BE1293" s="1"/>
    </row>
    <row r="1294" spans="9:57" x14ac:dyDescent="0.25">
      <c r="I1294" s="1"/>
      <c r="J1294" s="1"/>
      <c r="K1294" s="1"/>
      <c r="L1294" s="1"/>
      <c r="M1294" s="1"/>
      <c r="N1294" s="1"/>
      <c r="O1294" s="1"/>
      <c r="P1294" s="1"/>
      <c r="Q1294" s="1"/>
      <c r="R1294" s="1332"/>
      <c r="S1294" s="1332"/>
      <c r="T1294" s="1332"/>
      <c r="U1294" s="1332"/>
      <c r="V1294" s="1332"/>
      <c r="W1294" s="1332"/>
      <c r="X1294" s="1332"/>
      <c r="Y1294" s="1332"/>
      <c r="Z1294" s="1332"/>
      <c r="AA1294" s="1332"/>
      <c r="AB1294" s="1332"/>
      <c r="AC1294" s="1332"/>
      <c r="AD1294" s="1332"/>
      <c r="AE1294" s="1"/>
      <c r="AF1294" s="1"/>
      <c r="AG1294" s="1"/>
      <c r="AH1294" s="1"/>
      <c r="AI1294" s="1"/>
      <c r="AJ1294" s="1"/>
      <c r="AK1294" s="1"/>
      <c r="AL1294" s="1"/>
      <c r="AM1294" s="1"/>
      <c r="AN1294" s="1"/>
      <c r="AO1294" s="1"/>
      <c r="AP1294" s="488"/>
      <c r="AQ1294" s="488"/>
      <c r="AR1294" s="1"/>
      <c r="AS1294" s="1"/>
      <c r="AT1294" s="1"/>
      <c r="AU1294" s="1"/>
      <c r="AV1294" s="1"/>
      <c r="AW1294" s="1"/>
      <c r="AX1294" s="488"/>
      <c r="AY1294" s="1"/>
      <c r="AZ1294" s="1"/>
      <c r="BA1294" s="1"/>
      <c r="BB1294" s="1"/>
      <c r="BC1294" s="1"/>
      <c r="BD1294" s="1"/>
      <c r="BE1294" s="1"/>
    </row>
    <row r="1295" spans="9:57" x14ac:dyDescent="0.25">
      <c r="I1295" s="1"/>
      <c r="J1295" s="1"/>
      <c r="K1295" s="1"/>
      <c r="L1295" s="1"/>
      <c r="M1295" s="1"/>
      <c r="N1295" s="1"/>
      <c r="O1295" s="1"/>
      <c r="P1295" s="1"/>
      <c r="Q1295" s="1"/>
      <c r="R1295" s="1332"/>
      <c r="S1295" s="1332"/>
      <c r="T1295" s="1332"/>
      <c r="U1295" s="1332"/>
      <c r="V1295" s="1332"/>
      <c r="W1295" s="1332"/>
      <c r="X1295" s="1332"/>
      <c r="Y1295" s="1332"/>
      <c r="Z1295" s="1332"/>
      <c r="AA1295" s="1332"/>
      <c r="AB1295" s="1332"/>
      <c r="AC1295" s="1332"/>
      <c r="AD1295" s="1332"/>
      <c r="AE1295" s="1"/>
      <c r="AF1295" s="1"/>
      <c r="AG1295" s="1"/>
      <c r="AH1295" s="1"/>
      <c r="AI1295" s="1"/>
      <c r="AJ1295" s="1"/>
      <c r="AK1295" s="1"/>
      <c r="AL1295" s="1"/>
      <c r="AM1295" s="1"/>
      <c r="AN1295" s="1"/>
      <c r="AO1295" s="1"/>
      <c r="AP1295" s="488"/>
      <c r="AQ1295" s="488"/>
      <c r="AR1295" s="1"/>
      <c r="AS1295" s="1"/>
      <c r="AT1295" s="1"/>
      <c r="AU1295" s="1"/>
      <c r="AV1295" s="1"/>
      <c r="AW1295" s="1"/>
      <c r="AX1295" s="488"/>
      <c r="AY1295" s="1"/>
      <c r="AZ1295" s="1"/>
      <c r="BA1295" s="1"/>
      <c r="BB1295" s="1"/>
      <c r="BC1295" s="1"/>
      <c r="BD1295" s="1"/>
      <c r="BE1295" s="1"/>
    </row>
    <row r="1296" spans="9:57" x14ac:dyDescent="0.25">
      <c r="I1296" s="1"/>
      <c r="J1296" s="1"/>
      <c r="K1296" s="1"/>
      <c r="L1296" s="1"/>
      <c r="M1296" s="1"/>
      <c r="N1296" s="1"/>
      <c r="O1296" s="1"/>
      <c r="P1296" s="1"/>
      <c r="Q1296" s="1"/>
      <c r="R1296" s="1332"/>
      <c r="S1296" s="1332"/>
      <c r="T1296" s="1332"/>
      <c r="U1296" s="1332"/>
      <c r="V1296" s="1332"/>
      <c r="W1296" s="1332"/>
      <c r="X1296" s="1332"/>
      <c r="Y1296" s="1332"/>
      <c r="Z1296" s="1332"/>
      <c r="AA1296" s="1332"/>
      <c r="AB1296" s="1332"/>
      <c r="AC1296" s="1332"/>
      <c r="AD1296" s="1332"/>
      <c r="AE1296" s="1"/>
      <c r="AF1296" s="1"/>
      <c r="AG1296" s="1"/>
      <c r="AH1296" s="1"/>
      <c r="AI1296" s="1"/>
      <c r="AJ1296" s="1"/>
      <c r="AK1296" s="1"/>
      <c r="AL1296" s="1"/>
      <c r="AM1296" s="1"/>
      <c r="AN1296" s="1"/>
      <c r="AO1296" s="1"/>
      <c r="AP1296" s="488"/>
      <c r="AQ1296" s="488"/>
      <c r="AR1296" s="1"/>
      <c r="AS1296" s="1"/>
      <c r="AT1296" s="1"/>
      <c r="AU1296" s="1"/>
      <c r="AV1296" s="1"/>
      <c r="AW1296" s="1"/>
      <c r="AX1296" s="488"/>
      <c r="AY1296" s="1"/>
      <c r="AZ1296" s="1"/>
      <c r="BA1296" s="1"/>
      <c r="BB1296" s="1"/>
      <c r="BC1296" s="1"/>
      <c r="BD1296" s="1"/>
      <c r="BE1296" s="1"/>
    </row>
    <row r="1297" spans="9:57" x14ac:dyDescent="0.25">
      <c r="I1297" s="1"/>
      <c r="J1297" s="1"/>
      <c r="K1297" s="1"/>
      <c r="L1297" s="1"/>
      <c r="M1297" s="1"/>
      <c r="N1297" s="1"/>
      <c r="O1297" s="1"/>
      <c r="P1297" s="1"/>
      <c r="Q1297" s="1"/>
      <c r="R1297" s="1332"/>
      <c r="S1297" s="1332"/>
      <c r="T1297" s="1332"/>
      <c r="U1297" s="1332"/>
      <c r="V1297" s="1332"/>
      <c r="W1297" s="1332"/>
      <c r="X1297" s="1332"/>
      <c r="Y1297" s="1332"/>
      <c r="Z1297" s="1332"/>
      <c r="AA1297" s="1332"/>
      <c r="AB1297" s="1332"/>
      <c r="AC1297" s="1332"/>
      <c r="AD1297" s="1332"/>
      <c r="AE1297" s="1"/>
      <c r="AF1297" s="1"/>
      <c r="AG1297" s="1"/>
      <c r="AH1297" s="1"/>
      <c r="AI1297" s="1"/>
      <c r="AJ1297" s="1"/>
      <c r="AK1297" s="1"/>
      <c r="AL1297" s="1"/>
      <c r="AM1297" s="1"/>
      <c r="AN1297" s="1"/>
      <c r="AO1297" s="1"/>
      <c r="AP1297" s="488"/>
      <c r="AQ1297" s="488"/>
      <c r="AR1297" s="1"/>
      <c r="AS1297" s="1"/>
      <c r="AT1297" s="1"/>
      <c r="AU1297" s="1"/>
      <c r="AV1297" s="1"/>
      <c r="AW1297" s="1"/>
      <c r="AX1297" s="488"/>
      <c r="AY1297" s="1"/>
      <c r="AZ1297" s="1"/>
      <c r="BA1297" s="1"/>
      <c r="BB1297" s="1"/>
      <c r="BC1297" s="1"/>
      <c r="BD1297" s="1"/>
      <c r="BE1297" s="1"/>
    </row>
    <row r="1298" spans="9:57" x14ac:dyDescent="0.25">
      <c r="I1298" s="1"/>
      <c r="J1298" s="1"/>
      <c r="K1298" s="1"/>
      <c r="L1298" s="1"/>
      <c r="M1298" s="1"/>
      <c r="N1298" s="1"/>
      <c r="O1298" s="1"/>
      <c r="P1298" s="1"/>
      <c r="Q1298" s="1"/>
      <c r="R1298" s="1332"/>
      <c r="S1298" s="1332"/>
      <c r="T1298" s="1332"/>
      <c r="U1298" s="1332"/>
      <c r="V1298" s="1332"/>
      <c r="W1298" s="1332"/>
      <c r="X1298" s="1332"/>
      <c r="Y1298" s="1332"/>
      <c r="Z1298" s="1332"/>
      <c r="AA1298" s="1332"/>
      <c r="AB1298" s="1332"/>
      <c r="AC1298" s="1332"/>
      <c r="AD1298" s="1332"/>
      <c r="AE1298" s="1"/>
      <c r="AF1298" s="1"/>
      <c r="AG1298" s="1"/>
      <c r="AH1298" s="1"/>
      <c r="AI1298" s="1"/>
      <c r="AJ1298" s="1"/>
      <c r="AK1298" s="1"/>
      <c r="AL1298" s="1"/>
      <c r="AM1298" s="1"/>
      <c r="AN1298" s="1"/>
      <c r="AO1298" s="1"/>
      <c r="AP1298" s="488"/>
      <c r="AQ1298" s="488"/>
      <c r="AR1298" s="1"/>
      <c r="AS1298" s="1"/>
      <c r="AT1298" s="1"/>
      <c r="AU1298" s="1"/>
      <c r="AV1298" s="1"/>
      <c r="AW1298" s="1"/>
      <c r="AX1298" s="488"/>
      <c r="AY1298" s="1"/>
      <c r="AZ1298" s="1"/>
      <c r="BA1298" s="1"/>
      <c r="BB1298" s="1"/>
      <c r="BC1298" s="1"/>
      <c r="BD1298" s="1"/>
      <c r="BE1298" s="1"/>
    </row>
    <row r="1299" spans="9:57" x14ac:dyDescent="0.25">
      <c r="I1299" s="1"/>
      <c r="J1299" s="1"/>
      <c r="K1299" s="1"/>
      <c r="L1299" s="1"/>
      <c r="M1299" s="1"/>
      <c r="N1299" s="1"/>
      <c r="O1299" s="1"/>
      <c r="P1299" s="1"/>
      <c r="Q1299" s="1"/>
      <c r="R1299" s="1332"/>
      <c r="S1299" s="1332"/>
      <c r="T1299" s="1332"/>
      <c r="U1299" s="1332"/>
      <c r="V1299" s="1332"/>
      <c r="W1299" s="1332"/>
      <c r="X1299" s="1332"/>
      <c r="Y1299" s="1332"/>
      <c r="Z1299" s="1332"/>
      <c r="AA1299" s="1332"/>
      <c r="AB1299" s="1332"/>
      <c r="AC1299" s="1332"/>
      <c r="AD1299" s="1332"/>
      <c r="AE1299" s="1"/>
      <c r="AF1299" s="1"/>
      <c r="AG1299" s="1"/>
      <c r="AH1299" s="1"/>
      <c r="AI1299" s="1"/>
      <c r="AJ1299" s="1"/>
      <c r="AK1299" s="1"/>
      <c r="AL1299" s="1"/>
      <c r="AM1299" s="1"/>
      <c r="AN1299" s="1"/>
      <c r="AO1299" s="1"/>
      <c r="AP1299" s="488"/>
      <c r="AQ1299" s="488"/>
      <c r="AR1299" s="1"/>
      <c r="AS1299" s="1"/>
      <c r="AT1299" s="1"/>
      <c r="AU1299" s="1"/>
      <c r="AV1299" s="1"/>
      <c r="AW1299" s="1"/>
      <c r="AX1299" s="488"/>
      <c r="AY1299" s="1"/>
      <c r="AZ1299" s="1"/>
      <c r="BA1299" s="1"/>
      <c r="BB1299" s="1"/>
      <c r="BC1299" s="1"/>
      <c r="BD1299" s="1"/>
      <c r="BE1299" s="1"/>
    </row>
    <row r="1300" spans="9:57" x14ac:dyDescent="0.25">
      <c r="I1300" s="1"/>
      <c r="J1300" s="1"/>
      <c r="K1300" s="1"/>
      <c r="L1300" s="1"/>
      <c r="M1300" s="1"/>
      <c r="N1300" s="1"/>
      <c r="O1300" s="1"/>
      <c r="P1300" s="1"/>
      <c r="Q1300" s="1"/>
      <c r="R1300" s="1332"/>
      <c r="S1300" s="1332"/>
      <c r="T1300" s="1332"/>
      <c r="U1300" s="1332"/>
      <c r="V1300" s="1332"/>
      <c r="W1300" s="1332"/>
      <c r="X1300" s="1332"/>
      <c r="Y1300" s="1332"/>
      <c r="Z1300" s="1332"/>
      <c r="AA1300" s="1332"/>
      <c r="AB1300" s="1332"/>
      <c r="AC1300" s="1332"/>
      <c r="AD1300" s="1332"/>
      <c r="AE1300" s="1"/>
      <c r="AF1300" s="1"/>
      <c r="AG1300" s="1"/>
      <c r="AH1300" s="1"/>
      <c r="AI1300" s="1"/>
      <c r="AJ1300" s="1"/>
      <c r="AK1300" s="1"/>
      <c r="AL1300" s="1"/>
      <c r="AM1300" s="1"/>
      <c r="AN1300" s="1"/>
      <c r="AO1300" s="1"/>
      <c r="AP1300" s="488"/>
      <c r="AQ1300" s="488"/>
      <c r="AR1300" s="1"/>
      <c r="AS1300" s="1"/>
      <c r="AT1300" s="1"/>
      <c r="AU1300" s="1"/>
      <c r="AV1300" s="1"/>
      <c r="AW1300" s="1"/>
      <c r="AX1300" s="488"/>
      <c r="AY1300" s="1"/>
      <c r="AZ1300" s="1"/>
      <c r="BA1300" s="1"/>
      <c r="BB1300" s="1"/>
      <c r="BC1300" s="1"/>
      <c r="BD1300" s="1"/>
      <c r="BE1300" s="1"/>
    </row>
    <row r="1301" spans="9:57" x14ac:dyDescent="0.25">
      <c r="I1301" s="1"/>
      <c r="J1301" s="1"/>
      <c r="K1301" s="1"/>
      <c r="L1301" s="1"/>
      <c r="M1301" s="1"/>
      <c r="N1301" s="1"/>
      <c r="O1301" s="1"/>
      <c r="P1301" s="1"/>
      <c r="Q1301" s="1"/>
      <c r="R1301" s="1332"/>
      <c r="S1301" s="1332"/>
      <c r="T1301" s="1332"/>
      <c r="U1301" s="1332"/>
      <c r="V1301" s="1332"/>
      <c r="W1301" s="1332"/>
      <c r="X1301" s="1332"/>
      <c r="Y1301" s="1332"/>
      <c r="Z1301" s="1332"/>
      <c r="AA1301" s="1332"/>
      <c r="AB1301" s="1332"/>
      <c r="AC1301" s="1332"/>
      <c r="AD1301" s="1332"/>
      <c r="AE1301" s="1"/>
      <c r="AF1301" s="1"/>
      <c r="AG1301" s="1"/>
      <c r="AH1301" s="1"/>
      <c r="AI1301" s="1"/>
      <c r="AJ1301" s="1"/>
      <c r="AK1301" s="1"/>
      <c r="AL1301" s="1"/>
      <c r="AM1301" s="1"/>
      <c r="AN1301" s="1"/>
      <c r="AO1301" s="1"/>
      <c r="AP1301" s="488"/>
      <c r="AQ1301" s="488"/>
      <c r="AR1301" s="1"/>
      <c r="AS1301" s="1"/>
      <c r="AT1301" s="1"/>
      <c r="AU1301" s="1"/>
      <c r="AV1301" s="1"/>
      <c r="AW1301" s="1"/>
      <c r="AX1301" s="488"/>
      <c r="AY1301" s="1"/>
      <c r="AZ1301" s="1"/>
      <c r="BA1301" s="1"/>
      <c r="BB1301" s="1"/>
      <c r="BC1301" s="1"/>
      <c r="BD1301" s="1"/>
      <c r="BE1301" s="1"/>
    </row>
    <row r="1302" spans="9:57" x14ac:dyDescent="0.25">
      <c r="I1302" s="1"/>
      <c r="J1302" s="1"/>
      <c r="K1302" s="1"/>
      <c r="L1302" s="1"/>
      <c r="M1302" s="1"/>
      <c r="N1302" s="1"/>
      <c r="O1302" s="1"/>
      <c r="P1302" s="1"/>
      <c r="Q1302" s="1"/>
      <c r="R1302" s="1332"/>
      <c r="S1302" s="1332"/>
      <c r="T1302" s="1332"/>
      <c r="U1302" s="1332"/>
      <c r="V1302" s="1332"/>
      <c r="W1302" s="1332"/>
      <c r="X1302" s="1332"/>
      <c r="Y1302" s="1332"/>
      <c r="Z1302" s="1332"/>
      <c r="AA1302" s="1332"/>
      <c r="AB1302" s="1332"/>
      <c r="AC1302" s="1332"/>
      <c r="AD1302" s="1332"/>
      <c r="AE1302" s="1"/>
      <c r="AF1302" s="1"/>
      <c r="AG1302" s="1"/>
      <c r="AH1302" s="1"/>
      <c r="AI1302" s="1"/>
      <c r="AJ1302" s="1"/>
      <c r="AK1302" s="1"/>
      <c r="AL1302" s="1"/>
      <c r="AM1302" s="1"/>
      <c r="AN1302" s="1"/>
      <c r="AO1302" s="1"/>
      <c r="AP1302" s="488"/>
      <c r="AQ1302" s="488"/>
      <c r="AR1302" s="1"/>
      <c r="AS1302" s="1"/>
      <c r="AT1302" s="1"/>
      <c r="AU1302" s="1"/>
      <c r="AV1302" s="1"/>
      <c r="AW1302" s="1"/>
      <c r="AX1302" s="488"/>
      <c r="AY1302" s="1"/>
      <c r="AZ1302" s="1"/>
      <c r="BA1302" s="1"/>
      <c r="BB1302" s="1"/>
      <c r="BC1302" s="1"/>
      <c r="BD1302" s="1"/>
      <c r="BE1302" s="1"/>
    </row>
    <row r="1303" spans="9:57" x14ac:dyDescent="0.25">
      <c r="I1303" s="1"/>
      <c r="J1303" s="1"/>
      <c r="K1303" s="1"/>
      <c r="L1303" s="1"/>
      <c r="M1303" s="1"/>
      <c r="N1303" s="1"/>
      <c r="O1303" s="1"/>
      <c r="P1303" s="1"/>
      <c r="Q1303" s="1"/>
      <c r="R1303" s="1332"/>
      <c r="S1303" s="1332"/>
      <c r="T1303" s="1332"/>
      <c r="U1303" s="1332"/>
      <c r="V1303" s="1332"/>
      <c r="W1303" s="1332"/>
      <c r="X1303" s="1332"/>
      <c r="Y1303" s="1332"/>
      <c r="Z1303" s="1332"/>
      <c r="AA1303" s="1332"/>
      <c r="AB1303" s="1332"/>
      <c r="AC1303" s="1332"/>
      <c r="AD1303" s="1332"/>
      <c r="AE1303" s="1"/>
      <c r="AF1303" s="1"/>
      <c r="AG1303" s="1"/>
      <c r="AH1303" s="1"/>
      <c r="AI1303" s="1"/>
      <c r="AJ1303" s="1"/>
      <c r="AK1303" s="1"/>
      <c r="AL1303" s="1"/>
      <c r="AM1303" s="1"/>
      <c r="AN1303" s="1"/>
      <c r="AO1303" s="1"/>
      <c r="AP1303" s="488"/>
      <c r="AQ1303" s="488"/>
      <c r="AR1303" s="1"/>
      <c r="AS1303" s="1"/>
      <c r="AT1303" s="1"/>
      <c r="AU1303" s="1"/>
      <c r="AV1303" s="1"/>
      <c r="AW1303" s="1"/>
      <c r="AX1303" s="488"/>
      <c r="AY1303" s="1"/>
      <c r="AZ1303" s="1"/>
      <c r="BA1303" s="1"/>
      <c r="BB1303" s="1"/>
      <c r="BC1303" s="1"/>
      <c r="BD1303" s="1"/>
      <c r="BE1303" s="1"/>
    </row>
    <row r="1304" spans="9:57" x14ac:dyDescent="0.25">
      <c r="I1304" s="1"/>
      <c r="J1304" s="1"/>
      <c r="K1304" s="1"/>
      <c r="L1304" s="1"/>
      <c r="M1304" s="1"/>
      <c r="N1304" s="1"/>
      <c r="O1304" s="1"/>
      <c r="P1304" s="1"/>
      <c r="Q1304" s="1"/>
      <c r="R1304" s="1332"/>
      <c r="S1304" s="1332"/>
      <c r="T1304" s="1332"/>
      <c r="U1304" s="1332"/>
      <c r="V1304" s="1332"/>
      <c r="W1304" s="1332"/>
      <c r="X1304" s="1332"/>
      <c r="Y1304" s="1332"/>
      <c r="Z1304" s="1332"/>
      <c r="AA1304" s="1332"/>
      <c r="AB1304" s="1332"/>
      <c r="AC1304" s="1332"/>
      <c r="AD1304" s="1332"/>
      <c r="AE1304" s="1"/>
      <c r="AF1304" s="1"/>
      <c r="AG1304" s="1"/>
      <c r="AH1304" s="1"/>
      <c r="AI1304" s="1"/>
      <c r="AJ1304" s="1"/>
      <c r="AK1304" s="1"/>
      <c r="AL1304" s="1"/>
      <c r="AM1304" s="1"/>
      <c r="AN1304" s="1"/>
      <c r="AO1304" s="1"/>
      <c r="AP1304" s="488"/>
      <c r="AQ1304" s="488"/>
      <c r="AR1304" s="1"/>
      <c r="AS1304" s="1"/>
      <c r="AT1304" s="1"/>
      <c r="AU1304" s="1"/>
      <c r="AV1304" s="1"/>
      <c r="AW1304" s="1"/>
      <c r="AX1304" s="488"/>
      <c r="AY1304" s="1"/>
      <c r="AZ1304" s="1"/>
      <c r="BA1304" s="1"/>
      <c r="BB1304" s="1"/>
      <c r="BC1304" s="1"/>
      <c r="BD1304" s="1"/>
      <c r="BE1304" s="1"/>
    </row>
    <row r="1305" spans="9:57" x14ac:dyDescent="0.25">
      <c r="I1305" s="1"/>
      <c r="J1305" s="1"/>
      <c r="K1305" s="1"/>
      <c r="L1305" s="1"/>
      <c r="M1305" s="1"/>
      <c r="N1305" s="1"/>
      <c r="O1305" s="1"/>
      <c r="P1305" s="1"/>
      <c r="Q1305" s="1"/>
      <c r="R1305" s="1332"/>
      <c r="S1305" s="1332"/>
      <c r="T1305" s="1332"/>
      <c r="U1305" s="1332"/>
      <c r="V1305" s="1332"/>
      <c r="W1305" s="1332"/>
      <c r="X1305" s="1332"/>
      <c r="Y1305" s="1332"/>
      <c r="Z1305" s="1332"/>
      <c r="AA1305" s="1332"/>
      <c r="AB1305" s="1332"/>
      <c r="AC1305" s="1332"/>
      <c r="AD1305" s="1332"/>
      <c r="AE1305" s="1"/>
      <c r="AF1305" s="1"/>
      <c r="AG1305" s="1"/>
      <c r="AH1305" s="1"/>
      <c r="AI1305" s="1"/>
      <c r="AJ1305" s="1"/>
      <c r="AK1305" s="1"/>
      <c r="AL1305" s="1"/>
      <c r="AM1305" s="1"/>
      <c r="AN1305" s="1"/>
      <c r="AO1305" s="1"/>
      <c r="AP1305" s="488"/>
      <c r="AQ1305" s="488"/>
      <c r="AR1305" s="1"/>
      <c r="AS1305" s="1"/>
      <c r="AT1305" s="1"/>
      <c r="AU1305" s="1"/>
      <c r="AV1305" s="1"/>
      <c r="AW1305" s="1"/>
      <c r="AX1305" s="488"/>
      <c r="AY1305" s="1"/>
      <c r="AZ1305" s="1"/>
      <c r="BA1305" s="1"/>
      <c r="BB1305" s="1"/>
      <c r="BC1305" s="1"/>
      <c r="BD1305" s="1"/>
      <c r="BE1305" s="1"/>
    </row>
    <row r="1306" spans="9:57" x14ac:dyDescent="0.25">
      <c r="I1306" s="1"/>
      <c r="J1306" s="1"/>
      <c r="K1306" s="1"/>
      <c r="L1306" s="1"/>
      <c r="M1306" s="1"/>
      <c r="N1306" s="1"/>
      <c r="O1306" s="1"/>
      <c r="P1306" s="1"/>
      <c r="Q1306" s="1"/>
      <c r="R1306" s="1332"/>
      <c r="S1306" s="1332"/>
      <c r="T1306" s="1332"/>
      <c r="U1306" s="1332"/>
      <c r="V1306" s="1332"/>
      <c r="W1306" s="1332"/>
      <c r="X1306" s="1332"/>
      <c r="Y1306" s="1332"/>
      <c r="Z1306" s="1332"/>
      <c r="AA1306" s="1332"/>
      <c r="AB1306" s="1332"/>
      <c r="AC1306" s="1332"/>
      <c r="AD1306" s="1332"/>
      <c r="AE1306" s="1"/>
      <c r="AF1306" s="1"/>
      <c r="AG1306" s="1"/>
      <c r="AH1306" s="1"/>
      <c r="AI1306" s="1"/>
      <c r="AJ1306" s="1"/>
      <c r="AK1306" s="1"/>
      <c r="AL1306" s="1"/>
      <c r="AM1306" s="1"/>
      <c r="AN1306" s="1"/>
      <c r="AO1306" s="1"/>
      <c r="AP1306" s="488"/>
      <c r="AQ1306" s="488"/>
      <c r="AR1306" s="1"/>
      <c r="AS1306" s="1"/>
      <c r="AT1306" s="1"/>
      <c r="AU1306" s="1"/>
      <c r="AV1306" s="1"/>
      <c r="AW1306" s="1"/>
      <c r="AX1306" s="488"/>
      <c r="AY1306" s="1"/>
      <c r="AZ1306" s="1"/>
      <c r="BA1306" s="1"/>
      <c r="BB1306" s="1"/>
      <c r="BC1306" s="1"/>
      <c r="BD1306" s="1"/>
      <c r="BE1306" s="1"/>
    </row>
    <row r="1307" spans="9:57" x14ac:dyDescent="0.25">
      <c r="I1307" s="1"/>
      <c r="J1307" s="1"/>
      <c r="K1307" s="1"/>
      <c r="L1307" s="1"/>
      <c r="M1307" s="1"/>
      <c r="N1307" s="1"/>
      <c r="O1307" s="1"/>
      <c r="P1307" s="1"/>
      <c r="Q1307" s="1"/>
      <c r="R1307" s="1332"/>
      <c r="S1307" s="1332"/>
      <c r="T1307" s="1332"/>
      <c r="U1307" s="1332"/>
      <c r="V1307" s="1332"/>
      <c r="W1307" s="1332"/>
      <c r="X1307" s="1332"/>
      <c r="Y1307" s="1332"/>
      <c r="Z1307" s="1332"/>
      <c r="AA1307" s="1332"/>
      <c r="AB1307" s="1332"/>
      <c r="AC1307" s="1332"/>
      <c r="AD1307" s="1332"/>
      <c r="AE1307" s="1"/>
      <c r="AF1307" s="1"/>
      <c r="AG1307" s="1"/>
      <c r="AH1307" s="1"/>
      <c r="AI1307" s="1"/>
      <c r="AJ1307" s="1"/>
      <c r="AK1307" s="1"/>
      <c r="AL1307" s="1"/>
      <c r="AM1307" s="1"/>
      <c r="AN1307" s="1"/>
      <c r="AO1307" s="1"/>
      <c r="AP1307" s="488"/>
      <c r="AQ1307" s="488"/>
      <c r="AR1307" s="1"/>
      <c r="AS1307" s="1"/>
      <c r="AT1307" s="1"/>
      <c r="AU1307" s="1"/>
      <c r="AV1307" s="1"/>
      <c r="AW1307" s="1"/>
      <c r="AX1307" s="488"/>
      <c r="AY1307" s="1"/>
      <c r="AZ1307" s="1"/>
      <c r="BA1307" s="1"/>
      <c r="BB1307" s="1"/>
      <c r="BC1307" s="1"/>
      <c r="BD1307" s="1"/>
      <c r="BE1307" s="1"/>
    </row>
    <row r="1308" spans="9:57" x14ac:dyDescent="0.25">
      <c r="R1308" s="508"/>
      <c r="S1308" s="508"/>
      <c r="T1308" s="276"/>
      <c r="U1308" s="276"/>
      <c r="V1308" s="276"/>
      <c r="W1308" s="283"/>
      <c r="X1308" s="276"/>
      <c r="Y1308" s="276"/>
      <c r="Z1308" s="276"/>
      <c r="AA1308" s="276"/>
      <c r="AB1308" s="276"/>
      <c r="AC1308" s="276"/>
      <c r="AD1308" s="276"/>
    </row>
    <row r="1309" spans="9:57" x14ac:dyDescent="0.25">
      <c r="R1309" s="508"/>
      <c r="S1309" s="508"/>
      <c r="T1309" s="276"/>
      <c r="U1309" s="276"/>
      <c r="V1309" s="276"/>
      <c r="W1309" s="283"/>
      <c r="X1309" s="276"/>
      <c r="Y1309" s="276"/>
      <c r="Z1309" s="276"/>
      <c r="AA1309" s="276"/>
      <c r="AB1309" s="276"/>
      <c r="AC1309" s="276"/>
      <c r="AD1309" s="276"/>
    </row>
    <row r="1310" spans="9:57" x14ac:dyDescent="0.25">
      <c r="R1310" s="508"/>
      <c r="S1310" s="508"/>
      <c r="T1310" s="276"/>
      <c r="U1310" s="276"/>
      <c r="V1310" s="276"/>
      <c r="W1310" s="283"/>
      <c r="X1310" s="276"/>
      <c r="Y1310" s="276"/>
      <c r="Z1310" s="276"/>
      <c r="AA1310" s="276"/>
      <c r="AB1310" s="276"/>
      <c r="AC1310" s="276"/>
      <c r="AD1310" s="276"/>
    </row>
    <row r="1311" spans="9:57" x14ac:dyDescent="0.25">
      <c r="R1311" s="508"/>
      <c r="S1311" s="508"/>
      <c r="T1311" s="276"/>
      <c r="U1311" s="276"/>
      <c r="V1311" s="276"/>
      <c r="W1311" s="283"/>
      <c r="X1311" s="276"/>
      <c r="Y1311" s="276"/>
      <c r="Z1311" s="276"/>
      <c r="AA1311" s="276"/>
      <c r="AB1311" s="276"/>
      <c r="AC1311" s="276"/>
      <c r="AD1311" s="276"/>
    </row>
    <row r="1312" spans="9:57" x14ac:dyDescent="0.25">
      <c r="R1312" s="508"/>
      <c r="S1312" s="508"/>
      <c r="T1312" s="276"/>
      <c r="U1312" s="276"/>
      <c r="V1312" s="276"/>
      <c r="W1312" s="283"/>
      <c r="X1312" s="276"/>
      <c r="Y1312" s="276"/>
      <c r="Z1312" s="276"/>
      <c r="AA1312" s="276"/>
      <c r="AB1312" s="276"/>
      <c r="AC1312" s="276"/>
      <c r="AD1312" s="276"/>
    </row>
    <row r="1313" spans="18:30" x14ac:dyDescent="0.25">
      <c r="R1313" s="508"/>
      <c r="S1313" s="508"/>
      <c r="T1313" s="276"/>
      <c r="U1313" s="276"/>
      <c r="V1313" s="276"/>
      <c r="W1313" s="283"/>
      <c r="X1313" s="276"/>
      <c r="Y1313" s="276"/>
      <c r="Z1313" s="276"/>
      <c r="AA1313" s="276"/>
      <c r="AB1313" s="276"/>
      <c r="AC1313" s="276"/>
      <c r="AD1313" s="276"/>
    </row>
    <row r="1314" spans="18:30" x14ac:dyDescent="0.25">
      <c r="R1314" s="508"/>
      <c r="S1314" s="508"/>
      <c r="T1314" s="276"/>
      <c r="U1314" s="276"/>
      <c r="V1314" s="276"/>
      <c r="W1314" s="283"/>
      <c r="X1314" s="276"/>
      <c r="Y1314" s="276"/>
      <c r="Z1314" s="276"/>
      <c r="AA1314" s="276"/>
      <c r="AB1314" s="276"/>
      <c r="AC1314" s="276"/>
      <c r="AD1314" s="276"/>
    </row>
    <row r="1315" spans="18:30" x14ac:dyDescent="0.25">
      <c r="R1315" s="508"/>
      <c r="S1315" s="508"/>
      <c r="T1315" s="276"/>
      <c r="U1315" s="276"/>
      <c r="V1315" s="276"/>
      <c r="W1315" s="283"/>
      <c r="X1315" s="276"/>
      <c r="Y1315" s="276"/>
      <c r="Z1315" s="276"/>
      <c r="AA1315" s="276"/>
      <c r="AB1315" s="276"/>
      <c r="AC1315" s="276"/>
      <c r="AD1315" s="276"/>
    </row>
    <row r="1316" spans="18:30" x14ac:dyDescent="0.25">
      <c r="R1316" s="508"/>
      <c r="S1316" s="508"/>
      <c r="T1316" s="276"/>
      <c r="U1316" s="276"/>
      <c r="V1316" s="276"/>
      <c r="W1316" s="283"/>
      <c r="X1316" s="276"/>
      <c r="Y1316" s="276"/>
      <c r="Z1316" s="276"/>
      <c r="AA1316" s="276"/>
      <c r="AB1316" s="276"/>
      <c r="AC1316" s="276"/>
      <c r="AD1316" s="276"/>
    </row>
    <row r="1317" spans="18:30" x14ac:dyDescent="0.25">
      <c r="R1317" s="508"/>
      <c r="S1317" s="508"/>
      <c r="T1317" s="276"/>
      <c r="U1317" s="276"/>
      <c r="V1317" s="276"/>
      <c r="W1317" s="283"/>
      <c r="X1317" s="276"/>
      <c r="Y1317" s="276"/>
      <c r="Z1317" s="276"/>
      <c r="AA1317" s="276"/>
      <c r="AB1317" s="276"/>
      <c r="AC1317" s="276"/>
      <c r="AD1317" s="276"/>
    </row>
    <row r="1318" spans="18:30" x14ac:dyDescent="0.25">
      <c r="R1318" s="508"/>
      <c r="S1318" s="508"/>
      <c r="T1318" s="276"/>
      <c r="U1318" s="276"/>
      <c r="V1318" s="276"/>
      <c r="W1318" s="283"/>
      <c r="X1318" s="276"/>
      <c r="Y1318" s="276"/>
      <c r="Z1318" s="276"/>
      <c r="AA1318" s="276"/>
      <c r="AB1318" s="276"/>
      <c r="AC1318" s="276"/>
      <c r="AD1318" s="276"/>
    </row>
    <row r="1319" spans="18:30" x14ac:dyDescent="0.25">
      <c r="R1319" s="508"/>
      <c r="S1319" s="508"/>
      <c r="T1319" s="276"/>
      <c r="U1319" s="276"/>
      <c r="V1319" s="276"/>
      <c r="W1319" s="283"/>
      <c r="X1319" s="276"/>
      <c r="Y1319" s="276"/>
      <c r="Z1319" s="276"/>
      <c r="AA1319" s="276"/>
      <c r="AB1319" s="276"/>
      <c r="AC1319" s="276"/>
      <c r="AD1319" s="276"/>
    </row>
    <row r="1320" spans="18:30" x14ac:dyDescent="0.25">
      <c r="R1320" s="508"/>
      <c r="S1320" s="508"/>
      <c r="T1320" s="276"/>
      <c r="U1320" s="276"/>
      <c r="V1320" s="276"/>
      <c r="W1320" s="283"/>
      <c r="X1320" s="276"/>
      <c r="Y1320" s="276"/>
      <c r="Z1320" s="276"/>
      <c r="AA1320" s="276"/>
      <c r="AB1320" s="276"/>
      <c r="AC1320" s="276"/>
      <c r="AD1320" s="276"/>
    </row>
    <row r="1321" spans="18:30" x14ac:dyDescent="0.25">
      <c r="R1321" s="508"/>
      <c r="S1321" s="508"/>
      <c r="T1321" s="276"/>
      <c r="U1321" s="276"/>
      <c r="V1321" s="276"/>
      <c r="W1321" s="283"/>
      <c r="X1321" s="276"/>
      <c r="Y1321" s="276"/>
      <c r="Z1321" s="276"/>
      <c r="AA1321" s="276"/>
      <c r="AB1321" s="276"/>
      <c r="AC1321" s="276"/>
      <c r="AD1321" s="276"/>
    </row>
    <row r="1322" spans="18:30" x14ac:dyDescent="0.25">
      <c r="R1322" s="508"/>
      <c r="S1322" s="508"/>
      <c r="T1322" s="276"/>
      <c r="U1322" s="276"/>
      <c r="V1322" s="276"/>
      <c r="W1322" s="283"/>
      <c r="X1322" s="276"/>
      <c r="Y1322" s="276"/>
      <c r="Z1322" s="276"/>
      <c r="AA1322" s="276"/>
      <c r="AB1322" s="276"/>
      <c r="AC1322" s="276"/>
      <c r="AD1322" s="276"/>
    </row>
    <row r="1323" spans="18:30" x14ac:dyDescent="0.25">
      <c r="R1323" s="508"/>
      <c r="S1323" s="508"/>
      <c r="T1323" s="276"/>
      <c r="U1323" s="276"/>
      <c r="V1323" s="276"/>
      <c r="W1323" s="283"/>
      <c r="X1323" s="276"/>
      <c r="Y1323" s="276"/>
      <c r="Z1323" s="276"/>
      <c r="AA1323" s="276"/>
      <c r="AB1323" s="276"/>
      <c r="AC1323" s="276"/>
      <c r="AD1323" s="276"/>
    </row>
    <row r="1324" spans="18:30" x14ac:dyDescent="0.25">
      <c r="R1324" s="508"/>
      <c r="S1324" s="508"/>
      <c r="T1324" s="276"/>
      <c r="U1324" s="276"/>
      <c r="V1324" s="276"/>
      <c r="W1324" s="283"/>
      <c r="X1324" s="276"/>
      <c r="Y1324" s="276"/>
      <c r="Z1324" s="276"/>
      <c r="AA1324" s="276"/>
      <c r="AB1324" s="276"/>
      <c r="AC1324" s="276"/>
      <c r="AD1324" s="276"/>
    </row>
    <row r="1325" spans="18:30" x14ac:dyDescent="0.25">
      <c r="R1325" s="508"/>
      <c r="S1325" s="508"/>
      <c r="T1325" s="276"/>
      <c r="U1325" s="276"/>
      <c r="V1325" s="276"/>
      <c r="W1325" s="283"/>
      <c r="X1325" s="276"/>
      <c r="Y1325" s="276"/>
      <c r="Z1325" s="276"/>
      <c r="AA1325" s="276"/>
      <c r="AB1325" s="276"/>
      <c r="AC1325" s="276"/>
      <c r="AD1325" s="276"/>
    </row>
    <row r="1326" spans="18:30" x14ac:dyDescent="0.25">
      <c r="R1326" s="508"/>
      <c r="S1326" s="508"/>
      <c r="T1326" s="276"/>
      <c r="U1326" s="276"/>
      <c r="V1326" s="276"/>
      <c r="W1326" s="283"/>
      <c r="X1326" s="276"/>
      <c r="Y1326" s="276"/>
      <c r="Z1326" s="276"/>
      <c r="AA1326" s="276"/>
      <c r="AB1326" s="276"/>
      <c r="AC1326" s="276"/>
      <c r="AD1326" s="276"/>
    </row>
    <row r="1327" spans="18:30" x14ac:dyDescent="0.25">
      <c r="R1327" s="508"/>
      <c r="S1327" s="508"/>
      <c r="T1327" s="276"/>
      <c r="U1327" s="276"/>
      <c r="V1327" s="276"/>
      <c r="W1327" s="283"/>
      <c r="X1327" s="276"/>
      <c r="Y1327" s="276"/>
      <c r="Z1327" s="276"/>
      <c r="AA1327" s="276"/>
      <c r="AB1327" s="276"/>
      <c r="AC1327" s="276"/>
      <c r="AD1327" s="276"/>
    </row>
    <row r="1328" spans="18:30" x14ac:dyDescent="0.25">
      <c r="R1328" s="508"/>
      <c r="S1328" s="508"/>
      <c r="T1328" s="276"/>
      <c r="U1328" s="276"/>
      <c r="V1328" s="276"/>
      <c r="W1328" s="283"/>
      <c r="X1328" s="276"/>
      <c r="Y1328" s="276"/>
      <c r="Z1328" s="276"/>
      <c r="AA1328" s="276"/>
      <c r="AB1328" s="276"/>
      <c r="AC1328" s="276"/>
      <c r="AD1328" s="276"/>
    </row>
    <row r="1329" spans="18:30" x14ac:dyDescent="0.25">
      <c r="R1329" s="508"/>
      <c r="S1329" s="508"/>
      <c r="T1329" s="276"/>
      <c r="U1329" s="276"/>
      <c r="V1329" s="276"/>
      <c r="W1329" s="283"/>
      <c r="X1329" s="276"/>
      <c r="Y1329" s="276"/>
      <c r="Z1329" s="276"/>
      <c r="AA1329" s="276"/>
      <c r="AB1329" s="276"/>
      <c r="AC1329" s="276"/>
      <c r="AD1329" s="276"/>
    </row>
    <row r="1330" spans="18:30" x14ac:dyDescent="0.25">
      <c r="R1330" s="508"/>
      <c r="S1330" s="508"/>
      <c r="T1330" s="276"/>
      <c r="U1330" s="276"/>
      <c r="V1330" s="276"/>
      <c r="W1330" s="283"/>
      <c r="X1330" s="276"/>
      <c r="Y1330" s="276"/>
      <c r="Z1330" s="276"/>
      <c r="AA1330" s="276"/>
      <c r="AB1330" s="276"/>
      <c r="AC1330" s="276"/>
      <c r="AD1330" s="276"/>
    </row>
    <row r="1331" spans="18:30" x14ac:dyDescent="0.25">
      <c r="R1331" s="508"/>
      <c r="S1331" s="508"/>
      <c r="T1331" s="276"/>
      <c r="U1331" s="276"/>
      <c r="V1331" s="276"/>
      <c r="W1331" s="283"/>
      <c r="X1331" s="276"/>
      <c r="Y1331" s="276"/>
      <c r="Z1331" s="276"/>
      <c r="AA1331" s="276"/>
      <c r="AB1331" s="276"/>
      <c r="AC1331" s="276"/>
      <c r="AD1331" s="276"/>
    </row>
    <row r="1332" spans="18:30" x14ac:dyDescent="0.25">
      <c r="R1332" s="508"/>
      <c r="S1332" s="508"/>
      <c r="T1332" s="276"/>
      <c r="U1332" s="276"/>
      <c r="V1332" s="276"/>
      <c r="W1332" s="283"/>
      <c r="X1332" s="276"/>
      <c r="Y1332" s="276"/>
      <c r="Z1332" s="276"/>
      <c r="AA1332" s="276"/>
      <c r="AB1332" s="276"/>
      <c r="AC1332" s="276"/>
      <c r="AD1332" s="276"/>
    </row>
    <row r="1333" spans="18:30" x14ac:dyDescent="0.25">
      <c r="R1333" s="508"/>
      <c r="S1333" s="508"/>
      <c r="T1333" s="276"/>
      <c r="U1333" s="276"/>
      <c r="V1333" s="276"/>
      <c r="W1333" s="283"/>
      <c r="X1333" s="276"/>
      <c r="Y1333" s="276"/>
      <c r="Z1333" s="276"/>
      <c r="AA1333" s="276"/>
      <c r="AB1333" s="276"/>
      <c r="AC1333" s="276"/>
      <c r="AD1333" s="276"/>
    </row>
    <row r="1334" spans="18:30" x14ac:dyDescent="0.25">
      <c r="R1334" s="508"/>
      <c r="S1334" s="508"/>
      <c r="T1334" s="276"/>
      <c r="U1334" s="276"/>
      <c r="V1334" s="276"/>
      <c r="W1334" s="283"/>
      <c r="X1334" s="276"/>
      <c r="Y1334" s="276"/>
      <c r="Z1334" s="276"/>
      <c r="AA1334" s="276"/>
      <c r="AB1334" s="276"/>
      <c r="AC1334" s="276"/>
      <c r="AD1334" s="276"/>
    </row>
    <row r="1335" spans="18:30" x14ac:dyDescent="0.25">
      <c r="R1335" s="508"/>
      <c r="S1335" s="508"/>
      <c r="T1335" s="276"/>
      <c r="U1335" s="276"/>
      <c r="V1335" s="276"/>
      <c r="W1335" s="283"/>
      <c r="X1335" s="276"/>
      <c r="Y1335" s="276"/>
      <c r="Z1335" s="276"/>
      <c r="AA1335" s="276"/>
      <c r="AB1335" s="276"/>
      <c r="AC1335" s="276"/>
      <c r="AD1335" s="276"/>
    </row>
    <row r="1336" spans="18:30" x14ac:dyDescent="0.25">
      <c r="R1336" s="508"/>
      <c r="S1336" s="508"/>
      <c r="T1336" s="276"/>
      <c r="U1336" s="276"/>
      <c r="V1336" s="276"/>
      <c r="W1336" s="283"/>
      <c r="X1336" s="276"/>
      <c r="Y1336" s="276"/>
      <c r="Z1336" s="276"/>
      <c r="AA1336" s="276"/>
      <c r="AB1336" s="276"/>
      <c r="AC1336" s="276"/>
      <c r="AD1336" s="276"/>
    </row>
    <row r="1337" spans="18:30" x14ac:dyDescent="0.25">
      <c r="R1337" s="508"/>
      <c r="S1337" s="508"/>
      <c r="T1337" s="276"/>
      <c r="U1337" s="276"/>
      <c r="V1337" s="276"/>
      <c r="W1337" s="283"/>
      <c r="X1337" s="276"/>
      <c r="Y1337" s="276"/>
      <c r="Z1337" s="276"/>
      <c r="AA1337" s="276"/>
      <c r="AB1337" s="276"/>
      <c r="AC1337" s="276"/>
      <c r="AD1337" s="276"/>
    </row>
    <row r="1338" spans="18:30" x14ac:dyDescent="0.25">
      <c r="R1338" s="508"/>
      <c r="S1338" s="508"/>
      <c r="T1338" s="276"/>
      <c r="U1338" s="276"/>
      <c r="V1338" s="276"/>
      <c r="W1338" s="283"/>
      <c r="X1338" s="276"/>
      <c r="Y1338" s="276"/>
      <c r="Z1338" s="276"/>
      <c r="AA1338" s="276"/>
      <c r="AB1338" s="276"/>
      <c r="AC1338" s="276"/>
      <c r="AD1338" s="276"/>
    </row>
    <row r="1339" spans="18:30" x14ac:dyDescent="0.25">
      <c r="R1339" s="508"/>
      <c r="S1339" s="508"/>
      <c r="T1339" s="276"/>
      <c r="U1339" s="276"/>
      <c r="V1339" s="276"/>
      <c r="W1339" s="283"/>
      <c r="X1339" s="276"/>
      <c r="Y1339" s="276"/>
      <c r="Z1339" s="276"/>
      <c r="AA1339" s="276"/>
      <c r="AB1339" s="276"/>
      <c r="AC1339" s="276"/>
      <c r="AD1339" s="276"/>
    </row>
    <row r="1340" spans="18:30" x14ac:dyDescent="0.25">
      <c r="R1340" s="508"/>
      <c r="S1340" s="508"/>
      <c r="T1340" s="276"/>
      <c r="U1340" s="276"/>
      <c r="V1340" s="276"/>
      <c r="W1340" s="283"/>
      <c r="X1340" s="276"/>
      <c r="Y1340" s="276"/>
      <c r="Z1340" s="276"/>
      <c r="AA1340" s="276"/>
      <c r="AB1340" s="276"/>
      <c r="AC1340" s="276"/>
      <c r="AD1340" s="276"/>
    </row>
    <row r="1341" spans="18:30" x14ac:dyDescent="0.25">
      <c r="R1341" s="508"/>
      <c r="S1341" s="508"/>
      <c r="T1341" s="276"/>
      <c r="U1341" s="276"/>
      <c r="V1341" s="276"/>
      <c r="W1341" s="283"/>
      <c r="X1341" s="276"/>
      <c r="Y1341" s="276"/>
      <c r="Z1341" s="276"/>
      <c r="AA1341" s="276"/>
      <c r="AB1341" s="276"/>
      <c r="AC1341" s="276"/>
      <c r="AD1341" s="276"/>
    </row>
    <row r="1342" spans="18:30" x14ac:dyDescent="0.25">
      <c r="R1342" s="508"/>
      <c r="S1342" s="508"/>
      <c r="T1342" s="276"/>
      <c r="U1342" s="276"/>
      <c r="V1342" s="276"/>
      <c r="W1342" s="283"/>
      <c r="X1342" s="276"/>
      <c r="Y1342" s="276"/>
      <c r="Z1342" s="276"/>
      <c r="AA1342" s="276"/>
      <c r="AB1342" s="276"/>
      <c r="AC1342" s="276"/>
      <c r="AD1342" s="276"/>
    </row>
    <row r="1343" spans="18:30" x14ac:dyDescent="0.25">
      <c r="R1343" s="508"/>
      <c r="S1343" s="508"/>
      <c r="T1343" s="276"/>
      <c r="U1343" s="276"/>
      <c r="V1343" s="276"/>
      <c r="W1343" s="283"/>
      <c r="X1343" s="276"/>
      <c r="Y1343" s="276"/>
      <c r="Z1343" s="276"/>
      <c r="AA1343" s="276"/>
      <c r="AB1343" s="276"/>
      <c r="AC1343" s="276"/>
      <c r="AD1343" s="276"/>
    </row>
    <row r="1344" spans="18:30" x14ac:dyDescent="0.25">
      <c r="R1344" s="508"/>
      <c r="S1344" s="508"/>
      <c r="T1344" s="276"/>
      <c r="U1344" s="276"/>
      <c r="V1344" s="276"/>
      <c r="W1344" s="283"/>
      <c r="X1344" s="276"/>
      <c r="Y1344" s="276"/>
      <c r="Z1344" s="276"/>
      <c r="AA1344" s="276"/>
      <c r="AB1344" s="276"/>
      <c r="AC1344" s="276"/>
      <c r="AD1344" s="276"/>
    </row>
    <row r="1345" spans="18:30" x14ac:dyDescent="0.25">
      <c r="R1345" s="508"/>
      <c r="S1345" s="508"/>
      <c r="T1345" s="276"/>
      <c r="U1345" s="276"/>
      <c r="V1345" s="276"/>
      <c r="W1345" s="283"/>
      <c r="X1345" s="276"/>
      <c r="Y1345" s="276"/>
      <c r="Z1345" s="276"/>
      <c r="AA1345" s="276"/>
      <c r="AB1345" s="276"/>
      <c r="AC1345" s="276"/>
      <c r="AD1345" s="276"/>
    </row>
    <row r="1346" spans="18:30" x14ac:dyDescent="0.25">
      <c r="R1346" s="508"/>
      <c r="S1346" s="508"/>
      <c r="T1346" s="276"/>
      <c r="U1346" s="276"/>
      <c r="V1346" s="276"/>
      <c r="W1346" s="283"/>
      <c r="X1346" s="276"/>
      <c r="Y1346" s="276"/>
      <c r="Z1346" s="276"/>
      <c r="AA1346" s="276"/>
      <c r="AB1346" s="276"/>
      <c r="AC1346" s="276"/>
      <c r="AD1346" s="276"/>
    </row>
    <row r="1347" spans="18:30" x14ac:dyDescent="0.25">
      <c r="R1347" s="508"/>
      <c r="S1347" s="508"/>
      <c r="T1347" s="276"/>
      <c r="U1347" s="276"/>
      <c r="V1347" s="276"/>
      <c r="W1347" s="283"/>
      <c r="X1347" s="276"/>
      <c r="Y1347" s="276"/>
      <c r="Z1347" s="276"/>
      <c r="AA1347" s="276"/>
      <c r="AB1347" s="276"/>
      <c r="AC1347" s="276"/>
      <c r="AD1347" s="276"/>
    </row>
    <row r="1348" spans="18:30" x14ac:dyDescent="0.25">
      <c r="R1348" s="508"/>
      <c r="S1348" s="508"/>
      <c r="T1348" s="276"/>
      <c r="U1348" s="276"/>
      <c r="V1348" s="276"/>
      <c r="W1348" s="283"/>
      <c r="X1348" s="276"/>
      <c r="Y1348" s="276"/>
      <c r="Z1348" s="276"/>
      <c r="AA1348" s="276"/>
      <c r="AB1348" s="276"/>
      <c r="AC1348" s="276"/>
      <c r="AD1348" s="276"/>
    </row>
    <row r="1349" spans="18:30" x14ac:dyDescent="0.25">
      <c r="R1349" s="508"/>
      <c r="S1349" s="508"/>
      <c r="T1349" s="276"/>
      <c r="U1349" s="276"/>
      <c r="V1349" s="276"/>
      <c r="W1349" s="283"/>
      <c r="X1349" s="276"/>
      <c r="Y1349" s="276"/>
      <c r="Z1349" s="276"/>
      <c r="AA1349" s="276"/>
      <c r="AB1349" s="276"/>
      <c r="AC1349" s="276"/>
      <c r="AD1349" s="276"/>
    </row>
    <row r="1350" spans="18:30" x14ac:dyDescent="0.25">
      <c r="R1350" s="508"/>
      <c r="S1350" s="508"/>
      <c r="T1350" s="276"/>
      <c r="U1350" s="276"/>
      <c r="V1350" s="276"/>
      <c r="W1350" s="283"/>
      <c r="X1350" s="276"/>
      <c r="Y1350" s="276"/>
      <c r="Z1350" s="276"/>
      <c r="AA1350" s="276"/>
      <c r="AB1350" s="276"/>
      <c r="AC1350" s="276"/>
      <c r="AD1350" s="276"/>
    </row>
    <row r="1351" spans="18:30" x14ac:dyDescent="0.25">
      <c r="R1351" s="508"/>
      <c r="S1351" s="508"/>
      <c r="T1351" s="276"/>
      <c r="U1351" s="276"/>
      <c r="V1351" s="276"/>
      <c r="W1351" s="283"/>
      <c r="X1351" s="276"/>
      <c r="Y1351" s="276"/>
      <c r="Z1351" s="276"/>
      <c r="AA1351" s="276"/>
      <c r="AB1351" s="276"/>
      <c r="AC1351" s="276"/>
      <c r="AD1351" s="276"/>
    </row>
    <row r="1352" spans="18:30" x14ac:dyDescent="0.25">
      <c r="R1352" s="508"/>
      <c r="S1352" s="508"/>
      <c r="T1352" s="276"/>
      <c r="U1352" s="276"/>
      <c r="V1352" s="276"/>
      <c r="W1352" s="283"/>
      <c r="X1352" s="276"/>
      <c r="Y1352" s="276"/>
      <c r="Z1352" s="276"/>
      <c r="AA1352" s="276"/>
      <c r="AB1352" s="276"/>
      <c r="AC1352" s="276"/>
      <c r="AD1352" s="276"/>
    </row>
    <row r="1353" spans="18:30" x14ac:dyDescent="0.25">
      <c r="R1353" s="508"/>
      <c r="S1353" s="508"/>
      <c r="T1353" s="276"/>
      <c r="U1353" s="276"/>
      <c r="V1353" s="276"/>
      <c r="W1353" s="283"/>
      <c r="X1353" s="276"/>
      <c r="Y1353" s="276"/>
      <c r="Z1353" s="276"/>
      <c r="AA1353" s="276"/>
      <c r="AB1353" s="276"/>
      <c r="AC1353" s="276"/>
      <c r="AD1353" s="276"/>
    </row>
    <row r="1354" spans="18:30" x14ac:dyDescent="0.25">
      <c r="R1354" s="508"/>
      <c r="S1354" s="508"/>
      <c r="T1354" s="276"/>
      <c r="U1354" s="276"/>
      <c r="V1354" s="276"/>
      <c r="W1354" s="283"/>
      <c r="X1354" s="276"/>
      <c r="Y1354" s="276"/>
      <c r="Z1354" s="276"/>
      <c r="AA1354" s="276"/>
      <c r="AB1354" s="276"/>
      <c r="AC1354" s="276"/>
      <c r="AD1354" s="276"/>
    </row>
    <row r="1355" spans="18:30" x14ac:dyDescent="0.25">
      <c r="R1355" s="508"/>
      <c r="S1355" s="508"/>
      <c r="T1355" s="276"/>
      <c r="U1355" s="276"/>
      <c r="V1355" s="276"/>
      <c r="W1355" s="283"/>
      <c r="X1355" s="276"/>
      <c r="Y1355" s="276"/>
      <c r="Z1355" s="276"/>
      <c r="AA1355" s="276"/>
      <c r="AB1355" s="276"/>
      <c r="AC1355" s="276"/>
      <c r="AD1355" s="276"/>
    </row>
    <row r="1356" spans="18:30" x14ac:dyDescent="0.25">
      <c r="R1356" s="508"/>
      <c r="S1356" s="508"/>
      <c r="T1356" s="276"/>
      <c r="U1356" s="276"/>
      <c r="V1356" s="276"/>
      <c r="W1356" s="283"/>
      <c r="X1356" s="276"/>
      <c r="Y1356" s="276"/>
      <c r="Z1356" s="276"/>
      <c r="AA1356" s="276"/>
      <c r="AB1356" s="276"/>
      <c r="AC1356" s="276"/>
      <c r="AD1356" s="276"/>
    </row>
    <row r="1357" spans="18:30" x14ac:dyDescent="0.25">
      <c r="R1357" s="508"/>
      <c r="S1357" s="508"/>
      <c r="T1357" s="276"/>
      <c r="U1357" s="276"/>
      <c r="V1357" s="276"/>
      <c r="W1357" s="283"/>
      <c r="X1357" s="276"/>
      <c r="Y1357" s="276"/>
      <c r="Z1357" s="276"/>
      <c r="AA1357" s="276"/>
      <c r="AB1357" s="276"/>
      <c r="AC1357" s="276"/>
      <c r="AD1357" s="276"/>
    </row>
    <row r="1358" spans="18:30" x14ac:dyDescent="0.25">
      <c r="R1358" s="508"/>
      <c r="S1358" s="508"/>
      <c r="T1358" s="276"/>
      <c r="U1358" s="276"/>
      <c r="V1358" s="276"/>
      <c r="W1358" s="283"/>
      <c r="X1358" s="276"/>
      <c r="Y1358" s="276"/>
      <c r="Z1358" s="276"/>
      <c r="AA1358" s="276"/>
      <c r="AB1358" s="276"/>
      <c r="AC1358" s="276"/>
      <c r="AD1358" s="276"/>
    </row>
    <row r="1359" spans="18:30" x14ac:dyDescent="0.25">
      <c r="R1359" s="508"/>
      <c r="S1359" s="508"/>
      <c r="T1359" s="276"/>
      <c r="U1359" s="276"/>
      <c r="V1359" s="276"/>
      <c r="W1359" s="283"/>
      <c r="X1359" s="276"/>
      <c r="Y1359" s="276"/>
      <c r="Z1359" s="276"/>
      <c r="AA1359" s="276"/>
      <c r="AB1359" s="276"/>
      <c r="AC1359" s="276"/>
      <c r="AD1359" s="276"/>
    </row>
    <row r="1360" spans="18:30" x14ac:dyDescent="0.25">
      <c r="R1360" s="508"/>
      <c r="S1360" s="508"/>
      <c r="T1360" s="276"/>
      <c r="U1360" s="276"/>
      <c r="V1360" s="276"/>
      <c r="W1360" s="283"/>
      <c r="X1360" s="276"/>
      <c r="Y1360" s="276"/>
      <c r="Z1360" s="276"/>
      <c r="AA1360" s="276"/>
      <c r="AB1360" s="276"/>
      <c r="AC1360" s="276"/>
      <c r="AD1360" s="276"/>
    </row>
    <row r="1361" spans="18:30" x14ac:dyDescent="0.25">
      <c r="R1361" s="508"/>
      <c r="S1361" s="508"/>
      <c r="T1361" s="276"/>
      <c r="U1361" s="276"/>
      <c r="V1361" s="276"/>
      <c r="W1361" s="283"/>
      <c r="X1361" s="276"/>
      <c r="Y1361" s="276"/>
      <c r="Z1361" s="276"/>
      <c r="AA1361" s="276"/>
      <c r="AB1361" s="276"/>
      <c r="AC1361" s="276"/>
      <c r="AD1361" s="276"/>
    </row>
    <row r="1362" spans="18:30" x14ac:dyDescent="0.25">
      <c r="R1362" s="508"/>
      <c r="S1362" s="508"/>
      <c r="T1362" s="276"/>
      <c r="U1362" s="276"/>
      <c r="V1362" s="276"/>
      <c r="W1362" s="283"/>
      <c r="X1362" s="276"/>
      <c r="Y1362" s="276"/>
      <c r="Z1362" s="276"/>
      <c r="AA1362" s="276"/>
      <c r="AB1362" s="276"/>
      <c r="AC1362" s="276"/>
      <c r="AD1362" s="276"/>
    </row>
    <row r="1363" spans="18:30" x14ac:dyDescent="0.25">
      <c r="R1363" s="508"/>
      <c r="S1363" s="508"/>
      <c r="T1363" s="276"/>
      <c r="U1363" s="276"/>
      <c r="V1363" s="276"/>
      <c r="W1363" s="283"/>
      <c r="X1363" s="276"/>
      <c r="Y1363" s="276"/>
      <c r="Z1363" s="276"/>
      <c r="AA1363" s="276"/>
      <c r="AB1363" s="276"/>
      <c r="AC1363" s="276"/>
      <c r="AD1363" s="276"/>
    </row>
    <row r="1364" spans="18:30" x14ac:dyDescent="0.25">
      <c r="R1364" s="508"/>
      <c r="S1364" s="508"/>
      <c r="T1364" s="276"/>
      <c r="U1364" s="276"/>
      <c r="V1364" s="276"/>
      <c r="W1364" s="283"/>
      <c r="X1364" s="276"/>
      <c r="Y1364" s="276"/>
      <c r="Z1364" s="276"/>
      <c r="AA1364" s="276"/>
      <c r="AB1364" s="276"/>
      <c r="AC1364" s="276"/>
      <c r="AD1364" s="276"/>
    </row>
    <row r="1365" spans="18:30" x14ac:dyDescent="0.25">
      <c r="R1365" s="508"/>
      <c r="S1365" s="508"/>
      <c r="T1365" s="276"/>
      <c r="U1365" s="276"/>
      <c r="V1365" s="276"/>
      <c r="W1365" s="283"/>
      <c r="X1365" s="276"/>
      <c r="Y1365" s="276"/>
      <c r="Z1365" s="276"/>
      <c r="AA1365" s="276"/>
      <c r="AB1365" s="276"/>
      <c r="AC1365" s="276"/>
      <c r="AD1365" s="276"/>
    </row>
    <row r="1366" spans="18:30" x14ac:dyDescent="0.25">
      <c r="R1366" s="508"/>
      <c r="S1366" s="508"/>
      <c r="T1366" s="276"/>
      <c r="U1366" s="276"/>
      <c r="V1366" s="276"/>
      <c r="W1366" s="283"/>
      <c r="X1366" s="276"/>
      <c r="Y1366" s="276"/>
      <c r="Z1366" s="276"/>
      <c r="AA1366" s="276"/>
      <c r="AB1366" s="276"/>
      <c r="AC1366" s="276"/>
      <c r="AD1366" s="276"/>
    </row>
    <row r="1367" spans="18:30" x14ac:dyDescent="0.25">
      <c r="R1367" s="508"/>
      <c r="S1367" s="508"/>
      <c r="T1367" s="276"/>
      <c r="U1367" s="276"/>
      <c r="V1367" s="276"/>
      <c r="W1367" s="283"/>
      <c r="X1367" s="276"/>
      <c r="Y1367" s="276"/>
      <c r="Z1367" s="276"/>
      <c r="AA1367" s="276"/>
      <c r="AB1367" s="276"/>
      <c r="AC1367" s="276"/>
      <c r="AD1367" s="276"/>
    </row>
    <row r="1368" spans="18:30" x14ac:dyDescent="0.25">
      <c r="R1368" s="508"/>
      <c r="S1368" s="508"/>
      <c r="T1368" s="276"/>
      <c r="U1368" s="276"/>
      <c r="V1368" s="276"/>
      <c r="W1368" s="283"/>
      <c r="X1368" s="276"/>
      <c r="Y1368" s="276"/>
      <c r="Z1368" s="276"/>
      <c r="AA1368" s="276"/>
      <c r="AB1368" s="276"/>
      <c r="AC1368" s="276"/>
      <c r="AD1368" s="276"/>
    </row>
    <row r="1369" spans="18:30" x14ac:dyDescent="0.25">
      <c r="R1369" s="508"/>
      <c r="S1369" s="508"/>
      <c r="T1369" s="276"/>
      <c r="U1369" s="276"/>
      <c r="V1369" s="276"/>
      <c r="W1369" s="283"/>
      <c r="X1369" s="276"/>
      <c r="Y1369" s="276"/>
      <c r="Z1369" s="276"/>
      <c r="AA1369" s="276"/>
      <c r="AB1369" s="276"/>
      <c r="AC1369" s="276"/>
      <c r="AD1369" s="276"/>
    </row>
    <row r="1370" spans="18:30" x14ac:dyDescent="0.25">
      <c r="R1370" s="508"/>
      <c r="S1370" s="508"/>
      <c r="T1370" s="276"/>
      <c r="U1370" s="276"/>
      <c r="V1370" s="276"/>
      <c r="W1370" s="283"/>
      <c r="X1370" s="276"/>
      <c r="Y1370" s="276"/>
      <c r="Z1370" s="276"/>
      <c r="AA1370" s="276"/>
      <c r="AB1370" s="276"/>
      <c r="AC1370" s="276"/>
      <c r="AD1370" s="276"/>
    </row>
    <row r="1371" spans="18:30" x14ac:dyDescent="0.25">
      <c r="R1371" s="508"/>
      <c r="S1371" s="508"/>
      <c r="T1371" s="276"/>
      <c r="U1371" s="276"/>
      <c r="V1371" s="276"/>
      <c r="W1371" s="283"/>
      <c r="X1371" s="276"/>
      <c r="Y1371" s="276"/>
      <c r="Z1371" s="276"/>
      <c r="AA1371" s="276"/>
      <c r="AB1371" s="276"/>
      <c r="AC1371" s="276"/>
      <c r="AD1371" s="276"/>
    </row>
    <row r="1372" spans="18:30" x14ac:dyDescent="0.25">
      <c r="R1372" s="508"/>
      <c r="S1372" s="508"/>
      <c r="T1372" s="276"/>
      <c r="U1372" s="276"/>
      <c r="V1372" s="276"/>
      <c r="W1372" s="283"/>
      <c r="X1372" s="276"/>
      <c r="Y1372" s="276"/>
      <c r="Z1372" s="276"/>
      <c r="AA1372" s="276"/>
      <c r="AB1372" s="276"/>
      <c r="AC1372" s="276"/>
      <c r="AD1372" s="276"/>
    </row>
    <row r="1373" spans="18:30" x14ac:dyDescent="0.25">
      <c r="R1373" s="508"/>
      <c r="S1373" s="508"/>
      <c r="T1373" s="276"/>
      <c r="U1373" s="276"/>
      <c r="V1373" s="276"/>
      <c r="W1373" s="283"/>
      <c r="X1373" s="276"/>
      <c r="Y1373" s="276"/>
      <c r="Z1373" s="276"/>
      <c r="AA1373" s="276"/>
      <c r="AB1373" s="276"/>
      <c r="AC1373" s="276"/>
      <c r="AD1373" s="276"/>
    </row>
    <row r="1374" spans="18:30" x14ac:dyDescent="0.25">
      <c r="R1374" s="508"/>
      <c r="S1374" s="508"/>
      <c r="T1374" s="276"/>
      <c r="U1374" s="276"/>
      <c r="V1374" s="276"/>
      <c r="W1374" s="283"/>
      <c r="X1374" s="276"/>
      <c r="Y1374" s="276"/>
      <c r="Z1374" s="276"/>
      <c r="AA1374" s="276"/>
      <c r="AB1374" s="276"/>
      <c r="AC1374" s="276"/>
      <c r="AD1374" s="276"/>
    </row>
    <row r="1375" spans="18:30" x14ac:dyDescent="0.25">
      <c r="R1375" s="508"/>
      <c r="S1375" s="508"/>
      <c r="T1375" s="276"/>
      <c r="U1375" s="276"/>
      <c r="V1375" s="276"/>
      <c r="W1375" s="283"/>
      <c r="X1375" s="276"/>
      <c r="Y1375" s="276"/>
      <c r="Z1375" s="276"/>
      <c r="AA1375" s="276"/>
      <c r="AB1375" s="276"/>
      <c r="AC1375" s="276"/>
      <c r="AD1375" s="276"/>
    </row>
    <row r="1376" spans="18:30" x14ac:dyDescent="0.25">
      <c r="R1376" s="508"/>
      <c r="S1376" s="508"/>
      <c r="T1376" s="276"/>
      <c r="U1376" s="276"/>
      <c r="V1376" s="276"/>
      <c r="W1376" s="283"/>
      <c r="X1376" s="276"/>
      <c r="Y1376" s="276"/>
      <c r="Z1376" s="276"/>
      <c r="AA1376" s="276"/>
      <c r="AB1376" s="276"/>
      <c r="AC1376" s="276"/>
      <c r="AD1376" s="276"/>
    </row>
    <row r="1377" spans="18:30" x14ac:dyDescent="0.25">
      <c r="R1377" s="508"/>
      <c r="S1377" s="508"/>
      <c r="T1377" s="276"/>
      <c r="U1377" s="276"/>
      <c r="V1377" s="276"/>
      <c r="W1377" s="283"/>
      <c r="X1377" s="276"/>
      <c r="Y1377" s="276"/>
      <c r="Z1377" s="276"/>
      <c r="AA1377" s="276"/>
      <c r="AB1377" s="276"/>
      <c r="AC1377" s="276"/>
      <c r="AD1377" s="276"/>
    </row>
    <row r="1378" spans="18:30" x14ac:dyDescent="0.25">
      <c r="R1378" s="508"/>
      <c r="S1378" s="508"/>
      <c r="T1378" s="276"/>
      <c r="U1378" s="276"/>
      <c r="V1378" s="276"/>
      <c r="W1378" s="283"/>
      <c r="X1378" s="276"/>
      <c r="Y1378" s="276"/>
      <c r="Z1378" s="276"/>
      <c r="AA1378" s="276"/>
      <c r="AB1378" s="276"/>
      <c r="AC1378" s="276"/>
      <c r="AD1378" s="276"/>
    </row>
    <row r="1379" spans="18:30" x14ac:dyDescent="0.25">
      <c r="R1379" s="508"/>
      <c r="S1379" s="508"/>
      <c r="T1379" s="276"/>
      <c r="U1379" s="276"/>
      <c r="V1379" s="276"/>
      <c r="W1379" s="283"/>
      <c r="X1379" s="276"/>
      <c r="Y1379" s="276"/>
      <c r="Z1379" s="276"/>
      <c r="AA1379" s="276"/>
      <c r="AB1379" s="276"/>
      <c r="AC1379" s="276"/>
      <c r="AD1379" s="276"/>
    </row>
    <row r="1380" spans="18:30" x14ac:dyDescent="0.25">
      <c r="R1380" s="508"/>
      <c r="S1380" s="508"/>
      <c r="T1380" s="276"/>
      <c r="U1380" s="276"/>
      <c r="V1380" s="276"/>
      <c r="W1380" s="283"/>
      <c r="X1380" s="276"/>
      <c r="Y1380" s="276"/>
      <c r="Z1380" s="276"/>
      <c r="AA1380" s="276"/>
      <c r="AB1380" s="276"/>
      <c r="AC1380" s="276"/>
      <c r="AD1380" s="276"/>
    </row>
    <row r="1381" spans="18:30" x14ac:dyDescent="0.25">
      <c r="R1381" s="508"/>
      <c r="S1381" s="508"/>
      <c r="T1381" s="276"/>
      <c r="U1381" s="276"/>
      <c r="V1381" s="276"/>
      <c r="W1381" s="283"/>
      <c r="X1381" s="276"/>
      <c r="Y1381" s="276"/>
      <c r="Z1381" s="276"/>
      <c r="AA1381" s="276"/>
      <c r="AB1381" s="276"/>
      <c r="AC1381" s="276"/>
      <c r="AD1381" s="276"/>
    </row>
    <row r="1382" spans="18:30" x14ac:dyDescent="0.25">
      <c r="R1382" s="508"/>
      <c r="S1382" s="508"/>
      <c r="T1382" s="276"/>
      <c r="U1382" s="276"/>
      <c r="V1382" s="276"/>
      <c r="W1382" s="283"/>
      <c r="X1382" s="276"/>
      <c r="Y1382" s="276"/>
      <c r="Z1382" s="276"/>
      <c r="AA1382" s="276"/>
      <c r="AB1382" s="276"/>
      <c r="AC1382" s="276"/>
      <c r="AD1382" s="276"/>
    </row>
    <row r="1383" spans="18:30" x14ac:dyDescent="0.25">
      <c r="R1383" s="508"/>
      <c r="S1383" s="508"/>
      <c r="T1383" s="276"/>
      <c r="U1383" s="276"/>
      <c r="V1383" s="276"/>
      <c r="W1383" s="283"/>
      <c r="X1383" s="276"/>
      <c r="Y1383" s="276"/>
      <c r="Z1383" s="276"/>
      <c r="AA1383" s="276"/>
      <c r="AB1383" s="276"/>
      <c r="AC1383" s="276"/>
      <c r="AD1383" s="276"/>
    </row>
    <row r="1384" spans="18:30" x14ac:dyDescent="0.25">
      <c r="R1384" s="508"/>
      <c r="S1384" s="508"/>
      <c r="T1384" s="276"/>
      <c r="U1384" s="276"/>
      <c r="V1384" s="276"/>
      <c r="W1384" s="283"/>
      <c r="X1384" s="276"/>
      <c r="Y1384" s="276"/>
      <c r="Z1384" s="276"/>
      <c r="AA1384" s="276"/>
      <c r="AB1384" s="276"/>
      <c r="AC1384" s="276"/>
      <c r="AD1384" s="276"/>
    </row>
    <row r="1385" spans="18:30" x14ac:dyDescent="0.25">
      <c r="R1385" s="508"/>
      <c r="S1385" s="508"/>
      <c r="T1385" s="276"/>
      <c r="U1385" s="276"/>
      <c r="V1385" s="276"/>
      <c r="W1385" s="283"/>
      <c r="X1385" s="276"/>
      <c r="Y1385" s="276"/>
      <c r="Z1385" s="276"/>
      <c r="AA1385" s="276"/>
      <c r="AB1385" s="276"/>
      <c r="AC1385" s="276"/>
      <c r="AD1385" s="276"/>
    </row>
    <row r="1386" spans="18:30" x14ac:dyDescent="0.25">
      <c r="R1386" s="508"/>
      <c r="S1386" s="508"/>
      <c r="T1386" s="276"/>
      <c r="U1386" s="276"/>
      <c r="V1386" s="276"/>
      <c r="W1386" s="283"/>
      <c r="X1386" s="276"/>
      <c r="Y1386" s="276"/>
      <c r="Z1386" s="276"/>
      <c r="AA1386" s="276"/>
      <c r="AB1386" s="276"/>
      <c r="AC1386" s="276"/>
      <c r="AD1386" s="276"/>
    </row>
    <row r="1387" spans="18:30" x14ac:dyDescent="0.25">
      <c r="R1387" s="508"/>
      <c r="S1387" s="508"/>
      <c r="T1387" s="276"/>
      <c r="U1387" s="276"/>
      <c r="V1387" s="276"/>
      <c r="W1387" s="283"/>
      <c r="X1387" s="276"/>
      <c r="Y1387" s="276"/>
      <c r="Z1387" s="276"/>
      <c r="AA1387" s="276"/>
      <c r="AB1387" s="276"/>
      <c r="AC1387" s="276"/>
      <c r="AD1387" s="276"/>
    </row>
    <row r="1388" spans="18:30" x14ac:dyDescent="0.25">
      <c r="R1388" s="508"/>
      <c r="S1388" s="508"/>
      <c r="T1388" s="276"/>
      <c r="U1388" s="276"/>
      <c r="V1388" s="276"/>
      <c r="W1388" s="283"/>
      <c r="X1388" s="276"/>
      <c r="Y1388" s="276"/>
      <c r="Z1388" s="276"/>
      <c r="AA1388" s="276"/>
      <c r="AB1388" s="276"/>
      <c r="AC1388" s="276"/>
      <c r="AD1388" s="276"/>
    </row>
    <row r="1389" spans="18:30" x14ac:dyDescent="0.25">
      <c r="R1389" s="508"/>
      <c r="S1389" s="508"/>
      <c r="T1389" s="276"/>
      <c r="U1389" s="276"/>
      <c r="V1389" s="276"/>
      <c r="W1389" s="283"/>
      <c r="X1389" s="276"/>
      <c r="Y1389" s="276"/>
      <c r="Z1389" s="276"/>
      <c r="AA1389" s="276"/>
      <c r="AB1389" s="276"/>
      <c r="AC1389" s="276"/>
      <c r="AD1389" s="276"/>
    </row>
    <row r="1390" spans="18:30" x14ac:dyDescent="0.25">
      <c r="R1390" s="508"/>
      <c r="S1390" s="508"/>
      <c r="T1390" s="276"/>
      <c r="U1390" s="276"/>
      <c r="V1390" s="276"/>
      <c r="W1390" s="283"/>
      <c r="X1390" s="276"/>
      <c r="Y1390" s="276"/>
      <c r="Z1390" s="276"/>
      <c r="AA1390" s="276"/>
      <c r="AB1390" s="276"/>
      <c r="AC1390" s="276"/>
      <c r="AD1390" s="276"/>
    </row>
    <row r="1391" spans="18:30" x14ac:dyDescent="0.25">
      <c r="R1391" s="508"/>
      <c r="S1391" s="508"/>
      <c r="T1391" s="276"/>
      <c r="U1391" s="276"/>
      <c r="V1391" s="276"/>
      <c r="W1391" s="283"/>
      <c r="X1391" s="276"/>
      <c r="Y1391" s="276"/>
      <c r="Z1391" s="276"/>
      <c r="AA1391" s="276"/>
      <c r="AB1391" s="276"/>
      <c r="AC1391" s="276"/>
      <c r="AD1391" s="276"/>
    </row>
    <row r="1392" spans="18:30" x14ac:dyDescent="0.25">
      <c r="R1392" s="508"/>
      <c r="S1392" s="508"/>
      <c r="T1392" s="276"/>
      <c r="U1392" s="276"/>
      <c r="V1392" s="276"/>
      <c r="W1392" s="283"/>
      <c r="X1392" s="276"/>
      <c r="Y1392" s="276"/>
      <c r="Z1392" s="276"/>
      <c r="AA1392" s="276"/>
      <c r="AB1392" s="276"/>
      <c r="AC1392" s="276"/>
      <c r="AD1392" s="276"/>
    </row>
    <row r="1393" spans="18:30" x14ac:dyDescent="0.25">
      <c r="R1393" s="508"/>
      <c r="S1393" s="508"/>
      <c r="T1393" s="276"/>
      <c r="U1393" s="276"/>
      <c r="V1393" s="276"/>
      <c r="W1393" s="283"/>
      <c r="X1393" s="276"/>
      <c r="Y1393" s="276"/>
      <c r="Z1393" s="276"/>
      <c r="AA1393" s="276"/>
      <c r="AB1393" s="276"/>
      <c r="AC1393" s="276"/>
      <c r="AD1393" s="276"/>
    </row>
    <row r="1394" spans="18:30" x14ac:dyDescent="0.25">
      <c r="R1394" s="508"/>
      <c r="S1394" s="508"/>
      <c r="T1394" s="276"/>
      <c r="U1394" s="276"/>
      <c r="V1394" s="276"/>
      <c r="W1394" s="283"/>
      <c r="X1394" s="276"/>
      <c r="Y1394" s="276"/>
      <c r="Z1394" s="276"/>
      <c r="AA1394" s="276"/>
      <c r="AB1394" s="276"/>
      <c r="AC1394" s="276"/>
      <c r="AD1394" s="276"/>
    </row>
    <row r="1395" spans="18:30" x14ac:dyDescent="0.25">
      <c r="R1395" s="508"/>
      <c r="S1395" s="508"/>
      <c r="T1395" s="276"/>
      <c r="U1395" s="276"/>
      <c r="V1395" s="276"/>
      <c r="W1395" s="283"/>
      <c r="X1395" s="276"/>
      <c r="Y1395" s="276"/>
      <c r="Z1395" s="276"/>
      <c r="AA1395" s="276"/>
      <c r="AB1395" s="276"/>
      <c r="AC1395" s="276"/>
      <c r="AD1395" s="276"/>
    </row>
    <row r="1396" spans="18:30" x14ac:dyDescent="0.25">
      <c r="R1396" s="508"/>
      <c r="S1396" s="508"/>
      <c r="T1396" s="276"/>
      <c r="U1396" s="276"/>
      <c r="V1396" s="276"/>
      <c r="W1396" s="283"/>
      <c r="X1396" s="276"/>
      <c r="Y1396" s="276"/>
      <c r="Z1396" s="276"/>
      <c r="AA1396" s="276"/>
      <c r="AB1396" s="276"/>
      <c r="AC1396" s="276"/>
      <c r="AD1396" s="276"/>
    </row>
    <row r="1397" spans="18:30" x14ac:dyDescent="0.25">
      <c r="R1397" s="508"/>
      <c r="S1397" s="508"/>
      <c r="T1397" s="276"/>
      <c r="U1397" s="276"/>
      <c r="V1397" s="276"/>
      <c r="W1397" s="283"/>
      <c r="X1397" s="276"/>
      <c r="Y1397" s="276"/>
      <c r="Z1397" s="276"/>
      <c r="AA1397" s="276"/>
      <c r="AB1397" s="276"/>
      <c r="AC1397" s="276"/>
      <c r="AD1397" s="276"/>
    </row>
    <row r="1398" spans="18:30" x14ac:dyDescent="0.25">
      <c r="R1398" s="508"/>
      <c r="S1398" s="508"/>
      <c r="T1398" s="276"/>
      <c r="U1398" s="276"/>
      <c r="V1398" s="276"/>
      <c r="W1398" s="283"/>
      <c r="X1398" s="276"/>
      <c r="Y1398" s="276"/>
      <c r="Z1398" s="276"/>
      <c r="AA1398" s="276"/>
      <c r="AB1398" s="276"/>
      <c r="AC1398" s="276"/>
      <c r="AD1398" s="276"/>
    </row>
    <row r="1399" spans="18:30" x14ac:dyDescent="0.25">
      <c r="R1399" s="508"/>
      <c r="S1399" s="508"/>
      <c r="T1399" s="276"/>
      <c r="U1399" s="276"/>
      <c r="V1399" s="276"/>
      <c r="W1399" s="283"/>
      <c r="X1399" s="276"/>
      <c r="Y1399" s="276"/>
      <c r="Z1399" s="276"/>
      <c r="AA1399" s="276"/>
      <c r="AB1399" s="276"/>
      <c r="AC1399" s="276"/>
      <c r="AD1399" s="276"/>
    </row>
    <row r="1400" spans="18:30" x14ac:dyDescent="0.25">
      <c r="R1400" s="508"/>
      <c r="S1400" s="508"/>
      <c r="T1400" s="276"/>
      <c r="U1400" s="276"/>
      <c r="V1400" s="276"/>
      <c r="W1400" s="283"/>
      <c r="X1400" s="276"/>
      <c r="Y1400" s="276"/>
      <c r="Z1400" s="276"/>
      <c r="AA1400" s="276"/>
      <c r="AB1400" s="276"/>
      <c r="AC1400" s="276"/>
      <c r="AD1400" s="276"/>
    </row>
    <row r="1401" spans="18:30" x14ac:dyDescent="0.25">
      <c r="R1401" s="508"/>
      <c r="S1401" s="508"/>
      <c r="T1401" s="276"/>
      <c r="U1401" s="276"/>
      <c r="V1401" s="276"/>
      <c r="W1401" s="283"/>
      <c r="X1401" s="276"/>
      <c r="Y1401" s="276"/>
      <c r="Z1401" s="276"/>
      <c r="AA1401" s="276"/>
      <c r="AB1401" s="276"/>
      <c r="AC1401" s="276"/>
      <c r="AD1401" s="276"/>
    </row>
    <row r="1402" spans="18:30" x14ac:dyDescent="0.25">
      <c r="R1402" s="508"/>
      <c r="S1402" s="508"/>
      <c r="T1402" s="276"/>
      <c r="U1402" s="276"/>
      <c r="V1402" s="276"/>
      <c r="W1402" s="283"/>
      <c r="X1402" s="276"/>
      <c r="Y1402" s="276"/>
      <c r="Z1402" s="276"/>
      <c r="AA1402" s="276"/>
      <c r="AB1402" s="276"/>
      <c r="AC1402" s="276"/>
      <c r="AD1402" s="276"/>
    </row>
    <row r="1403" spans="18:30" x14ac:dyDescent="0.25">
      <c r="R1403" s="508"/>
      <c r="S1403" s="508"/>
      <c r="T1403" s="276"/>
      <c r="U1403" s="276"/>
      <c r="V1403" s="276"/>
      <c r="W1403" s="283"/>
      <c r="X1403" s="276"/>
      <c r="Y1403" s="276"/>
      <c r="Z1403" s="276"/>
      <c r="AA1403" s="276"/>
      <c r="AB1403" s="276"/>
      <c r="AC1403" s="276"/>
      <c r="AD1403" s="276"/>
    </row>
    <row r="1404" spans="18:30" x14ac:dyDescent="0.25">
      <c r="R1404" s="508"/>
      <c r="S1404" s="508"/>
      <c r="T1404" s="276"/>
      <c r="U1404" s="276"/>
      <c r="V1404" s="276"/>
      <c r="W1404" s="283"/>
      <c r="X1404" s="276"/>
      <c r="Y1404" s="276"/>
      <c r="Z1404" s="276"/>
      <c r="AA1404" s="276"/>
      <c r="AB1404" s="276"/>
      <c r="AC1404" s="276"/>
      <c r="AD1404" s="276"/>
    </row>
    <row r="1405" spans="18:30" x14ac:dyDescent="0.25">
      <c r="R1405" s="508"/>
      <c r="S1405" s="508"/>
      <c r="T1405" s="276"/>
      <c r="U1405" s="276"/>
      <c r="V1405" s="276"/>
      <c r="W1405" s="283"/>
      <c r="X1405" s="276"/>
      <c r="Y1405" s="276"/>
      <c r="Z1405" s="276"/>
      <c r="AA1405" s="276"/>
      <c r="AB1405" s="276"/>
      <c r="AC1405" s="276"/>
      <c r="AD1405" s="276"/>
    </row>
    <row r="1406" spans="18:30" x14ac:dyDescent="0.25">
      <c r="R1406" s="508"/>
      <c r="S1406" s="508"/>
      <c r="T1406" s="276"/>
      <c r="U1406" s="276"/>
      <c r="V1406" s="276"/>
      <c r="W1406" s="283"/>
      <c r="X1406" s="276"/>
      <c r="Y1406" s="276"/>
      <c r="Z1406" s="276"/>
      <c r="AA1406" s="276"/>
      <c r="AB1406" s="276"/>
      <c r="AC1406" s="276"/>
      <c r="AD1406" s="276"/>
    </row>
    <row r="1407" spans="18:30" x14ac:dyDescent="0.25">
      <c r="R1407" s="508"/>
      <c r="S1407" s="508"/>
      <c r="T1407" s="276"/>
      <c r="U1407" s="276"/>
      <c r="V1407" s="276"/>
      <c r="W1407" s="283"/>
      <c r="X1407" s="276"/>
      <c r="Y1407" s="276"/>
      <c r="Z1407" s="276"/>
      <c r="AA1407" s="276"/>
      <c r="AB1407" s="276"/>
      <c r="AC1407" s="276"/>
      <c r="AD1407" s="276"/>
    </row>
    <row r="1408" spans="18:30" x14ac:dyDescent="0.25">
      <c r="R1408" s="508"/>
      <c r="S1408" s="508"/>
      <c r="T1408" s="276"/>
      <c r="U1408" s="276"/>
      <c r="V1408" s="276"/>
      <c r="W1408" s="283"/>
      <c r="X1408" s="276"/>
      <c r="Y1408" s="276"/>
      <c r="Z1408" s="276"/>
      <c r="AA1408" s="276"/>
      <c r="AB1408" s="276"/>
      <c r="AC1408" s="276"/>
      <c r="AD1408" s="276"/>
    </row>
    <row r="1409" spans="18:30" x14ac:dyDescent="0.25">
      <c r="R1409" s="508"/>
      <c r="S1409" s="508"/>
      <c r="T1409" s="276"/>
      <c r="U1409" s="276"/>
      <c r="V1409" s="276"/>
      <c r="W1409" s="283"/>
      <c r="X1409" s="276"/>
      <c r="Y1409" s="276"/>
      <c r="Z1409" s="276"/>
      <c r="AA1409" s="276"/>
      <c r="AB1409" s="276"/>
      <c r="AC1409" s="276"/>
      <c r="AD1409" s="276"/>
    </row>
    <row r="1410" spans="18:30" x14ac:dyDescent="0.25">
      <c r="R1410" s="508"/>
      <c r="S1410" s="508"/>
      <c r="T1410" s="276"/>
      <c r="U1410" s="276"/>
      <c r="V1410" s="276"/>
      <c r="W1410" s="283"/>
      <c r="X1410" s="276"/>
      <c r="Y1410" s="276"/>
      <c r="Z1410" s="276"/>
      <c r="AA1410" s="276"/>
      <c r="AB1410" s="276"/>
      <c r="AC1410" s="276"/>
      <c r="AD1410" s="276"/>
    </row>
    <row r="1411" spans="18:30" x14ac:dyDescent="0.25">
      <c r="R1411" s="508"/>
      <c r="S1411" s="508"/>
      <c r="T1411" s="276"/>
      <c r="U1411" s="276"/>
      <c r="V1411" s="276"/>
      <c r="W1411" s="283"/>
      <c r="X1411" s="276"/>
      <c r="Y1411" s="276"/>
      <c r="Z1411" s="276"/>
      <c r="AA1411" s="276"/>
      <c r="AB1411" s="276"/>
      <c r="AC1411" s="276"/>
      <c r="AD1411" s="276"/>
    </row>
    <row r="1412" spans="18:30" x14ac:dyDescent="0.25">
      <c r="R1412" s="508"/>
      <c r="S1412" s="508"/>
      <c r="T1412" s="276"/>
      <c r="U1412" s="276"/>
      <c r="V1412" s="276"/>
      <c r="W1412" s="283"/>
      <c r="X1412" s="276"/>
      <c r="Y1412" s="276"/>
      <c r="Z1412" s="276"/>
      <c r="AA1412" s="276"/>
      <c r="AB1412" s="276"/>
      <c r="AC1412" s="276"/>
      <c r="AD1412" s="276"/>
    </row>
    <row r="1413" spans="18:30" x14ac:dyDescent="0.25">
      <c r="R1413" s="508"/>
      <c r="S1413" s="508"/>
      <c r="T1413" s="276"/>
      <c r="U1413" s="276"/>
      <c r="V1413" s="276"/>
      <c r="W1413" s="283"/>
      <c r="X1413" s="276"/>
      <c r="Y1413" s="276"/>
      <c r="Z1413" s="276"/>
      <c r="AA1413" s="276"/>
      <c r="AB1413" s="276"/>
      <c r="AC1413" s="276"/>
      <c r="AD1413" s="276"/>
    </row>
    <row r="1414" spans="18:30" x14ac:dyDescent="0.25">
      <c r="R1414" s="508"/>
      <c r="S1414" s="508"/>
      <c r="T1414" s="276"/>
      <c r="U1414" s="276"/>
      <c r="V1414" s="276"/>
      <c r="W1414" s="283"/>
      <c r="X1414" s="276"/>
      <c r="Y1414" s="276"/>
      <c r="Z1414" s="276"/>
      <c r="AA1414" s="276"/>
      <c r="AB1414" s="276"/>
      <c r="AC1414" s="276"/>
      <c r="AD1414" s="276"/>
    </row>
    <row r="1415" spans="18:30" x14ac:dyDescent="0.25">
      <c r="R1415" s="508"/>
      <c r="S1415" s="508"/>
      <c r="T1415" s="276"/>
      <c r="U1415" s="276"/>
      <c r="V1415" s="276"/>
      <c r="W1415" s="283"/>
      <c r="X1415" s="276"/>
      <c r="Y1415" s="276"/>
      <c r="Z1415" s="276"/>
      <c r="AA1415" s="276"/>
      <c r="AB1415" s="276"/>
      <c r="AC1415" s="276"/>
      <c r="AD1415" s="276"/>
    </row>
    <row r="1416" spans="18:30" x14ac:dyDescent="0.25">
      <c r="R1416" s="508"/>
      <c r="S1416" s="508"/>
      <c r="T1416" s="276"/>
      <c r="U1416" s="276"/>
      <c r="V1416" s="276"/>
      <c r="W1416" s="283"/>
      <c r="X1416" s="276"/>
      <c r="Y1416" s="276"/>
      <c r="Z1416" s="276"/>
      <c r="AA1416" s="276"/>
      <c r="AB1416" s="276"/>
      <c r="AC1416" s="276"/>
      <c r="AD1416" s="276"/>
    </row>
    <row r="1417" spans="18:30" x14ac:dyDescent="0.25">
      <c r="R1417" s="508"/>
      <c r="S1417" s="508"/>
      <c r="T1417" s="276"/>
      <c r="U1417" s="276"/>
      <c r="V1417" s="276"/>
      <c r="W1417" s="283"/>
      <c r="X1417" s="276"/>
      <c r="Y1417" s="276"/>
      <c r="Z1417" s="276"/>
      <c r="AA1417" s="276"/>
      <c r="AB1417" s="276"/>
      <c r="AC1417" s="276"/>
      <c r="AD1417" s="276"/>
    </row>
    <row r="1418" spans="18:30" x14ac:dyDescent="0.25">
      <c r="R1418" s="508"/>
      <c r="S1418" s="508"/>
      <c r="T1418" s="276"/>
      <c r="U1418" s="276"/>
      <c r="V1418" s="276"/>
      <c r="W1418" s="283"/>
      <c r="X1418" s="276"/>
      <c r="Y1418" s="276"/>
      <c r="Z1418" s="276"/>
      <c r="AA1418" s="276"/>
      <c r="AB1418" s="276"/>
      <c r="AC1418" s="276"/>
      <c r="AD1418" s="276"/>
    </row>
    <row r="1419" spans="18:30" x14ac:dyDescent="0.25">
      <c r="R1419" s="508"/>
      <c r="S1419" s="508"/>
      <c r="T1419" s="276"/>
      <c r="U1419" s="276"/>
      <c r="V1419" s="276"/>
      <c r="W1419" s="283"/>
      <c r="X1419" s="276"/>
      <c r="Y1419" s="276"/>
      <c r="Z1419" s="276"/>
      <c r="AA1419" s="276"/>
      <c r="AB1419" s="276"/>
      <c r="AC1419" s="276"/>
      <c r="AD1419" s="276"/>
    </row>
    <row r="1420" spans="18:30" x14ac:dyDescent="0.25">
      <c r="R1420" s="508"/>
      <c r="S1420" s="508"/>
      <c r="T1420" s="276"/>
      <c r="U1420" s="276"/>
      <c r="V1420" s="276"/>
      <c r="W1420" s="283"/>
      <c r="X1420" s="276"/>
      <c r="Y1420" s="276"/>
      <c r="Z1420" s="276"/>
      <c r="AA1420" s="276"/>
      <c r="AB1420" s="276"/>
      <c r="AC1420" s="276"/>
      <c r="AD1420" s="276"/>
    </row>
    <row r="1421" spans="18:30" x14ac:dyDescent="0.25">
      <c r="R1421" s="508"/>
      <c r="S1421" s="508"/>
      <c r="T1421" s="276"/>
      <c r="U1421" s="276"/>
      <c r="V1421" s="276"/>
      <c r="W1421" s="283"/>
      <c r="X1421" s="276"/>
      <c r="Y1421" s="276"/>
      <c r="Z1421" s="276"/>
      <c r="AA1421" s="276"/>
      <c r="AB1421" s="276"/>
      <c r="AC1421" s="276"/>
      <c r="AD1421" s="276"/>
    </row>
    <row r="1422" spans="18:30" x14ac:dyDescent="0.25">
      <c r="R1422" s="508"/>
      <c r="S1422" s="508"/>
      <c r="T1422" s="276"/>
      <c r="U1422" s="276"/>
      <c r="V1422" s="276"/>
      <c r="W1422" s="283"/>
      <c r="X1422" s="276"/>
      <c r="Y1422" s="276"/>
      <c r="Z1422" s="276"/>
      <c r="AA1422" s="276"/>
      <c r="AB1422" s="276"/>
      <c r="AC1422" s="276"/>
      <c r="AD1422" s="276"/>
    </row>
    <row r="1423" spans="18:30" x14ac:dyDescent="0.25">
      <c r="R1423" s="508"/>
      <c r="S1423" s="508"/>
      <c r="T1423" s="276"/>
      <c r="U1423" s="276"/>
      <c r="V1423" s="276"/>
      <c r="W1423" s="283"/>
      <c r="X1423" s="276"/>
      <c r="Y1423" s="276"/>
      <c r="Z1423" s="276"/>
      <c r="AA1423" s="276"/>
      <c r="AB1423" s="276"/>
      <c r="AC1423" s="276"/>
      <c r="AD1423" s="276"/>
    </row>
    <row r="1424" spans="18:30" x14ac:dyDescent="0.25">
      <c r="R1424" s="508"/>
      <c r="S1424" s="508"/>
      <c r="T1424" s="276"/>
      <c r="U1424" s="276"/>
      <c r="V1424" s="276"/>
      <c r="W1424" s="283"/>
      <c r="X1424" s="276"/>
      <c r="Y1424" s="276"/>
      <c r="Z1424" s="276"/>
      <c r="AA1424" s="276"/>
      <c r="AB1424" s="276"/>
      <c r="AC1424" s="276"/>
      <c r="AD1424" s="276"/>
    </row>
    <row r="1425" spans="18:30" x14ac:dyDescent="0.25">
      <c r="R1425" s="508"/>
      <c r="S1425" s="508"/>
      <c r="T1425" s="276"/>
      <c r="U1425" s="276"/>
      <c r="V1425" s="276"/>
      <c r="W1425" s="283"/>
      <c r="X1425" s="276"/>
      <c r="Y1425" s="276"/>
      <c r="Z1425" s="276"/>
      <c r="AA1425" s="276"/>
      <c r="AB1425" s="276"/>
      <c r="AC1425" s="276"/>
      <c r="AD1425" s="276"/>
    </row>
    <row r="1426" spans="18:30" x14ac:dyDescent="0.25">
      <c r="R1426" s="508"/>
      <c r="S1426" s="508"/>
      <c r="T1426" s="276"/>
      <c r="U1426" s="276"/>
      <c r="V1426" s="276"/>
      <c r="W1426" s="283"/>
      <c r="X1426" s="276"/>
      <c r="Y1426" s="276"/>
      <c r="Z1426" s="276"/>
      <c r="AA1426" s="276"/>
      <c r="AB1426" s="276"/>
      <c r="AC1426" s="276"/>
      <c r="AD1426" s="276"/>
    </row>
    <row r="1427" spans="18:30" x14ac:dyDescent="0.25">
      <c r="R1427" s="508"/>
      <c r="S1427" s="508"/>
      <c r="T1427" s="276"/>
      <c r="U1427" s="276"/>
      <c r="V1427" s="276"/>
      <c r="W1427" s="283"/>
      <c r="X1427" s="276"/>
      <c r="Y1427" s="276"/>
      <c r="Z1427" s="276"/>
      <c r="AA1427" s="276"/>
      <c r="AB1427" s="276"/>
      <c r="AC1427" s="276"/>
      <c r="AD1427" s="276"/>
    </row>
    <row r="1428" spans="18:30" x14ac:dyDescent="0.25">
      <c r="R1428" s="508"/>
      <c r="S1428" s="508"/>
      <c r="T1428" s="276"/>
      <c r="U1428" s="276"/>
      <c r="V1428" s="276"/>
      <c r="W1428" s="283"/>
      <c r="X1428" s="276"/>
      <c r="Y1428" s="276"/>
      <c r="Z1428" s="276"/>
      <c r="AA1428" s="276"/>
      <c r="AB1428" s="276"/>
      <c r="AC1428" s="276"/>
      <c r="AD1428" s="276"/>
    </row>
    <row r="1429" spans="18:30" x14ac:dyDescent="0.25">
      <c r="R1429" s="508"/>
      <c r="S1429" s="508"/>
      <c r="T1429" s="276"/>
      <c r="U1429" s="276"/>
      <c r="V1429" s="276"/>
      <c r="W1429" s="283"/>
      <c r="X1429" s="276"/>
      <c r="Y1429" s="276"/>
      <c r="Z1429" s="276"/>
      <c r="AA1429" s="276"/>
      <c r="AB1429" s="276"/>
      <c r="AC1429" s="276"/>
      <c r="AD1429" s="276"/>
    </row>
    <row r="1430" spans="18:30" x14ac:dyDescent="0.25">
      <c r="R1430" s="508"/>
      <c r="S1430" s="508"/>
      <c r="T1430" s="276"/>
      <c r="U1430" s="276"/>
      <c r="V1430" s="276"/>
      <c r="W1430" s="283"/>
      <c r="X1430" s="276"/>
      <c r="Y1430" s="276"/>
      <c r="Z1430" s="276"/>
      <c r="AA1430" s="276"/>
      <c r="AB1430" s="276"/>
      <c r="AC1430" s="276"/>
      <c r="AD1430" s="276"/>
    </row>
    <row r="1431" spans="18:30" x14ac:dyDescent="0.25">
      <c r="R1431" s="508"/>
      <c r="S1431" s="508"/>
      <c r="T1431" s="276"/>
      <c r="U1431" s="276"/>
      <c r="V1431" s="276"/>
      <c r="W1431" s="283"/>
      <c r="X1431" s="276"/>
      <c r="Y1431" s="276"/>
      <c r="Z1431" s="276"/>
      <c r="AA1431" s="276"/>
      <c r="AB1431" s="276"/>
      <c r="AC1431" s="276"/>
      <c r="AD1431" s="276"/>
    </row>
    <row r="1432" spans="18:30" x14ac:dyDescent="0.25">
      <c r="R1432" s="508"/>
      <c r="S1432" s="508"/>
      <c r="T1432" s="276"/>
      <c r="U1432" s="276"/>
      <c r="V1432" s="276"/>
      <c r="W1432" s="283"/>
      <c r="X1432" s="276"/>
      <c r="Y1432" s="276"/>
      <c r="Z1432" s="276"/>
      <c r="AA1432" s="276"/>
      <c r="AB1432" s="276"/>
      <c r="AC1432" s="276"/>
      <c r="AD1432" s="276"/>
    </row>
    <row r="1433" spans="18:30" x14ac:dyDescent="0.25">
      <c r="R1433" s="508"/>
      <c r="S1433" s="508"/>
      <c r="T1433" s="276"/>
      <c r="U1433" s="276"/>
      <c r="V1433" s="276"/>
      <c r="W1433" s="283"/>
      <c r="X1433" s="276"/>
      <c r="Y1433" s="276"/>
      <c r="Z1433" s="276"/>
      <c r="AA1433" s="276"/>
      <c r="AB1433" s="276"/>
      <c r="AC1433" s="276"/>
      <c r="AD1433" s="276"/>
    </row>
    <row r="1434" spans="18:30" x14ac:dyDescent="0.25">
      <c r="R1434" s="508"/>
      <c r="S1434" s="508"/>
      <c r="T1434" s="276"/>
      <c r="U1434" s="276"/>
      <c r="V1434" s="276"/>
      <c r="W1434" s="283"/>
      <c r="X1434" s="276"/>
      <c r="Y1434" s="276"/>
      <c r="Z1434" s="276"/>
      <c r="AA1434" s="276"/>
      <c r="AB1434" s="276"/>
      <c r="AC1434" s="276"/>
      <c r="AD1434" s="276"/>
    </row>
    <row r="1435" spans="18:30" x14ac:dyDescent="0.25">
      <c r="R1435" s="508"/>
      <c r="S1435" s="508"/>
      <c r="T1435" s="276"/>
      <c r="U1435" s="276"/>
      <c r="V1435" s="276"/>
      <c r="W1435" s="283"/>
      <c r="X1435" s="276"/>
      <c r="Y1435" s="276"/>
      <c r="Z1435" s="276"/>
      <c r="AA1435" s="276"/>
      <c r="AB1435" s="276"/>
      <c r="AC1435" s="276"/>
      <c r="AD1435" s="276"/>
    </row>
    <row r="1436" spans="18:30" x14ac:dyDescent="0.25">
      <c r="R1436" s="508"/>
      <c r="S1436" s="508"/>
      <c r="T1436" s="276"/>
      <c r="U1436" s="276"/>
      <c r="V1436" s="276"/>
      <c r="W1436" s="283"/>
      <c r="X1436" s="276"/>
      <c r="Y1436" s="276"/>
      <c r="Z1436" s="276"/>
      <c r="AA1436" s="276"/>
      <c r="AB1436" s="276"/>
      <c r="AC1436" s="276"/>
      <c r="AD1436" s="276"/>
    </row>
    <row r="1437" spans="18:30" x14ac:dyDescent="0.25">
      <c r="R1437" s="508"/>
      <c r="S1437" s="508"/>
      <c r="T1437" s="276"/>
      <c r="U1437" s="276"/>
      <c r="V1437" s="276"/>
      <c r="W1437" s="283"/>
      <c r="X1437" s="276"/>
      <c r="Y1437" s="276"/>
      <c r="Z1437" s="276"/>
      <c r="AA1437" s="276"/>
      <c r="AB1437" s="276"/>
      <c r="AC1437" s="276"/>
      <c r="AD1437" s="276"/>
    </row>
    <row r="1438" spans="18:30" x14ac:dyDescent="0.25">
      <c r="R1438" s="508"/>
      <c r="S1438" s="508"/>
      <c r="T1438" s="276"/>
      <c r="U1438" s="276"/>
      <c r="V1438" s="276"/>
      <c r="W1438" s="283"/>
      <c r="X1438" s="276"/>
      <c r="Y1438" s="276"/>
      <c r="Z1438" s="276"/>
      <c r="AA1438" s="276"/>
      <c r="AB1438" s="276"/>
      <c r="AC1438" s="276"/>
      <c r="AD1438" s="276"/>
    </row>
    <row r="1439" spans="18:30" x14ac:dyDescent="0.25">
      <c r="R1439" s="508"/>
      <c r="S1439" s="508"/>
      <c r="T1439" s="276"/>
      <c r="U1439" s="276"/>
      <c r="V1439" s="276"/>
      <c r="W1439" s="283"/>
      <c r="X1439" s="276"/>
      <c r="Y1439" s="276"/>
      <c r="Z1439" s="276"/>
      <c r="AA1439" s="276"/>
      <c r="AB1439" s="276"/>
      <c r="AC1439" s="276"/>
      <c r="AD1439" s="276"/>
    </row>
    <row r="1440" spans="18:30" x14ac:dyDescent="0.25">
      <c r="R1440" s="508"/>
      <c r="S1440" s="508"/>
      <c r="T1440" s="276"/>
      <c r="U1440" s="276"/>
      <c r="V1440" s="276"/>
      <c r="W1440" s="283"/>
      <c r="X1440" s="276"/>
      <c r="Y1440" s="276"/>
      <c r="Z1440" s="276"/>
      <c r="AA1440" s="276"/>
      <c r="AB1440" s="276"/>
      <c r="AC1440" s="276"/>
      <c r="AD1440" s="276"/>
    </row>
    <row r="1441" spans="18:30" x14ac:dyDescent="0.25">
      <c r="R1441" s="508"/>
      <c r="S1441" s="508"/>
      <c r="T1441" s="276"/>
      <c r="U1441" s="276"/>
      <c r="V1441" s="276"/>
      <c r="W1441" s="283"/>
      <c r="X1441" s="276"/>
      <c r="Y1441" s="276"/>
      <c r="Z1441" s="276"/>
      <c r="AA1441" s="276"/>
      <c r="AB1441" s="276"/>
      <c r="AC1441" s="276"/>
      <c r="AD1441" s="276"/>
    </row>
    <row r="1442" spans="18:30" x14ac:dyDescent="0.25">
      <c r="R1442" s="508"/>
      <c r="S1442" s="508"/>
      <c r="T1442" s="276"/>
      <c r="U1442" s="276"/>
      <c r="V1442" s="276"/>
      <c r="W1442" s="283"/>
      <c r="X1442" s="276"/>
      <c r="Y1442" s="276"/>
      <c r="Z1442" s="276"/>
      <c r="AA1442" s="276"/>
      <c r="AB1442" s="276"/>
      <c r="AC1442" s="276"/>
      <c r="AD1442" s="276"/>
    </row>
    <row r="1443" spans="18:30" x14ac:dyDescent="0.25">
      <c r="R1443" s="508"/>
      <c r="S1443" s="508"/>
      <c r="T1443" s="276"/>
      <c r="U1443" s="276"/>
      <c r="V1443" s="276"/>
      <c r="W1443" s="283"/>
      <c r="X1443" s="276"/>
      <c r="Y1443" s="276"/>
      <c r="Z1443" s="276"/>
      <c r="AA1443" s="276"/>
      <c r="AB1443" s="276"/>
      <c r="AC1443" s="276"/>
      <c r="AD1443" s="276"/>
    </row>
    <row r="1444" spans="18:30" x14ac:dyDescent="0.25">
      <c r="R1444" s="508"/>
      <c r="S1444" s="508"/>
      <c r="T1444" s="276"/>
      <c r="U1444" s="276"/>
      <c r="V1444" s="276"/>
      <c r="W1444" s="283"/>
      <c r="X1444" s="276"/>
      <c r="Y1444" s="276"/>
      <c r="Z1444" s="276"/>
      <c r="AA1444" s="276"/>
      <c r="AB1444" s="276"/>
      <c r="AC1444" s="276"/>
      <c r="AD1444" s="276"/>
    </row>
    <row r="1445" spans="18:30" x14ac:dyDescent="0.25">
      <c r="R1445" s="508"/>
      <c r="S1445" s="508"/>
      <c r="T1445" s="276"/>
      <c r="U1445" s="276"/>
      <c r="V1445" s="276"/>
      <c r="W1445" s="283"/>
      <c r="X1445" s="276"/>
      <c r="Y1445" s="276"/>
      <c r="Z1445" s="276"/>
      <c r="AA1445" s="276"/>
      <c r="AB1445" s="276"/>
      <c r="AC1445" s="276"/>
      <c r="AD1445" s="276"/>
    </row>
    <row r="1446" spans="18:30" x14ac:dyDescent="0.25">
      <c r="R1446" s="508"/>
      <c r="S1446" s="508"/>
      <c r="T1446" s="276"/>
      <c r="U1446" s="276"/>
      <c r="V1446" s="276"/>
      <c r="W1446" s="283"/>
      <c r="X1446" s="276"/>
      <c r="Y1446" s="276"/>
      <c r="Z1446" s="276"/>
      <c r="AA1446" s="276"/>
      <c r="AB1446" s="276"/>
      <c r="AC1446" s="276"/>
      <c r="AD1446" s="276"/>
    </row>
    <row r="1447" spans="18:30" x14ac:dyDescent="0.25">
      <c r="R1447" s="508"/>
      <c r="S1447" s="508"/>
      <c r="T1447" s="276"/>
      <c r="U1447" s="276"/>
      <c r="V1447" s="276"/>
      <c r="W1447" s="283"/>
      <c r="X1447" s="276"/>
      <c r="Y1447" s="276"/>
      <c r="Z1447" s="276"/>
      <c r="AA1447" s="276"/>
      <c r="AB1447" s="276"/>
      <c r="AC1447" s="276"/>
      <c r="AD1447" s="276"/>
    </row>
    <row r="1448" spans="18:30" x14ac:dyDescent="0.25">
      <c r="R1448" s="508"/>
      <c r="S1448" s="508"/>
      <c r="T1448" s="276"/>
      <c r="U1448" s="276"/>
      <c r="V1448" s="276"/>
      <c r="W1448" s="283"/>
      <c r="X1448" s="276"/>
      <c r="Y1448" s="276"/>
      <c r="Z1448" s="276"/>
      <c r="AA1448" s="276"/>
      <c r="AB1448" s="276"/>
      <c r="AC1448" s="276"/>
      <c r="AD1448" s="276"/>
    </row>
    <row r="1449" spans="18:30" x14ac:dyDescent="0.25">
      <c r="R1449" s="508"/>
      <c r="S1449" s="508"/>
      <c r="T1449" s="276"/>
      <c r="U1449" s="276"/>
      <c r="V1449" s="276"/>
      <c r="W1449" s="283"/>
      <c r="X1449" s="276"/>
      <c r="Y1449" s="276"/>
      <c r="Z1449" s="276"/>
      <c r="AA1449" s="276"/>
      <c r="AB1449" s="276"/>
      <c r="AC1449" s="276"/>
      <c r="AD1449" s="276"/>
    </row>
    <row r="1450" spans="18:30" x14ac:dyDescent="0.25">
      <c r="R1450" s="508"/>
      <c r="S1450" s="508"/>
      <c r="T1450" s="276"/>
      <c r="U1450" s="276"/>
      <c r="V1450" s="276"/>
      <c r="W1450" s="283"/>
      <c r="X1450" s="276"/>
      <c r="Y1450" s="276"/>
      <c r="Z1450" s="276"/>
      <c r="AA1450" s="276"/>
      <c r="AB1450" s="276"/>
      <c r="AC1450" s="276"/>
      <c r="AD1450" s="276"/>
    </row>
    <row r="1451" spans="18:30" x14ac:dyDescent="0.25">
      <c r="R1451" s="508"/>
      <c r="S1451" s="508"/>
      <c r="T1451" s="276"/>
      <c r="U1451" s="276"/>
      <c r="V1451" s="276"/>
      <c r="W1451" s="283"/>
      <c r="X1451" s="276"/>
      <c r="Y1451" s="276"/>
      <c r="Z1451" s="276"/>
      <c r="AA1451" s="276"/>
      <c r="AB1451" s="276"/>
      <c r="AC1451" s="276"/>
      <c r="AD1451" s="276"/>
    </row>
    <row r="1452" spans="18:30" x14ac:dyDescent="0.25">
      <c r="R1452" s="508"/>
      <c r="S1452" s="508"/>
      <c r="T1452" s="276"/>
      <c r="U1452" s="276"/>
      <c r="V1452" s="276"/>
      <c r="W1452" s="283"/>
      <c r="X1452" s="276"/>
      <c r="Y1452" s="276"/>
      <c r="Z1452" s="276"/>
      <c r="AA1452" s="276"/>
      <c r="AB1452" s="276"/>
      <c r="AC1452" s="276"/>
      <c r="AD1452" s="276"/>
    </row>
    <row r="1453" spans="18:30" x14ac:dyDescent="0.25">
      <c r="R1453" s="508"/>
      <c r="S1453" s="508"/>
      <c r="T1453" s="276"/>
      <c r="U1453" s="276"/>
      <c r="V1453" s="276"/>
      <c r="W1453" s="283"/>
      <c r="X1453" s="276"/>
      <c r="Y1453" s="276"/>
      <c r="Z1453" s="276"/>
      <c r="AA1453" s="276"/>
      <c r="AB1453" s="276"/>
      <c r="AC1453" s="276"/>
      <c r="AD1453" s="276"/>
    </row>
    <row r="1454" spans="18:30" x14ac:dyDescent="0.25">
      <c r="R1454" s="508"/>
      <c r="S1454" s="508"/>
      <c r="T1454" s="276"/>
      <c r="U1454" s="276"/>
      <c r="V1454" s="276"/>
      <c r="W1454" s="283"/>
      <c r="X1454" s="276"/>
      <c r="Y1454" s="276"/>
      <c r="Z1454" s="276"/>
      <c r="AA1454" s="276"/>
      <c r="AB1454" s="276"/>
      <c r="AC1454" s="276"/>
      <c r="AD1454" s="276"/>
    </row>
    <row r="1455" spans="18:30" x14ac:dyDescent="0.25">
      <c r="R1455" s="508"/>
      <c r="S1455" s="508"/>
      <c r="T1455" s="276"/>
      <c r="U1455" s="276"/>
      <c r="V1455" s="276"/>
      <c r="W1455" s="283"/>
      <c r="X1455" s="276"/>
      <c r="Y1455" s="276"/>
      <c r="Z1455" s="276"/>
      <c r="AA1455" s="276"/>
      <c r="AB1455" s="276"/>
      <c r="AC1455" s="276"/>
      <c r="AD1455" s="276"/>
    </row>
    <row r="1456" spans="18:30" x14ac:dyDescent="0.25">
      <c r="R1456" s="508"/>
      <c r="S1456" s="508"/>
      <c r="T1456" s="276"/>
      <c r="U1456" s="276"/>
      <c r="V1456" s="276"/>
      <c r="W1456" s="283"/>
      <c r="X1456" s="276"/>
      <c r="Y1456" s="276"/>
      <c r="Z1456" s="276"/>
      <c r="AA1456" s="276"/>
      <c r="AB1456" s="276"/>
      <c r="AC1456" s="276"/>
      <c r="AD1456" s="276"/>
    </row>
    <row r="1457" spans="18:30" x14ac:dyDescent="0.25">
      <c r="R1457" s="508"/>
      <c r="S1457" s="508"/>
      <c r="T1457" s="276"/>
      <c r="U1457" s="276"/>
      <c r="V1457" s="276"/>
      <c r="W1457" s="283"/>
      <c r="X1457" s="276"/>
      <c r="Y1457" s="276"/>
      <c r="Z1457" s="276"/>
      <c r="AA1457" s="276"/>
      <c r="AB1457" s="276"/>
      <c r="AC1457" s="276"/>
      <c r="AD1457" s="276"/>
    </row>
    <row r="1458" spans="18:30" x14ac:dyDescent="0.25">
      <c r="R1458" s="508"/>
      <c r="S1458" s="508"/>
      <c r="T1458" s="276"/>
      <c r="U1458" s="276"/>
      <c r="V1458" s="276"/>
      <c r="W1458" s="283"/>
      <c r="X1458" s="276"/>
      <c r="Y1458" s="276"/>
      <c r="Z1458" s="276"/>
      <c r="AA1458" s="276"/>
      <c r="AB1458" s="276"/>
      <c r="AC1458" s="276"/>
      <c r="AD1458" s="276"/>
    </row>
    <row r="1459" spans="18:30" x14ac:dyDescent="0.25">
      <c r="R1459" s="508"/>
      <c r="S1459" s="508"/>
      <c r="T1459" s="276"/>
      <c r="U1459" s="276"/>
      <c r="V1459" s="276"/>
      <c r="W1459" s="283"/>
      <c r="X1459" s="276"/>
      <c r="Y1459" s="276"/>
      <c r="Z1459" s="276"/>
      <c r="AA1459" s="276"/>
      <c r="AB1459" s="276"/>
      <c r="AC1459" s="276"/>
      <c r="AD1459" s="276"/>
    </row>
    <row r="1460" spans="18:30" x14ac:dyDescent="0.25">
      <c r="R1460" s="508"/>
      <c r="S1460" s="508"/>
      <c r="T1460" s="276"/>
      <c r="U1460" s="276"/>
      <c r="V1460" s="276"/>
      <c r="W1460" s="283"/>
      <c r="X1460" s="276"/>
      <c r="Y1460" s="276"/>
      <c r="Z1460" s="276"/>
      <c r="AA1460" s="276"/>
      <c r="AB1460" s="276"/>
      <c r="AC1460" s="276"/>
      <c r="AD1460" s="276"/>
    </row>
    <row r="1461" spans="18:30" x14ac:dyDescent="0.25">
      <c r="R1461" s="508"/>
      <c r="S1461" s="508"/>
      <c r="T1461" s="276"/>
      <c r="U1461" s="276"/>
      <c r="V1461" s="276"/>
      <c r="W1461" s="283"/>
      <c r="X1461" s="276"/>
      <c r="Y1461" s="276"/>
      <c r="Z1461" s="276"/>
      <c r="AA1461" s="276"/>
      <c r="AB1461" s="276"/>
      <c r="AC1461" s="276"/>
      <c r="AD1461" s="276"/>
    </row>
    <row r="1462" spans="18:30" x14ac:dyDescent="0.25">
      <c r="R1462" s="508"/>
      <c r="S1462" s="508"/>
      <c r="T1462" s="276"/>
      <c r="U1462" s="276"/>
      <c r="V1462" s="276"/>
      <c r="W1462" s="283"/>
      <c r="X1462" s="276"/>
      <c r="Y1462" s="276"/>
      <c r="Z1462" s="276"/>
      <c r="AA1462" s="276"/>
      <c r="AB1462" s="276"/>
      <c r="AC1462" s="276"/>
      <c r="AD1462" s="276"/>
    </row>
    <row r="1463" spans="18:30" x14ac:dyDescent="0.25">
      <c r="R1463" s="508"/>
      <c r="S1463" s="508"/>
      <c r="T1463" s="276"/>
      <c r="U1463" s="276"/>
      <c r="V1463" s="276"/>
      <c r="W1463" s="283"/>
      <c r="X1463" s="276"/>
      <c r="Y1463" s="276"/>
      <c r="Z1463" s="276"/>
      <c r="AA1463" s="276"/>
      <c r="AB1463" s="276"/>
      <c r="AC1463" s="276"/>
      <c r="AD1463" s="276"/>
    </row>
    <row r="1464" spans="18:30" x14ac:dyDescent="0.25">
      <c r="R1464" s="508"/>
      <c r="S1464" s="508"/>
      <c r="T1464" s="276"/>
      <c r="U1464" s="276"/>
      <c r="V1464" s="276"/>
      <c r="W1464" s="283"/>
      <c r="X1464" s="276"/>
      <c r="Y1464" s="276"/>
      <c r="Z1464" s="276"/>
      <c r="AA1464" s="276"/>
      <c r="AB1464" s="276"/>
      <c r="AC1464" s="276"/>
      <c r="AD1464" s="276"/>
    </row>
    <row r="1465" spans="18:30" x14ac:dyDescent="0.25">
      <c r="R1465" s="508"/>
      <c r="S1465" s="508"/>
      <c r="T1465" s="276"/>
      <c r="U1465" s="276"/>
      <c r="V1465" s="276"/>
      <c r="W1465" s="283"/>
      <c r="X1465" s="276"/>
      <c r="Y1465" s="276"/>
      <c r="Z1465" s="276"/>
      <c r="AA1465" s="276"/>
      <c r="AB1465" s="276"/>
      <c r="AC1465" s="276"/>
      <c r="AD1465" s="276"/>
    </row>
    <row r="1466" spans="18:30" x14ac:dyDescent="0.25">
      <c r="R1466" s="508"/>
      <c r="S1466" s="508"/>
      <c r="T1466" s="276"/>
      <c r="U1466" s="276"/>
      <c r="V1466" s="276"/>
      <c r="W1466" s="283"/>
      <c r="X1466" s="276"/>
      <c r="Y1466" s="276"/>
      <c r="Z1466" s="276"/>
      <c r="AA1466" s="276"/>
      <c r="AB1466" s="276"/>
      <c r="AC1466" s="276"/>
      <c r="AD1466" s="276"/>
    </row>
    <row r="1467" spans="18:30" x14ac:dyDescent="0.25">
      <c r="R1467" s="508"/>
      <c r="S1467" s="508"/>
      <c r="T1467" s="276"/>
      <c r="U1467" s="276"/>
      <c r="V1467" s="276"/>
      <c r="W1467" s="283"/>
      <c r="X1467" s="276"/>
      <c r="Y1467" s="276"/>
      <c r="Z1467" s="276"/>
      <c r="AA1467" s="276"/>
      <c r="AB1467" s="276"/>
      <c r="AC1467" s="276"/>
      <c r="AD1467" s="276"/>
    </row>
    <row r="1468" spans="18:30" x14ac:dyDescent="0.25">
      <c r="R1468" s="508"/>
      <c r="S1468" s="508"/>
      <c r="T1468" s="276"/>
      <c r="U1468" s="276"/>
      <c r="V1468" s="276"/>
      <c r="W1468" s="283"/>
      <c r="X1468" s="276"/>
      <c r="Y1468" s="276"/>
      <c r="Z1468" s="276"/>
      <c r="AA1468" s="276"/>
      <c r="AB1468" s="276"/>
      <c r="AC1468" s="276"/>
      <c r="AD1468" s="276"/>
    </row>
    <row r="1469" spans="18:30" x14ac:dyDescent="0.25">
      <c r="R1469" s="508"/>
      <c r="S1469" s="508"/>
      <c r="T1469" s="276"/>
      <c r="U1469" s="276"/>
      <c r="V1469" s="276"/>
      <c r="W1469" s="283"/>
      <c r="X1469" s="276"/>
      <c r="Y1469" s="276"/>
      <c r="Z1469" s="276"/>
      <c r="AA1469" s="276"/>
      <c r="AB1469" s="276"/>
      <c r="AC1469" s="276"/>
      <c r="AD1469" s="276"/>
    </row>
    <row r="1470" spans="18:30" x14ac:dyDescent="0.25">
      <c r="R1470" s="508"/>
      <c r="S1470" s="508"/>
      <c r="T1470" s="276"/>
      <c r="U1470" s="276"/>
      <c r="V1470" s="276"/>
      <c r="W1470" s="283"/>
      <c r="X1470" s="276"/>
      <c r="Y1470" s="276"/>
      <c r="Z1470" s="276"/>
      <c r="AA1470" s="276"/>
      <c r="AB1470" s="276"/>
      <c r="AC1470" s="276"/>
      <c r="AD1470" s="276"/>
    </row>
    <row r="1471" spans="18:30" x14ac:dyDescent="0.25">
      <c r="R1471" s="508"/>
      <c r="S1471" s="508"/>
      <c r="T1471" s="276"/>
      <c r="U1471" s="276"/>
      <c r="V1471" s="276"/>
      <c r="W1471" s="283"/>
      <c r="X1471" s="276"/>
      <c r="Y1471" s="276"/>
      <c r="Z1471" s="276"/>
      <c r="AA1471" s="276"/>
      <c r="AB1471" s="276"/>
      <c r="AC1471" s="276"/>
      <c r="AD1471" s="276"/>
    </row>
    <row r="1472" spans="18:30" x14ac:dyDescent="0.25">
      <c r="R1472" s="508"/>
      <c r="S1472" s="508"/>
      <c r="T1472" s="276"/>
      <c r="U1472" s="276"/>
      <c r="V1472" s="276"/>
      <c r="W1472" s="283"/>
      <c r="X1472" s="276"/>
      <c r="Y1472" s="276"/>
      <c r="Z1472" s="276"/>
      <c r="AA1472" s="276"/>
      <c r="AB1472" s="276"/>
      <c r="AC1472" s="276"/>
      <c r="AD1472" s="276"/>
    </row>
    <row r="1473" spans="18:30" x14ac:dyDescent="0.25">
      <c r="R1473" s="508"/>
      <c r="S1473" s="508"/>
      <c r="T1473" s="276"/>
      <c r="U1473" s="276"/>
      <c r="V1473" s="276"/>
      <c r="W1473" s="283"/>
      <c r="X1473" s="276"/>
      <c r="Y1473" s="276"/>
      <c r="Z1473" s="276"/>
      <c r="AA1473" s="276"/>
      <c r="AB1473" s="276"/>
      <c r="AC1473" s="276"/>
      <c r="AD1473" s="276"/>
    </row>
    <row r="1474" spans="18:30" x14ac:dyDescent="0.25">
      <c r="R1474" s="508"/>
      <c r="S1474" s="508"/>
      <c r="T1474" s="276"/>
      <c r="U1474" s="276"/>
      <c r="V1474" s="276"/>
      <c r="W1474" s="283"/>
      <c r="X1474" s="276"/>
      <c r="Y1474" s="276"/>
      <c r="Z1474" s="276"/>
      <c r="AA1474" s="276"/>
      <c r="AB1474" s="276"/>
      <c r="AC1474" s="276"/>
      <c r="AD1474" s="276"/>
    </row>
    <row r="1475" spans="18:30" x14ac:dyDescent="0.25">
      <c r="R1475" s="508"/>
      <c r="S1475" s="508"/>
      <c r="T1475" s="276"/>
      <c r="U1475" s="276"/>
      <c r="V1475" s="276"/>
      <c r="W1475" s="283"/>
      <c r="X1475" s="276"/>
      <c r="Y1475" s="276"/>
      <c r="Z1475" s="276"/>
      <c r="AA1475" s="276"/>
      <c r="AB1475" s="276"/>
      <c r="AC1475" s="276"/>
      <c r="AD1475" s="276"/>
    </row>
    <row r="1476" spans="18:30" x14ac:dyDescent="0.25">
      <c r="R1476" s="508"/>
      <c r="S1476" s="508"/>
      <c r="T1476" s="276"/>
      <c r="U1476" s="276"/>
      <c r="V1476" s="276"/>
      <c r="W1476" s="283"/>
      <c r="X1476" s="276"/>
      <c r="Y1476" s="276"/>
      <c r="Z1476" s="276"/>
      <c r="AA1476" s="276"/>
      <c r="AB1476" s="276"/>
      <c r="AC1476" s="276"/>
      <c r="AD1476" s="276"/>
    </row>
    <row r="1477" spans="18:30" x14ac:dyDescent="0.25">
      <c r="R1477" s="508"/>
      <c r="S1477" s="508"/>
      <c r="T1477" s="276"/>
      <c r="U1477" s="276"/>
      <c r="V1477" s="276"/>
      <c r="W1477" s="283"/>
      <c r="X1477" s="276"/>
      <c r="Y1477" s="276"/>
      <c r="Z1477" s="276"/>
      <c r="AA1477" s="276"/>
      <c r="AB1477" s="276"/>
      <c r="AC1477" s="276"/>
      <c r="AD1477" s="276"/>
    </row>
    <row r="1478" spans="18:30" x14ac:dyDescent="0.25">
      <c r="R1478" s="508"/>
      <c r="S1478" s="508"/>
      <c r="T1478" s="276"/>
      <c r="U1478" s="276"/>
      <c r="V1478" s="276"/>
      <c r="W1478" s="283"/>
      <c r="X1478" s="276"/>
      <c r="Y1478" s="276"/>
      <c r="Z1478" s="276"/>
      <c r="AA1478" s="276"/>
      <c r="AB1478" s="276"/>
      <c r="AC1478" s="276"/>
      <c r="AD1478" s="276"/>
    </row>
    <row r="1479" spans="18:30" x14ac:dyDescent="0.25">
      <c r="R1479" s="508"/>
      <c r="S1479" s="508"/>
      <c r="T1479" s="276"/>
      <c r="U1479" s="276"/>
      <c r="V1479" s="276"/>
      <c r="W1479" s="283"/>
      <c r="X1479" s="276"/>
      <c r="Y1479" s="276"/>
      <c r="Z1479" s="276"/>
      <c r="AA1479" s="276"/>
      <c r="AB1479" s="276"/>
      <c r="AC1479" s="276"/>
      <c r="AD1479" s="276"/>
    </row>
    <row r="1480" spans="18:30" x14ac:dyDescent="0.25">
      <c r="R1480" s="508"/>
      <c r="S1480" s="508"/>
      <c r="T1480" s="276"/>
      <c r="U1480" s="276"/>
      <c r="V1480" s="276"/>
      <c r="W1480" s="283"/>
      <c r="X1480" s="276"/>
      <c r="Y1480" s="276"/>
      <c r="Z1480" s="276"/>
      <c r="AA1480" s="276"/>
      <c r="AB1480" s="276"/>
      <c r="AC1480" s="276"/>
      <c r="AD1480" s="276"/>
    </row>
    <row r="1481" spans="18:30" x14ac:dyDescent="0.25">
      <c r="R1481" s="508"/>
      <c r="S1481" s="508"/>
      <c r="T1481" s="276"/>
      <c r="U1481" s="276"/>
      <c r="V1481" s="276"/>
      <c r="W1481" s="283"/>
      <c r="X1481" s="276"/>
      <c r="Y1481" s="276"/>
      <c r="Z1481" s="276"/>
      <c r="AA1481" s="276"/>
      <c r="AB1481" s="276"/>
      <c r="AC1481" s="276"/>
      <c r="AD1481" s="276"/>
    </row>
    <row r="1482" spans="18:30" x14ac:dyDescent="0.25">
      <c r="R1482" s="508"/>
      <c r="S1482" s="508"/>
      <c r="T1482" s="276"/>
      <c r="U1482" s="276"/>
      <c r="V1482" s="276"/>
      <c r="W1482" s="283"/>
      <c r="X1482" s="276"/>
      <c r="Y1482" s="276"/>
      <c r="Z1482" s="276"/>
      <c r="AA1482" s="276"/>
      <c r="AB1482" s="276"/>
      <c r="AC1482" s="276"/>
      <c r="AD1482" s="276"/>
    </row>
    <row r="1483" spans="18:30" x14ac:dyDescent="0.25">
      <c r="R1483" s="508"/>
      <c r="S1483" s="508"/>
      <c r="T1483" s="276"/>
      <c r="U1483" s="276"/>
      <c r="V1483" s="276"/>
      <c r="W1483" s="283"/>
      <c r="X1483" s="276"/>
      <c r="Y1483" s="276"/>
      <c r="Z1483" s="276"/>
      <c r="AA1483" s="276"/>
      <c r="AB1483" s="276"/>
      <c r="AC1483" s="276"/>
      <c r="AD1483" s="276"/>
    </row>
    <row r="1484" spans="18:30" x14ac:dyDescent="0.25">
      <c r="R1484" s="508"/>
      <c r="S1484" s="508"/>
      <c r="T1484" s="276"/>
      <c r="U1484" s="276"/>
      <c r="V1484" s="276"/>
      <c r="W1484" s="283"/>
      <c r="X1484" s="276"/>
      <c r="Y1484" s="276"/>
      <c r="Z1484" s="276"/>
      <c r="AA1484" s="276"/>
      <c r="AB1484" s="276"/>
      <c r="AC1484" s="276"/>
      <c r="AD1484" s="276"/>
    </row>
    <row r="1485" spans="18:30" x14ac:dyDescent="0.25">
      <c r="R1485" s="508"/>
      <c r="S1485" s="508"/>
      <c r="T1485" s="276"/>
      <c r="U1485" s="276"/>
      <c r="V1485" s="276"/>
      <c r="W1485" s="283"/>
      <c r="X1485" s="276"/>
      <c r="Y1485" s="276"/>
      <c r="Z1485" s="276"/>
      <c r="AA1485" s="276"/>
      <c r="AB1485" s="276"/>
      <c r="AC1485" s="276"/>
      <c r="AD1485" s="276"/>
    </row>
    <row r="1486" spans="18:30" x14ac:dyDescent="0.25">
      <c r="R1486" s="508"/>
      <c r="S1486" s="508"/>
      <c r="T1486" s="276"/>
      <c r="U1486" s="276"/>
      <c r="V1486" s="276"/>
      <c r="W1486" s="283"/>
      <c r="X1486" s="276"/>
      <c r="Y1486" s="276"/>
      <c r="Z1486" s="276"/>
      <c r="AA1486" s="276"/>
      <c r="AB1486" s="276"/>
      <c r="AC1486" s="276"/>
      <c r="AD1486" s="276"/>
    </row>
    <row r="1487" spans="18:30" x14ac:dyDescent="0.25">
      <c r="R1487" s="508"/>
      <c r="S1487" s="508"/>
      <c r="T1487" s="276"/>
      <c r="U1487" s="276"/>
      <c r="V1487" s="276"/>
      <c r="W1487" s="283"/>
      <c r="X1487" s="276"/>
      <c r="Y1487" s="276"/>
      <c r="Z1487" s="276"/>
      <c r="AA1487" s="276"/>
      <c r="AB1487" s="276"/>
      <c r="AC1487" s="276"/>
      <c r="AD1487" s="276"/>
    </row>
    <row r="1488" spans="18:30" x14ac:dyDescent="0.25">
      <c r="R1488" s="508"/>
      <c r="S1488" s="508"/>
      <c r="T1488" s="276"/>
      <c r="U1488" s="276"/>
      <c r="V1488" s="276"/>
      <c r="W1488" s="283"/>
      <c r="X1488" s="276"/>
      <c r="Y1488" s="276"/>
      <c r="Z1488" s="276"/>
      <c r="AA1488" s="276"/>
      <c r="AB1488" s="276"/>
      <c r="AC1488" s="276"/>
      <c r="AD1488" s="276"/>
    </row>
    <row r="1489" spans="18:30" x14ac:dyDescent="0.25">
      <c r="R1489" s="508"/>
      <c r="S1489" s="508"/>
      <c r="T1489" s="276"/>
      <c r="U1489" s="276"/>
      <c r="V1489" s="276"/>
      <c r="W1489" s="283"/>
      <c r="X1489" s="276"/>
      <c r="Y1489" s="276"/>
      <c r="Z1489" s="276"/>
      <c r="AA1489" s="276"/>
      <c r="AB1489" s="276"/>
      <c r="AC1489" s="276"/>
      <c r="AD1489" s="276"/>
    </row>
    <row r="1490" spans="18:30" x14ac:dyDescent="0.25">
      <c r="R1490" s="508"/>
      <c r="S1490" s="508"/>
      <c r="T1490" s="276"/>
      <c r="U1490" s="276"/>
      <c r="V1490" s="276"/>
      <c r="W1490" s="283"/>
      <c r="X1490" s="276"/>
      <c r="Y1490" s="276"/>
      <c r="Z1490" s="276"/>
      <c r="AA1490" s="276"/>
      <c r="AB1490" s="276"/>
      <c r="AC1490" s="276"/>
      <c r="AD1490" s="276"/>
    </row>
    <row r="1491" spans="18:30" x14ac:dyDescent="0.25">
      <c r="R1491" s="508"/>
      <c r="S1491" s="508"/>
      <c r="T1491" s="276"/>
      <c r="U1491" s="276"/>
      <c r="V1491" s="276"/>
      <c r="W1491" s="283"/>
      <c r="X1491" s="276"/>
      <c r="Y1491" s="276"/>
      <c r="Z1491" s="276"/>
      <c r="AA1491" s="276"/>
      <c r="AB1491" s="276"/>
      <c r="AC1491" s="276"/>
      <c r="AD1491" s="276"/>
    </row>
    <row r="1492" spans="18:30" x14ac:dyDescent="0.25">
      <c r="R1492" s="508"/>
      <c r="S1492" s="508"/>
      <c r="T1492" s="276"/>
      <c r="U1492" s="276"/>
      <c r="V1492" s="276"/>
      <c r="W1492" s="283"/>
      <c r="X1492" s="276"/>
      <c r="Y1492" s="276"/>
      <c r="Z1492" s="276"/>
      <c r="AA1492" s="276"/>
      <c r="AB1492" s="276"/>
      <c r="AC1492" s="276"/>
      <c r="AD1492" s="276"/>
    </row>
    <row r="1493" spans="18:30" x14ac:dyDescent="0.25">
      <c r="R1493" s="508"/>
      <c r="S1493" s="508"/>
      <c r="T1493" s="276"/>
      <c r="U1493" s="276"/>
      <c r="V1493" s="276"/>
      <c r="W1493" s="283"/>
      <c r="X1493" s="276"/>
      <c r="Y1493" s="276"/>
      <c r="Z1493" s="276"/>
      <c r="AA1493" s="276"/>
      <c r="AB1493" s="276"/>
      <c r="AC1493" s="276"/>
      <c r="AD1493" s="276"/>
    </row>
    <row r="1494" spans="18:30" x14ac:dyDescent="0.25">
      <c r="R1494" s="508"/>
      <c r="S1494" s="508"/>
      <c r="T1494" s="276"/>
      <c r="U1494" s="276"/>
      <c r="V1494" s="276"/>
      <c r="W1494" s="283"/>
      <c r="X1494" s="276"/>
      <c r="Y1494" s="276"/>
      <c r="Z1494" s="276"/>
      <c r="AA1494" s="276"/>
      <c r="AB1494" s="276"/>
      <c r="AC1494" s="276"/>
      <c r="AD1494" s="276"/>
    </row>
    <row r="1495" spans="18:30" x14ac:dyDescent="0.25">
      <c r="R1495" s="508"/>
      <c r="S1495" s="508"/>
      <c r="T1495" s="276"/>
      <c r="U1495" s="276"/>
      <c r="V1495" s="276"/>
      <c r="W1495" s="283"/>
      <c r="X1495" s="276"/>
      <c r="Y1495" s="276"/>
      <c r="Z1495" s="276"/>
      <c r="AA1495" s="276"/>
      <c r="AB1495" s="276"/>
      <c r="AC1495" s="276"/>
      <c r="AD1495" s="276"/>
    </row>
    <row r="1496" spans="18:30" x14ac:dyDescent="0.25">
      <c r="R1496" s="508"/>
      <c r="S1496" s="508"/>
      <c r="T1496" s="276"/>
      <c r="U1496" s="276"/>
      <c r="V1496" s="276"/>
      <c r="W1496" s="283"/>
      <c r="X1496" s="276"/>
      <c r="Y1496" s="276"/>
      <c r="Z1496" s="276"/>
      <c r="AA1496" s="276"/>
      <c r="AB1496" s="276"/>
      <c r="AC1496" s="276"/>
      <c r="AD1496" s="276"/>
    </row>
    <row r="1497" spans="18:30" x14ac:dyDescent="0.25">
      <c r="R1497" s="508"/>
      <c r="S1497" s="508"/>
      <c r="T1497" s="276"/>
      <c r="U1497" s="276"/>
      <c r="V1497" s="276"/>
      <c r="W1497" s="283"/>
      <c r="X1497" s="276"/>
      <c r="Y1497" s="276"/>
      <c r="Z1497" s="276"/>
      <c r="AA1497" s="276"/>
      <c r="AB1497" s="276"/>
      <c r="AC1497" s="276"/>
      <c r="AD1497" s="276"/>
    </row>
    <row r="1498" spans="18:30" x14ac:dyDescent="0.25">
      <c r="R1498" s="508"/>
      <c r="S1498" s="508"/>
      <c r="T1498" s="276"/>
      <c r="U1498" s="276"/>
      <c r="V1498" s="276"/>
      <c r="W1498" s="283"/>
      <c r="X1498" s="276"/>
      <c r="Y1498" s="276"/>
      <c r="Z1498" s="276"/>
      <c r="AA1498" s="276"/>
      <c r="AB1498" s="276"/>
      <c r="AC1498" s="276"/>
      <c r="AD1498" s="276"/>
    </row>
    <row r="1499" spans="18:30" x14ac:dyDescent="0.25">
      <c r="R1499" s="508"/>
      <c r="S1499" s="508"/>
      <c r="T1499" s="276"/>
      <c r="U1499" s="276"/>
      <c r="V1499" s="276"/>
      <c r="W1499" s="283"/>
      <c r="X1499" s="276"/>
      <c r="Y1499" s="276"/>
      <c r="Z1499" s="276"/>
      <c r="AA1499" s="276"/>
      <c r="AB1499" s="276"/>
      <c r="AC1499" s="276"/>
      <c r="AD1499" s="276"/>
    </row>
    <row r="1500" spans="18:30" x14ac:dyDescent="0.25">
      <c r="R1500" s="508"/>
      <c r="S1500" s="508"/>
      <c r="T1500" s="276"/>
      <c r="U1500" s="276"/>
      <c r="V1500" s="276"/>
      <c r="W1500" s="283"/>
      <c r="X1500" s="276"/>
      <c r="Y1500" s="276"/>
      <c r="Z1500" s="276"/>
      <c r="AA1500" s="276"/>
      <c r="AB1500" s="276"/>
      <c r="AC1500" s="276"/>
      <c r="AD1500" s="276"/>
    </row>
    <row r="1501" spans="18:30" x14ac:dyDescent="0.25">
      <c r="R1501" s="508"/>
      <c r="S1501" s="508"/>
      <c r="T1501" s="276"/>
      <c r="U1501" s="276"/>
      <c r="V1501" s="276"/>
      <c r="W1501" s="283"/>
      <c r="X1501" s="276"/>
      <c r="Y1501" s="276"/>
      <c r="Z1501" s="276"/>
      <c r="AA1501" s="276"/>
      <c r="AB1501" s="276"/>
      <c r="AC1501" s="276"/>
      <c r="AD1501" s="276"/>
    </row>
    <row r="1502" spans="18:30" x14ac:dyDescent="0.25">
      <c r="R1502" s="508"/>
      <c r="S1502" s="508"/>
      <c r="T1502" s="276"/>
      <c r="U1502" s="276"/>
      <c r="V1502" s="276"/>
      <c r="W1502" s="283"/>
      <c r="X1502" s="276"/>
      <c r="Y1502" s="276"/>
      <c r="Z1502" s="276"/>
      <c r="AA1502" s="276"/>
      <c r="AB1502" s="276"/>
      <c r="AC1502" s="276"/>
      <c r="AD1502" s="276"/>
    </row>
    <row r="1503" spans="18:30" x14ac:dyDescent="0.25">
      <c r="R1503" s="508"/>
      <c r="S1503" s="508"/>
      <c r="T1503" s="276"/>
      <c r="U1503" s="276"/>
      <c r="V1503" s="276"/>
      <c r="W1503" s="283"/>
      <c r="X1503" s="276"/>
      <c r="Y1503" s="276"/>
      <c r="Z1503" s="276"/>
      <c r="AA1503" s="276"/>
      <c r="AB1503" s="276"/>
      <c r="AC1503" s="276"/>
      <c r="AD1503" s="276"/>
    </row>
    <row r="1504" spans="18:30" x14ac:dyDescent="0.25">
      <c r="R1504" s="508"/>
      <c r="S1504" s="508"/>
      <c r="T1504" s="276"/>
      <c r="U1504" s="276"/>
      <c r="V1504" s="276"/>
      <c r="W1504" s="283"/>
      <c r="X1504" s="276"/>
      <c r="Y1504" s="276"/>
      <c r="Z1504" s="276"/>
      <c r="AA1504" s="276"/>
      <c r="AB1504" s="276"/>
      <c r="AC1504" s="276"/>
      <c r="AD1504" s="276"/>
    </row>
    <row r="1505" spans="18:30" x14ac:dyDescent="0.25">
      <c r="R1505" s="508"/>
      <c r="S1505" s="508"/>
      <c r="T1505" s="276"/>
      <c r="U1505" s="276"/>
      <c r="V1505" s="276"/>
      <c r="W1505" s="283"/>
      <c r="X1505" s="276"/>
      <c r="Y1505" s="276"/>
      <c r="Z1505" s="276"/>
      <c r="AA1505" s="276"/>
      <c r="AB1505" s="276"/>
      <c r="AC1505" s="276"/>
      <c r="AD1505" s="276"/>
    </row>
    <row r="1506" spans="18:30" x14ac:dyDescent="0.25">
      <c r="R1506" s="508"/>
      <c r="S1506" s="508"/>
      <c r="T1506" s="276"/>
      <c r="U1506" s="276"/>
      <c r="V1506" s="276"/>
      <c r="W1506" s="283"/>
      <c r="X1506" s="276"/>
      <c r="Y1506" s="276"/>
      <c r="Z1506" s="276"/>
      <c r="AA1506" s="276"/>
      <c r="AB1506" s="276"/>
      <c r="AC1506" s="276"/>
      <c r="AD1506" s="276"/>
    </row>
    <row r="1507" spans="18:30" x14ac:dyDescent="0.25">
      <c r="R1507" s="508"/>
      <c r="S1507" s="508"/>
      <c r="T1507" s="276"/>
      <c r="U1507" s="276"/>
      <c r="V1507" s="276"/>
      <c r="W1507" s="283"/>
      <c r="X1507" s="276"/>
      <c r="Y1507" s="276"/>
      <c r="Z1507" s="276"/>
      <c r="AA1507" s="276"/>
      <c r="AB1507" s="276"/>
      <c r="AC1507" s="276"/>
      <c r="AD1507" s="276"/>
    </row>
    <row r="1508" spans="18:30" x14ac:dyDescent="0.25">
      <c r="R1508" s="508"/>
      <c r="S1508" s="508"/>
      <c r="T1508" s="276"/>
      <c r="U1508" s="276"/>
      <c r="V1508" s="276"/>
      <c r="W1508" s="283"/>
      <c r="X1508" s="276"/>
      <c r="Y1508" s="276"/>
      <c r="Z1508" s="276"/>
      <c r="AA1508" s="276"/>
      <c r="AB1508" s="276"/>
      <c r="AC1508" s="276"/>
      <c r="AD1508" s="276"/>
    </row>
    <row r="1509" spans="18:30" x14ac:dyDescent="0.25">
      <c r="R1509" s="508"/>
      <c r="S1509" s="508"/>
      <c r="T1509" s="276"/>
      <c r="U1509" s="276"/>
      <c r="V1509" s="276"/>
      <c r="W1509" s="283"/>
      <c r="X1509" s="276"/>
      <c r="Y1509" s="276"/>
      <c r="Z1509" s="276"/>
      <c r="AA1509" s="276"/>
      <c r="AB1509" s="276"/>
      <c r="AC1509" s="276"/>
      <c r="AD1509" s="276"/>
    </row>
    <row r="1510" spans="18:30" x14ac:dyDescent="0.25">
      <c r="R1510" s="508"/>
      <c r="S1510" s="508"/>
      <c r="T1510" s="276"/>
      <c r="U1510" s="276"/>
      <c r="V1510" s="276"/>
      <c r="W1510" s="283"/>
      <c r="X1510" s="276"/>
      <c r="Y1510" s="276"/>
      <c r="Z1510" s="276"/>
      <c r="AA1510" s="276"/>
      <c r="AB1510" s="276"/>
      <c r="AC1510" s="276"/>
      <c r="AD1510" s="276"/>
    </row>
    <row r="1511" spans="18:30" x14ac:dyDescent="0.25">
      <c r="R1511" s="508"/>
      <c r="S1511" s="508"/>
      <c r="T1511" s="276"/>
      <c r="U1511" s="276"/>
      <c r="V1511" s="276"/>
      <c r="W1511" s="283"/>
      <c r="X1511" s="276"/>
      <c r="Y1511" s="276"/>
      <c r="Z1511" s="276"/>
      <c r="AA1511" s="276"/>
      <c r="AB1511" s="276"/>
      <c r="AC1511" s="276"/>
      <c r="AD1511" s="276"/>
    </row>
    <row r="1512" spans="18:30" x14ac:dyDescent="0.25">
      <c r="R1512" s="508"/>
      <c r="S1512" s="508"/>
      <c r="T1512" s="276"/>
      <c r="U1512" s="276"/>
      <c r="V1512" s="276"/>
      <c r="W1512" s="283"/>
      <c r="X1512" s="276"/>
      <c r="Y1512" s="276"/>
      <c r="Z1512" s="276"/>
      <c r="AA1512" s="276"/>
      <c r="AB1512" s="276"/>
      <c r="AC1512" s="276"/>
      <c r="AD1512" s="276"/>
    </row>
    <row r="1513" spans="18:30" x14ac:dyDescent="0.25">
      <c r="R1513" s="508"/>
      <c r="S1513" s="508"/>
      <c r="T1513" s="276"/>
      <c r="U1513" s="276"/>
      <c r="V1513" s="276"/>
      <c r="W1513" s="283"/>
      <c r="X1513" s="276"/>
      <c r="Y1513" s="276"/>
      <c r="Z1513" s="276"/>
      <c r="AA1513" s="276"/>
      <c r="AB1513" s="276"/>
      <c r="AC1513" s="276"/>
      <c r="AD1513" s="276"/>
    </row>
    <row r="1514" spans="18:30" x14ac:dyDescent="0.25">
      <c r="R1514" s="508"/>
      <c r="S1514" s="508"/>
      <c r="T1514" s="276"/>
      <c r="U1514" s="276"/>
      <c r="V1514" s="276"/>
      <c r="W1514" s="283"/>
      <c r="X1514" s="276"/>
      <c r="Y1514" s="276"/>
      <c r="Z1514" s="276"/>
      <c r="AA1514" s="276"/>
      <c r="AB1514" s="276"/>
      <c r="AC1514" s="276"/>
      <c r="AD1514" s="276"/>
    </row>
    <row r="1515" spans="18:30" x14ac:dyDescent="0.25">
      <c r="R1515" s="508"/>
      <c r="S1515" s="508"/>
      <c r="T1515" s="276"/>
      <c r="U1515" s="276"/>
      <c r="V1515" s="276"/>
      <c r="W1515" s="283"/>
      <c r="X1515" s="276"/>
      <c r="Y1515" s="276"/>
      <c r="Z1515" s="276"/>
      <c r="AA1515" s="276"/>
      <c r="AB1515" s="276"/>
      <c r="AC1515" s="276"/>
      <c r="AD1515" s="276"/>
    </row>
    <row r="1516" spans="18:30" x14ac:dyDescent="0.25">
      <c r="R1516" s="508"/>
      <c r="S1516" s="508"/>
      <c r="T1516" s="276"/>
      <c r="U1516" s="276"/>
      <c r="V1516" s="276"/>
      <c r="W1516" s="283"/>
      <c r="X1516" s="276"/>
      <c r="Y1516" s="276"/>
      <c r="Z1516" s="276"/>
      <c r="AA1516" s="276"/>
      <c r="AB1516" s="276"/>
      <c r="AC1516" s="276"/>
      <c r="AD1516" s="276"/>
    </row>
    <row r="1517" spans="18:30" x14ac:dyDescent="0.25">
      <c r="R1517" s="508"/>
      <c r="S1517" s="508"/>
      <c r="T1517" s="276"/>
      <c r="U1517" s="276"/>
      <c r="V1517" s="276"/>
      <c r="W1517" s="283"/>
      <c r="X1517" s="276"/>
      <c r="Y1517" s="276"/>
      <c r="Z1517" s="276"/>
      <c r="AA1517" s="276"/>
      <c r="AB1517" s="276"/>
      <c r="AC1517" s="276"/>
      <c r="AD1517" s="276"/>
    </row>
    <row r="1518" spans="18:30" x14ac:dyDescent="0.25">
      <c r="R1518" s="508"/>
      <c r="S1518" s="508"/>
      <c r="T1518" s="276"/>
      <c r="U1518" s="276"/>
      <c r="V1518" s="276"/>
      <c r="W1518" s="283"/>
      <c r="X1518" s="276"/>
      <c r="Y1518" s="276"/>
      <c r="Z1518" s="276"/>
      <c r="AA1518" s="276"/>
      <c r="AB1518" s="276"/>
      <c r="AC1518" s="276"/>
      <c r="AD1518" s="276"/>
    </row>
    <row r="1519" spans="18:30" x14ac:dyDescent="0.25">
      <c r="R1519" s="508"/>
      <c r="S1519" s="508"/>
      <c r="T1519" s="276"/>
      <c r="U1519" s="276"/>
      <c r="V1519" s="276"/>
      <c r="W1519" s="283"/>
      <c r="X1519" s="276"/>
      <c r="Y1519" s="276"/>
      <c r="Z1519" s="276"/>
      <c r="AA1519" s="276"/>
      <c r="AB1519" s="276"/>
      <c r="AC1519" s="276"/>
      <c r="AD1519" s="276"/>
    </row>
    <row r="1520" spans="18:30" x14ac:dyDescent="0.25">
      <c r="R1520" s="508"/>
      <c r="S1520" s="508"/>
      <c r="T1520" s="276"/>
      <c r="U1520" s="276"/>
      <c r="V1520" s="276"/>
      <c r="W1520" s="283"/>
      <c r="X1520" s="276"/>
      <c r="Y1520" s="276"/>
      <c r="Z1520" s="276"/>
      <c r="AA1520" s="276"/>
      <c r="AB1520" s="276"/>
      <c r="AC1520" s="276"/>
      <c r="AD1520" s="276"/>
    </row>
    <row r="1521" spans="18:30" x14ac:dyDescent="0.25">
      <c r="R1521" s="508"/>
      <c r="S1521" s="508"/>
      <c r="T1521" s="276"/>
      <c r="U1521" s="276"/>
      <c r="V1521" s="276"/>
      <c r="W1521" s="283"/>
      <c r="X1521" s="276"/>
      <c r="Y1521" s="276"/>
      <c r="Z1521" s="276"/>
      <c r="AA1521" s="276"/>
      <c r="AB1521" s="276"/>
      <c r="AC1521" s="276"/>
      <c r="AD1521" s="276"/>
    </row>
    <row r="1522" spans="18:30" x14ac:dyDescent="0.25">
      <c r="R1522" s="508"/>
      <c r="S1522" s="508"/>
      <c r="T1522" s="276"/>
      <c r="U1522" s="276"/>
      <c r="V1522" s="276"/>
      <c r="W1522" s="283"/>
      <c r="X1522" s="276"/>
      <c r="Y1522" s="276"/>
      <c r="Z1522" s="276"/>
      <c r="AA1522" s="276"/>
      <c r="AB1522" s="276"/>
      <c r="AC1522" s="276"/>
      <c r="AD1522" s="276"/>
    </row>
    <row r="1523" spans="18:30" x14ac:dyDescent="0.25">
      <c r="R1523" s="508"/>
      <c r="S1523" s="508"/>
      <c r="T1523" s="276"/>
      <c r="U1523" s="276"/>
      <c r="V1523" s="276"/>
      <c r="W1523" s="283"/>
      <c r="X1523" s="276"/>
      <c r="Y1523" s="276"/>
      <c r="Z1523" s="276"/>
      <c r="AA1523" s="276"/>
      <c r="AB1523" s="276"/>
      <c r="AC1523" s="276"/>
      <c r="AD1523" s="276"/>
    </row>
    <row r="1524" spans="18:30" x14ac:dyDescent="0.25">
      <c r="R1524" s="508"/>
      <c r="S1524" s="508"/>
      <c r="T1524" s="276"/>
      <c r="U1524" s="276"/>
      <c r="V1524" s="276"/>
      <c r="W1524" s="283"/>
      <c r="X1524" s="276"/>
      <c r="Y1524" s="276"/>
      <c r="Z1524" s="276"/>
      <c r="AA1524" s="276"/>
      <c r="AB1524" s="276"/>
      <c r="AC1524" s="276"/>
      <c r="AD1524" s="276"/>
    </row>
    <row r="1525" spans="18:30" x14ac:dyDescent="0.25">
      <c r="R1525" s="508"/>
      <c r="S1525" s="508"/>
      <c r="T1525" s="276"/>
      <c r="U1525" s="276"/>
      <c r="V1525" s="276"/>
      <c r="W1525" s="283"/>
      <c r="X1525" s="276"/>
      <c r="Y1525" s="276"/>
      <c r="Z1525" s="276"/>
      <c r="AA1525" s="276"/>
      <c r="AB1525" s="276"/>
      <c r="AC1525" s="276"/>
      <c r="AD1525" s="276"/>
    </row>
    <row r="1526" spans="18:30" x14ac:dyDescent="0.25">
      <c r="R1526" s="508"/>
      <c r="S1526" s="508"/>
      <c r="T1526" s="276"/>
      <c r="U1526" s="276"/>
      <c r="V1526" s="276"/>
      <c r="W1526" s="283"/>
      <c r="X1526" s="276"/>
      <c r="Y1526" s="276"/>
      <c r="Z1526" s="276"/>
      <c r="AA1526" s="276"/>
      <c r="AB1526" s="276"/>
      <c r="AC1526" s="276"/>
      <c r="AD1526" s="276"/>
    </row>
    <row r="1527" spans="18:30" x14ac:dyDescent="0.25">
      <c r="R1527" s="508"/>
      <c r="S1527" s="508"/>
      <c r="T1527" s="276"/>
      <c r="U1527" s="276"/>
      <c r="V1527" s="276"/>
      <c r="W1527" s="283"/>
      <c r="X1527" s="276"/>
      <c r="Y1527" s="276"/>
      <c r="Z1527" s="276"/>
      <c r="AA1527" s="276"/>
      <c r="AB1527" s="276"/>
      <c r="AC1527" s="276"/>
      <c r="AD1527" s="276"/>
    </row>
    <row r="1528" spans="18:30" x14ac:dyDescent="0.25">
      <c r="R1528" s="508"/>
      <c r="S1528" s="508"/>
      <c r="T1528" s="276"/>
      <c r="U1528" s="276"/>
      <c r="V1528" s="276"/>
      <c r="W1528" s="283"/>
      <c r="X1528" s="276"/>
      <c r="Y1528" s="276"/>
      <c r="Z1528" s="276"/>
      <c r="AA1528" s="276"/>
      <c r="AB1528" s="276"/>
      <c r="AC1528" s="276"/>
      <c r="AD1528" s="276"/>
    </row>
    <row r="1529" spans="18:30" x14ac:dyDescent="0.25">
      <c r="R1529" s="508"/>
      <c r="S1529" s="508"/>
      <c r="T1529" s="276"/>
      <c r="U1529" s="276"/>
      <c r="V1529" s="276"/>
      <c r="W1529" s="283"/>
      <c r="X1529" s="276"/>
      <c r="Y1529" s="276"/>
      <c r="Z1529" s="276"/>
      <c r="AA1529" s="276"/>
      <c r="AB1529" s="276"/>
      <c r="AC1529" s="276"/>
      <c r="AD1529" s="276"/>
    </row>
    <row r="1530" spans="18:30" x14ac:dyDescent="0.25">
      <c r="R1530" s="508"/>
      <c r="S1530" s="508"/>
      <c r="T1530" s="276"/>
      <c r="U1530" s="276"/>
      <c r="V1530" s="276"/>
      <c r="W1530" s="283"/>
      <c r="X1530" s="276"/>
      <c r="Y1530" s="276"/>
      <c r="Z1530" s="276"/>
      <c r="AA1530" s="276"/>
      <c r="AB1530" s="276"/>
      <c r="AC1530" s="276"/>
      <c r="AD1530" s="276"/>
    </row>
    <row r="1531" spans="18:30" x14ac:dyDescent="0.25">
      <c r="R1531" s="508"/>
      <c r="S1531" s="508"/>
      <c r="T1531" s="276"/>
      <c r="U1531" s="276"/>
      <c r="V1531" s="276"/>
      <c r="W1531" s="283"/>
      <c r="X1531" s="276"/>
      <c r="Y1531" s="276"/>
      <c r="Z1531" s="276"/>
      <c r="AA1531" s="276"/>
      <c r="AB1531" s="276"/>
      <c r="AC1531" s="276"/>
      <c r="AD1531" s="276"/>
    </row>
    <row r="1532" spans="18:30" x14ac:dyDescent="0.25">
      <c r="R1532" s="508"/>
      <c r="S1532" s="508"/>
      <c r="T1532" s="276"/>
      <c r="U1532" s="276"/>
      <c r="V1532" s="276"/>
      <c r="W1532" s="283"/>
      <c r="X1532" s="276"/>
      <c r="Y1532" s="276"/>
      <c r="Z1532" s="276"/>
      <c r="AA1532" s="276"/>
      <c r="AB1532" s="276"/>
      <c r="AC1532" s="276"/>
      <c r="AD1532" s="276"/>
    </row>
    <row r="1533" spans="18:30" x14ac:dyDescent="0.25">
      <c r="R1533" s="508"/>
      <c r="S1533" s="508"/>
      <c r="T1533" s="276"/>
      <c r="U1533" s="276"/>
      <c r="V1533" s="276"/>
      <c r="W1533" s="283"/>
      <c r="X1533" s="276"/>
      <c r="Y1533" s="276"/>
      <c r="Z1533" s="276"/>
      <c r="AA1533" s="276"/>
      <c r="AB1533" s="276"/>
      <c r="AC1533" s="276"/>
      <c r="AD1533" s="276"/>
    </row>
    <row r="1534" spans="18:30" x14ac:dyDescent="0.25">
      <c r="R1534" s="508"/>
      <c r="S1534" s="508"/>
      <c r="T1534" s="276"/>
      <c r="U1534" s="276"/>
      <c r="V1534" s="276"/>
      <c r="W1534" s="283"/>
      <c r="X1534" s="276"/>
      <c r="Y1534" s="276"/>
      <c r="Z1534" s="276"/>
      <c r="AA1534" s="276"/>
      <c r="AB1534" s="276"/>
      <c r="AC1534" s="276"/>
      <c r="AD1534" s="276"/>
    </row>
    <row r="1535" spans="18:30" x14ac:dyDescent="0.25">
      <c r="R1535" s="508"/>
      <c r="S1535" s="508"/>
      <c r="T1535" s="276"/>
      <c r="U1535" s="276"/>
      <c r="V1535" s="276"/>
      <c r="W1535" s="283"/>
      <c r="X1535" s="276"/>
      <c r="Y1535" s="276"/>
      <c r="Z1535" s="276"/>
      <c r="AA1535" s="276"/>
      <c r="AB1535" s="276"/>
      <c r="AC1535" s="276"/>
      <c r="AD1535" s="276"/>
    </row>
    <row r="1536" spans="18:30" x14ac:dyDescent="0.25">
      <c r="R1536" s="508"/>
      <c r="S1536" s="508"/>
      <c r="T1536" s="276"/>
      <c r="U1536" s="276"/>
      <c r="V1536" s="276"/>
      <c r="W1536" s="283"/>
      <c r="X1536" s="276"/>
      <c r="Y1536" s="276"/>
      <c r="Z1536" s="276"/>
      <c r="AA1536" s="276"/>
      <c r="AB1536" s="276"/>
      <c r="AC1536" s="276"/>
      <c r="AD1536" s="276"/>
    </row>
    <row r="1537" spans="18:30" x14ac:dyDescent="0.25">
      <c r="R1537" s="508"/>
      <c r="S1537" s="508"/>
      <c r="T1537" s="276"/>
      <c r="U1537" s="276"/>
      <c r="V1537" s="276"/>
      <c r="W1537" s="283"/>
      <c r="X1537" s="276"/>
      <c r="Y1537" s="276"/>
      <c r="Z1537" s="276"/>
      <c r="AA1537" s="276"/>
      <c r="AB1537" s="276"/>
      <c r="AC1537" s="276"/>
      <c r="AD1537" s="276"/>
    </row>
    <row r="1538" spans="18:30" x14ac:dyDescent="0.25">
      <c r="R1538" s="508"/>
      <c r="S1538" s="508"/>
      <c r="T1538" s="276"/>
      <c r="U1538" s="276"/>
      <c r="V1538" s="276"/>
      <c r="W1538" s="283"/>
      <c r="X1538" s="276"/>
      <c r="Y1538" s="276"/>
      <c r="Z1538" s="276"/>
      <c r="AA1538" s="276"/>
      <c r="AB1538" s="276"/>
      <c r="AC1538" s="276"/>
      <c r="AD1538" s="276"/>
    </row>
    <row r="1539" spans="18:30" x14ac:dyDescent="0.25">
      <c r="R1539" s="508"/>
      <c r="S1539" s="508"/>
      <c r="T1539" s="276"/>
      <c r="U1539" s="276"/>
      <c r="V1539" s="276"/>
      <c r="W1539" s="283"/>
      <c r="X1539" s="276"/>
      <c r="Y1539" s="276"/>
      <c r="Z1539" s="276"/>
      <c r="AA1539" s="276"/>
      <c r="AB1539" s="276"/>
      <c r="AC1539" s="276"/>
      <c r="AD1539" s="276"/>
    </row>
    <row r="1540" spans="18:30" x14ac:dyDescent="0.25">
      <c r="R1540" s="508"/>
      <c r="S1540" s="508"/>
      <c r="T1540" s="276"/>
      <c r="U1540" s="276"/>
      <c r="V1540" s="276"/>
      <c r="W1540" s="283"/>
      <c r="X1540" s="276"/>
      <c r="Y1540" s="276"/>
      <c r="Z1540" s="276"/>
      <c r="AA1540" s="276"/>
      <c r="AB1540" s="276"/>
      <c r="AC1540" s="276"/>
      <c r="AD1540" s="276"/>
    </row>
    <row r="1541" spans="18:30" x14ac:dyDescent="0.25">
      <c r="R1541" s="508"/>
      <c r="S1541" s="508"/>
      <c r="T1541" s="276"/>
      <c r="U1541" s="276"/>
      <c r="V1541" s="276"/>
      <c r="W1541" s="283"/>
      <c r="X1541" s="276"/>
      <c r="Y1541" s="276"/>
      <c r="Z1541" s="276"/>
      <c r="AA1541" s="276"/>
      <c r="AB1541" s="276"/>
      <c r="AC1541" s="276"/>
      <c r="AD1541" s="276"/>
    </row>
    <row r="1542" spans="18:30" x14ac:dyDescent="0.25">
      <c r="R1542" s="508"/>
      <c r="S1542" s="508"/>
      <c r="T1542" s="276"/>
      <c r="U1542" s="276"/>
      <c r="V1542" s="276"/>
      <c r="W1542" s="283"/>
      <c r="X1542" s="276"/>
      <c r="Y1542" s="276"/>
      <c r="Z1542" s="276"/>
      <c r="AA1542" s="276"/>
      <c r="AB1542" s="276"/>
      <c r="AC1542" s="276"/>
      <c r="AD1542" s="276"/>
    </row>
    <row r="1543" spans="18:30" x14ac:dyDescent="0.25">
      <c r="R1543" s="508"/>
      <c r="S1543" s="508"/>
      <c r="T1543" s="276"/>
      <c r="U1543" s="276"/>
      <c r="V1543" s="276"/>
      <c r="W1543" s="283"/>
      <c r="X1543" s="276"/>
      <c r="Y1543" s="276"/>
      <c r="Z1543" s="276"/>
      <c r="AA1543" s="276"/>
      <c r="AB1543" s="276"/>
      <c r="AC1543" s="276"/>
      <c r="AD1543" s="276"/>
    </row>
    <row r="1544" spans="18:30" x14ac:dyDescent="0.25">
      <c r="R1544" s="508"/>
      <c r="S1544" s="508"/>
      <c r="T1544" s="276"/>
      <c r="U1544" s="276"/>
      <c r="V1544" s="276"/>
      <c r="W1544" s="283"/>
      <c r="X1544" s="276"/>
      <c r="Y1544" s="276"/>
      <c r="Z1544" s="276"/>
      <c r="AA1544" s="276"/>
      <c r="AB1544" s="276"/>
      <c r="AC1544" s="276"/>
      <c r="AD1544" s="276"/>
    </row>
    <row r="1545" spans="18:30" x14ac:dyDescent="0.25">
      <c r="R1545" s="508"/>
      <c r="S1545" s="508"/>
      <c r="T1545" s="276"/>
      <c r="U1545" s="276"/>
      <c r="V1545" s="276"/>
      <c r="W1545" s="283"/>
      <c r="X1545" s="276"/>
      <c r="Y1545" s="276"/>
      <c r="Z1545" s="276"/>
      <c r="AA1545" s="276"/>
      <c r="AB1545" s="276"/>
      <c r="AC1545" s="276"/>
      <c r="AD1545" s="276"/>
    </row>
    <row r="1546" spans="18:30" x14ac:dyDescent="0.25">
      <c r="R1546" s="508"/>
      <c r="S1546" s="508"/>
      <c r="T1546" s="276"/>
      <c r="U1546" s="276"/>
      <c r="V1546" s="276"/>
      <c r="W1546" s="283"/>
      <c r="X1546" s="276"/>
      <c r="Y1546" s="276"/>
      <c r="Z1546" s="276"/>
      <c r="AA1546" s="276"/>
      <c r="AB1546" s="276"/>
      <c r="AC1546" s="276"/>
      <c r="AD1546" s="276"/>
    </row>
    <row r="1547" spans="18:30" x14ac:dyDescent="0.25">
      <c r="R1547" s="508"/>
      <c r="S1547" s="508"/>
      <c r="T1547" s="276"/>
      <c r="U1547" s="276"/>
      <c r="V1547" s="276"/>
      <c r="W1547" s="283"/>
      <c r="X1547" s="276"/>
      <c r="Y1547" s="276"/>
      <c r="Z1547" s="276"/>
      <c r="AA1547" s="276"/>
      <c r="AB1547" s="276"/>
      <c r="AC1547" s="276"/>
      <c r="AD1547" s="276"/>
    </row>
    <row r="1548" spans="18:30" x14ac:dyDescent="0.25">
      <c r="R1548" s="508"/>
      <c r="S1548" s="508"/>
      <c r="T1548" s="276"/>
      <c r="U1548" s="276"/>
      <c r="V1548" s="276"/>
      <c r="W1548" s="283"/>
      <c r="X1548" s="276"/>
      <c r="Y1548" s="276"/>
      <c r="Z1548" s="276"/>
      <c r="AA1548" s="276"/>
      <c r="AB1548" s="276"/>
      <c r="AC1548" s="276"/>
      <c r="AD1548" s="276"/>
    </row>
    <row r="1549" spans="18:30" x14ac:dyDescent="0.25">
      <c r="R1549" s="508"/>
      <c r="S1549" s="508"/>
      <c r="T1549" s="276"/>
      <c r="U1549" s="276"/>
      <c r="V1549" s="276"/>
      <c r="W1549" s="283"/>
      <c r="X1549" s="276"/>
      <c r="Y1549" s="276"/>
      <c r="Z1549" s="276"/>
      <c r="AA1549" s="276"/>
      <c r="AB1549" s="276"/>
      <c r="AC1549" s="276"/>
      <c r="AD1549" s="276"/>
    </row>
    <row r="1550" spans="18:30" x14ac:dyDescent="0.25">
      <c r="R1550" s="508"/>
      <c r="S1550" s="508"/>
      <c r="T1550" s="276"/>
      <c r="U1550" s="276"/>
      <c r="V1550" s="276"/>
      <c r="W1550" s="283"/>
      <c r="X1550" s="276"/>
      <c r="Y1550" s="276"/>
      <c r="Z1550" s="276"/>
      <c r="AA1550" s="276"/>
      <c r="AB1550" s="276"/>
      <c r="AC1550" s="276"/>
      <c r="AD1550" s="276"/>
    </row>
    <row r="1551" spans="18:30" x14ac:dyDescent="0.25">
      <c r="R1551" s="508"/>
      <c r="S1551" s="508"/>
      <c r="T1551" s="276"/>
      <c r="U1551" s="276"/>
      <c r="V1551" s="276"/>
      <c r="W1551" s="283"/>
      <c r="X1551" s="276"/>
      <c r="Y1551" s="276"/>
      <c r="Z1551" s="276"/>
      <c r="AA1551" s="276"/>
      <c r="AB1551" s="276"/>
      <c r="AC1551" s="276"/>
      <c r="AD1551" s="276"/>
    </row>
    <row r="1552" spans="18:30" x14ac:dyDescent="0.25">
      <c r="R1552" s="508"/>
      <c r="S1552" s="508"/>
      <c r="T1552" s="276"/>
      <c r="U1552" s="276"/>
      <c r="V1552" s="276"/>
      <c r="W1552" s="283"/>
      <c r="X1552" s="276"/>
      <c r="Y1552" s="276"/>
      <c r="Z1552" s="276"/>
      <c r="AA1552" s="276"/>
      <c r="AB1552" s="276"/>
      <c r="AC1552" s="276"/>
      <c r="AD1552" s="276"/>
    </row>
    <row r="1553" spans="18:30" x14ac:dyDescent="0.25">
      <c r="R1553" s="508"/>
      <c r="S1553" s="508"/>
      <c r="T1553" s="276"/>
      <c r="U1553" s="276"/>
      <c r="V1553" s="276"/>
      <c r="W1553" s="283"/>
      <c r="X1553" s="276"/>
      <c r="Y1553" s="276"/>
      <c r="Z1553" s="276"/>
      <c r="AA1553" s="276"/>
      <c r="AB1553" s="276"/>
      <c r="AC1553" s="276"/>
      <c r="AD1553" s="276"/>
    </row>
    <row r="1554" spans="18:30" x14ac:dyDescent="0.25">
      <c r="R1554" s="508"/>
      <c r="S1554" s="508"/>
      <c r="T1554" s="276"/>
      <c r="U1554" s="276"/>
      <c r="V1554" s="276"/>
      <c r="W1554" s="283"/>
      <c r="X1554" s="276"/>
      <c r="Y1554" s="276"/>
      <c r="Z1554" s="276"/>
      <c r="AA1554" s="276"/>
      <c r="AB1554" s="276"/>
      <c r="AC1554" s="276"/>
      <c r="AD1554" s="276"/>
    </row>
    <row r="1555" spans="18:30" x14ac:dyDescent="0.25">
      <c r="R1555" s="508"/>
      <c r="S1555" s="508"/>
      <c r="T1555" s="276"/>
      <c r="U1555" s="276"/>
      <c r="V1555" s="276"/>
      <c r="W1555" s="283"/>
      <c r="X1555" s="276"/>
      <c r="Y1555" s="276"/>
      <c r="Z1555" s="276"/>
      <c r="AA1555" s="276"/>
      <c r="AB1555" s="276"/>
      <c r="AC1555" s="276"/>
      <c r="AD1555" s="276"/>
    </row>
    <row r="1556" spans="18:30" x14ac:dyDescent="0.25">
      <c r="R1556" s="508"/>
      <c r="S1556" s="508"/>
      <c r="T1556" s="276"/>
      <c r="U1556" s="276"/>
      <c r="V1556" s="276"/>
      <c r="W1556" s="283"/>
      <c r="X1556" s="276"/>
      <c r="Y1556" s="276"/>
      <c r="Z1556" s="276"/>
      <c r="AA1556" s="276"/>
      <c r="AB1556" s="276"/>
      <c r="AC1556" s="276"/>
      <c r="AD1556" s="276"/>
    </row>
    <row r="1557" spans="18:30" x14ac:dyDescent="0.25">
      <c r="R1557" s="508"/>
      <c r="S1557" s="508"/>
      <c r="T1557" s="276"/>
      <c r="U1557" s="276"/>
      <c r="V1557" s="276"/>
      <c r="W1557" s="283"/>
      <c r="X1557" s="276"/>
      <c r="Y1557" s="276"/>
      <c r="Z1557" s="276"/>
      <c r="AA1557" s="276"/>
      <c r="AB1557" s="276"/>
      <c r="AC1557" s="276"/>
      <c r="AD1557" s="276"/>
    </row>
    <row r="1558" spans="18:30" x14ac:dyDescent="0.25">
      <c r="R1558" s="508"/>
      <c r="S1558" s="508"/>
      <c r="T1558" s="276"/>
      <c r="U1558" s="276"/>
      <c r="V1558" s="276"/>
      <c r="W1558" s="283"/>
      <c r="X1558" s="276"/>
      <c r="Y1558" s="276"/>
      <c r="Z1558" s="276"/>
      <c r="AA1558" s="276"/>
      <c r="AB1558" s="276"/>
      <c r="AC1558" s="276"/>
      <c r="AD1558" s="276"/>
    </row>
    <row r="1559" spans="18:30" x14ac:dyDescent="0.25">
      <c r="R1559" s="508"/>
      <c r="S1559" s="508"/>
      <c r="T1559" s="276"/>
      <c r="U1559" s="276"/>
      <c r="V1559" s="276"/>
      <c r="W1559" s="283"/>
      <c r="X1559" s="276"/>
      <c r="Y1559" s="276"/>
      <c r="Z1559" s="276"/>
      <c r="AA1559" s="276"/>
      <c r="AB1559" s="276"/>
      <c r="AC1559" s="276"/>
      <c r="AD1559" s="276"/>
    </row>
    <row r="1560" spans="18:30" x14ac:dyDescent="0.25">
      <c r="R1560" s="508"/>
      <c r="S1560" s="508"/>
      <c r="T1560" s="276"/>
      <c r="U1560" s="276"/>
      <c r="V1560" s="276"/>
      <c r="W1560" s="283"/>
      <c r="X1560" s="276"/>
      <c r="Y1560" s="276"/>
      <c r="Z1560" s="276"/>
      <c r="AA1560" s="276"/>
      <c r="AB1560" s="276"/>
      <c r="AC1560" s="276"/>
      <c r="AD1560" s="276"/>
    </row>
    <row r="1561" spans="18:30" x14ac:dyDescent="0.25">
      <c r="R1561" s="508"/>
      <c r="S1561" s="508"/>
      <c r="T1561" s="276"/>
      <c r="U1561" s="276"/>
      <c r="V1561" s="276"/>
      <c r="W1561" s="283"/>
      <c r="X1561" s="276"/>
      <c r="Y1561" s="276"/>
      <c r="Z1561" s="276"/>
      <c r="AA1561" s="276"/>
      <c r="AB1561" s="276"/>
      <c r="AC1561" s="276"/>
      <c r="AD1561" s="276"/>
    </row>
    <row r="1562" spans="18:30" x14ac:dyDescent="0.25">
      <c r="R1562" s="508"/>
      <c r="S1562" s="508"/>
      <c r="T1562" s="276"/>
      <c r="U1562" s="276"/>
      <c r="V1562" s="276"/>
      <c r="W1562" s="283"/>
      <c r="X1562" s="276"/>
      <c r="Y1562" s="276"/>
      <c r="Z1562" s="276"/>
      <c r="AA1562" s="276"/>
      <c r="AB1562" s="276"/>
      <c r="AC1562" s="276"/>
      <c r="AD1562" s="276"/>
    </row>
    <row r="1563" spans="18:30" x14ac:dyDescent="0.25">
      <c r="R1563" s="508"/>
      <c r="S1563" s="508"/>
      <c r="T1563" s="276"/>
      <c r="U1563" s="276"/>
      <c r="V1563" s="276"/>
      <c r="W1563" s="283"/>
      <c r="X1563" s="276"/>
      <c r="Y1563" s="276"/>
      <c r="Z1563" s="276"/>
      <c r="AA1563" s="276"/>
      <c r="AB1563" s="276"/>
      <c r="AC1563" s="276"/>
      <c r="AD1563" s="276"/>
    </row>
    <row r="1564" spans="18:30" x14ac:dyDescent="0.25">
      <c r="R1564" s="508"/>
      <c r="S1564" s="508"/>
      <c r="T1564" s="276"/>
      <c r="U1564" s="276"/>
      <c r="V1564" s="276"/>
      <c r="W1564" s="283"/>
      <c r="X1564" s="276"/>
      <c r="Y1564" s="276"/>
      <c r="Z1564" s="276"/>
      <c r="AA1564" s="276"/>
      <c r="AB1564" s="276"/>
      <c r="AC1564" s="276"/>
      <c r="AD1564" s="276"/>
    </row>
    <row r="1565" spans="18:30" x14ac:dyDescent="0.25">
      <c r="R1565" s="508"/>
      <c r="S1565" s="508"/>
      <c r="T1565" s="276"/>
      <c r="U1565" s="276"/>
      <c r="V1565" s="276"/>
      <c r="W1565" s="283"/>
      <c r="X1565" s="276"/>
      <c r="Y1565" s="276"/>
      <c r="Z1565" s="276"/>
      <c r="AA1565" s="276"/>
      <c r="AB1565" s="276"/>
      <c r="AC1565" s="276"/>
      <c r="AD1565" s="276"/>
    </row>
    <row r="1566" spans="18:30" x14ac:dyDescent="0.25">
      <c r="R1566" s="508"/>
      <c r="S1566" s="508"/>
      <c r="T1566" s="276"/>
      <c r="U1566" s="276"/>
      <c r="V1566" s="276"/>
      <c r="W1566" s="283"/>
      <c r="X1566" s="276"/>
      <c r="Y1566" s="276"/>
      <c r="Z1566" s="276"/>
      <c r="AA1566" s="276"/>
      <c r="AB1566" s="276"/>
      <c r="AC1566" s="276"/>
      <c r="AD1566" s="276"/>
    </row>
    <row r="1567" spans="18:30" x14ac:dyDescent="0.25">
      <c r="R1567" s="508"/>
      <c r="S1567" s="508"/>
      <c r="T1567" s="276"/>
      <c r="U1567" s="276"/>
      <c r="V1567" s="276"/>
      <c r="W1567" s="283"/>
      <c r="X1567" s="276"/>
      <c r="Y1567" s="276"/>
      <c r="Z1567" s="276"/>
      <c r="AA1567" s="276"/>
      <c r="AB1567" s="276"/>
      <c r="AC1567" s="276"/>
      <c r="AD1567" s="276"/>
    </row>
    <row r="1568" spans="18:30" x14ac:dyDescent="0.25">
      <c r="R1568" s="508"/>
      <c r="S1568" s="508"/>
      <c r="T1568" s="276"/>
      <c r="U1568" s="276"/>
      <c r="V1568" s="276"/>
      <c r="W1568" s="283"/>
      <c r="X1568" s="276"/>
      <c r="Y1568" s="276"/>
      <c r="Z1568" s="276"/>
      <c r="AA1568" s="276"/>
      <c r="AB1568" s="276"/>
      <c r="AC1568" s="276"/>
      <c r="AD1568" s="276"/>
    </row>
    <row r="1569" spans="18:30" x14ac:dyDescent="0.25">
      <c r="R1569" s="508"/>
      <c r="S1569" s="508"/>
      <c r="T1569" s="276"/>
      <c r="U1569" s="276"/>
      <c r="V1569" s="276"/>
      <c r="W1569" s="283"/>
      <c r="X1569" s="276"/>
      <c r="Y1569" s="276"/>
      <c r="Z1569" s="276"/>
      <c r="AA1569" s="276"/>
      <c r="AB1569" s="276"/>
      <c r="AC1569" s="276"/>
      <c r="AD1569" s="276"/>
    </row>
    <row r="1570" spans="18:30" x14ac:dyDescent="0.25">
      <c r="R1570" s="508"/>
      <c r="S1570" s="508"/>
      <c r="T1570" s="276"/>
      <c r="U1570" s="276"/>
      <c r="V1570" s="276"/>
      <c r="W1570" s="283"/>
      <c r="X1570" s="276"/>
      <c r="Y1570" s="276"/>
      <c r="Z1570" s="276"/>
      <c r="AA1570" s="276"/>
      <c r="AB1570" s="276"/>
      <c r="AC1570" s="276"/>
      <c r="AD1570" s="276"/>
    </row>
    <row r="1571" spans="18:30" x14ac:dyDescent="0.25">
      <c r="R1571" s="508"/>
      <c r="S1571" s="508"/>
      <c r="T1571" s="276"/>
      <c r="U1571" s="276"/>
      <c r="V1571" s="276"/>
      <c r="W1571" s="283"/>
      <c r="X1571" s="276"/>
      <c r="Y1571" s="276"/>
      <c r="Z1571" s="276"/>
      <c r="AA1571" s="276"/>
      <c r="AB1571" s="276"/>
      <c r="AC1571" s="276"/>
      <c r="AD1571" s="276"/>
    </row>
    <row r="1572" spans="18:30" x14ac:dyDescent="0.25">
      <c r="R1572" s="508"/>
      <c r="S1572" s="508"/>
      <c r="T1572" s="276"/>
      <c r="U1572" s="276"/>
      <c r="V1572" s="276"/>
      <c r="W1572" s="283"/>
      <c r="X1572" s="276"/>
      <c r="Y1572" s="276"/>
      <c r="Z1572" s="276"/>
      <c r="AA1572" s="276"/>
      <c r="AB1572" s="276"/>
      <c r="AC1572" s="276"/>
      <c r="AD1572" s="276"/>
    </row>
    <row r="1573" spans="18:30" x14ac:dyDescent="0.25">
      <c r="R1573" s="508"/>
      <c r="S1573" s="508"/>
      <c r="T1573" s="276"/>
      <c r="U1573" s="276"/>
      <c r="V1573" s="276"/>
      <c r="W1573" s="283"/>
      <c r="X1573" s="276"/>
      <c r="Y1573" s="276"/>
      <c r="Z1573" s="276"/>
      <c r="AA1573" s="276"/>
      <c r="AB1573" s="276"/>
      <c r="AC1573" s="276"/>
      <c r="AD1573" s="276"/>
    </row>
    <row r="1574" spans="18:30" x14ac:dyDescent="0.25">
      <c r="R1574" s="508"/>
      <c r="S1574" s="508"/>
      <c r="T1574" s="276"/>
      <c r="U1574" s="276"/>
      <c r="V1574" s="276"/>
      <c r="W1574" s="283"/>
      <c r="X1574" s="276"/>
      <c r="Y1574" s="276"/>
      <c r="Z1574" s="276"/>
      <c r="AA1574" s="276"/>
      <c r="AB1574" s="276"/>
      <c r="AC1574" s="276"/>
      <c r="AD1574" s="276"/>
    </row>
    <row r="1575" spans="18:30" x14ac:dyDescent="0.25">
      <c r="R1575" s="508"/>
      <c r="S1575" s="508"/>
      <c r="T1575" s="276"/>
      <c r="U1575" s="276"/>
      <c r="V1575" s="276"/>
      <c r="W1575" s="283"/>
      <c r="X1575" s="276"/>
      <c r="Y1575" s="276"/>
      <c r="Z1575" s="276"/>
      <c r="AA1575" s="276"/>
      <c r="AB1575" s="276"/>
      <c r="AC1575" s="276"/>
      <c r="AD1575" s="276"/>
    </row>
    <row r="1576" spans="18:30" x14ac:dyDescent="0.25">
      <c r="R1576" s="508"/>
      <c r="S1576" s="508"/>
      <c r="T1576" s="276"/>
      <c r="U1576" s="276"/>
      <c r="V1576" s="276"/>
      <c r="W1576" s="283"/>
      <c r="X1576" s="276"/>
      <c r="Y1576" s="276"/>
      <c r="Z1576" s="276"/>
      <c r="AA1576" s="276"/>
      <c r="AB1576" s="276"/>
      <c r="AC1576" s="276"/>
      <c r="AD1576" s="276"/>
    </row>
    <row r="1577" spans="18:30" x14ac:dyDescent="0.25">
      <c r="R1577" s="508"/>
      <c r="S1577" s="508"/>
      <c r="T1577" s="276"/>
      <c r="U1577" s="276"/>
      <c r="V1577" s="276"/>
      <c r="W1577" s="283"/>
      <c r="X1577" s="276"/>
      <c r="Y1577" s="276"/>
      <c r="Z1577" s="276"/>
      <c r="AA1577" s="276"/>
      <c r="AB1577" s="276"/>
      <c r="AC1577" s="276"/>
      <c r="AD1577" s="276"/>
    </row>
    <row r="1578" spans="18:30" x14ac:dyDescent="0.25">
      <c r="R1578" s="508"/>
      <c r="S1578" s="508"/>
      <c r="T1578" s="276"/>
      <c r="U1578" s="276"/>
      <c r="V1578" s="276"/>
      <c r="W1578" s="283"/>
      <c r="X1578" s="276"/>
      <c r="Y1578" s="276"/>
      <c r="Z1578" s="276"/>
      <c r="AA1578" s="276"/>
      <c r="AB1578" s="276"/>
      <c r="AC1578" s="276"/>
      <c r="AD1578" s="276"/>
    </row>
    <row r="1579" spans="18:30" x14ac:dyDescent="0.25">
      <c r="R1579" s="508"/>
      <c r="S1579" s="508"/>
      <c r="T1579" s="276"/>
      <c r="U1579" s="276"/>
      <c r="V1579" s="276"/>
      <c r="W1579" s="283"/>
      <c r="X1579" s="276"/>
      <c r="Y1579" s="276"/>
      <c r="Z1579" s="276"/>
      <c r="AA1579" s="276"/>
      <c r="AB1579" s="276"/>
      <c r="AC1579" s="276"/>
      <c r="AD1579" s="276"/>
    </row>
    <row r="1580" spans="18:30" x14ac:dyDescent="0.25">
      <c r="R1580" s="508"/>
      <c r="S1580" s="508"/>
      <c r="T1580" s="276"/>
      <c r="U1580" s="276"/>
      <c r="V1580" s="276"/>
      <c r="W1580" s="283"/>
      <c r="X1580" s="276"/>
      <c r="Y1580" s="276"/>
      <c r="Z1580" s="276"/>
      <c r="AA1580" s="276"/>
      <c r="AB1580" s="276"/>
      <c r="AC1580" s="276"/>
      <c r="AD1580" s="276"/>
    </row>
    <row r="1581" spans="18:30" x14ac:dyDescent="0.25">
      <c r="R1581" s="508"/>
      <c r="S1581" s="508"/>
      <c r="T1581" s="276"/>
      <c r="U1581" s="276"/>
      <c r="V1581" s="276"/>
      <c r="W1581" s="283"/>
      <c r="X1581" s="276"/>
      <c r="Y1581" s="276"/>
      <c r="Z1581" s="276"/>
      <c r="AA1581" s="276"/>
      <c r="AB1581" s="276"/>
      <c r="AC1581" s="276"/>
      <c r="AD1581" s="276"/>
    </row>
    <row r="1582" spans="18:30" x14ac:dyDescent="0.25">
      <c r="R1582" s="508"/>
      <c r="S1582" s="508"/>
      <c r="T1582" s="276"/>
      <c r="U1582" s="276"/>
      <c r="V1582" s="276"/>
      <c r="W1582" s="283"/>
      <c r="X1582" s="276"/>
      <c r="Y1582" s="276"/>
      <c r="Z1582" s="276"/>
      <c r="AA1582" s="276"/>
      <c r="AB1582" s="276"/>
      <c r="AC1582" s="276"/>
      <c r="AD1582" s="276"/>
    </row>
    <row r="1583" spans="18:30" x14ac:dyDescent="0.25">
      <c r="R1583" s="508"/>
      <c r="S1583" s="508"/>
      <c r="T1583" s="276"/>
      <c r="U1583" s="276"/>
      <c r="V1583" s="276"/>
      <c r="W1583" s="283"/>
      <c r="X1583" s="276"/>
      <c r="Y1583" s="276"/>
      <c r="Z1583" s="276"/>
      <c r="AA1583" s="276"/>
      <c r="AB1583" s="276"/>
      <c r="AC1583" s="276"/>
      <c r="AD1583" s="276"/>
    </row>
    <row r="1584" spans="18:30" x14ac:dyDescent="0.25">
      <c r="R1584" s="508"/>
      <c r="S1584" s="508"/>
      <c r="T1584" s="276"/>
      <c r="U1584" s="276"/>
      <c r="V1584" s="276"/>
      <c r="W1584" s="283"/>
      <c r="X1584" s="276"/>
      <c r="Y1584" s="276"/>
      <c r="Z1584" s="276"/>
      <c r="AA1584" s="276"/>
      <c r="AB1584" s="276"/>
      <c r="AC1584" s="276"/>
      <c r="AD1584" s="276"/>
    </row>
    <row r="1585" spans="18:30" x14ac:dyDescent="0.25">
      <c r="R1585" s="508"/>
      <c r="S1585" s="508"/>
      <c r="T1585" s="276"/>
      <c r="U1585" s="276"/>
      <c r="V1585" s="276"/>
      <c r="W1585" s="283"/>
      <c r="X1585" s="276"/>
      <c r="Y1585" s="276"/>
      <c r="Z1585" s="276"/>
      <c r="AA1585" s="276"/>
      <c r="AB1585" s="276"/>
      <c r="AC1585" s="276"/>
      <c r="AD1585" s="276"/>
    </row>
    <row r="1586" spans="18:30" x14ac:dyDescent="0.25">
      <c r="R1586" s="508"/>
      <c r="S1586" s="508"/>
      <c r="T1586" s="276"/>
      <c r="U1586" s="276"/>
      <c r="V1586" s="276"/>
      <c r="W1586" s="283"/>
      <c r="X1586" s="276"/>
      <c r="Y1586" s="276"/>
      <c r="Z1586" s="276"/>
      <c r="AA1586" s="276"/>
      <c r="AB1586" s="276"/>
      <c r="AC1586" s="276"/>
      <c r="AD1586" s="276"/>
    </row>
    <row r="1587" spans="18:30" x14ac:dyDescent="0.25">
      <c r="R1587" s="508"/>
      <c r="S1587" s="508"/>
      <c r="T1587" s="276"/>
      <c r="U1587" s="276"/>
      <c r="V1587" s="276"/>
      <c r="W1587" s="283"/>
      <c r="X1587" s="276"/>
      <c r="Y1587" s="276"/>
      <c r="Z1587" s="276"/>
      <c r="AA1587" s="276"/>
      <c r="AB1587" s="276"/>
      <c r="AC1587" s="276"/>
      <c r="AD1587" s="276"/>
    </row>
    <row r="1588" spans="18:30" x14ac:dyDescent="0.25">
      <c r="R1588" s="508"/>
      <c r="S1588" s="508"/>
      <c r="T1588" s="276"/>
      <c r="U1588" s="276"/>
      <c r="V1588" s="276"/>
      <c r="W1588" s="283"/>
      <c r="X1588" s="276"/>
      <c r="Y1588" s="276"/>
      <c r="Z1588" s="276"/>
      <c r="AA1588" s="276"/>
      <c r="AB1588" s="276"/>
      <c r="AC1588" s="276"/>
      <c r="AD1588" s="276"/>
    </row>
    <row r="1589" spans="18:30" x14ac:dyDescent="0.25">
      <c r="R1589" s="508"/>
      <c r="S1589" s="508"/>
      <c r="T1589" s="276"/>
      <c r="U1589" s="276"/>
      <c r="V1589" s="276"/>
      <c r="W1589" s="283"/>
      <c r="X1589" s="276"/>
      <c r="Y1589" s="276"/>
      <c r="Z1589" s="276"/>
      <c r="AA1589" s="276"/>
      <c r="AB1589" s="276"/>
      <c r="AC1589" s="276"/>
      <c r="AD1589" s="276"/>
    </row>
    <row r="1590" spans="18:30" x14ac:dyDescent="0.25">
      <c r="R1590" s="508"/>
      <c r="S1590" s="508"/>
      <c r="T1590" s="276"/>
      <c r="U1590" s="276"/>
      <c r="V1590" s="276"/>
      <c r="W1590" s="283"/>
      <c r="X1590" s="276"/>
      <c r="Y1590" s="276"/>
      <c r="Z1590" s="276"/>
      <c r="AA1590" s="276"/>
      <c r="AB1590" s="276"/>
      <c r="AC1590" s="276"/>
      <c r="AD1590" s="276"/>
    </row>
    <row r="1591" spans="18:30" x14ac:dyDescent="0.25">
      <c r="R1591" s="508"/>
      <c r="S1591" s="508"/>
      <c r="T1591" s="276"/>
      <c r="U1591" s="276"/>
      <c r="V1591" s="276"/>
      <c r="W1591" s="283"/>
      <c r="X1591" s="276"/>
      <c r="Y1591" s="276"/>
      <c r="Z1591" s="276"/>
      <c r="AA1591" s="276"/>
      <c r="AB1591" s="276"/>
      <c r="AC1591" s="276"/>
      <c r="AD1591" s="276"/>
    </row>
    <row r="1592" spans="18:30" x14ac:dyDescent="0.25">
      <c r="R1592" s="508"/>
      <c r="S1592" s="508"/>
      <c r="T1592" s="276"/>
      <c r="U1592" s="276"/>
      <c r="V1592" s="276"/>
      <c r="W1592" s="283"/>
      <c r="X1592" s="276"/>
      <c r="Y1592" s="276"/>
      <c r="Z1592" s="276"/>
      <c r="AA1592" s="276"/>
      <c r="AB1592" s="276"/>
      <c r="AC1592" s="276"/>
      <c r="AD1592" s="276"/>
    </row>
    <row r="1593" spans="18:30" x14ac:dyDescent="0.25">
      <c r="R1593" s="508"/>
      <c r="S1593" s="508"/>
      <c r="T1593" s="276"/>
      <c r="U1593" s="276"/>
      <c r="V1593" s="276"/>
      <c r="W1593" s="283"/>
      <c r="X1593" s="276"/>
      <c r="Y1593" s="276"/>
      <c r="Z1593" s="276"/>
      <c r="AA1593" s="276"/>
      <c r="AB1593" s="276"/>
      <c r="AC1593" s="276"/>
      <c r="AD1593" s="276"/>
    </row>
    <row r="1594" spans="18:30" x14ac:dyDescent="0.25">
      <c r="R1594" s="508"/>
      <c r="S1594" s="508"/>
      <c r="T1594" s="276"/>
      <c r="U1594" s="276"/>
      <c r="V1594" s="276"/>
      <c r="W1594" s="283"/>
      <c r="X1594" s="276"/>
      <c r="Y1594" s="276"/>
      <c r="Z1594" s="276"/>
      <c r="AA1594" s="276"/>
      <c r="AB1594" s="276"/>
      <c r="AC1594" s="276"/>
      <c r="AD1594" s="276"/>
    </row>
    <row r="1595" spans="18:30" x14ac:dyDescent="0.25">
      <c r="R1595" s="508"/>
      <c r="S1595" s="508"/>
      <c r="T1595" s="276"/>
      <c r="U1595" s="276"/>
      <c r="V1595" s="276"/>
      <c r="W1595" s="283"/>
      <c r="X1595" s="276"/>
      <c r="Y1595" s="276"/>
      <c r="Z1595" s="276"/>
      <c r="AA1595" s="276"/>
      <c r="AB1595" s="276"/>
      <c r="AC1595" s="276"/>
      <c r="AD1595" s="276"/>
    </row>
    <row r="1596" spans="18:30" x14ac:dyDescent="0.25">
      <c r="R1596" s="508"/>
      <c r="S1596" s="508"/>
      <c r="T1596" s="276"/>
      <c r="U1596" s="276"/>
      <c r="V1596" s="276"/>
      <c r="W1596" s="283"/>
      <c r="X1596" s="276"/>
      <c r="Y1596" s="276"/>
      <c r="Z1596" s="276"/>
      <c r="AA1596" s="276"/>
      <c r="AB1596" s="276"/>
      <c r="AC1596" s="276"/>
      <c r="AD1596" s="276"/>
    </row>
    <row r="1597" spans="18:30" x14ac:dyDescent="0.25">
      <c r="R1597" s="508"/>
      <c r="S1597" s="508"/>
      <c r="T1597" s="276"/>
      <c r="U1597" s="276"/>
      <c r="V1597" s="276"/>
      <c r="W1597" s="283"/>
      <c r="X1597" s="276"/>
      <c r="Y1597" s="276"/>
      <c r="Z1597" s="276"/>
      <c r="AA1597" s="276"/>
      <c r="AB1597" s="276"/>
      <c r="AC1597" s="276"/>
      <c r="AD1597" s="276"/>
    </row>
    <row r="1598" spans="18:30" x14ac:dyDescent="0.25">
      <c r="R1598" s="508"/>
      <c r="S1598" s="508"/>
      <c r="T1598" s="276"/>
      <c r="U1598" s="276"/>
      <c r="V1598" s="276"/>
      <c r="W1598" s="283"/>
      <c r="X1598" s="276"/>
      <c r="Y1598" s="276"/>
      <c r="Z1598" s="276"/>
      <c r="AA1598" s="276"/>
      <c r="AB1598" s="276"/>
      <c r="AC1598" s="276"/>
      <c r="AD1598" s="276"/>
    </row>
    <row r="1599" spans="18:30" x14ac:dyDescent="0.25">
      <c r="R1599" s="508"/>
      <c r="S1599" s="508"/>
      <c r="T1599" s="276"/>
      <c r="U1599" s="276"/>
      <c r="V1599" s="276"/>
      <c r="W1599" s="283"/>
      <c r="X1599" s="276"/>
      <c r="Y1599" s="276"/>
      <c r="Z1599" s="276"/>
      <c r="AA1599" s="276"/>
      <c r="AB1599" s="276"/>
      <c r="AC1599" s="276"/>
      <c r="AD1599" s="276"/>
    </row>
    <row r="1600" spans="18:30" x14ac:dyDescent="0.25">
      <c r="R1600" s="508"/>
      <c r="S1600" s="508"/>
      <c r="T1600" s="276"/>
      <c r="U1600" s="276"/>
      <c r="V1600" s="276"/>
      <c r="W1600" s="283"/>
      <c r="X1600" s="276"/>
      <c r="Y1600" s="276"/>
      <c r="Z1600" s="276"/>
      <c r="AA1600" s="276"/>
      <c r="AB1600" s="276"/>
      <c r="AC1600" s="276"/>
      <c r="AD1600" s="276"/>
    </row>
    <row r="1601" spans="18:30" x14ac:dyDescent="0.25">
      <c r="R1601" s="508"/>
      <c r="S1601" s="508"/>
      <c r="T1601" s="276"/>
      <c r="U1601" s="276"/>
      <c r="V1601" s="276"/>
      <c r="W1601" s="283"/>
      <c r="X1601" s="276"/>
      <c r="Y1601" s="276"/>
      <c r="Z1601" s="276"/>
      <c r="AA1601" s="276"/>
      <c r="AB1601" s="276"/>
      <c r="AC1601" s="276"/>
      <c r="AD1601" s="276"/>
    </row>
    <row r="1602" spans="18:30" x14ac:dyDescent="0.25">
      <c r="R1602" s="508"/>
      <c r="S1602" s="508"/>
      <c r="T1602" s="276"/>
      <c r="U1602" s="276"/>
      <c r="V1602" s="276"/>
      <c r="W1602" s="283"/>
      <c r="X1602" s="276"/>
      <c r="Y1602" s="276"/>
      <c r="Z1602" s="276"/>
      <c r="AA1602" s="276"/>
      <c r="AB1602" s="276"/>
      <c r="AC1602" s="276"/>
      <c r="AD1602" s="276"/>
    </row>
    <row r="1603" spans="18:30" x14ac:dyDescent="0.25">
      <c r="R1603" s="508"/>
      <c r="S1603" s="508"/>
      <c r="T1603" s="276"/>
      <c r="U1603" s="276"/>
      <c r="V1603" s="276"/>
      <c r="W1603" s="283"/>
      <c r="X1603" s="276"/>
      <c r="Y1603" s="276"/>
      <c r="Z1603" s="276"/>
      <c r="AA1603" s="276"/>
      <c r="AB1603" s="276"/>
      <c r="AC1603" s="276"/>
      <c r="AD1603" s="276"/>
    </row>
    <row r="1604" spans="18:30" x14ac:dyDescent="0.25">
      <c r="R1604" s="508"/>
      <c r="S1604" s="508"/>
      <c r="T1604" s="276"/>
      <c r="U1604" s="276"/>
      <c r="V1604" s="276"/>
      <c r="W1604" s="283"/>
      <c r="X1604" s="276"/>
      <c r="Y1604" s="276"/>
      <c r="Z1604" s="276"/>
      <c r="AA1604" s="276"/>
      <c r="AB1604" s="276"/>
      <c r="AC1604" s="276"/>
      <c r="AD1604" s="276"/>
    </row>
    <row r="1605" spans="18:30" x14ac:dyDescent="0.25">
      <c r="R1605" s="508"/>
      <c r="S1605" s="508"/>
      <c r="T1605" s="276"/>
      <c r="U1605" s="276"/>
      <c r="V1605" s="276"/>
      <c r="W1605" s="283"/>
      <c r="X1605" s="276"/>
      <c r="Y1605" s="276"/>
      <c r="Z1605" s="276"/>
      <c r="AA1605" s="276"/>
      <c r="AB1605" s="276"/>
      <c r="AC1605" s="276"/>
      <c r="AD1605" s="276"/>
    </row>
    <row r="1606" spans="18:30" x14ac:dyDescent="0.25">
      <c r="R1606" s="508"/>
      <c r="S1606" s="508"/>
      <c r="T1606" s="276"/>
      <c r="U1606" s="276"/>
      <c r="V1606" s="276"/>
      <c r="W1606" s="283"/>
      <c r="X1606" s="276"/>
      <c r="Y1606" s="276"/>
      <c r="Z1606" s="276"/>
      <c r="AA1606" s="276"/>
      <c r="AB1606" s="276"/>
      <c r="AC1606" s="276"/>
      <c r="AD1606" s="276"/>
    </row>
    <row r="1607" spans="18:30" x14ac:dyDescent="0.25">
      <c r="R1607" s="508"/>
      <c r="S1607" s="508"/>
      <c r="T1607" s="276"/>
      <c r="U1607" s="276"/>
      <c r="V1607" s="276"/>
      <c r="W1607" s="283"/>
      <c r="X1607" s="276"/>
      <c r="Y1607" s="276"/>
      <c r="Z1607" s="276"/>
      <c r="AA1607" s="276"/>
      <c r="AB1607" s="276"/>
      <c r="AC1607" s="276"/>
      <c r="AD1607" s="276"/>
    </row>
    <row r="1608" spans="18:30" x14ac:dyDescent="0.25">
      <c r="R1608" s="508"/>
      <c r="S1608" s="508"/>
      <c r="T1608" s="276"/>
      <c r="U1608" s="276"/>
      <c r="V1608" s="276"/>
      <c r="W1608" s="283"/>
      <c r="X1608" s="276"/>
      <c r="Y1608" s="276"/>
      <c r="Z1608" s="276"/>
      <c r="AA1608" s="276"/>
      <c r="AB1608" s="276"/>
      <c r="AC1608" s="276"/>
      <c r="AD1608" s="276"/>
    </row>
    <row r="1609" spans="18:30" x14ac:dyDescent="0.25">
      <c r="R1609" s="508"/>
      <c r="S1609" s="508"/>
      <c r="T1609" s="276"/>
      <c r="U1609" s="276"/>
      <c r="V1609" s="276"/>
      <c r="W1609" s="283"/>
      <c r="X1609" s="276"/>
      <c r="Y1609" s="276"/>
      <c r="Z1609" s="276"/>
      <c r="AA1609" s="276"/>
      <c r="AB1609" s="276"/>
      <c r="AC1609" s="276"/>
      <c r="AD1609" s="276"/>
    </row>
    <row r="1610" spans="18:30" x14ac:dyDescent="0.25">
      <c r="R1610" s="508"/>
      <c r="S1610" s="508"/>
      <c r="T1610" s="276"/>
      <c r="U1610" s="276"/>
      <c r="V1610" s="276"/>
      <c r="W1610" s="283"/>
      <c r="X1610" s="276"/>
      <c r="Y1610" s="276"/>
      <c r="Z1610" s="276"/>
      <c r="AA1610" s="276"/>
      <c r="AB1610" s="276"/>
      <c r="AC1610" s="276"/>
      <c r="AD1610" s="276"/>
    </row>
    <row r="1611" spans="18:30" x14ac:dyDescent="0.25">
      <c r="R1611" s="508"/>
      <c r="S1611" s="508"/>
      <c r="T1611" s="276"/>
      <c r="U1611" s="276"/>
      <c r="V1611" s="276"/>
      <c r="W1611" s="283"/>
      <c r="X1611" s="276"/>
      <c r="Y1611" s="276"/>
      <c r="Z1611" s="276"/>
      <c r="AA1611" s="276"/>
      <c r="AB1611" s="276"/>
      <c r="AC1611" s="276"/>
      <c r="AD1611" s="276"/>
    </row>
    <row r="1612" spans="18:30" x14ac:dyDescent="0.25">
      <c r="R1612" s="508"/>
      <c r="S1612" s="508"/>
      <c r="T1612" s="276"/>
      <c r="U1612" s="276"/>
      <c r="V1612" s="276"/>
      <c r="W1612" s="283"/>
      <c r="X1612" s="276"/>
      <c r="Y1612" s="276"/>
      <c r="Z1612" s="276"/>
      <c r="AA1612" s="276"/>
      <c r="AB1612" s="276"/>
      <c r="AC1612" s="276"/>
      <c r="AD1612" s="276"/>
    </row>
    <row r="1613" spans="18:30" x14ac:dyDescent="0.25">
      <c r="R1613" s="508"/>
      <c r="S1613" s="508"/>
      <c r="T1613" s="276"/>
      <c r="U1613" s="276"/>
      <c r="V1613" s="276"/>
      <c r="W1613" s="283"/>
      <c r="X1613" s="276"/>
      <c r="Y1613" s="276"/>
      <c r="Z1613" s="276"/>
      <c r="AA1613" s="276"/>
      <c r="AB1613" s="276"/>
      <c r="AC1613" s="276"/>
      <c r="AD1613" s="276"/>
    </row>
    <row r="1614" spans="18:30" x14ac:dyDescent="0.25">
      <c r="R1614" s="508"/>
      <c r="S1614" s="508"/>
      <c r="T1614" s="276"/>
      <c r="U1614" s="276"/>
      <c r="V1614" s="276"/>
      <c r="W1614" s="283"/>
      <c r="X1614" s="276"/>
      <c r="Y1614" s="276"/>
      <c r="Z1614" s="276"/>
      <c r="AA1614" s="276"/>
      <c r="AB1614" s="276"/>
      <c r="AC1614" s="276"/>
      <c r="AD1614" s="276"/>
    </row>
    <row r="1615" spans="18:30" x14ac:dyDescent="0.25">
      <c r="R1615" s="508"/>
      <c r="S1615" s="508"/>
      <c r="T1615" s="276"/>
      <c r="U1615" s="276"/>
      <c r="V1615" s="276"/>
      <c r="W1615" s="283"/>
      <c r="X1615" s="276"/>
      <c r="Y1615" s="276"/>
      <c r="Z1615" s="276"/>
      <c r="AA1615" s="276"/>
      <c r="AB1615" s="276"/>
      <c r="AC1615" s="276"/>
      <c r="AD1615" s="276"/>
    </row>
    <row r="1616" spans="18:30" x14ac:dyDescent="0.25">
      <c r="R1616" s="508"/>
      <c r="S1616" s="508"/>
      <c r="T1616" s="276"/>
      <c r="U1616" s="276"/>
      <c r="V1616" s="276"/>
      <c r="W1616" s="283"/>
      <c r="X1616" s="276"/>
      <c r="Y1616" s="276"/>
      <c r="Z1616" s="276"/>
      <c r="AA1616" s="276"/>
      <c r="AB1616" s="276"/>
      <c r="AC1616" s="276"/>
      <c r="AD1616" s="276"/>
    </row>
    <row r="1617" spans="18:30" x14ac:dyDescent="0.25">
      <c r="R1617" s="508"/>
      <c r="S1617" s="508"/>
      <c r="T1617" s="276"/>
      <c r="U1617" s="276"/>
      <c r="V1617" s="276"/>
      <c r="W1617" s="283"/>
      <c r="X1617" s="276"/>
      <c r="Y1617" s="276"/>
      <c r="Z1617" s="276"/>
      <c r="AA1617" s="276"/>
      <c r="AB1617" s="276"/>
      <c r="AC1617" s="276"/>
      <c r="AD1617" s="276"/>
    </row>
    <row r="1618" spans="18:30" x14ac:dyDescent="0.25">
      <c r="R1618" s="508"/>
      <c r="S1618" s="508"/>
      <c r="T1618" s="276"/>
      <c r="U1618" s="276"/>
      <c r="V1618" s="276"/>
      <c r="W1618" s="283"/>
      <c r="X1618" s="276"/>
      <c r="Y1618" s="276"/>
      <c r="Z1618" s="276"/>
      <c r="AA1618" s="276"/>
      <c r="AB1618" s="276"/>
      <c r="AC1618" s="276"/>
      <c r="AD1618" s="276"/>
    </row>
    <row r="1619" spans="18:30" x14ac:dyDescent="0.25">
      <c r="R1619" s="508"/>
      <c r="S1619" s="508"/>
      <c r="T1619" s="276"/>
      <c r="U1619" s="276"/>
      <c r="V1619" s="276"/>
      <c r="W1619" s="283"/>
      <c r="X1619" s="276"/>
      <c r="Y1619" s="276"/>
      <c r="Z1619" s="276"/>
      <c r="AA1619" s="276"/>
      <c r="AB1619" s="276"/>
      <c r="AC1619" s="276"/>
      <c r="AD1619" s="276"/>
    </row>
    <row r="1620" spans="18:30" x14ac:dyDescent="0.25">
      <c r="R1620" s="508"/>
      <c r="S1620" s="508"/>
      <c r="T1620" s="276"/>
      <c r="U1620" s="276"/>
      <c r="V1620" s="276"/>
      <c r="W1620" s="283"/>
      <c r="X1620" s="276"/>
      <c r="Y1620" s="276"/>
      <c r="Z1620" s="276"/>
      <c r="AA1620" s="276"/>
      <c r="AB1620" s="276"/>
      <c r="AC1620" s="276"/>
      <c r="AD1620" s="276"/>
    </row>
    <row r="1621" spans="18:30" x14ac:dyDescent="0.25">
      <c r="R1621" s="508"/>
      <c r="S1621" s="508"/>
      <c r="T1621" s="276"/>
      <c r="U1621" s="276"/>
      <c r="V1621" s="276"/>
      <c r="W1621" s="283"/>
      <c r="X1621" s="276"/>
      <c r="Y1621" s="276"/>
      <c r="Z1621" s="276"/>
      <c r="AA1621" s="276"/>
      <c r="AB1621" s="276"/>
      <c r="AC1621" s="276"/>
      <c r="AD1621" s="276"/>
    </row>
    <row r="1622" spans="18:30" x14ac:dyDescent="0.25">
      <c r="R1622" s="508"/>
      <c r="S1622" s="508"/>
      <c r="T1622" s="276"/>
      <c r="U1622" s="276"/>
      <c r="V1622" s="276"/>
      <c r="W1622" s="283"/>
      <c r="X1622" s="276"/>
      <c r="Y1622" s="276"/>
      <c r="Z1622" s="276"/>
      <c r="AA1622" s="276"/>
      <c r="AB1622" s="276"/>
      <c r="AC1622" s="276"/>
      <c r="AD1622" s="276"/>
    </row>
    <row r="1623" spans="18:30" x14ac:dyDescent="0.25">
      <c r="R1623" s="508"/>
      <c r="S1623" s="508"/>
      <c r="T1623" s="276"/>
      <c r="U1623" s="276"/>
      <c r="V1623" s="276"/>
      <c r="W1623" s="283"/>
      <c r="X1623" s="276"/>
      <c r="Y1623" s="276"/>
      <c r="Z1623" s="276"/>
      <c r="AA1623" s="276"/>
      <c r="AB1623" s="276"/>
      <c r="AC1623" s="276"/>
      <c r="AD1623" s="276"/>
    </row>
    <row r="1624" spans="18:30" x14ac:dyDescent="0.25">
      <c r="R1624" s="508"/>
      <c r="S1624" s="508"/>
      <c r="T1624" s="276"/>
      <c r="U1624" s="276"/>
      <c r="V1624" s="276"/>
      <c r="W1624" s="283"/>
      <c r="X1624" s="276"/>
      <c r="Y1624" s="276"/>
      <c r="Z1624" s="276"/>
      <c r="AA1624" s="276"/>
      <c r="AB1624" s="276"/>
      <c r="AC1624" s="276"/>
      <c r="AD1624" s="276"/>
    </row>
    <row r="1625" spans="18:30" x14ac:dyDescent="0.25">
      <c r="R1625" s="508"/>
      <c r="S1625" s="508"/>
      <c r="T1625" s="276"/>
      <c r="U1625" s="276"/>
      <c r="V1625" s="276"/>
      <c r="W1625" s="283"/>
      <c r="X1625" s="276"/>
      <c r="Y1625" s="276"/>
      <c r="Z1625" s="276"/>
      <c r="AA1625" s="276"/>
      <c r="AB1625" s="276"/>
      <c r="AC1625" s="276"/>
      <c r="AD1625" s="276"/>
    </row>
    <row r="1626" spans="18:30" x14ac:dyDescent="0.25">
      <c r="R1626" s="508"/>
      <c r="S1626" s="508"/>
      <c r="T1626" s="276"/>
      <c r="U1626" s="276"/>
      <c r="V1626" s="276"/>
      <c r="W1626" s="283"/>
      <c r="X1626" s="276"/>
      <c r="Y1626" s="276"/>
      <c r="Z1626" s="276"/>
      <c r="AA1626" s="276"/>
      <c r="AB1626" s="276"/>
      <c r="AC1626" s="276"/>
      <c r="AD1626" s="276"/>
    </row>
    <row r="1627" spans="18:30" x14ac:dyDescent="0.25">
      <c r="R1627" s="508"/>
      <c r="S1627" s="508"/>
      <c r="T1627" s="276"/>
      <c r="U1627" s="276"/>
      <c r="V1627" s="276"/>
      <c r="W1627" s="283"/>
      <c r="X1627" s="276"/>
      <c r="Y1627" s="276"/>
      <c r="Z1627" s="276"/>
      <c r="AA1627" s="276"/>
      <c r="AB1627" s="276"/>
      <c r="AC1627" s="276"/>
      <c r="AD1627" s="276"/>
    </row>
    <row r="1628" spans="18:30" x14ac:dyDescent="0.25">
      <c r="R1628" s="508"/>
      <c r="S1628" s="508"/>
      <c r="T1628" s="276"/>
      <c r="U1628" s="276"/>
      <c r="V1628" s="276"/>
      <c r="W1628" s="283"/>
      <c r="X1628" s="276"/>
      <c r="Y1628" s="276"/>
      <c r="Z1628" s="276"/>
      <c r="AA1628" s="276"/>
      <c r="AB1628" s="276"/>
      <c r="AC1628" s="276"/>
      <c r="AD1628" s="276"/>
    </row>
    <row r="1629" spans="18:30" x14ac:dyDescent="0.25">
      <c r="R1629" s="508"/>
      <c r="S1629" s="508"/>
      <c r="T1629" s="276"/>
      <c r="U1629" s="276"/>
      <c r="V1629" s="276"/>
      <c r="W1629" s="283"/>
      <c r="X1629" s="276"/>
      <c r="Y1629" s="276"/>
      <c r="Z1629" s="276"/>
      <c r="AA1629" s="276"/>
      <c r="AB1629" s="276"/>
      <c r="AC1629" s="276"/>
      <c r="AD1629" s="276"/>
    </row>
    <row r="1630" spans="18:30" x14ac:dyDescent="0.25">
      <c r="R1630" s="508"/>
      <c r="S1630" s="508"/>
      <c r="T1630" s="276"/>
      <c r="U1630" s="276"/>
      <c r="V1630" s="276"/>
      <c r="W1630" s="283"/>
      <c r="X1630" s="276"/>
      <c r="Y1630" s="276"/>
      <c r="Z1630" s="276"/>
      <c r="AA1630" s="276"/>
      <c r="AB1630" s="276"/>
      <c r="AC1630" s="276"/>
      <c r="AD1630" s="276"/>
    </row>
    <row r="1631" spans="18:30" x14ac:dyDescent="0.25">
      <c r="R1631" s="508"/>
      <c r="S1631" s="508"/>
      <c r="T1631" s="276"/>
      <c r="U1631" s="276"/>
      <c r="V1631" s="276"/>
      <c r="W1631" s="283"/>
      <c r="X1631" s="276"/>
      <c r="Y1631" s="276"/>
      <c r="Z1631" s="276"/>
      <c r="AA1631" s="276"/>
      <c r="AB1631" s="276"/>
      <c r="AC1631" s="276"/>
      <c r="AD1631" s="276"/>
    </row>
    <row r="1632" spans="18:30" x14ac:dyDescent="0.25">
      <c r="R1632" s="508"/>
      <c r="S1632" s="508"/>
      <c r="T1632" s="276"/>
      <c r="U1632" s="276"/>
      <c r="V1632" s="276"/>
      <c r="W1632" s="283"/>
      <c r="X1632" s="276"/>
      <c r="Y1632" s="276"/>
      <c r="Z1632" s="276"/>
      <c r="AA1632" s="276"/>
      <c r="AB1632" s="276"/>
      <c r="AC1632" s="276"/>
      <c r="AD1632" s="276"/>
    </row>
    <row r="1633" spans="18:30" x14ac:dyDescent="0.25">
      <c r="R1633" s="508"/>
      <c r="S1633" s="508"/>
      <c r="T1633" s="276"/>
      <c r="U1633" s="276"/>
      <c r="V1633" s="276"/>
      <c r="W1633" s="283"/>
      <c r="X1633" s="276"/>
      <c r="Y1633" s="276"/>
      <c r="Z1633" s="276"/>
      <c r="AA1633" s="276"/>
      <c r="AB1633" s="276"/>
      <c r="AC1633" s="276"/>
      <c r="AD1633" s="276"/>
    </row>
    <row r="1634" spans="18:30" x14ac:dyDescent="0.25">
      <c r="R1634" s="508"/>
      <c r="S1634" s="508"/>
      <c r="T1634" s="276"/>
      <c r="U1634" s="276"/>
      <c r="V1634" s="276"/>
      <c r="W1634" s="283"/>
      <c r="X1634" s="276"/>
      <c r="Y1634" s="276"/>
      <c r="Z1634" s="276"/>
      <c r="AA1634" s="276"/>
      <c r="AB1634" s="276"/>
      <c r="AC1634" s="276"/>
      <c r="AD1634" s="276"/>
    </row>
    <row r="1635" spans="18:30" x14ac:dyDescent="0.25">
      <c r="R1635" s="508"/>
      <c r="S1635" s="508"/>
      <c r="T1635" s="276"/>
      <c r="U1635" s="276"/>
      <c r="V1635" s="276"/>
      <c r="W1635" s="283"/>
      <c r="X1635" s="276"/>
      <c r="Y1635" s="276"/>
      <c r="Z1635" s="276"/>
      <c r="AA1635" s="276"/>
      <c r="AB1635" s="276"/>
      <c r="AC1635" s="276"/>
      <c r="AD1635" s="276"/>
    </row>
    <row r="1636" spans="18:30" x14ac:dyDescent="0.25">
      <c r="R1636" s="508"/>
      <c r="S1636" s="508"/>
      <c r="T1636" s="276"/>
      <c r="U1636" s="276"/>
      <c r="V1636" s="276"/>
      <c r="W1636" s="283"/>
      <c r="X1636" s="276"/>
      <c r="Y1636" s="276"/>
      <c r="Z1636" s="276"/>
      <c r="AA1636" s="276"/>
      <c r="AB1636" s="276"/>
      <c r="AC1636" s="276"/>
      <c r="AD1636" s="276"/>
    </row>
    <row r="1637" spans="18:30" x14ac:dyDescent="0.25">
      <c r="R1637" s="508"/>
      <c r="S1637" s="508"/>
      <c r="T1637" s="276"/>
      <c r="U1637" s="276"/>
      <c r="V1637" s="276"/>
      <c r="W1637" s="283"/>
      <c r="X1637" s="276"/>
      <c r="Y1637" s="276"/>
      <c r="Z1637" s="276"/>
      <c r="AA1637" s="276"/>
      <c r="AB1637" s="276"/>
      <c r="AC1637" s="276"/>
      <c r="AD1637" s="276"/>
    </row>
    <row r="1638" spans="18:30" x14ac:dyDescent="0.25">
      <c r="R1638" s="508"/>
      <c r="S1638" s="508"/>
      <c r="T1638" s="276"/>
      <c r="U1638" s="276"/>
      <c r="V1638" s="276"/>
      <c r="W1638" s="283"/>
      <c r="X1638" s="276"/>
      <c r="Y1638" s="276"/>
      <c r="Z1638" s="276"/>
      <c r="AA1638" s="276"/>
      <c r="AB1638" s="276"/>
      <c r="AC1638" s="276"/>
      <c r="AD1638" s="276"/>
    </row>
    <row r="1639" spans="18:30" x14ac:dyDescent="0.25">
      <c r="R1639" s="508"/>
      <c r="S1639" s="508"/>
      <c r="T1639" s="276"/>
      <c r="U1639" s="276"/>
      <c r="V1639" s="276"/>
      <c r="W1639" s="283"/>
      <c r="X1639" s="276"/>
      <c r="Y1639" s="276"/>
      <c r="Z1639" s="276"/>
      <c r="AA1639" s="276"/>
      <c r="AB1639" s="276"/>
      <c r="AC1639" s="276"/>
      <c r="AD1639" s="276"/>
    </row>
    <row r="1640" spans="18:30" x14ac:dyDescent="0.25">
      <c r="R1640" s="508"/>
      <c r="S1640" s="508"/>
      <c r="T1640" s="276"/>
      <c r="U1640" s="276"/>
      <c r="V1640" s="276"/>
      <c r="W1640" s="283"/>
      <c r="X1640" s="276"/>
      <c r="Y1640" s="276"/>
      <c r="Z1640" s="276"/>
      <c r="AA1640" s="276"/>
      <c r="AB1640" s="276"/>
      <c r="AC1640" s="276"/>
      <c r="AD1640" s="276"/>
    </row>
    <row r="1641" spans="18:30" x14ac:dyDescent="0.25">
      <c r="R1641" s="508"/>
      <c r="S1641" s="508"/>
      <c r="T1641" s="276"/>
      <c r="U1641" s="276"/>
      <c r="V1641" s="276"/>
      <c r="W1641" s="283"/>
      <c r="X1641" s="276"/>
      <c r="Y1641" s="276"/>
      <c r="Z1641" s="276"/>
      <c r="AA1641" s="276"/>
      <c r="AB1641" s="276"/>
      <c r="AC1641" s="276"/>
      <c r="AD1641" s="276"/>
    </row>
    <row r="1642" spans="18:30" x14ac:dyDescent="0.25">
      <c r="R1642" s="508"/>
      <c r="S1642" s="508"/>
      <c r="T1642" s="276"/>
      <c r="U1642" s="276"/>
      <c r="V1642" s="276"/>
      <c r="W1642" s="283"/>
      <c r="X1642" s="276"/>
      <c r="Y1642" s="276"/>
      <c r="Z1642" s="276"/>
      <c r="AA1642" s="276"/>
      <c r="AB1642" s="276"/>
      <c r="AC1642" s="276"/>
      <c r="AD1642" s="276"/>
    </row>
    <row r="1643" spans="18:30" x14ac:dyDescent="0.25">
      <c r="R1643" s="508"/>
      <c r="S1643" s="508"/>
      <c r="T1643" s="276"/>
      <c r="U1643" s="276"/>
      <c r="V1643" s="276"/>
      <c r="W1643" s="283"/>
      <c r="X1643" s="276"/>
      <c r="Y1643" s="276"/>
      <c r="Z1643" s="276"/>
      <c r="AA1643" s="276"/>
      <c r="AB1643" s="276"/>
      <c r="AC1643" s="276"/>
      <c r="AD1643" s="276"/>
    </row>
    <row r="1644" spans="18:30" x14ac:dyDescent="0.25">
      <c r="R1644" s="508"/>
      <c r="S1644" s="508"/>
      <c r="T1644" s="276"/>
      <c r="U1644" s="276"/>
      <c r="V1644" s="276"/>
      <c r="W1644" s="283"/>
      <c r="X1644" s="276"/>
      <c r="Y1644" s="276"/>
      <c r="Z1644" s="276"/>
      <c r="AA1644" s="276"/>
      <c r="AB1644" s="276"/>
      <c r="AC1644" s="276"/>
      <c r="AD1644" s="276"/>
    </row>
    <row r="1645" spans="18:30" x14ac:dyDescent="0.25">
      <c r="R1645" s="508"/>
      <c r="S1645" s="508"/>
      <c r="T1645" s="276"/>
      <c r="U1645" s="276"/>
      <c r="V1645" s="276"/>
      <c r="W1645" s="283"/>
      <c r="X1645" s="276"/>
      <c r="Y1645" s="276"/>
      <c r="Z1645" s="276"/>
      <c r="AA1645" s="276"/>
      <c r="AB1645" s="276"/>
      <c r="AC1645" s="276"/>
      <c r="AD1645" s="276"/>
    </row>
    <row r="1646" spans="18:30" x14ac:dyDescent="0.25">
      <c r="R1646" s="508"/>
      <c r="S1646" s="508"/>
      <c r="T1646" s="276"/>
      <c r="U1646" s="276"/>
      <c r="V1646" s="276"/>
      <c r="W1646" s="283"/>
      <c r="X1646" s="276"/>
      <c r="Y1646" s="276"/>
      <c r="Z1646" s="276"/>
      <c r="AA1646" s="276"/>
      <c r="AB1646" s="276"/>
      <c r="AC1646" s="276"/>
      <c r="AD1646" s="276"/>
    </row>
    <row r="1647" spans="18:30" x14ac:dyDescent="0.25">
      <c r="R1647" s="508"/>
      <c r="S1647" s="508"/>
      <c r="T1647" s="276"/>
      <c r="U1647" s="276"/>
      <c r="V1647" s="276"/>
      <c r="W1647" s="283"/>
      <c r="X1647" s="276"/>
      <c r="Y1647" s="276"/>
      <c r="Z1647" s="276"/>
      <c r="AA1647" s="276"/>
      <c r="AB1647" s="276"/>
      <c r="AC1647" s="276"/>
      <c r="AD1647" s="276"/>
    </row>
    <row r="1648" spans="18:30" x14ac:dyDescent="0.25">
      <c r="R1648" s="508"/>
      <c r="S1648" s="508"/>
      <c r="T1648" s="276"/>
      <c r="U1648" s="276"/>
      <c r="V1648" s="276"/>
      <c r="W1648" s="283"/>
      <c r="X1648" s="276"/>
      <c r="Y1648" s="276"/>
      <c r="Z1648" s="276"/>
      <c r="AA1648" s="276"/>
      <c r="AB1648" s="276"/>
      <c r="AC1648" s="276"/>
      <c r="AD1648" s="276"/>
    </row>
    <row r="1649" spans="18:30" x14ac:dyDescent="0.25">
      <c r="R1649" s="508"/>
      <c r="S1649" s="508"/>
      <c r="T1649" s="276"/>
      <c r="U1649" s="276"/>
      <c r="V1649" s="276"/>
      <c r="W1649" s="283"/>
      <c r="X1649" s="276"/>
      <c r="Y1649" s="276"/>
      <c r="Z1649" s="276"/>
      <c r="AA1649" s="276"/>
      <c r="AB1649" s="276"/>
      <c r="AC1649" s="276"/>
      <c r="AD1649" s="276"/>
    </row>
    <row r="1650" spans="18:30" x14ac:dyDescent="0.25">
      <c r="R1650" s="508"/>
      <c r="S1650" s="508"/>
      <c r="T1650" s="276"/>
      <c r="U1650" s="276"/>
      <c r="V1650" s="276"/>
      <c r="W1650" s="283"/>
      <c r="X1650" s="276"/>
      <c r="Y1650" s="276"/>
      <c r="Z1650" s="276"/>
      <c r="AA1650" s="276"/>
      <c r="AB1650" s="276"/>
      <c r="AC1650" s="276"/>
      <c r="AD1650" s="276"/>
    </row>
    <row r="1651" spans="18:30" x14ac:dyDescent="0.25">
      <c r="R1651" s="508"/>
      <c r="S1651" s="508"/>
      <c r="T1651" s="276"/>
      <c r="U1651" s="276"/>
      <c r="V1651" s="276"/>
      <c r="W1651" s="283"/>
      <c r="X1651" s="276"/>
      <c r="Y1651" s="276"/>
      <c r="Z1651" s="276"/>
      <c r="AA1651" s="276"/>
      <c r="AB1651" s="276"/>
      <c r="AC1651" s="276"/>
      <c r="AD1651" s="276"/>
    </row>
    <row r="1652" spans="18:30" x14ac:dyDescent="0.25">
      <c r="R1652" s="508"/>
      <c r="S1652" s="508"/>
      <c r="T1652" s="276"/>
      <c r="U1652" s="276"/>
      <c r="V1652" s="276"/>
      <c r="W1652" s="283"/>
      <c r="X1652" s="276"/>
      <c r="Y1652" s="276"/>
      <c r="Z1652" s="276"/>
      <c r="AA1652" s="276"/>
      <c r="AB1652" s="276"/>
      <c r="AC1652" s="276"/>
      <c r="AD1652" s="276"/>
    </row>
    <row r="1653" spans="18:30" x14ac:dyDescent="0.25">
      <c r="R1653" s="508"/>
      <c r="S1653" s="508"/>
      <c r="T1653" s="276"/>
      <c r="U1653" s="276"/>
      <c r="V1653" s="276"/>
      <c r="W1653" s="283"/>
      <c r="X1653" s="276"/>
      <c r="Y1653" s="276"/>
      <c r="Z1653" s="276"/>
      <c r="AA1653" s="276"/>
      <c r="AB1653" s="276"/>
      <c r="AC1653" s="276"/>
      <c r="AD1653" s="276"/>
    </row>
    <row r="1654" spans="18:30" x14ac:dyDescent="0.25">
      <c r="R1654" s="508"/>
      <c r="S1654" s="508"/>
      <c r="T1654" s="276"/>
      <c r="U1654" s="276"/>
      <c r="V1654" s="276"/>
      <c r="W1654" s="283"/>
      <c r="X1654" s="276"/>
      <c r="Y1654" s="276"/>
      <c r="Z1654" s="276"/>
      <c r="AA1654" s="276"/>
      <c r="AB1654" s="276"/>
      <c r="AC1654" s="276"/>
      <c r="AD1654" s="276"/>
    </row>
    <row r="1655" spans="18:30" x14ac:dyDescent="0.25">
      <c r="R1655" s="508"/>
      <c r="S1655" s="508"/>
      <c r="T1655" s="276"/>
      <c r="U1655" s="276"/>
      <c r="V1655" s="276"/>
      <c r="W1655" s="283"/>
      <c r="X1655" s="276"/>
      <c r="Y1655" s="276"/>
      <c r="Z1655" s="276"/>
      <c r="AA1655" s="276"/>
      <c r="AB1655" s="276"/>
      <c r="AC1655" s="276"/>
      <c r="AD1655" s="276"/>
    </row>
    <row r="1656" spans="18:30" x14ac:dyDescent="0.25">
      <c r="R1656" s="508"/>
      <c r="S1656" s="508"/>
      <c r="T1656" s="276"/>
      <c r="U1656" s="276"/>
      <c r="V1656" s="276"/>
      <c r="W1656" s="283"/>
      <c r="X1656" s="276"/>
      <c r="Y1656" s="276"/>
      <c r="Z1656" s="276"/>
      <c r="AA1656" s="276"/>
      <c r="AB1656" s="276"/>
      <c r="AC1656" s="276"/>
      <c r="AD1656" s="276"/>
    </row>
    <row r="1657" spans="18:30" x14ac:dyDescent="0.25">
      <c r="R1657" s="508"/>
      <c r="S1657" s="508"/>
      <c r="T1657" s="276"/>
      <c r="U1657" s="276"/>
      <c r="V1657" s="276"/>
      <c r="W1657" s="283"/>
      <c r="X1657" s="276"/>
      <c r="Y1657" s="276"/>
      <c r="Z1657" s="276"/>
      <c r="AA1657" s="276"/>
      <c r="AB1657" s="276"/>
      <c r="AC1657" s="276"/>
      <c r="AD1657" s="276"/>
    </row>
    <row r="1658" spans="18:30" x14ac:dyDescent="0.25">
      <c r="R1658" s="508"/>
      <c r="S1658" s="508"/>
      <c r="T1658" s="276"/>
      <c r="U1658" s="276"/>
      <c r="V1658" s="276"/>
      <c r="W1658" s="283"/>
      <c r="X1658" s="276"/>
      <c r="Y1658" s="276"/>
      <c r="Z1658" s="276"/>
      <c r="AA1658" s="276"/>
      <c r="AB1658" s="276"/>
      <c r="AC1658" s="276"/>
      <c r="AD1658" s="276"/>
    </row>
    <row r="1659" spans="18:30" x14ac:dyDescent="0.25">
      <c r="R1659" s="508"/>
      <c r="S1659" s="508"/>
      <c r="T1659" s="276"/>
      <c r="U1659" s="276"/>
      <c r="V1659" s="276"/>
      <c r="W1659" s="283"/>
      <c r="X1659" s="276"/>
      <c r="Y1659" s="276"/>
      <c r="Z1659" s="276"/>
      <c r="AA1659" s="276"/>
      <c r="AB1659" s="276"/>
      <c r="AC1659" s="276"/>
      <c r="AD1659" s="276"/>
    </row>
    <row r="1660" spans="18:30" x14ac:dyDescent="0.25">
      <c r="R1660" s="508"/>
      <c r="S1660" s="508"/>
      <c r="T1660" s="276"/>
      <c r="U1660" s="276"/>
      <c r="V1660" s="276"/>
      <c r="W1660" s="283"/>
      <c r="X1660" s="276"/>
      <c r="Y1660" s="276"/>
      <c r="Z1660" s="276"/>
      <c r="AA1660" s="276"/>
      <c r="AB1660" s="276"/>
      <c r="AC1660" s="276"/>
      <c r="AD1660" s="276"/>
    </row>
    <row r="1661" spans="18:30" x14ac:dyDescent="0.25">
      <c r="R1661" s="508"/>
      <c r="S1661" s="508"/>
      <c r="T1661" s="276"/>
      <c r="U1661" s="276"/>
      <c r="V1661" s="276"/>
      <c r="W1661" s="283"/>
      <c r="X1661" s="276"/>
      <c r="Y1661" s="276"/>
      <c r="Z1661" s="276"/>
      <c r="AA1661" s="276"/>
      <c r="AB1661" s="276"/>
      <c r="AC1661" s="276"/>
      <c r="AD1661" s="276"/>
    </row>
    <row r="1662" spans="18:30" x14ac:dyDescent="0.25">
      <c r="R1662" s="508"/>
      <c r="S1662" s="508"/>
      <c r="T1662" s="276"/>
      <c r="U1662" s="276"/>
      <c r="V1662" s="276"/>
      <c r="W1662" s="283"/>
      <c r="X1662" s="276"/>
      <c r="Y1662" s="276"/>
      <c r="Z1662" s="276"/>
      <c r="AA1662" s="276"/>
      <c r="AB1662" s="276"/>
      <c r="AC1662" s="276"/>
      <c r="AD1662" s="276"/>
    </row>
    <row r="1663" spans="18:30" x14ac:dyDescent="0.25">
      <c r="R1663" s="508"/>
      <c r="S1663" s="508"/>
      <c r="T1663" s="276"/>
      <c r="U1663" s="276"/>
      <c r="V1663" s="276"/>
      <c r="W1663" s="283"/>
      <c r="X1663" s="276"/>
      <c r="Y1663" s="276"/>
      <c r="Z1663" s="276"/>
      <c r="AA1663" s="276"/>
      <c r="AB1663" s="276"/>
      <c r="AC1663" s="276"/>
      <c r="AD1663" s="276"/>
    </row>
    <row r="1664" spans="18:30" x14ac:dyDescent="0.25">
      <c r="R1664" s="508"/>
      <c r="S1664" s="508"/>
      <c r="T1664" s="276"/>
      <c r="U1664" s="276"/>
      <c r="V1664" s="276"/>
      <c r="W1664" s="283"/>
      <c r="X1664" s="276"/>
      <c r="Y1664" s="276"/>
      <c r="Z1664" s="276"/>
      <c r="AA1664" s="276"/>
      <c r="AB1664" s="276"/>
      <c r="AC1664" s="276"/>
      <c r="AD1664" s="276"/>
    </row>
    <row r="1665" spans="18:30" x14ac:dyDescent="0.25">
      <c r="R1665" s="508"/>
      <c r="S1665" s="508"/>
      <c r="T1665" s="276"/>
      <c r="U1665" s="276"/>
      <c r="V1665" s="276"/>
      <c r="W1665" s="283"/>
      <c r="X1665" s="276"/>
      <c r="Y1665" s="276"/>
      <c r="Z1665" s="276"/>
      <c r="AA1665" s="276"/>
      <c r="AB1665" s="276"/>
      <c r="AC1665" s="276"/>
      <c r="AD1665" s="276"/>
    </row>
    <row r="1666" spans="18:30" x14ac:dyDescent="0.25">
      <c r="R1666" s="508"/>
      <c r="S1666" s="508"/>
      <c r="T1666" s="276"/>
      <c r="U1666" s="276"/>
      <c r="V1666" s="276"/>
      <c r="W1666" s="283"/>
      <c r="X1666" s="276"/>
      <c r="Y1666" s="276"/>
      <c r="Z1666" s="276"/>
      <c r="AA1666" s="276"/>
      <c r="AB1666" s="276"/>
      <c r="AC1666" s="276"/>
      <c r="AD1666" s="276"/>
    </row>
    <row r="1667" spans="18:30" x14ac:dyDescent="0.25">
      <c r="R1667" s="508"/>
      <c r="S1667" s="508"/>
      <c r="T1667" s="276"/>
      <c r="U1667" s="276"/>
      <c r="V1667" s="276"/>
      <c r="W1667" s="283"/>
      <c r="X1667" s="276"/>
      <c r="Y1667" s="276"/>
      <c r="Z1667" s="276"/>
      <c r="AA1667" s="276"/>
      <c r="AB1667" s="276"/>
      <c r="AC1667" s="276"/>
      <c r="AD1667" s="276"/>
    </row>
    <row r="1668" spans="18:30" x14ac:dyDescent="0.25">
      <c r="R1668" s="508"/>
      <c r="S1668" s="508"/>
      <c r="T1668" s="276"/>
      <c r="U1668" s="276"/>
      <c r="V1668" s="276"/>
      <c r="W1668" s="283"/>
      <c r="X1668" s="276"/>
      <c r="Y1668" s="276"/>
      <c r="Z1668" s="276"/>
      <c r="AA1668" s="276"/>
      <c r="AB1668" s="276"/>
      <c r="AC1668" s="276"/>
      <c r="AD1668" s="276"/>
    </row>
    <row r="1669" spans="18:30" x14ac:dyDescent="0.25">
      <c r="R1669" s="508"/>
      <c r="S1669" s="508"/>
      <c r="T1669" s="276"/>
      <c r="U1669" s="276"/>
      <c r="V1669" s="276"/>
      <c r="W1669" s="283"/>
      <c r="X1669" s="276"/>
      <c r="Y1669" s="276"/>
      <c r="Z1669" s="276"/>
      <c r="AA1669" s="276"/>
      <c r="AB1669" s="276"/>
      <c r="AC1669" s="276"/>
      <c r="AD1669" s="276"/>
    </row>
    <row r="1670" spans="18:30" x14ac:dyDescent="0.25">
      <c r="R1670" s="508"/>
      <c r="S1670" s="508"/>
      <c r="T1670" s="276"/>
      <c r="U1670" s="276"/>
      <c r="V1670" s="276"/>
      <c r="W1670" s="283"/>
      <c r="X1670" s="276"/>
      <c r="Y1670" s="276"/>
      <c r="Z1670" s="276"/>
      <c r="AA1670" s="276"/>
      <c r="AB1670" s="276"/>
      <c r="AC1670" s="276"/>
      <c r="AD1670" s="276"/>
    </row>
    <row r="1671" spans="18:30" x14ac:dyDescent="0.25">
      <c r="R1671" s="508"/>
      <c r="S1671" s="508"/>
      <c r="T1671" s="276"/>
      <c r="U1671" s="276"/>
      <c r="V1671" s="276"/>
      <c r="W1671" s="283"/>
      <c r="X1671" s="276"/>
      <c r="Y1671" s="276"/>
      <c r="Z1671" s="276"/>
      <c r="AA1671" s="276"/>
      <c r="AB1671" s="276"/>
      <c r="AC1671" s="276"/>
      <c r="AD1671" s="276"/>
    </row>
    <row r="1672" spans="18:30" x14ac:dyDescent="0.25">
      <c r="R1672" s="508"/>
      <c r="S1672" s="508"/>
      <c r="T1672" s="276"/>
      <c r="U1672" s="276"/>
      <c r="V1672" s="276"/>
      <c r="W1672" s="283"/>
      <c r="X1672" s="276"/>
      <c r="Y1672" s="276"/>
      <c r="Z1672" s="276"/>
      <c r="AA1672" s="276"/>
      <c r="AB1672" s="276"/>
      <c r="AC1672" s="276"/>
      <c r="AD1672" s="276"/>
    </row>
    <row r="1673" spans="18:30" x14ac:dyDescent="0.25">
      <c r="R1673" s="508"/>
      <c r="S1673" s="508"/>
      <c r="T1673" s="276"/>
      <c r="U1673" s="276"/>
      <c r="V1673" s="276"/>
      <c r="W1673" s="283"/>
      <c r="X1673" s="276"/>
      <c r="Y1673" s="276"/>
      <c r="Z1673" s="276"/>
      <c r="AA1673" s="276"/>
      <c r="AB1673" s="276"/>
      <c r="AC1673" s="276"/>
      <c r="AD1673" s="276"/>
    </row>
    <row r="1674" spans="18:30" x14ac:dyDescent="0.25">
      <c r="R1674" s="508"/>
      <c r="S1674" s="508"/>
      <c r="T1674" s="276"/>
      <c r="U1674" s="276"/>
      <c r="V1674" s="276"/>
      <c r="W1674" s="283"/>
      <c r="X1674" s="276"/>
      <c r="Y1674" s="276"/>
      <c r="Z1674" s="276"/>
      <c r="AA1674" s="276"/>
      <c r="AB1674" s="276"/>
      <c r="AC1674" s="276"/>
      <c r="AD1674" s="276"/>
    </row>
    <row r="1675" spans="18:30" x14ac:dyDescent="0.25">
      <c r="R1675" s="508"/>
      <c r="S1675" s="508"/>
      <c r="T1675" s="276"/>
      <c r="U1675" s="276"/>
      <c r="V1675" s="276"/>
      <c r="W1675" s="283"/>
      <c r="X1675" s="276"/>
      <c r="Y1675" s="276"/>
      <c r="Z1675" s="276"/>
      <c r="AA1675" s="276"/>
      <c r="AB1675" s="276"/>
      <c r="AC1675" s="276"/>
      <c r="AD1675" s="276"/>
    </row>
    <row r="1676" spans="18:30" x14ac:dyDescent="0.25">
      <c r="R1676" s="508"/>
      <c r="S1676" s="508"/>
      <c r="T1676" s="276"/>
      <c r="U1676" s="276"/>
      <c r="V1676" s="276"/>
      <c r="W1676" s="283"/>
      <c r="X1676" s="276"/>
      <c r="Y1676" s="276"/>
      <c r="Z1676" s="276"/>
      <c r="AA1676" s="276"/>
      <c r="AB1676" s="276"/>
      <c r="AC1676" s="276"/>
      <c r="AD1676" s="276"/>
    </row>
    <row r="1677" spans="18:30" x14ac:dyDescent="0.25">
      <c r="R1677" s="508"/>
      <c r="S1677" s="508"/>
      <c r="T1677" s="276"/>
      <c r="U1677" s="276"/>
      <c r="V1677" s="276"/>
      <c r="W1677" s="283"/>
      <c r="X1677" s="276"/>
      <c r="Y1677" s="276"/>
      <c r="Z1677" s="276"/>
      <c r="AA1677" s="276"/>
      <c r="AB1677" s="276"/>
      <c r="AC1677" s="276"/>
      <c r="AD1677" s="276"/>
    </row>
    <row r="1678" spans="18:30" x14ac:dyDescent="0.25">
      <c r="R1678" s="508"/>
      <c r="S1678" s="508"/>
      <c r="T1678" s="276"/>
      <c r="U1678" s="276"/>
      <c r="V1678" s="276"/>
      <c r="W1678" s="283"/>
      <c r="X1678" s="276"/>
      <c r="Y1678" s="276"/>
      <c r="Z1678" s="276"/>
      <c r="AA1678" s="276"/>
      <c r="AB1678" s="276"/>
      <c r="AC1678" s="276"/>
      <c r="AD1678" s="276"/>
    </row>
    <row r="1679" spans="18:30" x14ac:dyDescent="0.25">
      <c r="R1679" s="508"/>
      <c r="S1679" s="508"/>
      <c r="T1679" s="276"/>
      <c r="U1679" s="276"/>
      <c r="V1679" s="276"/>
      <c r="W1679" s="283"/>
      <c r="X1679" s="276"/>
      <c r="Y1679" s="276"/>
      <c r="Z1679" s="276"/>
      <c r="AA1679" s="276"/>
      <c r="AB1679" s="276"/>
      <c r="AC1679" s="276"/>
      <c r="AD1679" s="276"/>
    </row>
    <row r="1680" spans="18:30" x14ac:dyDescent="0.25">
      <c r="R1680" s="508"/>
      <c r="S1680" s="508"/>
      <c r="T1680" s="276"/>
      <c r="U1680" s="276"/>
      <c r="V1680" s="276"/>
      <c r="W1680" s="283"/>
      <c r="X1680" s="276"/>
      <c r="Y1680" s="276"/>
      <c r="Z1680" s="276"/>
      <c r="AA1680" s="276"/>
      <c r="AB1680" s="276"/>
      <c r="AC1680" s="276"/>
      <c r="AD1680" s="276"/>
    </row>
    <row r="1681" spans="18:30" x14ac:dyDescent="0.25">
      <c r="R1681" s="508"/>
      <c r="S1681" s="508"/>
      <c r="T1681" s="276"/>
      <c r="U1681" s="276"/>
      <c r="V1681" s="276"/>
      <c r="W1681" s="283"/>
      <c r="X1681" s="276"/>
      <c r="Y1681" s="276"/>
      <c r="Z1681" s="276"/>
      <c r="AA1681" s="276"/>
      <c r="AB1681" s="276"/>
      <c r="AC1681" s="276"/>
      <c r="AD1681" s="276"/>
    </row>
    <row r="1682" spans="18:30" x14ac:dyDescent="0.25">
      <c r="R1682" s="508"/>
      <c r="S1682" s="508"/>
      <c r="T1682" s="276"/>
      <c r="U1682" s="276"/>
      <c r="V1682" s="276"/>
      <c r="W1682" s="283"/>
      <c r="X1682" s="276"/>
      <c r="Y1682" s="276"/>
      <c r="Z1682" s="276"/>
      <c r="AA1682" s="276"/>
      <c r="AB1682" s="276"/>
      <c r="AC1682" s="276"/>
      <c r="AD1682" s="276"/>
    </row>
    <row r="1683" spans="18:30" x14ac:dyDescent="0.25">
      <c r="R1683" s="508"/>
      <c r="S1683" s="508"/>
      <c r="T1683" s="276"/>
      <c r="U1683" s="276"/>
      <c r="V1683" s="276"/>
      <c r="W1683" s="283"/>
      <c r="X1683" s="276"/>
      <c r="Y1683" s="276"/>
      <c r="Z1683" s="276"/>
      <c r="AA1683" s="276"/>
      <c r="AB1683" s="276"/>
      <c r="AC1683" s="276"/>
      <c r="AD1683" s="276"/>
    </row>
    <row r="1684" spans="18:30" x14ac:dyDescent="0.25">
      <c r="R1684" s="508"/>
      <c r="S1684" s="508"/>
      <c r="T1684" s="276"/>
      <c r="U1684" s="276"/>
      <c r="V1684" s="276"/>
      <c r="W1684" s="283"/>
      <c r="X1684" s="276"/>
      <c r="Y1684" s="276"/>
      <c r="Z1684" s="276"/>
      <c r="AA1684" s="276"/>
      <c r="AB1684" s="276"/>
      <c r="AC1684" s="276"/>
      <c r="AD1684" s="276"/>
    </row>
    <row r="1685" spans="18:30" x14ac:dyDescent="0.25">
      <c r="R1685" s="508"/>
      <c r="S1685" s="508"/>
      <c r="T1685" s="276"/>
      <c r="U1685" s="276"/>
      <c r="V1685" s="276"/>
      <c r="W1685" s="283"/>
      <c r="X1685" s="276"/>
      <c r="Y1685" s="276"/>
      <c r="Z1685" s="276"/>
      <c r="AA1685" s="276"/>
      <c r="AB1685" s="276"/>
      <c r="AC1685" s="276"/>
      <c r="AD1685" s="276"/>
    </row>
    <row r="1686" spans="18:30" x14ac:dyDescent="0.25">
      <c r="R1686" s="508"/>
      <c r="S1686" s="508"/>
      <c r="T1686" s="276"/>
      <c r="U1686" s="276"/>
      <c r="V1686" s="276"/>
      <c r="W1686" s="283"/>
      <c r="X1686" s="276"/>
      <c r="Y1686" s="276"/>
      <c r="Z1686" s="276"/>
      <c r="AA1686" s="276"/>
      <c r="AB1686" s="276"/>
      <c r="AC1686" s="276"/>
      <c r="AD1686" s="276"/>
    </row>
    <row r="1687" spans="18:30" x14ac:dyDescent="0.25">
      <c r="R1687" s="508"/>
      <c r="S1687" s="508"/>
      <c r="T1687" s="276"/>
      <c r="U1687" s="276"/>
      <c r="V1687" s="276"/>
      <c r="W1687" s="283"/>
      <c r="X1687" s="276"/>
      <c r="Y1687" s="276"/>
      <c r="Z1687" s="276"/>
      <c r="AA1687" s="276"/>
      <c r="AB1687" s="276"/>
      <c r="AC1687" s="276"/>
      <c r="AD1687" s="276"/>
    </row>
    <row r="1688" spans="18:30" x14ac:dyDescent="0.25">
      <c r="R1688" s="508"/>
      <c r="S1688" s="508"/>
      <c r="T1688" s="276"/>
      <c r="U1688" s="276"/>
      <c r="V1688" s="276"/>
      <c r="W1688" s="283"/>
      <c r="X1688" s="276"/>
      <c r="Y1688" s="276"/>
      <c r="Z1688" s="276"/>
      <c r="AA1688" s="276"/>
      <c r="AB1688" s="276"/>
      <c r="AC1688" s="276"/>
      <c r="AD1688" s="276"/>
    </row>
    <row r="1689" spans="18:30" x14ac:dyDescent="0.25">
      <c r="R1689" s="508"/>
      <c r="S1689" s="508"/>
      <c r="T1689" s="276"/>
      <c r="U1689" s="276"/>
      <c r="V1689" s="276"/>
      <c r="W1689" s="283"/>
      <c r="X1689" s="276"/>
      <c r="Y1689" s="276"/>
      <c r="Z1689" s="276"/>
      <c r="AA1689" s="276"/>
      <c r="AB1689" s="276"/>
      <c r="AC1689" s="276"/>
      <c r="AD1689" s="276"/>
    </row>
    <row r="1690" spans="18:30" x14ac:dyDescent="0.25">
      <c r="R1690" s="508"/>
      <c r="S1690" s="508"/>
      <c r="T1690" s="276"/>
      <c r="U1690" s="276"/>
      <c r="V1690" s="276"/>
      <c r="W1690" s="283"/>
      <c r="X1690" s="276"/>
      <c r="Y1690" s="276"/>
      <c r="Z1690" s="276"/>
      <c r="AA1690" s="276"/>
      <c r="AB1690" s="276"/>
      <c r="AC1690" s="276"/>
      <c r="AD1690" s="276"/>
    </row>
    <row r="1691" spans="18:30" x14ac:dyDescent="0.25">
      <c r="R1691" s="508"/>
      <c r="S1691" s="508"/>
      <c r="T1691" s="276"/>
      <c r="U1691" s="276"/>
      <c r="V1691" s="276"/>
      <c r="W1691" s="283"/>
      <c r="X1691" s="276"/>
      <c r="Y1691" s="276"/>
      <c r="Z1691" s="276"/>
      <c r="AA1691" s="276"/>
      <c r="AB1691" s="276"/>
      <c r="AC1691" s="276"/>
      <c r="AD1691" s="276"/>
    </row>
    <row r="1692" spans="18:30" x14ac:dyDescent="0.25">
      <c r="R1692" s="508"/>
      <c r="S1692" s="508"/>
      <c r="T1692" s="276"/>
      <c r="U1692" s="276"/>
      <c r="V1692" s="276"/>
      <c r="W1692" s="283"/>
      <c r="X1692" s="276"/>
      <c r="Y1692" s="276"/>
      <c r="Z1692" s="276"/>
      <c r="AA1692" s="276"/>
      <c r="AB1692" s="276"/>
      <c r="AC1692" s="276"/>
      <c r="AD1692" s="276"/>
    </row>
    <row r="1693" spans="18:30" x14ac:dyDescent="0.25">
      <c r="R1693" s="508"/>
      <c r="S1693" s="508"/>
      <c r="T1693" s="276"/>
      <c r="U1693" s="276"/>
      <c r="V1693" s="276"/>
      <c r="W1693" s="283"/>
      <c r="X1693" s="276"/>
      <c r="Y1693" s="276"/>
      <c r="Z1693" s="276"/>
      <c r="AA1693" s="276"/>
      <c r="AB1693" s="276"/>
      <c r="AC1693" s="276"/>
      <c r="AD1693" s="276"/>
    </row>
    <row r="1694" spans="18:30" x14ac:dyDescent="0.25">
      <c r="R1694" s="508"/>
      <c r="S1694" s="508"/>
      <c r="T1694" s="276"/>
      <c r="U1694" s="276"/>
      <c r="V1694" s="276"/>
      <c r="W1694" s="283"/>
      <c r="X1694" s="276"/>
      <c r="Y1694" s="276"/>
      <c r="Z1694" s="276"/>
      <c r="AA1694" s="276"/>
      <c r="AB1694" s="276"/>
      <c r="AC1694" s="276"/>
      <c r="AD1694" s="276"/>
    </row>
    <row r="1695" spans="18:30" x14ac:dyDescent="0.25">
      <c r="R1695" s="508"/>
      <c r="S1695" s="508"/>
      <c r="T1695" s="276"/>
      <c r="U1695" s="276"/>
      <c r="V1695" s="276"/>
      <c r="W1695" s="283"/>
      <c r="X1695" s="276"/>
      <c r="Y1695" s="276"/>
      <c r="Z1695" s="276"/>
      <c r="AA1695" s="276"/>
      <c r="AB1695" s="276"/>
      <c r="AC1695" s="276"/>
      <c r="AD1695" s="276"/>
    </row>
    <row r="1696" spans="18:30" x14ac:dyDescent="0.25">
      <c r="R1696" s="508"/>
      <c r="S1696" s="508"/>
      <c r="T1696" s="276"/>
      <c r="U1696" s="276"/>
      <c r="V1696" s="276"/>
      <c r="W1696" s="283"/>
      <c r="X1696" s="276"/>
      <c r="Y1696" s="276"/>
      <c r="Z1696" s="276"/>
      <c r="AA1696" s="276"/>
      <c r="AB1696" s="276"/>
      <c r="AC1696" s="276"/>
      <c r="AD1696" s="276"/>
    </row>
    <row r="1697" spans="18:30" x14ac:dyDescent="0.25">
      <c r="R1697" s="508"/>
      <c r="S1697" s="508"/>
      <c r="T1697" s="276"/>
      <c r="U1697" s="276"/>
      <c r="V1697" s="276"/>
      <c r="W1697" s="283"/>
      <c r="X1697" s="276"/>
      <c r="Y1697" s="276"/>
      <c r="Z1697" s="276"/>
      <c r="AA1697" s="276"/>
      <c r="AB1697" s="276"/>
      <c r="AC1697" s="276"/>
      <c r="AD1697" s="276"/>
    </row>
    <row r="1698" spans="18:30" x14ac:dyDescent="0.25">
      <c r="R1698" s="508"/>
      <c r="S1698" s="508"/>
      <c r="T1698" s="276"/>
      <c r="U1698" s="276"/>
      <c r="V1698" s="276"/>
      <c r="W1698" s="283"/>
      <c r="X1698" s="276"/>
      <c r="Y1698" s="276"/>
      <c r="Z1698" s="276"/>
      <c r="AA1698" s="276"/>
      <c r="AB1698" s="276"/>
      <c r="AC1698" s="276"/>
      <c r="AD1698" s="276"/>
    </row>
    <row r="1699" spans="18:30" x14ac:dyDescent="0.25">
      <c r="R1699" s="508"/>
      <c r="S1699" s="508"/>
      <c r="T1699" s="276"/>
      <c r="U1699" s="276"/>
      <c r="V1699" s="276"/>
      <c r="W1699" s="283"/>
      <c r="X1699" s="276"/>
      <c r="Y1699" s="276"/>
      <c r="Z1699" s="276"/>
      <c r="AA1699" s="276"/>
      <c r="AB1699" s="276"/>
      <c r="AC1699" s="276"/>
      <c r="AD1699" s="276"/>
    </row>
    <row r="1700" spans="18:30" x14ac:dyDescent="0.25">
      <c r="R1700" s="508"/>
      <c r="S1700" s="508"/>
      <c r="T1700" s="276"/>
      <c r="U1700" s="276"/>
      <c r="V1700" s="276"/>
      <c r="W1700" s="283"/>
      <c r="X1700" s="276"/>
      <c r="Y1700" s="276"/>
      <c r="Z1700" s="276"/>
      <c r="AA1700" s="276"/>
      <c r="AB1700" s="276"/>
      <c r="AC1700" s="276"/>
      <c r="AD1700" s="276"/>
    </row>
    <row r="1701" spans="18:30" x14ac:dyDescent="0.25">
      <c r="R1701" s="508"/>
      <c r="S1701" s="508"/>
      <c r="T1701" s="276"/>
      <c r="U1701" s="276"/>
      <c r="V1701" s="276"/>
      <c r="W1701" s="283"/>
      <c r="X1701" s="276"/>
      <c r="Y1701" s="276"/>
      <c r="Z1701" s="276"/>
      <c r="AA1701" s="276"/>
      <c r="AB1701" s="276"/>
      <c r="AC1701" s="276"/>
      <c r="AD1701" s="276"/>
    </row>
    <row r="1702" spans="18:30" x14ac:dyDescent="0.25">
      <c r="R1702" s="508"/>
      <c r="S1702" s="508"/>
      <c r="T1702" s="276"/>
      <c r="U1702" s="276"/>
      <c r="V1702" s="276"/>
      <c r="W1702" s="283"/>
      <c r="X1702" s="276"/>
      <c r="Y1702" s="276"/>
      <c r="Z1702" s="276"/>
      <c r="AA1702" s="276"/>
      <c r="AB1702" s="276"/>
      <c r="AC1702" s="276"/>
      <c r="AD1702" s="276"/>
    </row>
    <row r="1703" spans="18:30" x14ac:dyDescent="0.25">
      <c r="R1703" s="508"/>
      <c r="S1703" s="508"/>
      <c r="T1703" s="276"/>
      <c r="U1703" s="276"/>
      <c r="V1703" s="276"/>
      <c r="W1703" s="283"/>
      <c r="X1703" s="276"/>
      <c r="Y1703" s="276"/>
      <c r="Z1703" s="276"/>
      <c r="AA1703" s="276"/>
      <c r="AB1703" s="276"/>
      <c r="AC1703" s="276"/>
      <c r="AD1703" s="276"/>
    </row>
    <row r="1704" spans="18:30" x14ac:dyDescent="0.25">
      <c r="R1704" s="508"/>
      <c r="S1704" s="508"/>
      <c r="T1704" s="276"/>
      <c r="U1704" s="276"/>
      <c r="V1704" s="276"/>
      <c r="W1704" s="283"/>
      <c r="X1704" s="276"/>
      <c r="Y1704" s="276"/>
      <c r="Z1704" s="276"/>
      <c r="AA1704" s="276"/>
      <c r="AB1704" s="276"/>
      <c r="AC1704" s="276"/>
      <c r="AD1704" s="276"/>
    </row>
    <row r="1705" spans="18:30" x14ac:dyDescent="0.25">
      <c r="R1705" s="508"/>
      <c r="S1705" s="508"/>
      <c r="T1705" s="276"/>
      <c r="U1705" s="276"/>
      <c r="V1705" s="276"/>
      <c r="W1705" s="283"/>
      <c r="X1705" s="276"/>
      <c r="Y1705" s="276"/>
      <c r="Z1705" s="276"/>
      <c r="AA1705" s="276"/>
      <c r="AB1705" s="276"/>
      <c r="AC1705" s="276"/>
      <c r="AD1705" s="276"/>
    </row>
    <row r="1706" spans="18:30" x14ac:dyDescent="0.25">
      <c r="R1706" s="508"/>
      <c r="S1706" s="508"/>
      <c r="T1706" s="276"/>
      <c r="U1706" s="276"/>
      <c r="V1706" s="276"/>
      <c r="W1706" s="283"/>
      <c r="X1706" s="276"/>
      <c r="Y1706" s="276"/>
      <c r="Z1706" s="276"/>
      <c r="AA1706" s="276"/>
      <c r="AB1706" s="276"/>
      <c r="AC1706" s="276"/>
      <c r="AD1706" s="276"/>
    </row>
    <row r="1707" spans="18:30" x14ac:dyDescent="0.25">
      <c r="R1707" s="508"/>
      <c r="S1707" s="508"/>
      <c r="T1707" s="276"/>
      <c r="U1707" s="276"/>
      <c r="V1707" s="276"/>
      <c r="W1707" s="283"/>
      <c r="X1707" s="276"/>
      <c r="Y1707" s="276"/>
      <c r="Z1707" s="276"/>
      <c r="AA1707" s="276"/>
      <c r="AB1707" s="276"/>
      <c r="AC1707" s="276"/>
      <c r="AD1707" s="276"/>
    </row>
    <row r="1708" spans="18:30" x14ac:dyDescent="0.25">
      <c r="R1708" s="508"/>
      <c r="S1708" s="508"/>
      <c r="T1708" s="276"/>
      <c r="U1708" s="276"/>
      <c r="V1708" s="276"/>
      <c r="W1708" s="283"/>
      <c r="X1708" s="276"/>
      <c r="Y1708" s="276"/>
      <c r="Z1708" s="276"/>
      <c r="AA1708" s="276"/>
      <c r="AB1708" s="276"/>
      <c r="AC1708" s="276"/>
      <c r="AD1708" s="276"/>
    </row>
    <row r="1709" spans="18:30" x14ac:dyDescent="0.25">
      <c r="R1709" s="508"/>
      <c r="S1709" s="508"/>
      <c r="T1709" s="276"/>
      <c r="U1709" s="276"/>
      <c r="V1709" s="276"/>
      <c r="W1709" s="283"/>
      <c r="X1709" s="276"/>
      <c r="Y1709" s="276"/>
      <c r="Z1709" s="276"/>
      <c r="AA1709" s="276"/>
      <c r="AB1709" s="276"/>
      <c r="AC1709" s="276"/>
      <c r="AD1709" s="276"/>
    </row>
    <row r="1710" spans="18:30" x14ac:dyDescent="0.25">
      <c r="R1710" s="508"/>
      <c r="S1710" s="508"/>
      <c r="T1710" s="276"/>
      <c r="U1710" s="276"/>
      <c r="V1710" s="276"/>
      <c r="W1710" s="283"/>
      <c r="X1710" s="276"/>
      <c r="Y1710" s="276"/>
      <c r="Z1710" s="276"/>
      <c r="AA1710" s="276"/>
      <c r="AB1710" s="276"/>
      <c r="AC1710" s="276"/>
      <c r="AD1710" s="276"/>
    </row>
    <row r="1711" spans="18:30" x14ac:dyDescent="0.25">
      <c r="R1711" s="508"/>
      <c r="S1711" s="508"/>
      <c r="T1711" s="276"/>
      <c r="U1711" s="276"/>
      <c r="V1711" s="276"/>
      <c r="W1711" s="283"/>
      <c r="X1711" s="276"/>
      <c r="Y1711" s="276"/>
      <c r="Z1711" s="276"/>
      <c r="AA1711" s="276"/>
      <c r="AB1711" s="276"/>
      <c r="AC1711" s="276"/>
      <c r="AD1711" s="276"/>
    </row>
    <row r="1712" spans="18:30" x14ac:dyDescent="0.25">
      <c r="R1712" s="508"/>
      <c r="S1712" s="508"/>
      <c r="T1712" s="276"/>
      <c r="U1712" s="276"/>
      <c r="V1712" s="276"/>
      <c r="W1712" s="283"/>
      <c r="X1712" s="276"/>
      <c r="Y1712" s="276"/>
      <c r="Z1712" s="276"/>
      <c r="AA1712" s="276"/>
      <c r="AB1712" s="276"/>
      <c r="AC1712" s="276"/>
      <c r="AD1712" s="276"/>
    </row>
    <row r="1713" spans="18:30" x14ac:dyDescent="0.25">
      <c r="R1713" s="508"/>
      <c r="S1713" s="508"/>
      <c r="T1713" s="276"/>
      <c r="U1713" s="276"/>
      <c r="V1713" s="276"/>
      <c r="W1713" s="283"/>
      <c r="X1713" s="276"/>
      <c r="Y1713" s="276"/>
      <c r="Z1713" s="276"/>
      <c r="AA1713" s="276"/>
      <c r="AB1713" s="276"/>
      <c r="AC1713" s="276"/>
      <c r="AD1713" s="276"/>
    </row>
    <row r="1714" spans="18:30" x14ac:dyDescent="0.25">
      <c r="R1714" s="508"/>
      <c r="S1714" s="508"/>
      <c r="T1714" s="276"/>
      <c r="U1714" s="276"/>
      <c r="V1714" s="276"/>
      <c r="W1714" s="283"/>
      <c r="X1714" s="276"/>
      <c r="Y1714" s="276"/>
      <c r="Z1714" s="276"/>
      <c r="AA1714" s="276"/>
      <c r="AB1714" s="276"/>
      <c r="AC1714" s="276"/>
      <c r="AD1714" s="276"/>
    </row>
    <row r="1715" spans="18:30" x14ac:dyDescent="0.25">
      <c r="R1715" s="508"/>
      <c r="S1715" s="508"/>
      <c r="T1715" s="276"/>
      <c r="U1715" s="276"/>
      <c r="V1715" s="276"/>
      <c r="W1715" s="283"/>
      <c r="X1715" s="276"/>
      <c r="Y1715" s="276"/>
      <c r="Z1715" s="276"/>
      <c r="AA1715" s="276"/>
      <c r="AB1715" s="276"/>
      <c r="AC1715" s="276"/>
      <c r="AD1715" s="276"/>
    </row>
    <row r="1716" spans="18:30" x14ac:dyDescent="0.25">
      <c r="R1716" s="508"/>
      <c r="S1716" s="508"/>
      <c r="T1716" s="276"/>
      <c r="U1716" s="276"/>
      <c r="V1716" s="276"/>
      <c r="W1716" s="283"/>
      <c r="X1716" s="276"/>
      <c r="Y1716" s="276"/>
      <c r="Z1716" s="276"/>
      <c r="AA1716" s="276"/>
      <c r="AB1716" s="276"/>
      <c r="AC1716" s="276"/>
      <c r="AD1716" s="276"/>
    </row>
    <row r="1717" spans="18:30" x14ac:dyDescent="0.25">
      <c r="R1717" s="508"/>
      <c r="S1717" s="508"/>
      <c r="T1717" s="276"/>
      <c r="U1717" s="276"/>
      <c r="V1717" s="276"/>
      <c r="W1717" s="283"/>
      <c r="X1717" s="276"/>
      <c r="Y1717" s="276"/>
      <c r="Z1717" s="276"/>
      <c r="AA1717" s="276"/>
      <c r="AB1717" s="276"/>
      <c r="AC1717" s="276"/>
      <c r="AD1717" s="276"/>
    </row>
    <row r="1718" spans="18:30" x14ac:dyDescent="0.25">
      <c r="R1718" s="508"/>
      <c r="S1718" s="508"/>
      <c r="T1718" s="276"/>
      <c r="U1718" s="276"/>
      <c r="V1718" s="276"/>
      <c r="W1718" s="283"/>
      <c r="X1718" s="276"/>
      <c r="Y1718" s="276"/>
      <c r="Z1718" s="276"/>
      <c r="AA1718" s="276"/>
      <c r="AB1718" s="276"/>
      <c r="AC1718" s="276"/>
      <c r="AD1718" s="276"/>
    </row>
    <row r="1719" spans="18:30" x14ac:dyDescent="0.25">
      <c r="R1719" s="508"/>
      <c r="S1719" s="508"/>
      <c r="T1719" s="276"/>
      <c r="U1719" s="276"/>
      <c r="V1719" s="276"/>
      <c r="W1719" s="283"/>
      <c r="X1719" s="276"/>
      <c r="Y1719" s="276"/>
      <c r="Z1719" s="276"/>
      <c r="AA1719" s="276"/>
      <c r="AB1719" s="276"/>
      <c r="AC1719" s="276"/>
      <c r="AD1719" s="276"/>
    </row>
    <row r="1720" spans="18:30" x14ac:dyDescent="0.25">
      <c r="R1720" s="508"/>
      <c r="S1720" s="508"/>
      <c r="T1720" s="276"/>
      <c r="U1720" s="276"/>
      <c r="V1720" s="276"/>
      <c r="W1720" s="283"/>
      <c r="X1720" s="276"/>
      <c r="Y1720" s="276"/>
      <c r="Z1720" s="276"/>
      <c r="AA1720" s="276"/>
      <c r="AB1720" s="276"/>
      <c r="AC1720" s="276"/>
      <c r="AD1720" s="276"/>
    </row>
    <row r="1721" spans="18:30" x14ac:dyDescent="0.25">
      <c r="R1721" s="508"/>
      <c r="S1721" s="508"/>
      <c r="T1721" s="276"/>
      <c r="U1721" s="276"/>
      <c r="V1721" s="276"/>
      <c r="W1721" s="283"/>
      <c r="X1721" s="276"/>
      <c r="Y1721" s="276"/>
      <c r="Z1721" s="276"/>
      <c r="AA1721" s="276"/>
      <c r="AB1721" s="276"/>
      <c r="AC1721" s="276"/>
      <c r="AD1721" s="276"/>
    </row>
    <row r="1722" spans="18:30" x14ac:dyDescent="0.25">
      <c r="R1722" s="508"/>
      <c r="S1722" s="508"/>
      <c r="T1722" s="276"/>
      <c r="U1722" s="276"/>
      <c r="V1722" s="276"/>
      <c r="W1722" s="283"/>
      <c r="X1722" s="276"/>
      <c r="Y1722" s="276"/>
      <c r="Z1722" s="276"/>
      <c r="AA1722" s="276"/>
      <c r="AB1722" s="276"/>
      <c r="AC1722" s="276"/>
      <c r="AD1722" s="276"/>
    </row>
    <row r="1723" spans="18:30" x14ac:dyDescent="0.25">
      <c r="R1723" s="508"/>
      <c r="S1723" s="508"/>
      <c r="T1723" s="276"/>
      <c r="U1723" s="276"/>
      <c r="V1723" s="276"/>
      <c r="W1723" s="283"/>
      <c r="X1723" s="276"/>
      <c r="Y1723" s="276"/>
      <c r="Z1723" s="276"/>
      <c r="AA1723" s="276"/>
      <c r="AB1723" s="276"/>
      <c r="AC1723" s="276"/>
      <c r="AD1723" s="276"/>
    </row>
    <row r="1724" spans="18:30" x14ac:dyDescent="0.25">
      <c r="R1724" s="508"/>
      <c r="S1724" s="508"/>
      <c r="T1724" s="276"/>
      <c r="U1724" s="276"/>
      <c r="V1724" s="276"/>
      <c r="W1724" s="283"/>
      <c r="X1724" s="276"/>
      <c r="Y1724" s="276"/>
      <c r="Z1724" s="276"/>
      <c r="AA1724" s="276"/>
      <c r="AB1724" s="276"/>
      <c r="AC1724" s="276"/>
      <c r="AD1724" s="276"/>
    </row>
    <row r="1725" spans="18:30" x14ac:dyDescent="0.25">
      <c r="R1725" s="508"/>
      <c r="S1725" s="508"/>
      <c r="T1725" s="276"/>
      <c r="U1725" s="276"/>
      <c r="V1725" s="276"/>
      <c r="W1725" s="283"/>
      <c r="X1725" s="276"/>
      <c r="Y1725" s="276"/>
      <c r="Z1725" s="276"/>
      <c r="AA1725" s="276"/>
      <c r="AB1725" s="276"/>
      <c r="AC1725" s="276"/>
      <c r="AD1725" s="276"/>
    </row>
    <row r="1726" spans="18:30" x14ac:dyDescent="0.25">
      <c r="R1726" s="508"/>
      <c r="S1726" s="508"/>
      <c r="T1726" s="276"/>
      <c r="U1726" s="276"/>
      <c r="V1726" s="276"/>
      <c r="W1726" s="283"/>
      <c r="X1726" s="276"/>
      <c r="Y1726" s="276"/>
      <c r="Z1726" s="276"/>
      <c r="AA1726" s="276"/>
      <c r="AB1726" s="276"/>
      <c r="AC1726" s="276"/>
      <c r="AD1726" s="276"/>
    </row>
    <row r="1727" spans="18:30" x14ac:dyDescent="0.25">
      <c r="R1727" s="508"/>
      <c r="S1727" s="508"/>
      <c r="T1727" s="276"/>
      <c r="U1727" s="276"/>
      <c r="V1727" s="276"/>
      <c r="W1727" s="283"/>
      <c r="X1727" s="276"/>
      <c r="Y1727" s="276"/>
      <c r="Z1727" s="276"/>
      <c r="AA1727" s="276"/>
      <c r="AB1727" s="276"/>
      <c r="AC1727" s="276"/>
      <c r="AD1727" s="276"/>
    </row>
    <row r="1728" spans="18:30" x14ac:dyDescent="0.25">
      <c r="R1728" s="508"/>
      <c r="S1728" s="508"/>
      <c r="T1728" s="276"/>
      <c r="U1728" s="276"/>
      <c r="V1728" s="276"/>
      <c r="W1728" s="283"/>
      <c r="X1728" s="276"/>
      <c r="Y1728" s="276"/>
      <c r="Z1728" s="276"/>
      <c r="AA1728" s="276"/>
      <c r="AB1728" s="276"/>
      <c r="AC1728" s="276"/>
      <c r="AD1728" s="276"/>
    </row>
    <row r="1729" spans="18:30" x14ac:dyDescent="0.25">
      <c r="R1729" s="508"/>
      <c r="S1729" s="508"/>
      <c r="T1729" s="276"/>
      <c r="U1729" s="276"/>
      <c r="V1729" s="276"/>
      <c r="W1729" s="283"/>
      <c r="X1729" s="276"/>
      <c r="Y1729" s="276"/>
      <c r="Z1729" s="276"/>
      <c r="AA1729" s="276"/>
      <c r="AB1729" s="276"/>
      <c r="AC1729" s="276"/>
      <c r="AD1729" s="276"/>
    </row>
    <row r="1730" spans="18:30" x14ac:dyDescent="0.25">
      <c r="R1730" s="508"/>
      <c r="S1730" s="508"/>
      <c r="T1730" s="276"/>
      <c r="U1730" s="276"/>
      <c r="V1730" s="276"/>
      <c r="W1730" s="283"/>
      <c r="X1730" s="276"/>
      <c r="Y1730" s="276"/>
      <c r="Z1730" s="276"/>
      <c r="AA1730" s="276"/>
      <c r="AB1730" s="276"/>
      <c r="AC1730" s="276"/>
      <c r="AD1730" s="276"/>
    </row>
    <row r="1731" spans="18:30" x14ac:dyDescent="0.25">
      <c r="R1731" s="508"/>
      <c r="S1731" s="508"/>
      <c r="T1731" s="276"/>
      <c r="U1731" s="276"/>
      <c r="V1731" s="276"/>
      <c r="W1731" s="283"/>
      <c r="X1731" s="276"/>
      <c r="Y1731" s="276"/>
      <c r="Z1731" s="276"/>
      <c r="AA1731" s="276"/>
      <c r="AB1731" s="276"/>
      <c r="AC1731" s="276"/>
      <c r="AD1731" s="276"/>
    </row>
    <row r="1732" spans="18:30" x14ac:dyDescent="0.25">
      <c r="R1732" s="508"/>
      <c r="S1732" s="508"/>
      <c r="T1732" s="276"/>
      <c r="U1732" s="276"/>
      <c r="V1732" s="276"/>
      <c r="W1732" s="283"/>
      <c r="X1732" s="276"/>
      <c r="Y1732" s="276"/>
      <c r="Z1732" s="276"/>
      <c r="AA1732" s="276"/>
      <c r="AB1732" s="276"/>
      <c r="AC1732" s="276"/>
      <c r="AD1732" s="276"/>
    </row>
    <row r="1733" spans="18:30" x14ac:dyDescent="0.25">
      <c r="R1733" s="508"/>
      <c r="S1733" s="508"/>
      <c r="T1733" s="276"/>
      <c r="U1733" s="276"/>
      <c r="V1733" s="276"/>
      <c r="W1733" s="283"/>
      <c r="X1733" s="276"/>
      <c r="Y1733" s="276"/>
      <c r="Z1733" s="276"/>
      <c r="AA1733" s="276"/>
      <c r="AB1733" s="276"/>
      <c r="AC1733" s="276"/>
      <c r="AD1733" s="276"/>
    </row>
    <row r="1734" spans="18:30" x14ac:dyDescent="0.25">
      <c r="R1734" s="508"/>
      <c r="S1734" s="508"/>
      <c r="T1734" s="276"/>
      <c r="U1734" s="276"/>
      <c r="V1734" s="276"/>
      <c r="W1734" s="283"/>
      <c r="X1734" s="276"/>
      <c r="Y1734" s="276"/>
      <c r="Z1734" s="276"/>
      <c r="AA1734" s="276"/>
      <c r="AB1734" s="276"/>
      <c r="AC1734" s="276"/>
      <c r="AD1734" s="276"/>
    </row>
    <row r="1735" spans="18:30" x14ac:dyDescent="0.25">
      <c r="R1735" s="508"/>
      <c r="S1735" s="508"/>
      <c r="T1735" s="276"/>
      <c r="U1735" s="276"/>
      <c r="V1735" s="276"/>
      <c r="W1735" s="283"/>
      <c r="X1735" s="276"/>
      <c r="Y1735" s="276"/>
      <c r="Z1735" s="276"/>
      <c r="AA1735" s="276"/>
      <c r="AB1735" s="276"/>
      <c r="AC1735" s="276"/>
      <c r="AD1735" s="276"/>
    </row>
    <row r="1736" spans="18:30" x14ac:dyDescent="0.25">
      <c r="R1736" s="508"/>
      <c r="S1736" s="508"/>
      <c r="T1736" s="276"/>
      <c r="U1736" s="276"/>
      <c r="V1736" s="276"/>
      <c r="W1736" s="283"/>
      <c r="X1736" s="276"/>
      <c r="Y1736" s="276"/>
      <c r="Z1736" s="276"/>
      <c r="AA1736" s="276"/>
      <c r="AB1736" s="276"/>
      <c r="AC1736" s="276"/>
      <c r="AD1736" s="276"/>
    </row>
    <row r="1737" spans="18:30" x14ac:dyDescent="0.25">
      <c r="R1737" s="508"/>
      <c r="S1737" s="508"/>
      <c r="T1737" s="276"/>
      <c r="U1737" s="276"/>
      <c r="V1737" s="276"/>
      <c r="W1737" s="283"/>
      <c r="X1737" s="276"/>
      <c r="Y1737" s="276"/>
      <c r="Z1737" s="276"/>
      <c r="AA1737" s="276"/>
      <c r="AB1737" s="276"/>
      <c r="AC1737" s="276"/>
      <c r="AD1737" s="276"/>
    </row>
    <row r="1738" spans="18:30" x14ac:dyDescent="0.25">
      <c r="R1738" s="508"/>
      <c r="S1738" s="508"/>
      <c r="T1738" s="276"/>
      <c r="U1738" s="276"/>
      <c r="V1738" s="276"/>
      <c r="W1738" s="283"/>
      <c r="X1738" s="276"/>
      <c r="Y1738" s="276"/>
      <c r="Z1738" s="276"/>
      <c r="AA1738" s="276"/>
      <c r="AB1738" s="276"/>
      <c r="AC1738" s="276"/>
      <c r="AD1738" s="276"/>
    </row>
    <row r="1739" spans="18:30" x14ac:dyDescent="0.25">
      <c r="R1739" s="508"/>
      <c r="S1739" s="508"/>
      <c r="T1739" s="276"/>
      <c r="U1739" s="276"/>
      <c r="V1739" s="276"/>
      <c r="W1739" s="283"/>
      <c r="X1739" s="276"/>
      <c r="Y1739" s="276"/>
      <c r="Z1739" s="276"/>
      <c r="AA1739" s="276"/>
      <c r="AB1739" s="276"/>
      <c r="AC1739" s="276"/>
      <c r="AD1739" s="276"/>
    </row>
    <row r="1740" spans="18:30" x14ac:dyDescent="0.25">
      <c r="R1740" s="508"/>
      <c r="S1740" s="508"/>
      <c r="T1740" s="276"/>
      <c r="U1740" s="276"/>
      <c r="V1740" s="276"/>
      <c r="W1740" s="283"/>
      <c r="X1740" s="276"/>
      <c r="Y1740" s="276"/>
      <c r="Z1740" s="276"/>
      <c r="AA1740" s="276"/>
      <c r="AB1740" s="276"/>
      <c r="AC1740" s="276"/>
      <c r="AD1740" s="276"/>
    </row>
    <row r="1741" spans="18:30" x14ac:dyDescent="0.25">
      <c r="R1741" s="508"/>
      <c r="S1741" s="508"/>
      <c r="T1741" s="276"/>
      <c r="U1741" s="276"/>
      <c r="V1741" s="276"/>
      <c r="W1741" s="283"/>
      <c r="X1741" s="276"/>
      <c r="Y1741" s="276"/>
      <c r="Z1741" s="276"/>
      <c r="AA1741" s="276"/>
      <c r="AB1741" s="276"/>
      <c r="AC1741" s="276"/>
      <c r="AD1741" s="276"/>
    </row>
    <row r="1742" spans="18:30" x14ac:dyDescent="0.25">
      <c r="R1742" s="508"/>
      <c r="S1742" s="508"/>
      <c r="T1742" s="276"/>
      <c r="U1742" s="276"/>
      <c r="V1742" s="276"/>
      <c r="W1742" s="283"/>
      <c r="X1742" s="276"/>
      <c r="Y1742" s="276"/>
      <c r="Z1742" s="276"/>
      <c r="AA1742" s="276"/>
      <c r="AB1742" s="276"/>
      <c r="AC1742" s="276"/>
      <c r="AD1742" s="276"/>
    </row>
    <row r="1743" spans="18:30" x14ac:dyDescent="0.25">
      <c r="R1743" s="508"/>
      <c r="S1743" s="508"/>
      <c r="T1743" s="276"/>
      <c r="U1743" s="276"/>
      <c r="V1743" s="276"/>
      <c r="W1743" s="283"/>
      <c r="X1743" s="276"/>
      <c r="Y1743" s="276"/>
      <c r="Z1743" s="276"/>
      <c r="AA1743" s="276"/>
      <c r="AB1743" s="276"/>
      <c r="AC1743" s="276"/>
      <c r="AD1743" s="276"/>
    </row>
    <row r="1744" spans="18:30" x14ac:dyDescent="0.25">
      <c r="R1744" s="508"/>
      <c r="S1744" s="508"/>
      <c r="T1744" s="276"/>
      <c r="U1744" s="276"/>
      <c r="V1744" s="276"/>
      <c r="W1744" s="283"/>
      <c r="X1744" s="276"/>
      <c r="Y1744" s="276"/>
      <c r="Z1744" s="276"/>
      <c r="AA1744" s="276"/>
      <c r="AB1744" s="276"/>
      <c r="AC1744" s="276"/>
      <c r="AD1744" s="276"/>
    </row>
    <row r="1745" spans="18:30" x14ac:dyDescent="0.25">
      <c r="R1745" s="508"/>
      <c r="S1745" s="508"/>
      <c r="T1745" s="276"/>
      <c r="U1745" s="276"/>
      <c r="V1745" s="276"/>
      <c r="W1745" s="283"/>
      <c r="X1745" s="276"/>
      <c r="Y1745" s="276"/>
      <c r="Z1745" s="276"/>
      <c r="AA1745" s="276"/>
      <c r="AB1745" s="276"/>
      <c r="AC1745" s="276"/>
      <c r="AD1745" s="276"/>
    </row>
    <row r="1746" spans="18:30" x14ac:dyDescent="0.25">
      <c r="R1746" s="508"/>
      <c r="S1746" s="508"/>
      <c r="T1746" s="276"/>
      <c r="U1746" s="276"/>
      <c r="V1746" s="276"/>
      <c r="W1746" s="283"/>
      <c r="X1746" s="276"/>
      <c r="Y1746" s="276"/>
      <c r="Z1746" s="276"/>
      <c r="AA1746" s="276"/>
      <c r="AB1746" s="276"/>
      <c r="AC1746" s="276"/>
      <c r="AD1746" s="276"/>
    </row>
    <row r="1747" spans="18:30" x14ac:dyDescent="0.25">
      <c r="R1747" s="508"/>
      <c r="S1747" s="508"/>
      <c r="T1747" s="276"/>
      <c r="U1747" s="276"/>
      <c r="V1747" s="276"/>
      <c r="W1747" s="283"/>
      <c r="X1747" s="276"/>
      <c r="Y1747" s="276"/>
      <c r="Z1747" s="276"/>
      <c r="AA1747" s="276"/>
      <c r="AB1747" s="276"/>
      <c r="AC1747" s="276"/>
      <c r="AD1747" s="276"/>
    </row>
    <row r="1748" spans="18:30" x14ac:dyDescent="0.25">
      <c r="R1748" s="508"/>
      <c r="S1748" s="508"/>
      <c r="T1748" s="276"/>
      <c r="U1748" s="276"/>
      <c r="V1748" s="276"/>
      <c r="W1748" s="283"/>
      <c r="X1748" s="276"/>
      <c r="Y1748" s="276"/>
      <c r="Z1748" s="276"/>
      <c r="AA1748" s="276"/>
      <c r="AB1748" s="276"/>
      <c r="AC1748" s="276"/>
      <c r="AD1748" s="276"/>
    </row>
    <row r="1749" spans="18:30" x14ac:dyDescent="0.25">
      <c r="R1749" s="508"/>
      <c r="S1749" s="508"/>
      <c r="T1749" s="276"/>
      <c r="U1749" s="276"/>
      <c r="V1749" s="276"/>
      <c r="W1749" s="283"/>
      <c r="X1749" s="276"/>
      <c r="Y1749" s="276"/>
      <c r="Z1749" s="276"/>
      <c r="AA1749" s="276"/>
      <c r="AB1749" s="276"/>
      <c r="AC1749" s="276"/>
      <c r="AD1749" s="276"/>
    </row>
    <row r="1750" spans="18:30" x14ac:dyDescent="0.25">
      <c r="R1750" s="508"/>
      <c r="S1750" s="508"/>
      <c r="T1750" s="276"/>
      <c r="U1750" s="276"/>
      <c r="V1750" s="276"/>
      <c r="W1750" s="283"/>
      <c r="X1750" s="276"/>
      <c r="Y1750" s="276"/>
      <c r="Z1750" s="276"/>
      <c r="AA1750" s="276"/>
      <c r="AB1750" s="276"/>
      <c r="AC1750" s="276"/>
      <c r="AD1750" s="276"/>
    </row>
    <row r="1751" spans="18:30" x14ac:dyDescent="0.25">
      <c r="R1751" s="508"/>
      <c r="S1751" s="508"/>
      <c r="T1751" s="276"/>
      <c r="U1751" s="276"/>
      <c r="V1751" s="276"/>
      <c r="W1751" s="283"/>
      <c r="X1751" s="276"/>
      <c r="Y1751" s="276"/>
      <c r="Z1751" s="276"/>
      <c r="AA1751" s="276"/>
      <c r="AB1751" s="276"/>
      <c r="AC1751" s="276"/>
      <c r="AD1751" s="276"/>
    </row>
    <row r="1752" spans="18:30" x14ac:dyDescent="0.25">
      <c r="R1752" s="508"/>
      <c r="S1752" s="508"/>
      <c r="T1752" s="276"/>
      <c r="U1752" s="276"/>
      <c r="V1752" s="276"/>
      <c r="W1752" s="283"/>
      <c r="X1752" s="276"/>
      <c r="Y1752" s="276"/>
      <c r="Z1752" s="276"/>
      <c r="AA1752" s="276"/>
      <c r="AB1752" s="276"/>
      <c r="AC1752" s="276"/>
      <c r="AD1752" s="276"/>
    </row>
    <row r="1753" spans="18:30" x14ac:dyDescent="0.25">
      <c r="R1753" s="508"/>
      <c r="S1753" s="508"/>
      <c r="T1753" s="276"/>
      <c r="U1753" s="276"/>
      <c r="V1753" s="276"/>
      <c r="W1753" s="283"/>
      <c r="X1753" s="276"/>
      <c r="Y1753" s="276"/>
      <c r="Z1753" s="276"/>
      <c r="AA1753" s="276"/>
      <c r="AB1753" s="276"/>
      <c r="AC1753" s="276"/>
      <c r="AD1753" s="276"/>
    </row>
    <row r="1754" spans="18:30" x14ac:dyDescent="0.25">
      <c r="R1754" s="508"/>
      <c r="S1754" s="508"/>
      <c r="T1754" s="276"/>
      <c r="U1754" s="276"/>
      <c r="V1754" s="276"/>
      <c r="W1754" s="283"/>
      <c r="X1754" s="276"/>
      <c r="Y1754" s="276"/>
      <c r="Z1754" s="276"/>
      <c r="AA1754" s="276"/>
      <c r="AB1754" s="276"/>
      <c r="AC1754" s="276"/>
      <c r="AD1754" s="276"/>
    </row>
    <row r="1755" spans="18:30" x14ac:dyDescent="0.25">
      <c r="R1755" s="508"/>
      <c r="S1755" s="508"/>
      <c r="T1755" s="276"/>
      <c r="U1755" s="276"/>
      <c r="V1755" s="276"/>
      <c r="W1755" s="283"/>
      <c r="X1755" s="276"/>
      <c r="Y1755" s="276"/>
      <c r="Z1755" s="276"/>
      <c r="AA1755" s="276"/>
      <c r="AB1755" s="276"/>
      <c r="AC1755" s="276"/>
      <c r="AD1755" s="276"/>
    </row>
    <row r="1756" spans="18:30" x14ac:dyDescent="0.25">
      <c r="R1756" s="508"/>
      <c r="S1756" s="508"/>
      <c r="T1756" s="276"/>
      <c r="U1756" s="276"/>
      <c r="V1756" s="276"/>
      <c r="W1756" s="283"/>
      <c r="X1756" s="276"/>
      <c r="Y1756" s="276"/>
      <c r="Z1756" s="276"/>
      <c r="AA1756" s="276"/>
      <c r="AB1756" s="276"/>
      <c r="AC1756" s="276"/>
      <c r="AD1756" s="276"/>
    </row>
    <row r="1757" spans="18:30" x14ac:dyDescent="0.25">
      <c r="R1757" s="508"/>
      <c r="S1757" s="508"/>
      <c r="T1757" s="276"/>
      <c r="U1757" s="276"/>
      <c r="V1757" s="276"/>
      <c r="W1757" s="283"/>
      <c r="X1757" s="276"/>
      <c r="Y1757" s="276"/>
      <c r="Z1757" s="276"/>
      <c r="AA1757" s="276"/>
      <c r="AB1757" s="276"/>
      <c r="AC1757" s="276"/>
      <c r="AD1757" s="276"/>
    </row>
    <row r="1758" spans="18:30" x14ac:dyDescent="0.25">
      <c r="R1758" s="508"/>
      <c r="S1758" s="508"/>
      <c r="T1758" s="276"/>
      <c r="U1758" s="276"/>
      <c r="V1758" s="276"/>
      <c r="W1758" s="283"/>
      <c r="X1758" s="276"/>
      <c r="Y1758" s="276"/>
      <c r="Z1758" s="276"/>
      <c r="AA1758" s="276"/>
      <c r="AB1758" s="276"/>
      <c r="AC1758" s="276"/>
      <c r="AD1758" s="276"/>
    </row>
    <row r="1759" spans="18:30" x14ac:dyDescent="0.25">
      <c r="R1759" s="508"/>
      <c r="S1759" s="508"/>
      <c r="T1759" s="276"/>
      <c r="U1759" s="276"/>
      <c r="V1759" s="276"/>
      <c r="W1759" s="283"/>
      <c r="X1759" s="276"/>
      <c r="Y1759" s="276"/>
      <c r="Z1759" s="276"/>
      <c r="AA1759" s="276"/>
      <c r="AB1759" s="276"/>
      <c r="AC1759" s="276"/>
      <c r="AD1759" s="276"/>
    </row>
    <row r="1760" spans="18:30" x14ac:dyDescent="0.25">
      <c r="R1760" s="508"/>
      <c r="S1760" s="508"/>
      <c r="T1760" s="276"/>
      <c r="U1760" s="276"/>
      <c r="V1760" s="276"/>
      <c r="W1760" s="283"/>
      <c r="X1760" s="276"/>
      <c r="Y1760" s="276"/>
      <c r="Z1760" s="276"/>
      <c r="AA1760" s="276"/>
      <c r="AB1760" s="276"/>
      <c r="AC1760" s="276"/>
      <c r="AD1760" s="276"/>
    </row>
    <row r="1761" spans="18:30" x14ac:dyDescent="0.25">
      <c r="R1761" s="508"/>
      <c r="S1761" s="508"/>
      <c r="T1761" s="276"/>
      <c r="U1761" s="276"/>
      <c r="V1761" s="276"/>
      <c r="W1761" s="283"/>
      <c r="X1761" s="276"/>
      <c r="Y1761" s="276"/>
      <c r="Z1761" s="276"/>
      <c r="AA1761" s="276"/>
      <c r="AB1761" s="276"/>
      <c r="AC1761" s="276"/>
      <c r="AD1761" s="276"/>
    </row>
    <row r="1762" spans="18:30" x14ac:dyDescent="0.25">
      <c r="R1762" s="508"/>
      <c r="S1762" s="508"/>
      <c r="T1762" s="276"/>
      <c r="U1762" s="276"/>
      <c r="V1762" s="276"/>
      <c r="W1762" s="283"/>
      <c r="X1762" s="276"/>
      <c r="Y1762" s="276"/>
      <c r="Z1762" s="276"/>
      <c r="AA1762" s="276"/>
      <c r="AB1762" s="276"/>
      <c r="AC1762" s="276"/>
      <c r="AD1762" s="276"/>
    </row>
    <row r="1763" spans="18:30" x14ac:dyDescent="0.25">
      <c r="R1763" s="508"/>
      <c r="S1763" s="508"/>
      <c r="T1763" s="276"/>
      <c r="U1763" s="276"/>
      <c r="V1763" s="276"/>
      <c r="W1763" s="283"/>
      <c r="X1763" s="276"/>
      <c r="Y1763" s="276"/>
      <c r="Z1763" s="276"/>
      <c r="AA1763" s="276"/>
      <c r="AB1763" s="276"/>
      <c r="AC1763" s="276"/>
      <c r="AD1763" s="276"/>
    </row>
    <row r="1764" spans="18:30" x14ac:dyDescent="0.25">
      <c r="R1764" s="508"/>
      <c r="S1764" s="508"/>
      <c r="T1764" s="276"/>
      <c r="U1764" s="276"/>
      <c r="V1764" s="276"/>
      <c r="W1764" s="283"/>
      <c r="X1764" s="276"/>
      <c r="Y1764" s="276"/>
      <c r="Z1764" s="276"/>
      <c r="AA1764" s="276"/>
      <c r="AB1764" s="276"/>
      <c r="AC1764" s="276"/>
      <c r="AD1764" s="276"/>
    </row>
    <row r="1765" spans="18:30" x14ac:dyDescent="0.25">
      <c r="R1765" s="508"/>
      <c r="S1765" s="508"/>
      <c r="T1765" s="276"/>
      <c r="U1765" s="276"/>
      <c r="V1765" s="276"/>
      <c r="W1765" s="283"/>
      <c r="X1765" s="276"/>
      <c r="Y1765" s="276"/>
      <c r="Z1765" s="276"/>
      <c r="AA1765" s="276"/>
      <c r="AB1765" s="276"/>
      <c r="AC1765" s="276"/>
      <c r="AD1765" s="276"/>
    </row>
    <row r="1766" spans="18:30" x14ac:dyDescent="0.25">
      <c r="R1766" s="508"/>
      <c r="S1766" s="508"/>
      <c r="T1766" s="276"/>
      <c r="U1766" s="276"/>
      <c r="V1766" s="276"/>
      <c r="W1766" s="283"/>
      <c r="X1766" s="276"/>
      <c r="Y1766" s="276"/>
      <c r="Z1766" s="276"/>
      <c r="AA1766" s="276"/>
      <c r="AB1766" s="276"/>
      <c r="AC1766" s="276"/>
      <c r="AD1766" s="276"/>
    </row>
    <row r="1767" spans="18:30" x14ac:dyDescent="0.25">
      <c r="R1767" s="508"/>
      <c r="S1767" s="508"/>
      <c r="T1767" s="276"/>
      <c r="U1767" s="276"/>
      <c r="V1767" s="276"/>
      <c r="W1767" s="283"/>
      <c r="X1767" s="276"/>
      <c r="Y1767" s="276"/>
      <c r="Z1767" s="276"/>
      <c r="AA1767" s="276"/>
      <c r="AB1767" s="276"/>
      <c r="AC1767" s="276"/>
      <c r="AD1767" s="276"/>
    </row>
    <row r="1768" spans="18:30" x14ac:dyDescent="0.25">
      <c r="R1768" s="508"/>
      <c r="S1768" s="508"/>
      <c r="T1768" s="276"/>
      <c r="U1768" s="276"/>
      <c r="V1768" s="276"/>
      <c r="W1768" s="283"/>
      <c r="X1768" s="276"/>
      <c r="Y1768" s="276"/>
      <c r="Z1768" s="276"/>
      <c r="AA1768" s="276"/>
      <c r="AB1768" s="276"/>
      <c r="AC1768" s="276"/>
      <c r="AD1768" s="276"/>
    </row>
    <row r="1769" spans="18:30" x14ac:dyDescent="0.25">
      <c r="R1769" s="508"/>
      <c r="S1769" s="508"/>
      <c r="T1769" s="276"/>
      <c r="U1769" s="276"/>
      <c r="V1769" s="276"/>
      <c r="W1769" s="283"/>
      <c r="X1769" s="276"/>
      <c r="Y1769" s="276"/>
      <c r="Z1769" s="276"/>
      <c r="AA1769" s="276"/>
      <c r="AB1769" s="276"/>
      <c r="AC1769" s="276"/>
      <c r="AD1769" s="276"/>
    </row>
    <row r="1770" spans="18:30" x14ac:dyDescent="0.25">
      <c r="R1770" s="508"/>
      <c r="S1770" s="508"/>
      <c r="T1770" s="276"/>
      <c r="U1770" s="276"/>
      <c r="V1770" s="276"/>
      <c r="W1770" s="283"/>
      <c r="X1770" s="276"/>
      <c r="Y1770" s="276"/>
      <c r="Z1770" s="276"/>
      <c r="AA1770" s="276"/>
      <c r="AB1770" s="276"/>
      <c r="AC1770" s="276"/>
      <c r="AD1770" s="276"/>
    </row>
    <row r="1771" spans="18:30" x14ac:dyDescent="0.25">
      <c r="R1771" s="508"/>
      <c r="S1771" s="508"/>
      <c r="T1771" s="276"/>
      <c r="U1771" s="276"/>
      <c r="V1771" s="276"/>
      <c r="W1771" s="283"/>
      <c r="X1771" s="276"/>
      <c r="Y1771" s="276"/>
      <c r="Z1771" s="276"/>
      <c r="AA1771" s="276"/>
      <c r="AB1771" s="276"/>
      <c r="AC1771" s="276"/>
      <c r="AD1771" s="276"/>
    </row>
    <row r="1772" spans="18:30" x14ac:dyDescent="0.25">
      <c r="R1772" s="508"/>
      <c r="S1772" s="508"/>
      <c r="T1772" s="276"/>
      <c r="U1772" s="276"/>
      <c r="V1772" s="276"/>
      <c r="W1772" s="283"/>
      <c r="X1772" s="276"/>
      <c r="Y1772" s="276"/>
      <c r="Z1772" s="276"/>
      <c r="AA1772" s="276"/>
      <c r="AB1772" s="276"/>
      <c r="AC1772" s="276"/>
      <c r="AD1772" s="276"/>
    </row>
    <row r="1773" spans="18:30" x14ac:dyDescent="0.25">
      <c r="R1773" s="508"/>
      <c r="S1773" s="508"/>
      <c r="T1773" s="276"/>
      <c r="U1773" s="276"/>
      <c r="V1773" s="276"/>
      <c r="W1773" s="283"/>
      <c r="X1773" s="276"/>
      <c r="Y1773" s="276"/>
      <c r="Z1773" s="276"/>
      <c r="AA1773" s="276"/>
      <c r="AB1773" s="276"/>
      <c r="AC1773" s="276"/>
      <c r="AD1773" s="276"/>
    </row>
    <row r="1774" spans="18:30" x14ac:dyDescent="0.25">
      <c r="R1774" s="508"/>
      <c r="S1774" s="508"/>
      <c r="T1774" s="276"/>
      <c r="U1774" s="276"/>
      <c r="V1774" s="276"/>
      <c r="W1774" s="283"/>
      <c r="X1774" s="276"/>
      <c r="Y1774" s="276"/>
      <c r="Z1774" s="276"/>
      <c r="AA1774" s="276"/>
      <c r="AB1774" s="276"/>
      <c r="AC1774" s="276"/>
      <c r="AD1774" s="276"/>
    </row>
    <row r="1775" spans="18:30" x14ac:dyDescent="0.25">
      <c r="R1775" s="508"/>
      <c r="S1775" s="508"/>
      <c r="T1775" s="276"/>
      <c r="U1775" s="276"/>
      <c r="V1775" s="276"/>
      <c r="W1775" s="283"/>
      <c r="X1775" s="276"/>
      <c r="Y1775" s="276"/>
      <c r="Z1775" s="276"/>
      <c r="AA1775" s="276"/>
      <c r="AB1775" s="276"/>
      <c r="AC1775" s="276"/>
      <c r="AD1775" s="276"/>
    </row>
    <row r="1776" spans="18:30" x14ac:dyDescent="0.25">
      <c r="R1776" s="508"/>
      <c r="S1776" s="508"/>
      <c r="T1776" s="276"/>
      <c r="U1776" s="276"/>
      <c r="V1776" s="276"/>
      <c r="W1776" s="283"/>
      <c r="X1776" s="276"/>
      <c r="Y1776" s="276"/>
      <c r="Z1776" s="276"/>
      <c r="AA1776" s="276"/>
      <c r="AB1776" s="276"/>
      <c r="AC1776" s="276"/>
      <c r="AD1776" s="276"/>
    </row>
    <row r="1777" spans="18:30" x14ac:dyDescent="0.25">
      <c r="R1777" s="508"/>
      <c r="S1777" s="508"/>
      <c r="T1777" s="276"/>
      <c r="U1777" s="276"/>
      <c r="V1777" s="276"/>
      <c r="W1777" s="283"/>
      <c r="X1777" s="276"/>
      <c r="Y1777" s="276"/>
      <c r="Z1777" s="276"/>
      <c r="AA1777" s="276"/>
      <c r="AB1777" s="276"/>
      <c r="AC1777" s="276"/>
      <c r="AD1777" s="276"/>
    </row>
    <row r="1778" spans="18:30" x14ac:dyDescent="0.25">
      <c r="R1778" s="508"/>
      <c r="S1778" s="508"/>
      <c r="T1778" s="276"/>
      <c r="U1778" s="276"/>
      <c r="V1778" s="276"/>
      <c r="W1778" s="283"/>
      <c r="X1778" s="276"/>
      <c r="Y1778" s="276"/>
      <c r="Z1778" s="276"/>
      <c r="AA1778" s="276"/>
      <c r="AB1778" s="276"/>
      <c r="AC1778" s="276"/>
      <c r="AD1778" s="276"/>
    </row>
    <row r="1779" spans="18:30" x14ac:dyDescent="0.25">
      <c r="R1779" s="508"/>
      <c r="S1779" s="508"/>
      <c r="T1779" s="276"/>
      <c r="U1779" s="276"/>
      <c r="V1779" s="276"/>
      <c r="W1779" s="283"/>
      <c r="X1779" s="276"/>
      <c r="Y1779" s="276"/>
      <c r="Z1779" s="276"/>
      <c r="AA1779" s="276"/>
      <c r="AB1779" s="276"/>
      <c r="AC1779" s="276"/>
      <c r="AD1779" s="276"/>
    </row>
    <row r="1780" spans="18:30" x14ac:dyDescent="0.25">
      <c r="R1780" s="508"/>
      <c r="S1780" s="508"/>
      <c r="T1780" s="276"/>
      <c r="U1780" s="276"/>
      <c r="V1780" s="276"/>
      <c r="W1780" s="283"/>
      <c r="X1780" s="276"/>
      <c r="Y1780" s="276"/>
      <c r="Z1780" s="276"/>
      <c r="AA1780" s="276"/>
      <c r="AB1780" s="276"/>
      <c r="AC1780" s="276"/>
      <c r="AD1780" s="276"/>
    </row>
    <row r="1781" spans="18:30" x14ac:dyDescent="0.25">
      <c r="R1781" s="508"/>
      <c r="S1781" s="508"/>
      <c r="T1781" s="276"/>
      <c r="U1781" s="276"/>
      <c r="V1781" s="276"/>
      <c r="W1781" s="283"/>
      <c r="X1781" s="276"/>
      <c r="Y1781" s="276"/>
      <c r="Z1781" s="276"/>
      <c r="AA1781" s="276"/>
      <c r="AB1781" s="276"/>
      <c r="AC1781" s="276"/>
      <c r="AD1781" s="276"/>
    </row>
    <row r="1782" spans="18:30" x14ac:dyDescent="0.25">
      <c r="R1782" s="508"/>
      <c r="S1782" s="508"/>
      <c r="T1782" s="276"/>
      <c r="U1782" s="276"/>
      <c r="V1782" s="276"/>
      <c r="W1782" s="283"/>
      <c r="X1782" s="276"/>
      <c r="Y1782" s="276"/>
      <c r="Z1782" s="276"/>
      <c r="AA1782" s="276"/>
      <c r="AB1782" s="276"/>
      <c r="AC1782" s="276"/>
      <c r="AD1782" s="276"/>
    </row>
    <row r="1783" spans="18:30" x14ac:dyDescent="0.25">
      <c r="R1783" s="508"/>
      <c r="S1783" s="508"/>
      <c r="T1783" s="276"/>
      <c r="U1783" s="276"/>
      <c r="V1783" s="276"/>
      <c r="W1783" s="283"/>
      <c r="X1783" s="276"/>
      <c r="Y1783" s="276"/>
      <c r="Z1783" s="276"/>
      <c r="AA1783" s="276"/>
      <c r="AB1783" s="276"/>
      <c r="AC1783" s="276"/>
      <c r="AD1783" s="276"/>
    </row>
    <row r="1784" spans="18:30" x14ac:dyDescent="0.25">
      <c r="R1784" s="508"/>
      <c r="S1784" s="508"/>
      <c r="T1784" s="276"/>
      <c r="U1784" s="276"/>
      <c r="V1784" s="276"/>
      <c r="W1784" s="283"/>
      <c r="X1784" s="276"/>
      <c r="Y1784" s="276"/>
      <c r="Z1784" s="276"/>
      <c r="AA1784" s="276"/>
      <c r="AB1784" s="276"/>
      <c r="AC1784" s="276"/>
      <c r="AD1784" s="276"/>
    </row>
    <row r="1785" spans="18:30" x14ac:dyDescent="0.25">
      <c r="R1785" s="508"/>
      <c r="S1785" s="508"/>
      <c r="T1785" s="276"/>
      <c r="U1785" s="276"/>
      <c r="V1785" s="276"/>
      <c r="W1785" s="283"/>
      <c r="X1785" s="276"/>
      <c r="Y1785" s="276"/>
      <c r="Z1785" s="276"/>
      <c r="AA1785" s="276"/>
      <c r="AB1785" s="276"/>
      <c r="AC1785" s="276"/>
      <c r="AD1785" s="276"/>
    </row>
    <row r="1786" spans="18:30" x14ac:dyDescent="0.25">
      <c r="R1786" s="508"/>
      <c r="S1786" s="508"/>
      <c r="T1786" s="276"/>
      <c r="U1786" s="276"/>
      <c r="V1786" s="276"/>
      <c r="W1786" s="283"/>
      <c r="X1786" s="276"/>
      <c r="Y1786" s="276"/>
      <c r="Z1786" s="276"/>
      <c r="AA1786" s="276"/>
      <c r="AB1786" s="276"/>
      <c r="AC1786" s="276"/>
      <c r="AD1786" s="276"/>
    </row>
    <row r="1787" spans="18:30" x14ac:dyDescent="0.25">
      <c r="R1787" s="508"/>
      <c r="S1787" s="508"/>
      <c r="T1787" s="276"/>
      <c r="U1787" s="276"/>
      <c r="V1787" s="276"/>
      <c r="W1787" s="283"/>
      <c r="X1787" s="276"/>
      <c r="Y1787" s="276"/>
      <c r="Z1787" s="276"/>
      <c r="AA1787" s="276"/>
      <c r="AB1787" s="276"/>
      <c r="AC1787" s="276"/>
      <c r="AD1787" s="276"/>
    </row>
    <row r="1788" spans="18:30" x14ac:dyDescent="0.25">
      <c r="R1788" s="508"/>
      <c r="S1788" s="508"/>
      <c r="T1788" s="276"/>
      <c r="U1788" s="276"/>
      <c r="V1788" s="276"/>
      <c r="W1788" s="283"/>
      <c r="X1788" s="276"/>
      <c r="Y1788" s="276"/>
      <c r="Z1788" s="276"/>
      <c r="AA1788" s="276"/>
      <c r="AB1788" s="276"/>
      <c r="AC1788" s="276"/>
      <c r="AD1788" s="276"/>
    </row>
    <row r="1789" spans="18:30" x14ac:dyDescent="0.25">
      <c r="R1789" s="508"/>
      <c r="S1789" s="508"/>
      <c r="T1789" s="276"/>
      <c r="U1789" s="276"/>
      <c r="V1789" s="276"/>
      <c r="W1789" s="283"/>
      <c r="X1789" s="276"/>
      <c r="Y1789" s="276"/>
      <c r="Z1789" s="276"/>
      <c r="AA1789" s="276"/>
      <c r="AB1789" s="276"/>
      <c r="AC1789" s="276"/>
      <c r="AD1789" s="276"/>
    </row>
    <row r="1790" spans="18:30" x14ac:dyDescent="0.25">
      <c r="R1790" s="508"/>
      <c r="S1790" s="508"/>
      <c r="T1790" s="276"/>
      <c r="U1790" s="276"/>
      <c r="V1790" s="276"/>
      <c r="W1790" s="283"/>
      <c r="X1790" s="276"/>
      <c r="Y1790" s="276"/>
      <c r="Z1790" s="276"/>
      <c r="AA1790" s="276"/>
      <c r="AB1790" s="276"/>
      <c r="AC1790" s="276"/>
      <c r="AD1790" s="276"/>
    </row>
    <row r="1791" spans="18:30" x14ac:dyDescent="0.25">
      <c r="R1791" s="508"/>
      <c r="S1791" s="508"/>
      <c r="T1791" s="276"/>
      <c r="U1791" s="276"/>
      <c r="V1791" s="276"/>
      <c r="W1791" s="283"/>
      <c r="X1791" s="276"/>
      <c r="Y1791" s="276"/>
      <c r="Z1791" s="276"/>
      <c r="AA1791" s="276"/>
      <c r="AB1791" s="276"/>
      <c r="AC1791" s="276"/>
      <c r="AD1791" s="276"/>
    </row>
    <row r="1792" spans="18:30" x14ac:dyDescent="0.25">
      <c r="R1792" s="508"/>
      <c r="S1792" s="508"/>
      <c r="T1792" s="276"/>
      <c r="U1792" s="276"/>
      <c r="V1792" s="276"/>
      <c r="W1792" s="283"/>
      <c r="X1792" s="276"/>
      <c r="Y1792" s="276"/>
      <c r="Z1792" s="276"/>
      <c r="AA1792" s="276"/>
      <c r="AB1792" s="276"/>
      <c r="AC1792" s="276"/>
      <c r="AD1792" s="276"/>
    </row>
    <row r="1793" spans="18:30" x14ac:dyDescent="0.25">
      <c r="R1793" s="508"/>
      <c r="S1793" s="508"/>
      <c r="T1793" s="276"/>
      <c r="U1793" s="276"/>
      <c r="V1793" s="276"/>
      <c r="W1793" s="283"/>
      <c r="X1793" s="276"/>
      <c r="Y1793" s="276"/>
      <c r="Z1793" s="276"/>
      <c r="AA1793" s="276"/>
      <c r="AB1793" s="276"/>
      <c r="AC1793" s="276"/>
      <c r="AD1793" s="276"/>
    </row>
    <row r="1794" spans="18:30" x14ac:dyDescent="0.25">
      <c r="R1794" s="508"/>
      <c r="S1794" s="508"/>
      <c r="T1794" s="276"/>
      <c r="U1794" s="276"/>
      <c r="V1794" s="276"/>
      <c r="W1794" s="283"/>
      <c r="X1794" s="276"/>
      <c r="Y1794" s="276"/>
      <c r="Z1794" s="276"/>
      <c r="AA1794" s="276"/>
      <c r="AB1794" s="276"/>
      <c r="AC1794" s="276"/>
      <c r="AD1794" s="276"/>
    </row>
    <row r="1795" spans="18:30" x14ac:dyDescent="0.25">
      <c r="R1795" s="508"/>
      <c r="S1795" s="508"/>
      <c r="T1795" s="276"/>
      <c r="U1795" s="276"/>
      <c r="V1795" s="276"/>
      <c r="W1795" s="283"/>
      <c r="X1795" s="276"/>
      <c r="Y1795" s="276"/>
      <c r="Z1795" s="276"/>
      <c r="AA1795" s="276"/>
      <c r="AB1795" s="276"/>
      <c r="AC1795" s="276"/>
      <c r="AD1795" s="276"/>
    </row>
    <row r="1796" spans="18:30" x14ac:dyDescent="0.25">
      <c r="R1796" s="508"/>
      <c r="S1796" s="508"/>
      <c r="T1796" s="276"/>
      <c r="U1796" s="276"/>
      <c r="V1796" s="276"/>
      <c r="W1796" s="283"/>
      <c r="X1796" s="276"/>
      <c r="Y1796" s="276"/>
      <c r="Z1796" s="276"/>
      <c r="AA1796" s="276"/>
      <c r="AB1796" s="276"/>
      <c r="AC1796" s="276"/>
      <c r="AD1796" s="276"/>
    </row>
    <row r="1797" spans="18:30" x14ac:dyDescent="0.25">
      <c r="R1797" s="508"/>
      <c r="S1797" s="508"/>
      <c r="T1797" s="276"/>
      <c r="U1797" s="276"/>
      <c r="V1797" s="276"/>
      <c r="W1797" s="283"/>
      <c r="X1797" s="276"/>
      <c r="Y1797" s="276"/>
      <c r="Z1797" s="276"/>
      <c r="AA1797" s="276"/>
      <c r="AB1797" s="276"/>
      <c r="AC1797" s="276"/>
      <c r="AD1797" s="276"/>
    </row>
    <row r="1798" spans="18:30" x14ac:dyDescent="0.25">
      <c r="R1798" s="508"/>
      <c r="S1798" s="508"/>
      <c r="T1798" s="276"/>
      <c r="U1798" s="276"/>
      <c r="V1798" s="276"/>
      <c r="W1798" s="283"/>
      <c r="X1798" s="276"/>
      <c r="Y1798" s="276"/>
      <c r="Z1798" s="276"/>
      <c r="AA1798" s="276"/>
      <c r="AB1798" s="276"/>
      <c r="AC1798" s="276"/>
      <c r="AD1798" s="276"/>
    </row>
    <row r="1799" spans="18:30" x14ac:dyDescent="0.25">
      <c r="R1799" s="508"/>
      <c r="S1799" s="508"/>
      <c r="T1799" s="276"/>
      <c r="U1799" s="276"/>
      <c r="V1799" s="276"/>
      <c r="W1799" s="283"/>
      <c r="X1799" s="276"/>
      <c r="Y1799" s="276"/>
      <c r="Z1799" s="276"/>
      <c r="AA1799" s="276"/>
      <c r="AB1799" s="276"/>
      <c r="AC1799" s="276"/>
      <c r="AD1799" s="276"/>
    </row>
    <row r="1800" spans="18:30" x14ac:dyDescent="0.25">
      <c r="R1800" s="508"/>
      <c r="S1800" s="508"/>
      <c r="T1800" s="276"/>
      <c r="U1800" s="276"/>
      <c r="V1800" s="276"/>
      <c r="W1800" s="283"/>
      <c r="X1800" s="276"/>
      <c r="Y1800" s="276"/>
      <c r="Z1800" s="276"/>
      <c r="AA1800" s="276"/>
      <c r="AB1800" s="276"/>
      <c r="AC1800" s="276"/>
      <c r="AD1800" s="276"/>
    </row>
    <row r="1801" spans="18:30" x14ac:dyDescent="0.25">
      <c r="R1801" s="508"/>
      <c r="S1801" s="508"/>
      <c r="T1801" s="276"/>
      <c r="U1801" s="276"/>
      <c r="V1801" s="276"/>
      <c r="W1801" s="283"/>
      <c r="X1801" s="276"/>
      <c r="Y1801" s="276"/>
      <c r="Z1801" s="276"/>
      <c r="AA1801" s="276"/>
      <c r="AB1801" s="276"/>
      <c r="AC1801" s="276"/>
      <c r="AD1801" s="276"/>
    </row>
    <row r="1802" spans="18:30" x14ac:dyDescent="0.25">
      <c r="R1802" s="508"/>
      <c r="S1802" s="508"/>
      <c r="T1802" s="276"/>
      <c r="U1802" s="276"/>
      <c r="V1802" s="276"/>
      <c r="W1802" s="283"/>
      <c r="X1802" s="276"/>
      <c r="Y1802" s="276"/>
      <c r="Z1802" s="276"/>
      <c r="AA1802" s="276"/>
      <c r="AB1802" s="276"/>
      <c r="AC1802" s="276"/>
      <c r="AD1802" s="276"/>
    </row>
    <row r="1803" spans="18:30" x14ac:dyDescent="0.25">
      <c r="R1803" s="508"/>
      <c r="S1803" s="508"/>
      <c r="T1803" s="276"/>
      <c r="U1803" s="276"/>
      <c r="V1803" s="276"/>
      <c r="W1803" s="283"/>
      <c r="X1803" s="276"/>
      <c r="Y1803" s="276"/>
      <c r="Z1803" s="276"/>
      <c r="AA1803" s="276"/>
      <c r="AB1803" s="276"/>
      <c r="AC1803" s="276"/>
      <c r="AD1803" s="276"/>
    </row>
    <row r="1804" spans="18:30" x14ac:dyDescent="0.25">
      <c r="R1804" s="508"/>
      <c r="S1804" s="508"/>
      <c r="T1804" s="276"/>
      <c r="U1804" s="276"/>
      <c r="V1804" s="276"/>
      <c r="W1804" s="283"/>
      <c r="X1804" s="276"/>
      <c r="Y1804" s="276"/>
      <c r="Z1804" s="276"/>
      <c r="AA1804" s="276"/>
      <c r="AB1804" s="276"/>
      <c r="AC1804" s="276"/>
      <c r="AD1804" s="276"/>
    </row>
    <row r="1805" spans="18:30" x14ac:dyDescent="0.25">
      <c r="R1805" s="508"/>
      <c r="S1805" s="508"/>
      <c r="T1805" s="276"/>
      <c r="U1805" s="276"/>
      <c r="V1805" s="276"/>
      <c r="W1805" s="283"/>
      <c r="X1805" s="276"/>
      <c r="Y1805" s="276"/>
      <c r="Z1805" s="276"/>
      <c r="AA1805" s="276"/>
      <c r="AB1805" s="276"/>
      <c r="AC1805" s="276"/>
      <c r="AD1805" s="276"/>
    </row>
    <row r="1806" spans="18:30" x14ac:dyDescent="0.25">
      <c r="R1806" s="508"/>
      <c r="S1806" s="508"/>
      <c r="T1806" s="276"/>
      <c r="U1806" s="276"/>
      <c r="V1806" s="276"/>
      <c r="W1806" s="283"/>
      <c r="X1806" s="276"/>
      <c r="Y1806" s="276"/>
      <c r="Z1806" s="276"/>
      <c r="AA1806" s="276"/>
      <c r="AB1806" s="276"/>
      <c r="AC1806" s="276"/>
      <c r="AD1806" s="276"/>
    </row>
    <row r="1807" spans="18:30" x14ac:dyDescent="0.25">
      <c r="R1807" s="508"/>
      <c r="S1807" s="508"/>
      <c r="T1807" s="276"/>
      <c r="U1807" s="276"/>
      <c r="V1807" s="276"/>
      <c r="W1807" s="283"/>
      <c r="X1807" s="276"/>
      <c r="Y1807" s="276"/>
      <c r="Z1807" s="276"/>
      <c r="AA1807" s="276"/>
      <c r="AB1807" s="276"/>
      <c r="AC1807" s="276"/>
      <c r="AD1807" s="276"/>
    </row>
    <row r="1808" spans="18:30" x14ac:dyDescent="0.25">
      <c r="R1808" s="508"/>
      <c r="S1808" s="508"/>
      <c r="T1808" s="276"/>
      <c r="U1808" s="276"/>
      <c r="V1808" s="276"/>
      <c r="W1808" s="283"/>
      <c r="X1808" s="276"/>
      <c r="Y1808" s="276"/>
      <c r="Z1808" s="276"/>
      <c r="AA1808" s="276"/>
      <c r="AB1808" s="276"/>
      <c r="AC1808" s="276"/>
      <c r="AD1808" s="276"/>
    </row>
    <row r="1809" spans="18:30" x14ac:dyDescent="0.25">
      <c r="R1809" s="508"/>
      <c r="S1809" s="508"/>
      <c r="T1809" s="276"/>
      <c r="U1809" s="276"/>
      <c r="V1809" s="276"/>
      <c r="W1809" s="283"/>
      <c r="X1809" s="276"/>
      <c r="Y1809" s="276"/>
      <c r="Z1809" s="276"/>
      <c r="AA1809" s="276"/>
      <c r="AB1809" s="276"/>
      <c r="AC1809" s="276"/>
      <c r="AD1809" s="276"/>
    </row>
    <row r="1810" spans="18:30" x14ac:dyDescent="0.25">
      <c r="R1810" s="508"/>
      <c r="S1810" s="508"/>
      <c r="T1810" s="276"/>
      <c r="U1810" s="276"/>
      <c r="V1810" s="276"/>
      <c r="W1810" s="283"/>
      <c r="X1810" s="276"/>
      <c r="Y1810" s="276"/>
      <c r="Z1810" s="276"/>
      <c r="AA1810" s="276"/>
      <c r="AB1810" s="276"/>
      <c r="AC1810" s="276"/>
      <c r="AD1810" s="276"/>
    </row>
    <row r="1811" spans="18:30" x14ac:dyDescent="0.25">
      <c r="R1811" s="508"/>
      <c r="S1811" s="508"/>
      <c r="T1811" s="276"/>
      <c r="U1811" s="276"/>
      <c r="V1811" s="276"/>
      <c r="W1811" s="283"/>
      <c r="X1811" s="276"/>
      <c r="Y1811" s="276"/>
      <c r="Z1811" s="276"/>
      <c r="AA1811" s="276"/>
      <c r="AB1811" s="276"/>
      <c r="AC1811" s="276"/>
      <c r="AD1811" s="276"/>
    </row>
    <row r="1812" spans="18:30" x14ac:dyDescent="0.25">
      <c r="R1812" s="508"/>
      <c r="S1812" s="508"/>
      <c r="T1812" s="276"/>
      <c r="U1812" s="276"/>
      <c r="V1812" s="276"/>
      <c r="W1812" s="283"/>
      <c r="X1812" s="276"/>
      <c r="Y1812" s="276"/>
      <c r="Z1812" s="276"/>
      <c r="AA1812" s="276"/>
      <c r="AB1812" s="276"/>
      <c r="AC1812" s="276"/>
      <c r="AD1812" s="276"/>
    </row>
    <row r="1813" spans="18:30" x14ac:dyDescent="0.25">
      <c r="R1813" s="508"/>
      <c r="S1813" s="508"/>
      <c r="T1813" s="276"/>
      <c r="U1813" s="276"/>
      <c r="V1813" s="276"/>
      <c r="W1813" s="283"/>
      <c r="X1813" s="276"/>
      <c r="Y1813" s="276"/>
      <c r="Z1813" s="276"/>
      <c r="AA1813" s="276"/>
      <c r="AB1813" s="276"/>
      <c r="AC1813" s="276"/>
      <c r="AD1813" s="276"/>
    </row>
    <row r="1814" spans="18:30" x14ac:dyDescent="0.25">
      <c r="R1814" s="508"/>
      <c r="S1814" s="508"/>
      <c r="T1814" s="276"/>
      <c r="U1814" s="276"/>
      <c r="V1814" s="276"/>
      <c r="W1814" s="283"/>
      <c r="X1814" s="276"/>
      <c r="Y1814" s="276"/>
      <c r="Z1814" s="276"/>
      <c r="AA1814" s="276"/>
      <c r="AB1814" s="276"/>
      <c r="AC1814" s="276"/>
      <c r="AD1814" s="276"/>
    </row>
    <row r="1815" spans="18:30" x14ac:dyDescent="0.25">
      <c r="R1815" s="508"/>
      <c r="S1815" s="508"/>
      <c r="T1815" s="276"/>
      <c r="U1815" s="276"/>
      <c r="V1815" s="276"/>
      <c r="W1815" s="283"/>
      <c r="X1815" s="276"/>
      <c r="Y1815" s="276"/>
      <c r="Z1815" s="276"/>
      <c r="AA1815" s="276"/>
      <c r="AB1815" s="276"/>
      <c r="AC1815" s="276"/>
      <c r="AD1815" s="276"/>
    </row>
    <row r="1816" spans="18:30" x14ac:dyDescent="0.25">
      <c r="R1816" s="508"/>
      <c r="S1816" s="508"/>
      <c r="T1816" s="276"/>
      <c r="U1816" s="276"/>
      <c r="V1816" s="276"/>
      <c r="W1816" s="283"/>
      <c r="X1816" s="276"/>
      <c r="Y1816" s="276"/>
      <c r="Z1816" s="276"/>
      <c r="AA1816" s="276"/>
      <c r="AB1816" s="276"/>
      <c r="AC1816" s="276"/>
      <c r="AD1816" s="276"/>
    </row>
    <row r="1817" spans="18:30" x14ac:dyDescent="0.25">
      <c r="R1817" s="508"/>
      <c r="S1817" s="508"/>
      <c r="T1817" s="276"/>
      <c r="U1817" s="276"/>
      <c r="V1817" s="276"/>
      <c r="W1817" s="283"/>
      <c r="X1817" s="276"/>
      <c r="Y1817" s="276"/>
      <c r="Z1817" s="276"/>
      <c r="AA1817" s="276"/>
      <c r="AB1817" s="276"/>
      <c r="AC1817" s="276"/>
      <c r="AD1817" s="276"/>
    </row>
    <row r="1818" spans="18:30" x14ac:dyDescent="0.25">
      <c r="R1818" s="508"/>
      <c r="S1818" s="508"/>
      <c r="T1818" s="276"/>
      <c r="U1818" s="276"/>
      <c r="V1818" s="276"/>
      <c r="W1818" s="283"/>
      <c r="X1818" s="276"/>
      <c r="Y1818" s="276"/>
      <c r="Z1818" s="276"/>
      <c r="AA1818" s="276"/>
      <c r="AB1818" s="276"/>
      <c r="AC1818" s="276"/>
      <c r="AD1818" s="276"/>
    </row>
    <row r="1819" spans="18:30" x14ac:dyDescent="0.25">
      <c r="R1819" s="508"/>
      <c r="S1819" s="508"/>
      <c r="T1819" s="276"/>
      <c r="U1819" s="276"/>
      <c r="V1819" s="276"/>
      <c r="W1819" s="283"/>
      <c r="X1819" s="276"/>
      <c r="Y1819" s="276"/>
      <c r="Z1819" s="276"/>
      <c r="AA1819" s="276"/>
      <c r="AB1819" s="276"/>
      <c r="AC1819" s="276"/>
      <c r="AD1819" s="276"/>
    </row>
    <row r="1820" spans="18:30" x14ac:dyDescent="0.25">
      <c r="R1820" s="508"/>
      <c r="S1820" s="508"/>
      <c r="T1820" s="276"/>
      <c r="U1820" s="276"/>
      <c r="V1820" s="276"/>
      <c r="W1820" s="283"/>
      <c r="X1820" s="276"/>
      <c r="Y1820" s="276"/>
      <c r="Z1820" s="276"/>
      <c r="AA1820" s="276"/>
      <c r="AB1820" s="276"/>
      <c r="AC1820" s="276"/>
      <c r="AD1820" s="276"/>
    </row>
    <row r="1821" spans="18:30" x14ac:dyDescent="0.25">
      <c r="R1821" s="508"/>
      <c r="S1821" s="508"/>
      <c r="T1821" s="276"/>
      <c r="U1821" s="276"/>
      <c r="V1821" s="276"/>
      <c r="W1821" s="283"/>
      <c r="X1821" s="276"/>
      <c r="Y1821" s="276"/>
      <c r="Z1821" s="276"/>
      <c r="AA1821" s="276"/>
      <c r="AB1821" s="276"/>
      <c r="AC1821" s="276"/>
      <c r="AD1821" s="276"/>
    </row>
    <row r="1822" spans="18:30" x14ac:dyDescent="0.25">
      <c r="R1822" s="508"/>
      <c r="S1822" s="508"/>
      <c r="T1822" s="276"/>
      <c r="U1822" s="276"/>
      <c r="V1822" s="276"/>
      <c r="W1822" s="283"/>
      <c r="X1822" s="276"/>
      <c r="Y1822" s="276"/>
      <c r="Z1822" s="276"/>
      <c r="AA1822" s="276"/>
      <c r="AB1822" s="276"/>
      <c r="AC1822" s="276"/>
      <c r="AD1822" s="276"/>
    </row>
    <row r="1823" spans="18:30" x14ac:dyDescent="0.25">
      <c r="R1823" s="508"/>
      <c r="S1823" s="508"/>
      <c r="T1823" s="276"/>
      <c r="U1823" s="276"/>
      <c r="V1823" s="276"/>
      <c r="W1823" s="283"/>
      <c r="X1823" s="276"/>
      <c r="Y1823" s="276"/>
      <c r="Z1823" s="276"/>
      <c r="AA1823" s="276"/>
      <c r="AB1823" s="276"/>
      <c r="AC1823" s="276"/>
      <c r="AD1823" s="276"/>
    </row>
    <row r="1824" spans="18:30" x14ac:dyDescent="0.25">
      <c r="R1824" s="508"/>
      <c r="S1824" s="508"/>
      <c r="T1824" s="276"/>
      <c r="U1824" s="276"/>
      <c r="V1824" s="276"/>
      <c r="W1824" s="283"/>
      <c r="X1824" s="276"/>
      <c r="Y1824" s="276"/>
      <c r="Z1824" s="276"/>
      <c r="AA1824" s="276"/>
      <c r="AB1824" s="276"/>
      <c r="AC1824" s="276"/>
      <c r="AD1824" s="276"/>
    </row>
    <row r="1825" spans="18:30" x14ac:dyDescent="0.25">
      <c r="R1825" s="508"/>
      <c r="S1825" s="508"/>
      <c r="T1825" s="276"/>
      <c r="U1825" s="276"/>
      <c r="V1825" s="276"/>
      <c r="W1825" s="283"/>
      <c r="X1825" s="276"/>
      <c r="Y1825" s="276"/>
      <c r="Z1825" s="276"/>
      <c r="AA1825" s="276"/>
      <c r="AB1825" s="276"/>
      <c r="AC1825" s="276"/>
      <c r="AD1825" s="276"/>
    </row>
    <row r="1826" spans="18:30" x14ac:dyDescent="0.25">
      <c r="R1826" s="508"/>
      <c r="S1826" s="508"/>
      <c r="T1826" s="276"/>
      <c r="U1826" s="276"/>
      <c r="V1826" s="276"/>
      <c r="W1826" s="283"/>
      <c r="X1826" s="276"/>
      <c r="Y1826" s="276"/>
      <c r="Z1826" s="276"/>
      <c r="AA1826" s="276"/>
      <c r="AB1826" s="276"/>
      <c r="AC1826" s="276"/>
      <c r="AD1826" s="276"/>
    </row>
    <row r="1827" spans="18:30" x14ac:dyDescent="0.25">
      <c r="R1827" s="508"/>
      <c r="S1827" s="508"/>
      <c r="T1827" s="276"/>
      <c r="U1827" s="276"/>
      <c r="V1827" s="276"/>
      <c r="W1827" s="283"/>
      <c r="X1827" s="276"/>
      <c r="Y1827" s="276"/>
      <c r="Z1827" s="276"/>
      <c r="AA1827" s="276"/>
      <c r="AB1827" s="276"/>
      <c r="AC1827" s="276"/>
      <c r="AD1827" s="276"/>
    </row>
    <row r="1828" spans="18:30" x14ac:dyDescent="0.25">
      <c r="R1828" s="508"/>
      <c r="S1828" s="508"/>
      <c r="T1828" s="276"/>
      <c r="U1828" s="276"/>
      <c r="V1828" s="276"/>
      <c r="W1828" s="283"/>
      <c r="X1828" s="276"/>
      <c r="Y1828" s="276"/>
      <c r="Z1828" s="276"/>
      <c r="AA1828" s="276"/>
      <c r="AB1828" s="276"/>
      <c r="AC1828" s="276"/>
      <c r="AD1828" s="276"/>
    </row>
    <row r="1829" spans="18:30" x14ac:dyDescent="0.25">
      <c r="R1829" s="508"/>
      <c r="S1829" s="508"/>
      <c r="T1829" s="276"/>
      <c r="U1829" s="276"/>
      <c r="V1829" s="276"/>
      <c r="W1829" s="283"/>
      <c r="X1829" s="276"/>
      <c r="Y1829" s="276"/>
      <c r="Z1829" s="276"/>
      <c r="AA1829" s="276"/>
      <c r="AB1829" s="276"/>
      <c r="AC1829" s="276"/>
      <c r="AD1829" s="276"/>
    </row>
    <row r="1830" spans="18:30" x14ac:dyDescent="0.25">
      <c r="R1830" s="508"/>
      <c r="S1830" s="508"/>
      <c r="T1830" s="276"/>
      <c r="U1830" s="276"/>
      <c r="V1830" s="276"/>
      <c r="W1830" s="283"/>
      <c r="X1830" s="276"/>
      <c r="Y1830" s="276"/>
      <c r="Z1830" s="276"/>
      <c r="AA1830" s="276"/>
      <c r="AB1830" s="276"/>
      <c r="AC1830" s="276"/>
      <c r="AD1830" s="276"/>
    </row>
    <row r="1831" spans="18:30" x14ac:dyDescent="0.25">
      <c r="R1831" s="508"/>
      <c r="S1831" s="508"/>
      <c r="T1831" s="276"/>
      <c r="U1831" s="276"/>
      <c r="V1831" s="276"/>
      <c r="W1831" s="283"/>
      <c r="X1831" s="276"/>
      <c r="Y1831" s="276"/>
      <c r="Z1831" s="276"/>
      <c r="AA1831" s="276"/>
      <c r="AB1831" s="276"/>
      <c r="AC1831" s="276"/>
      <c r="AD1831" s="276"/>
    </row>
    <row r="1832" spans="18:30" x14ac:dyDescent="0.25">
      <c r="R1832" s="508"/>
      <c r="S1832" s="508"/>
      <c r="T1832" s="276"/>
      <c r="U1832" s="276"/>
      <c r="V1832" s="276"/>
      <c r="W1832" s="283"/>
      <c r="X1832" s="276"/>
      <c r="Y1832" s="276"/>
      <c r="Z1832" s="276"/>
      <c r="AA1832" s="276"/>
      <c r="AB1832" s="276"/>
      <c r="AC1832" s="276"/>
      <c r="AD1832" s="276"/>
    </row>
    <row r="1833" spans="18:30" x14ac:dyDescent="0.25">
      <c r="R1833" s="508"/>
      <c r="S1833" s="508"/>
      <c r="T1833" s="276"/>
      <c r="U1833" s="276"/>
      <c r="V1833" s="276"/>
      <c r="W1833" s="283"/>
      <c r="X1833" s="276"/>
      <c r="Y1833" s="276"/>
      <c r="Z1833" s="276"/>
      <c r="AA1833" s="276"/>
      <c r="AB1833" s="276"/>
      <c r="AC1833" s="276"/>
      <c r="AD1833" s="276"/>
    </row>
    <row r="1834" spans="18:30" x14ac:dyDescent="0.25">
      <c r="R1834" s="508"/>
      <c r="S1834" s="508"/>
      <c r="T1834" s="276"/>
      <c r="U1834" s="276"/>
      <c r="V1834" s="276"/>
      <c r="W1834" s="283"/>
      <c r="X1834" s="276"/>
      <c r="Y1834" s="276"/>
      <c r="Z1834" s="276"/>
      <c r="AA1834" s="276"/>
      <c r="AB1834" s="276"/>
      <c r="AC1834" s="276"/>
      <c r="AD1834" s="276"/>
    </row>
    <row r="1835" spans="18:30" x14ac:dyDescent="0.25">
      <c r="R1835" s="508"/>
      <c r="S1835" s="508"/>
      <c r="T1835" s="276"/>
      <c r="U1835" s="276"/>
      <c r="V1835" s="276"/>
      <c r="W1835" s="283"/>
      <c r="X1835" s="276"/>
      <c r="Y1835" s="276"/>
      <c r="Z1835" s="276"/>
      <c r="AA1835" s="276"/>
      <c r="AB1835" s="276"/>
      <c r="AC1835" s="276"/>
      <c r="AD1835" s="276"/>
    </row>
    <row r="1836" spans="18:30" x14ac:dyDescent="0.25">
      <c r="R1836" s="508"/>
      <c r="S1836" s="508"/>
      <c r="T1836" s="276"/>
      <c r="U1836" s="276"/>
      <c r="V1836" s="276"/>
      <c r="W1836" s="283"/>
      <c r="X1836" s="276"/>
      <c r="Y1836" s="276"/>
      <c r="Z1836" s="276"/>
      <c r="AA1836" s="276"/>
      <c r="AB1836" s="276"/>
      <c r="AC1836" s="276"/>
      <c r="AD1836" s="276"/>
    </row>
    <row r="1837" spans="18:30" x14ac:dyDescent="0.25">
      <c r="R1837" s="508"/>
      <c r="S1837" s="508"/>
      <c r="T1837" s="276"/>
      <c r="U1837" s="276"/>
      <c r="V1837" s="276"/>
      <c r="W1837" s="283"/>
      <c r="X1837" s="276"/>
      <c r="Y1837" s="276"/>
      <c r="Z1837" s="276"/>
      <c r="AA1837" s="276"/>
      <c r="AB1837" s="276"/>
      <c r="AC1837" s="276"/>
      <c r="AD1837" s="276"/>
    </row>
    <row r="1838" spans="18:30" x14ac:dyDescent="0.25">
      <c r="R1838" s="508"/>
      <c r="S1838" s="508"/>
      <c r="T1838" s="276"/>
      <c r="U1838" s="276"/>
      <c r="V1838" s="276"/>
      <c r="W1838" s="283"/>
      <c r="X1838" s="276"/>
      <c r="Y1838" s="276"/>
      <c r="Z1838" s="276"/>
      <c r="AA1838" s="276"/>
      <c r="AB1838" s="276"/>
      <c r="AC1838" s="276"/>
      <c r="AD1838" s="276"/>
    </row>
    <row r="1839" spans="18:30" x14ac:dyDescent="0.25">
      <c r="R1839" s="508"/>
      <c r="S1839" s="508"/>
      <c r="T1839" s="276"/>
      <c r="U1839" s="276"/>
      <c r="V1839" s="276"/>
      <c r="W1839" s="283"/>
      <c r="X1839" s="276"/>
      <c r="Y1839" s="276"/>
      <c r="Z1839" s="276"/>
      <c r="AA1839" s="276"/>
      <c r="AB1839" s="276"/>
      <c r="AC1839" s="276"/>
      <c r="AD1839" s="276"/>
    </row>
    <row r="1840" spans="18:30" x14ac:dyDescent="0.25">
      <c r="R1840" s="508"/>
      <c r="S1840" s="508"/>
      <c r="T1840" s="276"/>
      <c r="U1840" s="276"/>
      <c r="V1840" s="276"/>
      <c r="W1840" s="283"/>
      <c r="X1840" s="276"/>
      <c r="Y1840" s="276"/>
      <c r="Z1840" s="276"/>
      <c r="AA1840" s="276"/>
      <c r="AB1840" s="276"/>
      <c r="AC1840" s="276"/>
      <c r="AD1840" s="276"/>
    </row>
    <row r="1841" spans="18:30" x14ac:dyDescent="0.25">
      <c r="R1841" s="508"/>
      <c r="S1841" s="508"/>
      <c r="T1841" s="276"/>
      <c r="U1841" s="276"/>
      <c r="V1841" s="276"/>
      <c r="W1841" s="283"/>
      <c r="X1841" s="276"/>
      <c r="Y1841" s="276"/>
      <c r="Z1841" s="276"/>
      <c r="AA1841" s="276"/>
      <c r="AB1841" s="276"/>
      <c r="AC1841" s="276"/>
      <c r="AD1841" s="276"/>
    </row>
    <row r="1842" spans="18:30" x14ac:dyDescent="0.25">
      <c r="R1842" s="508"/>
      <c r="S1842" s="508"/>
      <c r="T1842" s="276"/>
      <c r="U1842" s="276"/>
      <c r="V1842" s="276"/>
      <c r="W1842" s="283"/>
      <c r="X1842" s="276"/>
      <c r="Y1842" s="276"/>
      <c r="Z1842" s="276"/>
      <c r="AA1842" s="276"/>
      <c r="AB1842" s="276"/>
      <c r="AC1842" s="276"/>
      <c r="AD1842" s="276"/>
    </row>
    <row r="1843" spans="18:30" x14ac:dyDescent="0.25">
      <c r="R1843" s="508"/>
      <c r="S1843" s="508"/>
      <c r="T1843" s="276"/>
      <c r="U1843" s="276"/>
      <c r="V1843" s="276"/>
      <c r="W1843" s="283"/>
      <c r="X1843" s="276"/>
      <c r="Y1843" s="276"/>
      <c r="Z1843" s="276"/>
      <c r="AA1843" s="276"/>
      <c r="AB1843" s="276"/>
      <c r="AC1843" s="276"/>
      <c r="AD1843" s="276"/>
    </row>
    <row r="1844" spans="18:30" x14ac:dyDescent="0.25">
      <c r="R1844" s="508"/>
      <c r="S1844" s="508"/>
      <c r="T1844" s="276"/>
      <c r="U1844" s="276"/>
      <c r="V1844" s="276"/>
      <c r="W1844" s="283"/>
      <c r="X1844" s="276"/>
      <c r="Y1844" s="276"/>
      <c r="Z1844" s="276"/>
      <c r="AA1844" s="276"/>
      <c r="AB1844" s="276"/>
      <c r="AC1844" s="276"/>
      <c r="AD1844" s="276"/>
    </row>
    <row r="1845" spans="18:30" x14ac:dyDescent="0.25">
      <c r="R1845" s="508"/>
      <c r="S1845" s="508"/>
      <c r="T1845" s="276"/>
      <c r="U1845" s="276"/>
      <c r="V1845" s="276"/>
      <c r="W1845" s="283"/>
      <c r="X1845" s="276"/>
      <c r="Y1845" s="276"/>
      <c r="Z1845" s="276"/>
      <c r="AA1845" s="276"/>
      <c r="AB1845" s="276"/>
      <c r="AC1845" s="276"/>
      <c r="AD1845" s="276"/>
    </row>
    <row r="1846" spans="18:30" x14ac:dyDescent="0.25">
      <c r="R1846" s="508"/>
      <c r="S1846" s="508"/>
      <c r="T1846" s="276"/>
      <c r="U1846" s="276"/>
      <c r="V1846" s="276"/>
      <c r="W1846" s="283"/>
      <c r="X1846" s="276"/>
      <c r="Y1846" s="276"/>
      <c r="Z1846" s="276"/>
      <c r="AA1846" s="276"/>
      <c r="AB1846" s="276"/>
      <c r="AC1846" s="276"/>
      <c r="AD1846" s="276"/>
    </row>
    <row r="1847" spans="18:30" x14ac:dyDescent="0.25">
      <c r="R1847" s="508"/>
      <c r="S1847" s="508"/>
      <c r="T1847" s="276"/>
      <c r="U1847" s="276"/>
      <c r="V1847" s="276"/>
      <c r="W1847" s="283"/>
      <c r="X1847" s="276"/>
      <c r="Y1847" s="276"/>
      <c r="Z1847" s="276"/>
      <c r="AA1847" s="276"/>
      <c r="AB1847" s="276"/>
      <c r="AC1847" s="276"/>
      <c r="AD1847" s="276"/>
    </row>
    <row r="1848" spans="18:30" x14ac:dyDescent="0.25">
      <c r="R1848" s="508"/>
      <c r="S1848" s="508"/>
      <c r="T1848" s="276"/>
      <c r="U1848" s="276"/>
      <c r="V1848" s="276"/>
      <c r="W1848" s="283"/>
      <c r="X1848" s="276"/>
      <c r="Y1848" s="276"/>
      <c r="Z1848" s="276"/>
      <c r="AA1848" s="276"/>
      <c r="AB1848" s="276"/>
      <c r="AC1848" s="276"/>
      <c r="AD1848" s="276"/>
    </row>
    <row r="1849" spans="18:30" x14ac:dyDescent="0.25">
      <c r="R1849" s="508"/>
      <c r="S1849" s="508"/>
      <c r="T1849" s="276"/>
      <c r="U1849" s="276"/>
      <c r="V1849" s="276"/>
      <c r="W1849" s="283"/>
      <c r="X1849" s="276"/>
      <c r="Y1849" s="276"/>
      <c r="Z1849" s="276"/>
      <c r="AA1849" s="276"/>
      <c r="AB1849" s="276"/>
      <c r="AC1849" s="276"/>
      <c r="AD1849" s="276"/>
    </row>
    <row r="1850" spans="18:30" x14ac:dyDescent="0.25">
      <c r="R1850" s="508"/>
      <c r="S1850" s="508"/>
      <c r="T1850" s="276"/>
      <c r="U1850" s="276"/>
      <c r="V1850" s="276"/>
      <c r="W1850" s="283"/>
      <c r="X1850" s="276"/>
      <c r="Y1850" s="276"/>
      <c r="Z1850" s="276"/>
      <c r="AA1850" s="276"/>
      <c r="AB1850" s="276"/>
      <c r="AC1850" s="276"/>
      <c r="AD1850" s="276"/>
    </row>
    <row r="1851" spans="18:30" x14ac:dyDescent="0.25">
      <c r="R1851" s="508"/>
      <c r="S1851" s="508"/>
      <c r="T1851" s="276"/>
      <c r="U1851" s="276"/>
      <c r="V1851" s="276"/>
      <c r="W1851" s="283"/>
      <c r="X1851" s="276"/>
      <c r="Y1851" s="276"/>
      <c r="Z1851" s="276"/>
      <c r="AA1851" s="276"/>
      <c r="AB1851" s="276"/>
      <c r="AC1851" s="276"/>
      <c r="AD1851" s="276"/>
    </row>
    <row r="1852" spans="18:30" x14ac:dyDescent="0.25">
      <c r="R1852" s="508"/>
      <c r="S1852" s="508"/>
      <c r="T1852" s="276"/>
      <c r="U1852" s="276"/>
      <c r="V1852" s="276"/>
      <c r="W1852" s="283"/>
      <c r="X1852" s="276"/>
      <c r="Y1852" s="276"/>
      <c r="Z1852" s="276"/>
      <c r="AA1852" s="276"/>
      <c r="AB1852" s="276"/>
      <c r="AC1852" s="276"/>
      <c r="AD1852" s="276"/>
    </row>
    <row r="1853" spans="18:30" x14ac:dyDescent="0.25">
      <c r="R1853" s="508"/>
      <c r="S1853" s="508"/>
      <c r="T1853" s="276"/>
      <c r="U1853" s="276"/>
      <c r="V1853" s="276"/>
      <c r="W1853" s="283"/>
      <c r="X1853" s="276"/>
      <c r="Y1853" s="276"/>
      <c r="Z1853" s="276"/>
      <c r="AA1853" s="276"/>
      <c r="AB1853" s="276"/>
      <c r="AC1853" s="276"/>
      <c r="AD1853" s="276"/>
    </row>
    <row r="1854" spans="18:30" x14ac:dyDescent="0.25">
      <c r="R1854" s="508"/>
      <c r="S1854" s="508"/>
      <c r="T1854" s="276"/>
      <c r="U1854" s="276"/>
      <c r="V1854" s="276"/>
      <c r="W1854" s="283"/>
      <c r="X1854" s="276"/>
      <c r="Y1854" s="276"/>
      <c r="Z1854" s="276"/>
      <c r="AA1854" s="276"/>
      <c r="AB1854" s="276"/>
      <c r="AC1854" s="276"/>
      <c r="AD1854" s="276"/>
    </row>
    <row r="1855" spans="18:30" x14ac:dyDescent="0.25">
      <c r="R1855" s="508"/>
      <c r="S1855" s="508"/>
      <c r="T1855" s="276"/>
      <c r="U1855" s="276"/>
      <c r="V1855" s="276"/>
      <c r="W1855" s="283"/>
      <c r="X1855" s="276"/>
      <c r="Y1855" s="276"/>
      <c r="Z1855" s="276"/>
      <c r="AA1855" s="276"/>
      <c r="AB1855" s="276"/>
      <c r="AC1855" s="276"/>
      <c r="AD1855" s="276"/>
    </row>
    <row r="1856" spans="18:30" x14ac:dyDescent="0.25">
      <c r="R1856" s="508"/>
      <c r="S1856" s="508"/>
      <c r="T1856" s="276"/>
      <c r="U1856" s="276"/>
      <c r="V1856" s="276"/>
      <c r="W1856" s="283"/>
      <c r="X1856" s="276"/>
      <c r="Y1856" s="276"/>
      <c r="Z1856" s="276"/>
      <c r="AA1856" s="276"/>
      <c r="AB1856" s="276"/>
      <c r="AC1856" s="276"/>
      <c r="AD1856" s="276"/>
    </row>
    <row r="1857" spans="18:30" x14ac:dyDescent="0.25">
      <c r="R1857" s="508"/>
      <c r="S1857" s="508"/>
      <c r="T1857" s="276"/>
      <c r="U1857" s="276"/>
      <c r="V1857" s="276"/>
      <c r="W1857" s="283"/>
      <c r="X1857" s="276"/>
      <c r="Y1857" s="276"/>
      <c r="Z1857" s="276"/>
      <c r="AA1857" s="276"/>
      <c r="AB1857" s="276"/>
      <c r="AC1857" s="276"/>
      <c r="AD1857" s="276"/>
    </row>
    <row r="1858" spans="18:30" x14ac:dyDescent="0.25">
      <c r="R1858" s="508"/>
      <c r="S1858" s="508"/>
      <c r="T1858" s="276"/>
      <c r="U1858" s="276"/>
      <c r="V1858" s="276"/>
      <c r="W1858" s="283"/>
      <c r="X1858" s="276"/>
      <c r="Y1858" s="276"/>
      <c r="Z1858" s="276"/>
      <c r="AA1858" s="276"/>
      <c r="AB1858" s="276"/>
      <c r="AC1858" s="276"/>
      <c r="AD1858" s="276"/>
    </row>
    <row r="1859" spans="18:30" x14ac:dyDescent="0.25">
      <c r="R1859" s="508"/>
      <c r="S1859" s="508"/>
      <c r="T1859" s="276"/>
      <c r="U1859" s="276"/>
      <c r="V1859" s="276"/>
      <c r="W1859" s="283"/>
      <c r="X1859" s="276"/>
      <c r="Y1859" s="276"/>
      <c r="Z1859" s="276"/>
      <c r="AA1859" s="276"/>
      <c r="AB1859" s="276"/>
      <c r="AC1859" s="276"/>
      <c r="AD1859" s="276"/>
    </row>
    <row r="1860" spans="18:30" x14ac:dyDescent="0.25">
      <c r="R1860" s="508"/>
      <c r="S1860" s="508"/>
      <c r="T1860" s="276"/>
      <c r="U1860" s="276"/>
      <c r="V1860" s="276"/>
      <c r="W1860" s="283"/>
      <c r="X1860" s="276"/>
      <c r="Y1860" s="276"/>
      <c r="Z1860" s="276"/>
      <c r="AA1860" s="276"/>
      <c r="AB1860" s="276"/>
      <c r="AC1860" s="276"/>
      <c r="AD1860" s="276"/>
    </row>
    <row r="1861" spans="18:30" x14ac:dyDescent="0.25">
      <c r="R1861" s="508"/>
      <c r="S1861" s="508"/>
      <c r="T1861" s="276"/>
      <c r="U1861" s="276"/>
      <c r="V1861" s="276"/>
      <c r="W1861" s="283"/>
      <c r="X1861" s="276"/>
      <c r="Y1861" s="276"/>
      <c r="Z1861" s="276"/>
      <c r="AA1861" s="276"/>
      <c r="AB1861" s="276"/>
      <c r="AC1861" s="276"/>
      <c r="AD1861" s="276"/>
    </row>
    <row r="1862" spans="18:30" x14ac:dyDescent="0.25">
      <c r="R1862" s="508"/>
      <c r="S1862" s="508"/>
      <c r="T1862" s="276"/>
      <c r="U1862" s="276"/>
      <c r="V1862" s="276"/>
      <c r="W1862" s="283"/>
      <c r="X1862" s="276"/>
      <c r="Y1862" s="276"/>
      <c r="Z1862" s="276"/>
      <c r="AA1862" s="276"/>
      <c r="AB1862" s="276"/>
      <c r="AC1862" s="276"/>
      <c r="AD1862" s="276"/>
    </row>
    <row r="1863" spans="18:30" x14ac:dyDescent="0.25">
      <c r="R1863" s="508"/>
      <c r="S1863" s="508"/>
      <c r="T1863" s="276"/>
      <c r="U1863" s="276"/>
      <c r="V1863" s="276"/>
      <c r="W1863" s="283"/>
      <c r="X1863" s="276"/>
      <c r="Y1863" s="276"/>
      <c r="Z1863" s="276"/>
      <c r="AA1863" s="276"/>
      <c r="AB1863" s="276"/>
      <c r="AC1863" s="276"/>
      <c r="AD1863" s="276"/>
    </row>
    <row r="1864" spans="18:30" x14ac:dyDescent="0.25">
      <c r="R1864" s="508"/>
      <c r="S1864" s="508"/>
      <c r="T1864" s="276"/>
      <c r="U1864" s="276"/>
      <c r="V1864" s="276"/>
      <c r="W1864" s="283"/>
      <c r="X1864" s="276"/>
      <c r="Y1864" s="276"/>
      <c r="Z1864" s="276"/>
      <c r="AA1864" s="276"/>
      <c r="AB1864" s="276"/>
      <c r="AC1864" s="276"/>
      <c r="AD1864" s="276"/>
    </row>
    <row r="1865" spans="18:30" x14ac:dyDescent="0.25">
      <c r="R1865" s="508"/>
      <c r="S1865" s="508"/>
      <c r="T1865" s="276"/>
      <c r="U1865" s="276"/>
      <c r="V1865" s="276"/>
      <c r="W1865" s="283"/>
      <c r="X1865" s="276"/>
      <c r="Y1865" s="276"/>
      <c r="Z1865" s="276"/>
      <c r="AA1865" s="276"/>
      <c r="AB1865" s="276"/>
      <c r="AC1865" s="276"/>
      <c r="AD1865" s="276"/>
    </row>
    <row r="1866" spans="18:30" x14ac:dyDescent="0.25">
      <c r="R1866" s="508"/>
      <c r="S1866" s="508"/>
      <c r="T1866" s="276"/>
      <c r="U1866" s="276"/>
      <c r="V1866" s="276"/>
      <c r="W1866" s="283"/>
      <c r="X1866" s="276"/>
      <c r="Y1866" s="276"/>
      <c r="Z1866" s="276"/>
      <c r="AA1866" s="276"/>
      <c r="AB1866" s="276"/>
      <c r="AC1866" s="276"/>
      <c r="AD1866" s="276"/>
    </row>
    <row r="1867" spans="18:30" x14ac:dyDescent="0.25">
      <c r="R1867" s="508"/>
      <c r="S1867" s="508"/>
      <c r="T1867" s="276"/>
      <c r="U1867" s="276"/>
      <c r="V1867" s="276"/>
      <c r="W1867" s="283"/>
      <c r="X1867" s="276"/>
      <c r="Y1867" s="276"/>
      <c r="Z1867" s="276"/>
      <c r="AA1867" s="276"/>
      <c r="AB1867" s="276"/>
      <c r="AC1867" s="276"/>
      <c r="AD1867" s="276"/>
    </row>
    <row r="1868" spans="18:30" x14ac:dyDescent="0.25">
      <c r="R1868" s="508"/>
      <c r="S1868" s="508"/>
      <c r="T1868" s="276"/>
      <c r="U1868" s="276"/>
      <c r="V1868" s="276"/>
      <c r="W1868" s="283"/>
      <c r="X1868" s="276"/>
      <c r="Y1868" s="276"/>
      <c r="Z1868" s="276"/>
      <c r="AA1868" s="276"/>
      <c r="AB1868" s="276"/>
      <c r="AC1868" s="276"/>
      <c r="AD1868" s="276"/>
    </row>
    <row r="1869" spans="18:30" x14ac:dyDescent="0.25">
      <c r="R1869" s="508"/>
      <c r="S1869" s="508"/>
      <c r="T1869" s="276"/>
      <c r="U1869" s="276"/>
      <c r="V1869" s="276"/>
      <c r="W1869" s="283"/>
      <c r="X1869" s="276"/>
      <c r="Y1869" s="276"/>
      <c r="Z1869" s="276"/>
      <c r="AA1869" s="276"/>
      <c r="AB1869" s="276"/>
      <c r="AC1869" s="276"/>
      <c r="AD1869" s="276"/>
    </row>
    <row r="1870" spans="18:30" x14ac:dyDescent="0.25">
      <c r="R1870" s="508"/>
      <c r="S1870" s="508"/>
      <c r="T1870" s="276"/>
      <c r="U1870" s="276"/>
      <c r="V1870" s="276"/>
      <c r="W1870" s="283"/>
      <c r="X1870" s="276"/>
      <c r="Y1870" s="276"/>
      <c r="Z1870" s="276"/>
      <c r="AA1870" s="276"/>
      <c r="AB1870" s="276"/>
      <c r="AC1870" s="276"/>
      <c r="AD1870" s="276"/>
    </row>
    <row r="1871" spans="18:30" x14ac:dyDescent="0.25">
      <c r="R1871" s="508"/>
      <c r="S1871" s="508"/>
      <c r="T1871" s="276"/>
      <c r="U1871" s="276"/>
      <c r="V1871" s="276"/>
      <c r="W1871" s="283"/>
      <c r="X1871" s="276"/>
      <c r="Y1871" s="276"/>
      <c r="Z1871" s="276"/>
      <c r="AA1871" s="276"/>
      <c r="AB1871" s="276"/>
      <c r="AC1871" s="276"/>
      <c r="AD1871" s="276"/>
    </row>
    <row r="1872" spans="18:30" x14ac:dyDescent="0.25">
      <c r="R1872" s="508"/>
      <c r="S1872" s="508"/>
      <c r="T1872" s="276"/>
      <c r="U1872" s="276"/>
      <c r="V1872" s="276"/>
      <c r="W1872" s="283"/>
      <c r="X1872" s="276"/>
      <c r="Y1872" s="276"/>
      <c r="Z1872" s="276"/>
      <c r="AA1872" s="276"/>
      <c r="AB1872" s="276"/>
      <c r="AC1872" s="276"/>
      <c r="AD1872" s="276"/>
    </row>
    <row r="1873" spans="18:30" x14ac:dyDescent="0.25">
      <c r="R1873" s="508"/>
      <c r="S1873" s="508"/>
      <c r="T1873" s="276"/>
      <c r="U1873" s="276"/>
      <c r="V1873" s="276"/>
      <c r="W1873" s="283"/>
      <c r="X1873" s="276"/>
      <c r="Y1873" s="276"/>
      <c r="Z1873" s="276"/>
      <c r="AA1873" s="276"/>
      <c r="AB1873" s="276"/>
      <c r="AC1873" s="276"/>
      <c r="AD1873" s="276"/>
    </row>
    <row r="1874" spans="18:30" x14ac:dyDescent="0.25">
      <c r="R1874" s="508"/>
      <c r="S1874" s="508"/>
      <c r="T1874" s="276"/>
      <c r="U1874" s="276"/>
      <c r="V1874" s="276"/>
      <c r="W1874" s="283"/>
      <c r="X1874" s="276"/>
      <c r="Y1874" s="276"/>
      <c r="Z1874" s="276"/>
      <c r="AA1874" s="276"/>
      <c r="AB1874" s="276"/>
      <c r="AC1874" s="276"/>
      <c r="AD1874" s="276"/>
    </row>
    <row r="1875" spans="18:30" x14ac:dyDescent="0.25">
      <c r="R1875" s="508"/>
      <c r="S1875" s="508"/>
      <c r="T1875" s="276"/>
      <c r="U1875" s="276"/>
      <c r="V1875" s="276"/>
      <c r="W1875" s="283"/>
      <c r="X1875" s="276"/>
      <c r="Y1875" s="276"/>
      <c r="Z1875" s="276"/>
      <c r="AA1875" s="276"/>
      <c r="AB1875" s="276"/>
      <c r="AC1875" s="276"/>
      <c r="AD1875" s="276"/>
    </row>
    <row r="1876" spans="18:30" x14ac:dyDescent="0.25">
      <c r="R1876" s="508"/>
      <c r="S1876" s="508"/>
      <c r="T1876" s="276"/>
      <c r="U1876" s="276"/>
      <c r="V1876" s="276"/>
      <c r="W1876" s="283"/>
      <c r="X1876" s="276"/>
      <c r="Y1876" s="276"/>
      <c r="Z1876" s="276"/>
      <c r="AA1876" s="276"/>
      <c r="AB1876" s="276"/>
      <c r="AC1876" s="276"/>
      <c r="AD1876" s="276"/>
    </row>
    <row r="1877" spans="18:30" x14ac:dyDescent="0.25">
      <c r="R1877" s="508"/>
      <c r="S1877" s="508"/>
      <c r="T1877" s="276"/>
      <c r="U1877" s="276"/>
      <c r="V1877" s="276"/>
      <c r="W1877" s="283"/>
      <c r="X1877" s="276"/>
      <c r="Y1877" s="276"/>
      <c r="Z1877" s="276"/>
      <c r="AA1877" s="276"/>
      <c r="AB1877" s="276"/>
      <c r="AC1877" s="276"/>
      <c r="AD1877" s="276"/>
    </row>
    <row r="1878" spans="18:30" x14ac:dyDescent="0.25">
      <c r="R1878" s="508"/>
      <c r="S1878" s="508"/>
      <c r="T1878" s="276"/>
      <c r="U1878" s="276"/>
      <c r="V1878" s="276"/>
      <c r="W1878" s="283"/>
      <c r="X1878" s="276"/>
      <c r="Y1878" s="276"/>
      <c r="Z1878" s="276"/>
      <c r="AA1878" s="276"/>
      <c r="AB1878" s="276"/>
      <c r="AC1878" s="276"/>
      <c r="AD1878" s="276"/>
    </row>
    <row r="1879" spans="18:30" x14ac:dyDescent="0.25">
      <c r="R1879" s="508"/>
      <c r="S1879" s="508"/>
      <c r="T1879" s="276"/>
      <c r="U1879" s="276"/>
      <c r="V1879" s="276"/>
      <c r="W1879" s="283"/>
      <c r="X1879" s="276"/>
      <c r="Y1879" s="276"/>
      <c r="Z1879" s="276"/>
      <c r="AA1879" s="276"/>
      <c r="AB1879" s="276"/>
      <c r="AC1879" s="276"/>
      <c r="AD1879" s="276"/>
    </row>
    <row r="1880" spans="18:30" x14ac:dyDescent="0.25">
      <c r="R1880" s="508"/>
      <c r="S1880" s="508"/>
      <c r="T1880" s="276"/>
      <c r="U1880" s="276"/>
      <c r="V1880" s="276"/>
      <c r="W1880" s="283"/>
      <c r="X1880" s="276"/>
      <c r="Y1880" s="276"/>
      <c r="Z1880" s="276"/>
      <c r="AA1880" s="276"/>
      <c r="AB1880" s="276"/>
      <c r="AC1880" s="276"/>
      <c r="AD1880" s="276"/>
    </row>
    <row r="1881" spans="18:30" x14ac:dyDescent="0.25">
      <c r="R1881" s="508"/>
      <c r="S1881" s="508"/>
      <c r="T1881" s="276"/>
      <c r="U1881" s="276"/>
      <c r="V1881" s="276"/>
      <c r="W1881" s="283"/>
      <c r="X1881" s="276"/>
      <c r="Y1881" s="276"/>
      <c r="Z1881" s="276"/>
      <c r="AA1881" s="276"/>
      <c r="AB1881" s="276"/>
      <c r="AC1881" s="276"/>
      <c r="AD1881" s="276"/>
    </row>
    <row r="1882" spans="18:30" x14ac:dyDescent="0.25">
      <c r="R1882" s="508"/>
      <c r="S1882" s="508"/>
      <c r="T1882" s="276"/>
      <c r="U1882" s="276"/>
      <c r="V1882" s="276"/>
      <c r="W1882" s="283"/>
      <c r="X1882" s="276"/>
      <c r="Y1882" s="276"/>
      <c r="Z1882" s="276"/>
      <c r="AA1882" s="276"/>
      <c r="AB1882" s="276"/>
      <c r="AC1882" s="276"/>
      <c r="AD1882" s="276"/>
    </row>
    <row r="1883" spans="18:30" x14ac:dyDescent="0.25">
      <c r="R1883" s="508"/>
      <c r="S1883" s="508"/>
      <c r="T1883" s="276"/>
      <c r="U1883" s="276"/>
      <c r="V1883" s="276"/>
      <c r="W1883" s="283"/>
      <c r="X1883" s="276"/>
      <c r="Y1883" s="276"/>
      <c r="Z1883" s="276"/>
      <c r="AA1883" s="276"/>
      <c r="AB1883" s="276"/>
      <c r="AC1883" s="276"/>
      <c r="AD1883" s="276"/>
    </row>
    <row r="1884" spans="18:30" x14ac:dyDescent="0.25">
      <c r="R1884" s="508"/>
      <c r="S1884" s="508"/>
      <c r="T1884" s="276"/>
      <c r="U1884" s="276"/>
      <c r="V1884" s="276"/>
      <c r="W1884" s="283"/>
      <c r="X1884" s="276"/>
      <c r="Y1884" s="276"/>
      <c r="Z1884" s="276"/>
      <c r="AA1884" s="276"/>
      <c r="AB1884" s="276"/>
      <c r="AC1884" s="276"/>
      <c r="AD1884" s="276"/>
    </row>
    <row r="1885" spans="18:30" x14ac:dyDescent="0.25">
      <c r="R1885" s="508"/>
      <c r="S1885" s="508"/>
      <c r="T1885" s="276"/>
      <c r="U1885" s="276"/>
      <c r="V1885" s="276"/>
      <c r="W1885" s="283"/>
      <c r="X1885" s="276"/>
      <c r="Y1885" s="276"/>
      <c r="Z1885" s="276"/>
      <c r="AA1885" s="276"/>
      <c r="AB1885" s="276"/>
      <c r="AC1885" s="276"/>
      <c r="AD1885" s="276"/>
    </row>
    <row r="1886" spans="18:30" x14ac:dyDescent="0.25">
      <c r="R1886" s="508"/>
      <c r="S1886" s="508"/>
      <c r="T1886" s="276"/>
      <c r="U1886" s="276"/>
      <c r="V1886" s="276"/>
      <c r="W1886" s="283"/>
      <c r="X1886" s="276"/>
      <c r="Y1886" s="276"/>
      <c r="Z1886" s="276"/>
      <c r="AA1886" s="276"/>
      <c r="AB1886" s="276"/>
      <c r="AC1886" s="276"/>
      <c r="AD1886" s="276"/>
    </row>
    <row r="1887" spans="18:30" x14ac:dyDescent="0.25">
      <c r="R1887" s="508"/>
      <c r="S1887" s="508"/>
      <c r="T1887" s="276"/>
      <c r="U1887" s="276"/>
      <c r="V1887" s="276"/>
      <c r="W1887" s="283"/>
      <c r="X1887" s="276"/>
      <c r="Y1887" s="276"/>
      <c r="Z1887" s="276"/>
      <c r="AA1887" s="276"/>
      <c r="AB1887" s="276"/>
      <c r="AC1887" s="276"/>
      <c r="AD1887" s="276"/>
    </row>
    <row r="1888" spans="18:30" x14ac:dyDescent="0.25">
      <c r="R1888" s="508"/>
      <c r="S1888" s="508"/>
      <c r="T1888" s="276"/>
      <c r="U1888" s="276"/>
      <c r="V1888" s="276"/>
      <c r="W1888" s="283"/>
      <c r="X1888" s="276"/>
      <c r="Y1888" s="276"/>
      <c r="Z1888" s="276"/>
      <c r="AA1888" s="276"/>
      <c r="AB1888" s="276"/>
      <c r="AC1888" s="276"/>
      <c r="AD1888" s="276"/>
    </row>
    <row r="1889" spans="18:30" x14ac:dyDescent="0.25">
      <c r="R1889" s="508"/>
      <c r="S1889" s="508"/>
      <c r="T1889" s="276"/>
      <c r="U1889" s="276"/>
      <c r="V1889" s="276"/>
      <c r="W1889" s="283"/>
      <c r="X1889" s="276"/>
      <c r="Y1889" s="276"/>
      <c r="Z1889" s="276"/>
      <c r="AA1889" s="276"/>
      <c r="AB1889" s="276"/>
      <c r="AC1889" s="276"/>
      <c r="AD1889" s="276"/>
    </row>
    <row r="1890" spans="18:30" x14ac:dyDescent="0.25">
      <c r="R1890" s="508"/>
      <c r="S1890" s="508"/>
      <c r="T1890" s="276"/>
      <c r="U1890" s="276"/>
      <c r="V1890" s="276"/>
      <c r="W1890" s="283"/>
      <c r="X1890" s="276"/>
      <c r="Y1890" s="276"/>
      <c r="Z1890" s="276"/>
      <c r="AA1890" s="276"/>
      <c r="AB1890" s="276"/>
      <c r="AC1890" s="276"/>
      <c r="AD1890" s="276"/>
    </row>
    <row r="1891" spans="18:30" x14ac:dyDescent="0.25">
      <c r="R1891" s="508"/>
      <c r="S1891" s="508"/>
      <c r="T1891" s="276"/>
      <c r="U1891" s="276"/>
      <c r="V1891" s="276"/>
      <c r="W1891" s="283"/>
      <c r="X1891" s="276"/>
      <c r="Y1891" s="276"/>
      <c r="Z1891" s="276"/>
      <c r="AA1891" s="276"/>
      <c r="AB1891" s="276"/>
      <c r="AC1891" s="276"/>
      <c r="AD1891" s="276"/>
    </row>
    <row r="1892" spans="18:30" x14ac:dyDescent="0.25">
      <c r="R1892" s="508"/>
      <c r="S1892" s="508"/>
      <c r="T1892" s="276"/>
      <c r="U1892" s="276"/>
      <c r="V1892" s="276"/>
      <c r="W1892" s="283"/>
      <c r="X1892" s="276"/>
      <c r="Y1892" s="276"/>
      <c r="Z1892" s="276"/>
      <c r="AA1892" s="276"/>
      <c r="AB1892" s="276"/>
      <c r="AC1892" s="276"/>
      <c r="AD1892" s="276"/>
    </row>
    <row r="1893" spans="18:30" x14ac:dyDescent="0.25">
      <c r="R1893" s="508"/>
      <c r="S1893" s="508"/>
      <c r="T1893" s="276"/>
      <c r="U1893" s="276"/>
      <c r="V1893" s="276"/>
      <c r="W1893" s="283"/>
      <c r="X1893" s="276"/>
      <c r="Y1893" s="276"/>
      <c r="Z1893" s="276"/>
      <c r="AA1893" s="276"/>
      <c r="AB1893" s="276"/>
      <c r="AC1893" s="276"/>
      <c r="AD1893" s="276"/>
    </row>
    <row r="1894" spans="18:30" x14ac:dyDescent="0.25">
      <c r="R1894" s="508"/>
      <c r="S1894" s="508"/>
      <c r="T1894" s="276"/>
      <c r="U1894" s="276"/>
      <c r="V1894" s="276"/>
      <c r="W1894" s="283"/>
      <c r="X1894" s="276"/>
      <c r="Y1894" s="276"/>
      <c r="Z1894" s="276"/>
      <c r="AA1894" s="276"/>
      <c r="AB1894" s="276"/>
      <c r="AC1894" s="276"/>
      <c r="AD1894" s="276"/>
    </row>
    <row r="1895" spans="18:30" x14ac:dyDescent="0.25">
      <c r="R1895" s="508"/>
      <c r="S1895" s="508"/>
      <c r="T1895" s="276"/>
      <c r="U1895" s="276"/>
      <c r="V1895" s="276"/>
      <c r="W1895" s="283"/>
      <c r="X1895" s="276"/>
      <c r="Y1895" s="276"/>
      <c r="Z1895" s="276"/>
      <c r="AA1895" s="276"/>
      <c r="AB1895" s="276"/>
      <c r="AC1895" s="276"/>
      <c r="AD1895" s="276"/>
    </row>
    <row r="1896" spans="18:30" x14ac:dyDescent="0.25">
      <c r="R1896" s="508"/>
      <c r="S1896" s="508"/>
      <c r="T1896" s="276"/>
      <c r="U1896" s="276"/>
      <c r="V1896" s="276"/>
      <c r="W1896" s="283"/>
      <c r="X1896" s="276"/>
      <c r="Y1896" s="276"/>
      <c r="Z1896" s="276"/>
      <c r="AA1896" s="276"/>
      <c r="AB1896" s="276"/>
      <c r="AC1896" s="276"/>
      <c r="AD1896" s="276"/>
    </row>
    <row r="1897" spans="18:30" x14ac:dyDescent="0.25">
      <c r="R1897" s="508"/>
      <c r="S1897" s="508"/>
      <c r="T1897" s="276"/>
      <c r="U1897" s="276"/>
      <c r="V1897" s="276"/>
      <c r="W1897" s="283"/>
      <c r="X1897" s="276"/>
      <c r="Y1897" s="276"/>
      <c r="Z1897" s="276"/>
      <c r="AA1897" s="276"/>
      <c r="AB1897" s="276"/>
      <c r="AC1897" s="276"/>
      <c r="AD1897" s="276"/>
    </row>
    <row r="1898" spans="18:30" x14ac:dyDescent="0.25">
      <c r="R1898" s="508"/>
      <c r="S1898" s="508"/>
      <c r="T1898" s="276"/>
      <c r="U1898" s="276"/>
      <c r="V1898" s="276"/>
      <c r="W1898" s="283"/>
      <c r="X1898" s="276"/>
      <c r="Y1898" s="276"/>
      <c r="Z1898" s="276"/>
      <c r="AA1898" s="276"/>
      <c r="AB1898" s="276"/>
      <c r="AC1898" s="276"/>
      <c r="AD1898" s="276"/>
    </row>
    <row r="1899" spans="18:30" x14ac:dyDescent="0.25">
      <c r="R1899" s="508"/>
      <c r="S1899" s="508"/>
      <c r="T1899" s="276"/>
      <c r="U1899" s="276"/>
      <c r="V1899" s="276"/>
      <c r="W1899" s="283"/>
      <c r="X1899" s="276"/>
      <c r="Y1899" s="276"/>
      <c r="Z1899" s="276"/>
      <c r="AA1899" s="276"/>
      <c r="AB1899" s="276"/>
      <c r="AC1899" s="276"/>
      <c r="AD1899" s="276"/>
    </row>
    <row r="1900" spans="18:30" x14ac:dyDescent="0.25">
      <c r="R1900" s="508"/>
      <c r="S1900" s="508"/>
      <c r="T1900" s="276"/>
      <c r="U1900" s="276"/>
      <c r="V1900" s="276"/>
      <c r="W1900" s="283"/>
      <c r="X1900" s="276"/>
      <c r="Y1900" s="276"/>
      <c r="Z1900" s="276"/>
      <c r="AA1900" s="276"/>
      <c r="AB1900" s="276"/>
      <c r="AC1900" s="276"/>
      <c r="AD1900" s="276"/>
    </row>
    <row r="1901" spans="18:30" x14ac:dyDescent="0.25">
      <c r="R1901" s="508"/>
      <c r="S1901" s="508"/>
      <c r="T1901" s="276"/>
      <c r="U1901" s="276"/>
      <c r="V1901" s="276"/>
      <c r="W1901" s="283"/>
      <c r="X1901" s="276"/>
      <c r="Y1901" s="276"/>
      <c r="Z1901" s="276"/>
      <c r="AA1901" s="276"/>
      <c r="AB1901" s="276"/>
      <c r="AC1901" s="276"/>
      <c r="AD1901" s="276"/>
    </row>
    <row r="1902" spans="18:30" x14ac:dyDescent="0.25">
      <c r="R1902" s="508"/>
      <c r="S1902" s="508"/>
      <c r="T1902" s="276"/>
      <c r="U1902" s="276"/>
      <c r="V1902" s="276"/>
      <c r="W1902" s="283"/>
      <c r="X1902" s="276"/>
      <c r="Y1902" s="276"/>
      <c r="Z1902" s="276"/>
      <c r="AA1902" s="276"/>
      <c r="AB1902" s="276"/>
      <c r="AC1902" s="276"/>
      <c r="AD1902" s="276"/>
    </row>
    <row r="1903" spans="18:30" x14ac:dyDescent="0.25">
      <c r="R1903" s="508"/>
      <c r="S1903" s="508"/>
      <c r="T1903" s="276"/>
      <c r="U1903" s="276"/>
      <c r="V1903" s="276"/>
      <c r="W1903" s="283"/>
      <c r="X1903" s="276"/>
      <c r="Y1903" s="276"/>
      <c r="Z1903" s="276"/>
      <c r="AA1903" s="276"/>
      <c r="AB1903" s="276"/>
      <c r="AC1903" s="276"/>
      <c r="AD1903" s="276"/>
    </row>
    <row r="1904" spans="18:30" x14ac:dyDescent="0.25">
      <c r="R1904" s="508"/>
      <c r="S1904" s="508"/>
      <c r="T1904" s="276"/>
      <c r="U1904" s="276"/>
      <c r="V1904" s="276"/>
      <c r="W1904" s="283"/>
      <c r="X1904" s="276"/>
      <c r="Y1904" s="276"/>
      <c r="Z1904" s="276"/>
      <c r="AA1904" s="276"/>
      <c r="AB1904" s="276"/>
      <c r="AC1904" s="276"/>
      <c r="AD1904" s="276"/>
    </row>
    <row r="1905" spans="18:30" x14ac:dyDescent="0.25">
      <c r="R1905" s="508"/>
      <c r="S1905" s="508"/>
      <c r="T1905" s="276"/>
      <c r="U1905" s="276"/>
      <c r="V1905" s="276"/>
      <c r="W1905" s="283"/>
      <c r="X1905" s="276"/>
      <c r="Y1905" s="276"/>
      <c r="Z1905" s="276"/>
      <c r="AA1905" s="276"/>
      <c r="AB1905" s="276"/>
      <c r="AC1905" s="276"/>
      <c r="AD1905" s="276"/>
    </row>
    <row r="1906" spans="18:30" x14ac:dyDescent="0.25">
      <c r="R1906" s="508"/>
      <c r="S1906" s="508"/>
      <c r="T1906" s="276"/>
      <c r="U1906" s="276"/>
      <c r="V1906" s="276"/>
      <c r="W1906" s="283"/>
      <c r="X1906" s="276"/>
      <c r="Y1906" s="276"/>
      <c r="Z1906" s="276"/>
      <c r="AA1906" s="276"/>
      <c r="AB1906" s="276"/>
      <c r="AC1906" s="276"/>
      <c r="AD1906" s="276"/>
    </row>
    <row r="1907" spans="18:30" x14ac:dyDescent="0.25">
      <c r="R1907" s="508"/>
      <c r="S1907" s="508"/>
      <c r="T1907" s="276"/>
      <c r="U1907" s="276"/>
      <c r="V1907" s="276"/>
      <c r="W1907" s="283"/>
      <c r="X1907" s="276"/>
      <c r="Y1907" s="276"/>
      <c r="Z1907" s="276"/>
      <c r="AA1907" s="276"/>
      <c r="AB1907" s="276"/>
      <c r="AC1907" s="276"/>
      <c r="AD1907" s="276"/>
    </row>
    <row r="1908" spans="18:30" x14ac:dyDescent="0.25">
      <c r="R1908" s="508"/>
      <c r="S1908" s="508"/>
      <c r="T1908" s="276"/>
      <c r="U1908" s="276"/>
      <c r="V1908" s="276"/>
      <c r="W1908" s="283"/>
      <c r="X1908" s="276"/>
      <c r="Y1908" s="276"/>
      <c r="Z1908" s="276"/>
      <c r="AA1908" s="276"/>
      <c r="AB1908" s="276"/>
      <c r="AC1908" s="276"/>
      <c r="AD1908" s="276"/>
    </row>
    <row r="1909" spans="18:30" x14ac:dyDescent="0.25">
      <c r="R1909" s="508"/>
      <c r="S1909" s="508"/>
      <c r="T1909" s="276"/>
      <c r="U1909" s="276"/>
      <c r="V1909" s="276"/>
      <c r="W1909" s="283"/>
      <c r="X1909" s="276"/>
      <c r="Y1909" s="276"/>
      <c r="Z1909" s="276"/>
      <c r="AA1909" s="276"/>
      <c r="AB1909" s="276"/>
      <c r="AC1909" s="276"/>
      <c r="AD1909" s="276"/>
    </row>
    <row r="1910" spans="18:30" x14ac:dyDescent="0.25">
      <c r="R1910" s="508"/>
      <c r="S1910" s="508"/>
      <c r="T1910" s="276"/>
      <c r="U1910" s="276"/>
      <c r="V1910" s="276"/>
      <c r="W1910" s="283"/>
      <c r="X1910" s="276"/>
      <c r="Y1910" s="276"/>
      <c r="Z1910" s="276"/>
      <c r="AA1910" s="276"/>
      <c r="AB1910" s="276"/>
      <c r="AC1910" s="276"/>
      <c r="AD1910" s="276"/>
    </row>
    <row r="1911" spans="18:30" x14ac:dyDescent="0.25">
      <c r="R1911" s="508"/>
      <c r="S1911" s="508"/>
      <c r="T1911" s="276"/>
      <c r="U1911" s="276"/>
      <c r="V1911" s="276"/>
      <c r="W1911" s="283"/>
      <c r="X1911" s="276"/>
      <c r="Y1911" s="276"/>
      <c r="Z1911" s="276"/>
      <c r="AA1911" s="276"/>
      <c r="AB1911" s="276"/>
      <c r="AC1911" s="276"/>
      <c r="AD1911" s="276"/>
    </row>
    <row r="1912" spans="18:30" x14ac:dyDescent="0.25">
      <c r="R1912" s="508"/>
      <c r="S1912" s="508"/>
      <c r="T1912" s="276"/>
      <c r="U1912" s="276"/>
      <c r="V1912" s="276"/>
      <c r="W1912" s="283"/>
      <c r="X1912" s="276"/>
      <c r="Y1912" s="276"/>
      <c r="Z1912" s="276"/>
      <c r="AA1912" s="276"/>
      <c r="AB1912" s="276"/>
      <c r="AC1912" s="276"/>
      <c r="AD1912" s="276"/>
    </row>
    <row r="1913" spans="18:30" x14ac:dyDescent="0.25">
      <c r="R1913" s="508"/>
      <c r="S1913" s="508"/>
      <c r="T1913" s="276"/>
      <c r="U1913" s="276"/>
      <c r="V1913" s="276"/>
      <c r="W1913" s="283"/>
      <c r="X1913" s="276"/>
      <c r="Y1913" s="276"/>
      <c r="Z1913" s="276"/>
      <c r="AA1913" s="276"/>
      <c r="AB1913" s="276"/>
      <c r="AC1913" s="276"/>
      <c r="AD1913" s="276"/>
    </row>
    <row r="1914" spans="18:30" x14ac:dyDescent="0.25">
      <c r="R1914" s="508"/>
      <c r="S1914" s="508"/>
      <c r="T1914" s="276"/>
      <c r="U1914" s="276"/>
      <c r="V1914" s="276"/>
      <c r="W1914" s="283"/>
      <c r="X1914" s="276"/>
      <c r="Y1914" s="276"/>
      <c r="Z1914" s="276"/>
      <c r="AA1914" s="276"/>
      <c r="AB1914" s="276"/>
      <c r="AC1914" s="276"/>
      <c r="AD1914" s="276"/>
    </row>
    <row r="1915" spans="18:30" x14ac:dyDescent="0.25">
      <c r="R1915" s="508"/>
      <c r="S1915" s="508"/>
      <c r="T1915" s="276"/>
      <c r="U1915" s="276"/>
      <c r="V1915" s="276"/>
      <c r="W1915" s="283"/>
      <c r="X1915" s="276"/>
      <c r="Y1915" s="276"/>
      <c r="Z1915" s="276"/>
      <c r="AA1915" s="276"/>
      <c r="AB1915" s="276"/>
      <c r="AC1915" s="276"/>
      <c r="AD1915" s="276"/>
    </row>
    <row r="1916" spans="18:30" x14ac:dyDescent="0.25">
      <c r="R1916" s="508"/>
      <c r="S1916" s="508"/>
      <c r="T1916" s="276"/>
      <c r="U1916" s="276"/>
      <c r="V1916" s="276"/>
      <c r="W1916" s="283"/>
      <c r="X1916" s="276"/>
      <c r="Y1916" s="276"/>
      <c r="Z1916" s="276"/>
      <c r="AA1916" s="276"/>
      <c r="AB1916" s="276"/>
      <c r="AC1916" s="276"/>
      <c r="AD1916" s="276"/>
    </row>
    <row r="1917" spans="18:30" x14ac:dyDescent="0.25">
      <c r="R1917" s="508"/>
      <c r="S1917" s="508"/>
      <c r="T1917" s="276"/>
      <c r="U1917" s="276"/>
      <c r="V1917" s="276"/>
      <c r="W1917" s="283"/>
      <c r="X1917" s="276"/>
      <c r="Y1917" s="276"/>
      <c r="Z1917" s="276"/>
      <c r="AA1917" s="276"/>
      <c r="AB1917" s="276"/>
      <c r="AC1917" s="276"/>
      <c r="AD1917" s="276"/>
    </row>
    <row r="1918" spans="18:30" x14ac:dyDescent="0.25">
      <c r="R1918" s="508"/>
      <c r="S1918" s="508"/>
      <c r="T1918" s="276"/>
      <c r="U1918" s="276"/>
      <c r="V1918" s="276"/>
      <c r="W1918" s="283"/>
      <c r="X1918" s="276"/>
      <c r="Y1918" s="276"/>
      <c r="Z1918" s="276"/>
      <c r="AA1918" s="276"/>
      <c r="AB1918" s="276"/>
      <c r="AC1918" s="276"/>
      <c r="AD1918" s="276"/>
    </row>
    <row r="1919" spans="18:30" x14ac:dyDescent="0.25">
      <c r="R1919" s="508"/>
      <c r="S1919" s="508"/>
      <c r="T1919" s="276"/>
      <c r="U1919" s="276"/>
      <c r="V1919" s="276"/>
      <c r="W1919" s="283"/>
      <c r="X1919" s="276"/>
      <c r="Y1919" s="276"/>
      <c r="Z1919" s="276"/>
      <c r="AA1919" s="276"/>
      <c r="AB1919" s="276"/>
      <c r="AC1919" s="276"/>
      <c r="AD1919" s="276"/>
    </row>
    <row r="1920" spans="18:30" x14ac:dyDescent="0.25">
      <c r="R1920" s="508"/>
      <c r="S1920" s="508"/>
      <c r="T1920" s="276"/>
      <c r="U1920" s="276"/>
      <c r="V1920" s="276"/>
      <c r="W1920" s="283"/>
      <c r="X1920" s="276"/>
      <c r="Y1920" s="276"/>
      <c r="Z1920" s="276"/>
      <c r="AA1920" s="276"/>
      <c r="AB1920" s="276"/>
      <c r="AC1920" s="276"/>
      <c r="AD1920" s="276"/>
    </row>
    <row r="1921" spans="18:30" x14ac:dyDescent="0.25">
      <c r="R1921" s="508"/>
      <c r="S1921" s="508"/>
      <c r="T1921" s="276"/>
      <c r="U1921" s="276"/>
      <c r="V1921" s="276"/>
      <c r="W1921" s="283"/>
      <c r="X1921" s="276"/>
      <c r="Y1921" s="276"/>
      <c r="Z1921" s="276"/>
      <c r="AA1921" s="276"/>
      <c r="AB1921" s="276"/>
      <c r="AC1921" s="276"/>
      <c r="AD1921" s="276"/>
    </row>
    <row r="1922" spans="18:30" x14ac:dyDescent="0.25">
      <c r="R1922" s="508"/>
      <c r="S1922" s="508"/>
      <c r="T1922" s="276"/>
      <c r="U1922" s="276"/>
      <c r="V1922" s="276"/>
      <c r="W1922" s="283"/>
      <c r="X1922" s="276"/>
      <c r="Y1922" s="276"/>
      <c r="Z1922" s="276"/>
      <c r="AA1922" s="276"/>
      <c r="AB1922" s="276"/>
      <c r="AC1922" s="276"/>
      <c r="AD1922" s="276"/>
    </row>
    <row r="1923" spans="18:30" x14ac:dyDescent="0.25">
      <c r="R1923" s="508"/>
      <c r="S1923" s="508"/>
      <c r="T1923" s="276"/>
      <c r="U1923" s="276"/>
      <c r="V1923" s="276"/>
      <c r="W1923" s="283"/>
      <c r="X1923" s="276"/>
      <c r="Y1923" s="276"/>
      <c r="Z1923" s="276"/>
      <c r="AA1923" s="276"/>
      <c r="AB1923" s="276"/>
      <c r="AC1923" s="276"/>
      <c r="AD1923" s="276"/>
    </row>
    <row r="1924" spans="18:30" x14ac:dyDescent="0.25">
      <c r="R1924" s="508"/>
      <c r="S1924" s="508"/>
      <c r="T1924" s="276"/>
      <c r="U1924" s="276"/>
      <c r="V1924" s="276"/>
      <c r="W1924" s="283"/>
      <c r="X1924" s="276"/>
      <c r="Y1924" s="276"/>
      <c r="Z1924" s="276"/>
      <c r="AA1924" s="276"/>
      <c r="AB1924" s="276"/>
      <c r="AC1924" s="276"/>
      <c r="AD1924" s="276"/>
    </row>
    <row r="1925" spans="18:30" x14ac:dyDescent="0.25">
      <c r="R1925" s="508"/>
      <c r="S1925" s="508"/>
      <c r="T1925" s="276"/>
      <c r="U1925" s="276"/>
      <c r="V1925" s="276"/>
      <c r="W1925" s="283"/>
      <c r="X1925" s="276"/>
      <c r="Y1925" s="276"/>
      <c r="Z1925" s="276"/>
      <c r="AA1925" s="276"/>
      <c r="AB1925" s="276"/>
      <c r="AC1925" s="276"/>
      <c r="AD1925" s="276"/>
    </row>
    <row r="1926" spans="18:30" x14ac:dyDescent="0.25">
      <c r="R1926" s="508"/>
      <c r="S1926" s="508"/>
      <c r="T1926" s="276"/>
      <c r="U1926" s="276"/>
      <c r="V1926" s="276"/>
      <c r="W1926" s="283"/>
      <c r="X1926" s="276"/>
      <c r="Y1926" s="276"/>
      <c r="Z1926" s="276"/>
      <c r="AA1926" s="276"/>
      <c r="AB1926" s="276"/>
      <c r="AC1926" s="276"/>
      <c r="AD1926" s="276"/>
    </row>
    <row r="1927" spans="18:30" x14ac:dyDescent="0.25">
      <c r="R1927" s="508"/>
      <c r="S1927" s="508"/>
      <c r="T1927" s="276"/>
      <c r="U1927" s="276"/>
      <c r="V1927" s="276"/>
      <c r="W1927" s="283"/>
      <c r="X1927" s="276"/>
      <c r="Y1927" s="276"/>
      <c r="Z1927" s="276"/>
      <c r="AA1927" s="276"/>
      <c r="AB1927" s="276"/>
      <c r="AC1927" s="276"/>
      <c r="AD1927" s="276"/>
    </row>
    <row r="1928" spans="18:30" x14ac:dyDescent="0.25">
      <c r="R1928" s="508"/>
      <c r="S1928" s="508"/>
      <c r="T1928" s="276"/>
      <c r="U1928" s="276"/>
      <c r="V1928" s="276"/>
      <c r="W1928" s="283"/>
      <c r="X1928" s="276"/>
      <c r="Y1928" s="276"/>
      <c r="Z1928" s="276"/>
      <c r="AA1928" s="276"/>
      <c r="AB1928" s="276"/>
      <c r="AC1928" s="276"/>
      <c r="AD1928" s="276"/>
    </row>
    <row r="1929" spans="18:30" x14ac:dyDescent="0.25">
      <c r="R1929" s="508"/>
      <c r="S1929" s="508"/>
      <c r="T1929" s="276"/>
      <c r="U1929" s="276"/>
      <c r="V1929" s="276"/>
      <c r="W1929" s="283"/>
      <c r="X1929" s="276"/>
      <c r="Y1929" s="276"/>
      <c r="Z1929" s="276"/>
      <c r="AA1929" s="276"/>
      <c r="AB1929" s="276"/>
      <c r="AC1929" s="276"/>
      <c r="AD1929" s="276"/>
    </row>
    <row r="1930" spans="18:30" x14ac:dyDescent="0.25">
      <c r="R1930" s="508"/>
      <c r="S1930" s="508"/>
      <c r="T1930" s="276"/>
      <c r="U1930" s="276"/>
      <c r="V1930" s="276"/>
      <c r="W1930" s="283"/>
      <c r="X1930" s="276"/>
      <c r="Y1930" s="276"/>
      <c r="Z1930" s="276"/>
      <c r="AA1930" s="276"/>
      <c r="AB1930" s="276"/>
      <c r="AC1930" s="276"/>
      <c r="AD1930" s="276"/>
    </row>
    <row r="1931" spans="18:30" x14ac:dyDescent="0.25">
      <c r="R1931" s="508"/>
      <c r="S1931" s="508"/>
      <c r="T1931" s="276"/>
      <c r="U1931" s="276"/>
      <c r="V1931" s="276"/>
      <c r="W1931" s="283"/>
      <c r="X1931" s="276"/>
      <c r="Y1931" s="276"/>
      <c r="Z1931" s="276"/>
      <c r="AA1931" s="276"/>
      <c r="AB1931" s="276"/>
      <c r="AC1931" s="276"/>
      <c r="AD1931" s="276"/>
    </row>
    <row r="1932" spans="18:30" x14ac:dyDescent="0.25">
      <c r="R1932" s="508"/>
      <c r="S1932" s="508"/>
      <c r="T1932" s="276"/>
      <c r="U1932" s="276"/>
      <c r="V1932" s="276"/>
      <c r="W1932" s="283"/>
      <c r="X1932" s="276"/>
      <c r="Y1932" s="276"/>
      <c r="Z1932" s="276"/>
      <c r="AA1932" s="276"/>
      <c r="AB1932" s="276"/>
      <c r="AC1932" s="276"/>
      <c r="AD1932" s="276"/>
    </row>
    <row r="1933" spans="18:30" x14ac:dyDescent="0.25">
      <c r="R1933" s="508"/>
      <c r="S1933" s="508"/>
      <c r="T1933" s="276"/>
      <c r="U1933" s="276"/>
      <c r="V1933" s="276"/>
      <c r="W1933" s="283"/>
      <c r="X1933" s="276"/>
      <c r="Y1933" s="276"/>
      <c r="Z1933" s="276"/>
      <c r="AA1933" s="276"/>
      <c r="AB1933" s="276"/>
      <c r="AC1933" s="276"/>
      <c r="AD1933" s="276"/>
    </row>
    <row r="1934" spans="18:30" x14ac:dyDescent="0.25">
      <c r="R1934" s="508"/>
      <c r="S1934" s="508"/>
      <c r="T1934" s="276"/>
      <c r="U1934" s="276"/>
      <c r="V1934" s="276"/>
      <c r="W1934" s="283"/>
      <c r="X1934" s="276"/>
      <c r="Y1934" s="276"/>
      <c r="Z1934" s="276"/>
      <c r="AA1934" s="276"/>
      <c r="AB1934" s="276"/>
      <c r="AC1934" s="276"/>
      <c r="AD1934" s="276"/>
    </row>
    <row r="1935" spans="18:30" x14ac:dyDescent="0.25">
      <c r="R1935" s="508"/>
      <c r="S1935" s="508"/>
      <c r="T1935" s="276"/>
      <c r="U1935" s="276"/>
      <c r="V1935" s="276"/>
      <c r="W1935" s="283"/>
      <c r="X1935" s="276"/>
      <c r="Y1935" s="276"/>
      <c r="Z1935" s="276"/>
      <c r="AA1935" s="276"/>
      <c r="AB1935" s="276"/>
      <c r="AC1935" s="276"/>
      <c r="AD1935" s="276"/>
    </row>
    <row r="1936" spans="18:30" x14ac:dyDescent="0.25">
      <c r="R1936" s="508"/>
      <c r="S1936" s="508"/>
      <c r="T1936" s="276"/>
      <c r="U1936" s="276"/>
      <c r="V1936" s="276"/>
      <c r="W1936" s="283"/>
      <c r="X1936" s="276"/>
      <c r="Y1936" s="276"/>
      <c r="Z1936" s="276"/>
      <c r="AA1936" s="276"/>
      <c r="AB1936" s="276"/>
      <c r="AC1936" s="276"/>
      <c r="AD1936" s="276"/>
    </row>
    <row r="1937" spans="18:30" x14ac:dyDescent="0.25">
      <c r="R1937" s="508"/>
      <c r="S1937" s="508"/>
      <c r="T1937" s="276"/>
      <c r="U1937" s="276"/>
      <c r="V1937" s="276"/>
      <c r="W1937" s="283"/>
      <c r="X1937" s="276"/>
      <c r="Y1937" s="276"/>
      <c r="Z1937" s="276"/>
      <c r="AA1937" s="276"/>
      <c r="AB1937" s="276"/>
      <c r="AC1937" s="276"/>
      <c r="AD1937" s="276"/>
    </row>
    <row r="1938" spans="18:30" x14ac:dyDescent="0.25">
      <c r="R1938" s="508"/>
      <c r="S1938" s="508"/>
      <c r="T1938" s="276"/>
      <c r="U1938" s="276"/>
      <c r="V1938" s="276"/>
      <c r="W1938" s="283"/>
      <c r="X1938" s="276"/>
      <c r="Y1938" s="276"/>
      <c r="Z1938" s="276"/>
      <c r="AA1938" s="276"/>
      <c r="AB1938" s="276"/>
      <c r="AC1938" s="276"/>
      <c r="AD1938" s="276"/>
    </row>
    <row r="1939" spans="18:30" x14ac:dyDescent="0.25">
      <c r="R1939" s="508"/>
      <c r="S1939" s="508"/>
      <c r="T1939" s="276"/>
      <c r="U1939" s="276"/>
      <c r="V1939" s="276"/>
      <c r="W1939" s="283"/>
      <c r="X1939" s="276"/>
      <c r="Y1939" s="276"/>
      <c r="Z1939" s="276"/>
      <c r="AA1939" s="276"/>
      <c r="AB1939" s="276"/>
      <c r="AC1939" s="276"/>
      <c r="AD1939" s="276"/>
    </row>
    <row r="1940" spans="18:30" x14ac:dyDescent="0.25">
      <c r="R1940" s="508"/>
      <c r="S1940" s="508"/>
      <c r="T1940" s="276"/>
      <c r="U1940" s="276"/>
      <c r="V1940" s="276"/>
      <c r="W1940" s="283"/>
      <c r="X1940" s="276"/>
      <c r="Y1940" s="276"/>
      <c r="Z1940" s="276"/>
      <c r="AA1940" s="276"/>
      <c r="AB1940" s="276"/>
      <c r="AC1940" s="276"/>
      <c r="AD1940" s="276"/>
    </row>
    <row r="1941" spans="18:30" x14ac:dyDescent="0.25">
      <c r="R1941" s="508"/>
      <c r="S1941" s="508"/>
      <c r="T1941" s="276"/>
      <c r="U1941" s="276"/>
      <c r="V1941" s="276"/>
      <c r="W1941" s="283"/>
      <c r="X1941" s="276"/>
      <c r="Y1941" s="276"/>
      <c r="Z1941" s="276"/>
      <c r="AA1941" s="276"/>
      <c r="AB1941" s="276"/>
      <c r="AC1941" s="276"/>
      <c r="AD1941" s="276"/>
    </row>
    <row r="1942" spans="18:30" x14ac:dyDescent="0.25">
      <c r="R1942" s="508"/>
      <c r="S1942" s="508"/>
      <c r="T1942" s="276"/>
      <c r="U1942" s="276"/>
      <c r="V1942" s="276"/>
      <c r="W1942" s="283"/>
      <c r="X1942" s="276"/>
      <c r="Y1942" s="276"/>
      <c r="Z1942" s="276"/>
      <c r="AA1942" s="276"/>
      <c r="AB1942" s="276"/>
      <c r="AC1942" s="276"/>
      <c r="AD1942" s="276"/>
    </row>
    <row r="1943" spans="18:30" x14ac:dyDescent="0.25">
      <c r="R1943" s="508"/>
      <c r="S1943" s="508"/>
      <c r="T1943" s="276"/>
      <c r="U1943" s="276"/>
      <c r="V1943" s="276"/>
      <c r="W1943" s="283"/>
      <c r="X1943" s="276"/>
      <c r="Y1943" s="276"/>
      <c r="Z1943" s="276"/>
      <c r="AA1943" s="276"/>
      <c r="AB1943" s="276"/>
      <c r="AC1943" s="276"/>
      <c r="AD1943" s="276"/>
    </row>
    <row r="1944" spans="18:30" x14ac:dyDescent="0.25">
      <c r="R1944" s="508"/>
      <c r="S1944" s="508"/>
      <c r="T1944" s="276"/>
      <c r="U1944" s="276"/>
      <c r="V1944" s="276"/>
      <c r="W1944" s="283"/>
      <c r="X1944" s="276"/>
      <c r="Y1944" s="276"/>
      <c r="Z1944" s="276"/>
      <c r="AA1944" s="276"/>
      <c r="AB1944" s="276"/>
      <c r="AC1944" s="276"/>
      <c r="AD1944" s="276"/>
    </row>
    <row r="1945" spans="18:30" x14ac:dyDescent="0.25">
      <c r="R1945" s="508"/>
      <c r="S1945" s="508"/>
      <c r="T1945" s="276"/>
      <c r="U1945" s="276"/>
      <c r="V1945" s="276"/>
      <c r="W1945" s="283"/>
      <c r="X1945" s="276"/>
      <c r="Y1945" s="276"/>
      <c r="Z1945" s="276"/>
      <c r="AA1945" s="276"/>
      <c r="AB1945" s="276"/>
      <c r="AC1945" s="276"/>
      <c r="AD1945" s="276"/>
    </row>
    <row r="1946" spans="18:30" x14ac:dyDescent="0.25">
      <c r="R1946" s="508"/>
      <c r="S1946" s="508"/>
      <c r="T1946" s="276"/>
      <c r="U1946" s="276"/>
      <c r="V1946" s="276"/>
      <c r="W1946" s="283"/>
      <c r="X1946" s="276"/>
      <c r="Y1946" s="276"/>
      <c r="Z1946" s="276"/>
      <c r="AA1946" s="276"/>
      <c r="AB1946" s="276"/>
      <c r="AC1946" s="276"/>
      <c r="AD1946" s="276"/>
    </row>
    <row r="1947" spans="18:30" x14ac:dyDescent="0.25">
      <c r="R1947" s="508"/>
      <c r="S1947" s="508"/>
      <c r="T1947" s="276"/>
      <c r="U1947" s="276"/>
      <c r="V1947" s="276"/>
      <c r="W1947" s="283"/>
      <c r="X1947" s="276"/>
      <c r="Y1947" s="276"/>
      <c r="Z1947" s="276"/>
      <c r="AA1947" s="276"/>
      <c r="AB1947" s="276"/>
      <c r="AC1947" s="276"/>
      <c r="AD1947" s="276"/>
    </row>
    <row r="1948" spans="18:30" x14ac:dyDescent="0.25">
      <c r="R1948" s="508"/>
      <c r="S1948" s="508"/>
      <c r="T1948" s="276"/>
      <c r="U1948" s="276"/>
      <c r="V1948" s="276"/>
      <c r="W1948" s="283"/>
      <c r="X1948" s="276"/>
      <c r="Y1948" s="276"/>
      <c r="Z1948" s="276"/>
      <c r="AA1948" s="276"/>
      <c r="AB1948" s="276"/>
      <c r="AC1948" s="276"/>
      <c r="AD1948" s="276"/>
    </row>
    <row r="1949" spans="18:30" x14ac:dyDescent="0.25">
      <c r="R1949" s="508"/>
      <c r="S1949" s="508"/>
      <c r="T1949" s="276"/>
      <c r="U1949" s="276"/>
      <c r="V1949" s="276"/>
      <c r="W1949" s="283"/>
      <c r="X1949" s="276"/>
      <c r="Y1949" s="276"/>
      <c r="Z1949" s="276"/>
      <c r="AA1949" s="276"/>
      <c r="AB1949" s="276"/>
      <c r="AC1949" s="276"/>
      <c r="AD1949" s="276"/>
    </row>
    <row r="1950" spans="18:30" x14ac:dyDescent="0.25">
      <c r="R1950" s="508"/>
      <c r="S1950" s="508"/>
      <c r="T1950" s="276"/>
      <c r="U1950" s="276"/>
      <c r="V1950" s="276"/>
      <c r="W1950" s="283"/>
      <c r="X1950" s="276"/>
      <c r="Y1950" s="276"/>
      <c r="Z1950" s="276"/>
      <c r="AA1950" s="276"/>
      <c r="AB1950" s="276"/>
      <c r="AC1950" s="276"/>
      <c r="AD1950" s="276"/>
    </row>
    <row r="1951" spans="18:30" x14ac:dyDescent="0.25">
      <c r="R1951" s="508"/>
      <c r="S1951" s="508"/>
      <c r="T1951" s="276"/>
      <c r="U1951" s="276"/>
      <c r="V1951" s="276"/>
      <c r="W1951" s="283"/>
      <c r="X1951" s="276"/>
      <c r="Y1951" s="276"/>
      <c r="Z1951" s="276"/>
      <c r="AA1951" s="276"/>
      <c r="AB1951" s="276"/>
      <c r="AC1951" s="276"/>
      <c r="AD1951" s="276"/>
    </row>
    <row r="1952" spans="18:30" x14ac:dyDescent="0.25">
      <c r="R1952" s="508"/>
      <c r="S1952" s="508"/>
      <c r="T1952" s="276"/>
      <c r="U1952" s="276"/>
      <c r="V1952" s="276"/>
      <c r="W1952" s="283"/>
      <c r="X1952" s="276"/>
      <c r="Y1952" s="276"/>
      <c r="Z1952" s="276"/>
      <c r="AA1952" s="276"/>
      <c r="AB1952" s="276"/>
      <c r="AC1952" s="276"/>
      <c r="AD1952" s="276"/>
    </row>
    <row r="1953" spans="18:30" x14ac:dyDescent="0.25">
      <c r="R1953" s="508"/>
      <c r="S1953" s="508"/>
      <c r="T1953" s="276"/>
      <c r="U1953" s="276"/>
      <c r="V1953" s="276"/>
      <c r="W1953" s="283"/>
      <c r="X1953" s="276"/>
      <c r="Y1953" s="276"/>
      <c r="Z1953" s="276"/>
      <c r="AA1953" s="276"/>
      <c r="AB1953" s="276"/>
      <c r="AC1953" s="276"/>
      <c r="AD1953" s="276"/>
    </row>
    <row r="1954" spans="18:30" x14ac:dyDescent="0.25">
      <c r="R1954" s="508"/>
      <c r="S1954" s="508"/>
      <c r="T1954" s="276"/>
      <c r="U1954" s="276"/>
      <c r="V1954" s="276"/>
      <c r="W1954" s="283"/>
      <c r="X1954" s="276"/>
      <c r="Y1954" s="276"/>
      <c r="Z1954" s="276"/>
      <c r="AA1954" s="276"/>
      <c r="AB1954" s="276"/>
      <c r="AC1954" s="276"/>
      <c r="AD1954" s="276"/>
    </row>
    <row r="1955" spans="18:30" x14ac:dyDescent="0.25">
      <c r="R1955" s="508"/>
      <c r="S1955" s="508"/>
      <c r="T1955" s="276"/>
      <c r="U1955" s="276"/>
      <c r="V1955" s="276"/>
      <c r="W1955" s="283"/>
      <c r="X1955" s="276"/>
      <c r="Y1955" s="276"/>
      <c r="Z1955" s="276"/>
      <c r="AA1955" s="276"/>
      <c r="AB1955" s="276"/>
      <c r="AC1955" s="276"/>
      <c r="AD1955" s="276"/>
    </row>
    <row r="1956" spans="18:30" x14ac:dyDescent="0.25">
      <c r="R1956" s="508"/>
      <c r="S1956" s="508"/>
      <c r="T1956" s="276"/>
      <c r="U1956" s="276"/>
      <c r="V1956" s="276"/>
      <c r="W1956" s="283"/>
      <c r="X1956" s="276"/>
      <c r="Y1956" s="276"/>
      <c r="Z1956" s="276"/>
      <c r="AA1956" s="276"/>
      <c r="AB1956" s="276"/>
      <c r="AC1956" s="276"/>
      <c r="AD1956" s="276"/>
    </row>
    <row r="1957" spans="18:30" x14ac:dyDescent="0.25">
      <c r="R1957" s="508"/>
      <c r="S1957" s="508"/>
      <c r="T1957" s="276"/>
      <c r="U1957" s="276"/>
      <c r="V1957" s="276"/>
      <c r="W1957" s="283"/>
      <c r="X1957" s="276"/>
      <c r="Y1957" s="276"/>
      <c r="Z1957" s="276"/>
      <c r="AA1957" s="276"/>
      <c r="AB1957" s="276"/>
      <c r="AC1957" s="276"/>
      <c r="AD1957" s="276"/>
    </row>
    <row r="1958" spans="18:30" x14ac:dyDescent="0.25">
      <c r="R1958" s="508"/>
      <c r="S1958" s="508"/>
      <c r="T1958" s="276"/>
      <c r="U1958" s="276"/>
      <c r="V1958" s="276"/>
      <c r="W1958" s="283"/>
      <c r="X1958" s="276"/>
      <c r="Y1958" s="276"/>
      <c r="Z1958" s="276"/>
      <c r="AA1958" s="276"/>
      <c r="AB1958" s="276"/>
      <c r="AC1958" s="276"/>
      <c r="AD1958" s="276"/>
    </row>
    <row r="1959" spans="18:30" x14ac:dyDescent="0.25">
      <c r="R1959" s="508"/>
      <c r="S1959" s="508"/>
      <c r="T1959" s="276"/>
      <c r="U1959" s="276"/>
      <c r="V1959" s="276"/>
      <c r="W1959" s="283"/>
      <c r="X1959" s="276"/>
      <c r="Y1959" s="276"/>
      <c r="Z1959" s="276"/>
      <c r="AA1959" s="276"/>
      <c r="AB1959" s="276"/>
      <c r="AC1959" s="276"/>
      <c r="AD1959" s="276"/>
    </row>
    <row r="1960" spans="18:30" x14ac:dyDescent="0.25">
      <c r="R1960" s="508"/>
      <c r="S1960" s="508"/>
      <c r="T1960" s="276"/>
      <c r="U1960" s="276"/>
      <c r="V1960" s="276"/>
      <c r="W1960" s="283"/>
      <c r="X1960" s="276"/>
      <c r="Y1960" s="276"/>
      <c r="Z1960" s="276"/>
      <c r="AA1960" s="276"/>
      <c r="AB1960" s="276"/>
      <c r="AC1960" s="276"/>
      <c r="AD1960" s="276"/>
    </row>
    <row r="1961" spans="18:30" x14ac:dyDescent="0.25">
      <c r="R1961" s="508"/>
      <c r="S1961" s="508"/>
      <c r="T1961" s="276"/>
      <c r="U1961" s="276"/>
      <c r="V1961" s="276"/>
      <c r="W1961" s="283"/>
      <c r="X1961" s="276"/>
      <c r="Y1961" s="276"/>
      <c r="Z1961" s="276"/>
      <c r="AA1961" s="276"/>
      <c r="AB1961" s="276"/>
      <c r="AC1961" s="276"/>
      <c r="AD1961" s="276"/>
    </row>
    <row r="1962" spans="18:30" x14ac:dyDescent="0.25">
      <c r="R1962" s="508"/>
      <c r="S1962" s="508"/>
      <c r="T1962" s="276"/>
      <c r="U1962" s="276"/>
      <c r="V1962" s="276"/>
      <c r="W1962" s="283"/>
      <c r="X1962" s="276"/>
      <c r="Y1962" s="276"/>
      <c r="Z1962" s="276"/>
      <c r="AA1962" s="276"/>
      <c r="AB1962" s="276"/>
      <c r="AC1962" s="276"/>
      <c r="AD1962" s="276"/>
    </row>
    <row r="1963" spans="18:30" x14ac:dyDescent="0.25">
      <c r="R1963" s="508"/>
      <c r="S1963" s="508"/>
      <c r="T1963" s="276"/>
      <c r="U1963" s="276"/>
      <c r="V1963" s="276"/>
      <c r="W1963" s="283"/>
      <c r="X1963" s="276"/>
      <c r="Y1963" s="276"/>
      <c r="Z1963" s="276"/>
      <c r="AA1963" s="276"/>
      <c r="AB1963" s="276"/>
      <c r="AC1963" s="276"/>
      <c r="AD1963" s="276"/>
    </row>
    <row r="1964" spans="18:30" x14ac:dyDescent="0.25">
      <c r="R1964" s="508"/>
      <c r="S1964" s="508"/>
      <c r="T1964" s="276"/>
      <c r="U1964" s="276"/>
      <c r="V1964" s="276"/>
      <c r="W1964" s="283"/>
      <c r="X1964" s="276"/>
      <c r="Y1964" s="276"/>
      <c r="Z1964" s="276"/>
      <c r="AA1964" s="276"/>
      <c r="AB1964" s="276"/>
      <c r="AC1964" s="276"/>
      <c r="AD1964" s="276"/>
    </row>
    <row r="1965" spans="18:30" x14ac:dyDescent="0.25">
      <c r="R1965" s="508"/>
      <c r="S1965" s="508"/>
      <c r="T1965" s="276"/>
      <c r="U1965" s="276"/>
      <c r="V1965" s="276"/>
      <c r="W1965" s="283"/>
      <c r="X1965" s="276"/>
      <c r="Y1965" s="276"/>
      <c r="Z1965" s="276"/>
      <c r="AA1965" s="276"/>
      <c r="AB1965" s="276"/>
      <c r="AC1965" s="276"/>
      <c r="AD1965" s="276"/>
    </row>
    <row r="1966" spans="18:30" x14ac:dyDescent="0.25">
      <c r="R1966" s="508"/>
      <c r="S1966" s="508"/>
      <c r="T1966" s="276"/>
      <c r="U1966" s="276"/>
      <c r="V1966" s="276"/>
      <c r="W1966" s="283"/>
      <c r="X1966" s="276"/>
      <c r="Y1966" s="276"/>
      <c r="Z1966" s="276"/>
      <c r="AA1966" s="276"/>
      <c r="AB1966" s="276"/>
      <c r="AC1966" s="276"/>
      <c r="AD1966" s="276"/>
    </row>
    <row r="1967" spans="18:30" x14ac:dyDescent="0.25">
      <c r="R1967" s="508"/>
      <c r="S1967" s="508"/>
      <c r="T1967" s="276"/>
      <c r="U1967" s="276"/>
      <c r="V1967" s="276"/>
      <c r="W1967" s="283"/>
      <c r="X1967" s="276"/>
      <c r="Y1967" s="276"/>
      <c r="Z1967" s="276"/>
      <c r="AA1967" s="276"/>
      <c r="AB1967" s="276"/>
      <c r="AC1967" s="276"/>
      <c r="AD1967" s="276"/>
    </row>
    <row r="1968" spans="18:30" x14ac:dyDescent="0.25">
      <c r="R1968" s="508"/>
      <c r="S1968" s="508"/>
      <c r="T1968" s="276"/>
      <c r="U1968" s="276"/>
      <c r="V1968" s="276"/>
      <c r="W1968" s="283"/>
      <c r="X1968" s="276"/>
      <c r="Y1968" s="276"/>
      <c r="Z1968" s="276"/>
      <c r="AA1968" s="276"/>
      <c r="AB1968" s="276"/>
      <c r="AC1968" s="276"/>
      <c r="AD1968" s="276"/>
    </row>
    <row r="1969" spans="18:30" x14ac:dyDescent="0.25">
      <c r="R1969" s="508"/>
      <c r="S1969" s="508"/>
      <c r="T1969" s="276"/>
      <c r="U1969" s="276"/>
      <c r="V1969" s="276"/>
      <c r="W1969" s="283"/>
      <c r="X1969" s="276"/>
      <c r="Y1969" s="276"/>
      <c r="Z1969" s="276"/>
      <c r="AA1969" s="276"/>
      <c r="AB1969" s="276"/>
      <c r="AC1969" s="276"/>
      <c r="AD1969" s="276"/>
    </row>
    <row r="1970" spans="18:30" x14ac:dyDescent="0.25">
      <c r="R1970" s="508"/>
      <c r="S1970" s="508"/>
      <c r="T1970" s="276"/>
      <c r="U1970" s="276"/>
      <c r="V1970" s="276"/>
      <c r="W1970" s="283"/>
      <c r="X1970" s="276"/>
      <c r="Y1970" s="276"/>
      <c r="Z1970" s="276"/>
      <c r="AA1970" s="276"/>
      <c r="AB1970" s="276"/>
      <c r="AC1970" s="276"/>
      <c r="AD1970" s="276"/>
    </row>
    <row r="1971" spans="18:30" x14ac:dyDescent="0.25">
      <c r="R1971" s="508"/>
      <c r="S1971" s="508"/>
      <c r="T1971" s="276"/>
      <c r="U1971" s="276"/>
      <c r="V1971" s="276"/>
      <c r="W1971" s="283"/>
      <c r="X1971" s="276"/>
      <c r="Y1971" s="276"/>
      <c r="Z1971" s="276"/>
      <c r="AA1971" s="276"/>
      <c r="AB1971" s="276"/>
      <c r="AC1971" s="276"/>
      <c r="AD1971" s="276"/>
    </row>
    <row r="1972" spans="18:30" x14ac:dyDescent="0.25">
      <c r="R1972" s="508"/>
      <c r="S1972" s="508"/>
      <c r="T1972" s="276"/>
      <c r="U1972" s="276"/>
      <c r="V1972" s="276"/>
      <c r="W1972" s="283"/>
      <c r="X1972" s="276"/>
      <c r="Y1972" s="276"/>
      <c r="Z1972" s="276"/>
      <c r="AA1972" s="276"/>
      <c r="AB1972" s="276"/>
      <c r="AC1972" s="276"/>
      <c r="AD1972" s="276"/>
    </row>
    <row r="1973" spans="18:30" x14ac:dyDescent="0.25">
      <c r="R1973" s="508"/>
      <c r="S1973" s="508"/>
      <c r="T1973" s="276"/>
      <c r="U1973" s="276"/>
      <c r="V1973" s="276"/>
      <c r="W1973" s="283"/>
      <c r="X1973" s="276"/>
      <c r="Y1973" s="276"/>
      <c r="Z1973" s="276"/>
      <c r="AA1973" s="276"/>
      <c r="AB1973" s="276"/>
      <c r="AC1973" s="276"/>
      <c r="AD1973" s="276"/>
    </row>
    <row r="1974" spans="18:30" x14ac:dyDescent="0.25">
      <c r="R1974" s="508"/>
      <c r="S1974" s="508"/>
      <c r="T1974" s="276"/>
      <c r="U1974" s="276"/>
      <c r="V1974" s="276"/>
      <c r="W1974" s="283"/>
      <c r="X1974" s="276"/>
      <c r="Y1974" s="276"/>
      <c r="Z1974" s="276"/>
      <c r="AA1974" s="276"/>
      <c r="AB1974" s="276"/>
      <c r="AC1974" s="276"/>
      <c r="AD1974" s="276"/>
    </row>
    <row r="1975" spans="18:30" x14ac:dyDescent="0.25">
      <c r="R1975" s="508"/>
      <c r="S1975" s="508"/>
      <c r="T1975" s="276"/>
      <c r="U1975" s="276"/>
      <c r="V1975" s="276"/>
      <c r="W1975" s="283"/>
      <c r="X1975" s="276"/>
      <c r="Y1975" s="276"/>
      <c r="Z1975" s="276"/>
      <c r="AA1975" s="276"/>
      <c r="AB1975" s="276"/>
      <c r="AC1975" s="276"/>
      <c r="AD1975" s="276"/>
    </row>
    <row r="1976" spans="18:30" x14ac:dyDescent="0.25">
      <c r="R1976" s="508"/>
      <c r="S1976" s="508"/>
      <c r="T1976" s="276"/>
      <c r="U1976" s="276"/>
      <c r="V1976" s="276"/>
      <c r="W1976" s="283"/>
      <c r="X1976" s="276"/>
      <c r="Y1976" s="276"/>
      <c r="Z1976" s="276"/>
      <c r="AA1976" s="276"/>
      <c r="AB1976" s="276"/>
      <c r="AC1976" s="276"/>
      <c r="AD1976" s="276"/>
    </row>
    <row r="1977" spans="18:30" x14ac:dyDescent="0.25">
      <c r="R1977" s="508"/>
      <c r="S1977" s="508"/>
      <c r="T1977" s="276"/>
      <c r="U1977" s="276"/>
      <c r="V1977" s="276"/>
      <c r="W1977" s="283"/>
      <c r="X1977" s="276"/>
      <c r="Y1977" s="276"/>
      <c r="Z1977" s="276"/>
      <c r="AA1977" s="276"/>
      <c r="AB1977" s="276"/>
      <c r="AC1977" s="276"/>
      <c r="AD1977" s="276"/>
    </row>
    <row r="1978" spans="18:30" x14ac:dyDescent="0.25">
      <c r="R1978" s="508"/>
      <c r="S1978" s="508"/>
      <c r="T1978" s="276"/>
      <c r="U1978" s="276"/>
      <c r="V1978" s="276"/>
      <c r="W1978" s="283"/>
      <c r="X1978" s="276"/>
      <c r="Y1978" s="276"/>
      <c r="Z1978" s="276"/>
      <c r="AA1978" s="276"/>
      <c r="AB1978" s="276"/>
      <c r="AC1978" s="276"/>
      <c r="AD1978" s="276"/>
    </row>
    <row r="1979" spans="18:30" x14ac:dyDescent="0.25">
      <c r="R1979" s="508"/>
      <c r="S1979" s="508"/>
      <c r="T1979" s="276"/>
      <c r="U1979" s="276"/>
      <c r="V1979" s="276"/>
      <c r="W1979" s="283"/>
      <c r="X1979" s="276"/>
      <c r="Y1979" s="276"/>
      <c r="Z1979" s="276"/>
      <c r="AA1979" s="276"/>
      <c r="AB1979" s="276"/>
      <c r="AC1979" s="276"/>
      <c r="AD1979" s="276"/>
    </row>
    <row r="1980" spans="18:30" x14ac:dyDescent="0.25">
      <c r="R1980" s="508"/>
      <c r="S1980" s="508"/>
      <c r="T1980" s="276"/>
      <c r="U1980" s="276"/>
      <c r="V1980" s="276"/>
      <c r="W1980" s="283"/>
      <c r="X1980" s="276"/>
      <c r="Y1980" s="276"/>
      <c r="Z1980" s="276"/>
      <c r="AA1980" s="276"/>
      <c r="AB1980" s="276"/>
      <c r="AC1980" s="276"/>
      <c r="AD1980" s="276"/>
    </row>
    <row r="1981" spans="18:30" x14ac:dyDescent="0.25">
      <c r="R1981" s="508"/>
      <c r="S1981" s="508"/>
      <c r="T1981" s="276"/>
      <c r="U1981" s="276"/>
      <c r="V1981" s="276"/>
      <c r="W1981" s="283"/>
      <c r="X1981" s="276"/>
      <c r="Y1981" s="276"/>
      <c r="Z1981" s="276"/>
      <c r="AA1981" s="276"/>
      <c r="AB1981" s="276"/>
      <c r="AC1981" s="276"/>
      <c r="AD1981" s="276"/>
    </row>
    <row r="1982" spans="18:30" x14ac:dyDescent="0.25">
      <c r="R1982" s="508"/>
      <c r="S1982" s="508"/>
      <c r="T1982" s="276"/>
      <c r="U1982" s="276"/>
      <c r="V1982" s="276"/>
      <c r="W1982" s="283"/>
      <c r="X1982" s="276"/>
      <c r="Y1982" s="276"/>
      <c r="Z1982" s="276"/>
      <c r="AA1982" s="276"/>
      <c r="AB1982" s="276"/>
      <c r="AC1982" s="276"/>
      <c r="AD1982" s="276"/>
    </row>
    <row r="1983" spans="18:30" x14ac:dyDescent="0.25">
      <c r="R1983" s="508"/>
      <c r="S1983" s="508"/>
      <c r="T1983" s="276"/>
      <c r="U1983" s="276"/>
      <c r="V1983" s="276"/>
      <c r="W1983" s="283"/>
      <c r="X1983" s="276"/>
      <c r="Y1983" s="276"/>
      <c r="Z1983" s="276"/>
      <c r="AA1983" s="276"/>
      <c r="AB1983" s="276"/>
      <c r="AC1983" s="276"/>
      <c r="AD1983" s="276"/>
    </row>
    <row r="1984" spans="18:30" x14ac:dyDescent="0.25">
      <c r="R1984" s="508"/>
      <c r="S1984" s="508"/>
      <c r="T1984" s="276"/>
      <c r="U1984" s="276"/>
      <c r="V1984" s="276"/>
      <c r="W1984" s="283"/>
      <c r="X1984" s="276"/>
      <c r="Y1984" s="276"/>
      <c r="Z1984" s="276"/>
      <c r="AA1984" s="276"/>
      <c r="AB1984" s="276"/>
      <c r="AC1984" s="276"/>
      <c r="AD1984" s="276"/>
    </row>
    <row r="1985" spans="18:30" x14ac:dyDescent="0.25">
      <c r="R1985" s="508"/>
      <c r="S1985" s="508"/>
      <c r="T1985" s="276"/>
      <c r="U1985" s="276"/>
      <c r="V1985" s="276"/>
      <c r="W1985" s="283"/>
      <c r="X1985" s="276"/>
      <c r="Y1985" s="276"/>
      <c r="Z1985" s="276"/>
      <c r="AA1985" s="276"/>
      <c r="AB1985" s="276"/>
      <c r="AC1985" s="276"/>
      <c r="AD1985" s="276"/>
    </row>
    <row r="1986" spans="18:30" x14ac:dyDescent="0.25">
      <c r="R1986" s="508"/>
      <c r="S1986" s="508"/>
      <c r="T1986" s="276"/>
      <c r="U1986" s="276"/>
      <c r="V1986" s="276"/>
      <c r="W1986" s="283"/>
      <c r="X1986" s="276"/>
      <c r="Y1986" s="276"/>
      <c r="Z1986" s="276"/>
      <c r="AA1986" s="276"/>
      <c r="AB1986" s="276"/>
      <c r="AC1986" s="276"/>
      <c r="AD1986" s="276"/>
    </row>
    <row r="1987" spans="18:30" x14ac:dyDescent="0.25">
      <c r="R1987" s="508"/>
      <c r="S1987" s="508"/>
      <c r="T1987" s="276"/>
      <c r="U1987" s="276"/>
      <c r="V1987" s="276"/>
      <c r="W1987" s="283"/>
      <c r="X1987" s="276"/>
      <c r="Y1987" s="276"/>
      <c r="Z1987" s="276"/>
      <c r="AA1987" s="276"/>
      <c r="AB1987" s="276"/>
      <c r="AC1987" s="276"/>
      <c r="AD1987" s="276"/>
    </row>
    <row r="1988" spans="18:30" x14ac:dyDescent="0.25">
      <c r="R1988" s="508"/>
      <c r="S1988" s="508"/>
      <c r="T1988" s="276"/>
      <c r="U1988" s="276"/>
      <c r="V1988" s="276"/>
      <c r="W1988" s="283"/>
      <c r="X1988" s="276"/>
      <c r="Y1988" s="276"/>
      <c r="Z1988" s="276"/>
      <c r="AA1988" s="276"/>
      <c r="AB1988" s="276"/>
      <c r="AC1988" s="276"/>
      <c r="AD1988" s="276"/>
    </row>
    <row r="1989" spans="18:30" x14ac:dyDescent="0.25">
      <c r="R1989" s="508"/>
      <c r="S1989" s="508"/>
      <c r="T1989" s="276"/>
      <c r="U1989" s="276"/>
      <c r="V1989" s="276"/>
      <c r="W1989" s="283"/>
      <c r="X1989" s="276"/>
      <c r="Y1989" s="276"/>
      <c r="Z1989" s="276"/>
      <c r="AA1989" s="276"/>
      <c r="AB1989" s="276"/>
      <c r="AC1989" s="276"/>
      <c r="AD1989" s="276"/>
    </row>
    <row r="1990" spans="18:30" x14ac:dyDescent="0.25">
      <c r="R1990" s="508"/>
      <c r="S1990" s="508"/>
      <c r="T1990" s="276"/>
      <c r="U1990" s="276"/>
      <c r="V1990" s="276"/>
      <c r="W1990" s="283"/>
      <c r="X1990" s="276"/>
      <c r="Y1990" s="276"/>
      <c r="Z1990" s="276"/>
      <c r="AA1990" s="276"/>
      <c r="AB1990" s="276"/>
      <c r="AC1990" s="276"/>
      <c r="AD1990" s="276"/>
    </row>
    <row r="1991" spans="18:30" x14ac:dyDescent="0.25">
      <c r="R1991" s="508"/>
      <c r="S1991" s="508"/>
      <c r="T1991" s="276"/>
      <c r="U1991" s="276"/>
      <c r="V1991" s="276"/>
      <c r="W1991" s="283"/>
      <c r="X1991" s="276"/>
      <c r="Y1991" s="276"/>
      <c r="Z1991" s="276"/>
      <c r="AA1991" s="276"/>
      <c r="AB1991" s="276"/>
      <c r="AC1991" s="276"/>
      <c r="AD1991" s="276"/>
    </row>
    <row r="1992" spans="18:30" x14ac:dyDescent="0.25">
      <c r="R1992" s="508"/>
      <c r="S1992" s="508"/>
      <c r="T1992" s="276"/>
      <c r="U1992" s="276"/>
      <c r="V1992" s="276"/>
      <c r="W1992" s="283"/>
      <c r="X1992" s="276"/>
      <c r="Y1992" s="276"/>
      <c r="Z1992" s="276"/>
      <c r="AA1992" s="276"/>
      <c r="AB1992" s="276"/>
      <c r="AC1992" s="276"/>
      <c r="AD1992" s="276"/>
    </row>
    <row r="1993" spans="18:30" x14ac:dyDescent="0.25">
      <c r="R1993" s="508"/>
      <c r="S1993" s="508"/>
      <c r="T1993" s="276"/>
      <c r="U1993" s="276"/>
      <c r="V1993" s="276"/>
      <c r="W1993" s="283"/>
      <c r="X1993" s="276"/>
      <c r="Y1993" s="276"/>
      <c r="Z1993" s="276"/>
      <c r="AA1993" s="276"/>
      <c r="AB1993" s="276"/>
      <c r="AC1993" s="276"/>
      <c r="AD1993" s="276"/>
    </row>
    <row r="1994" spans="18:30" x14ac:dyDescent="0.25">
      <c r="R1994" s="508"/>
      <c r="S1994" s="508"/>
      <c r="T1994" s="276"/>
      <c r="U1994" s="276"/>
      <c r="V1994" s="276"/>
      <c r="W1994" s="283"/>
      <c r="X1994" s="276"/>
      <c r="Y1994" s="276"/>
      <c r="Z1994" s="276"/>
      <c r="AA1994" s="276"/>
      <c r="AB1994" s="276"/>
      <c r="AC1994" s="276"/>
      <c r="AD1994" s="276"/>
    </row>
    <row r="1995" spans="18:30" x14ac:dyDescent="0.25">
      <c r="R1995" s="508"/>
      <c r="S1995" s="508"/>
      <c r="T1995" s="276"/>
      <c r="U1995" s="276"/>
      <c r="V1995" s="276"/>
      <c r="W1995" s="283"/>
      <c r="X1995" s="276"/>
      <c r="Y1995" s="276"/>
      <c r="Z1995" s="276"/>
      <c r="AA1995" s="276"/>
      <c r="AB1995" s="276"/>
      <c r="AC1995" s="276"/>
      <c r="AD1995" s="276"/>
    </row>
    <row r="1996" spans="18:30" x14ac:dyDescent="0.25">
      <c r="R1996" s="508"/>
      <c r="S1996" s="508"/>
      <c r="T1996" s="276"/>
      <c r="U1996" s="276"/>
      <c r="V1996" s="276"/>
      <c r="W1996" s="283"/>
      <c r="X1996" s="276"/>
      <c r="Y1996" s="276"/>
      <c r="Z1996" s="276"/>
      <c r="AA1996" s="276"/>
      <c r="AB1996" s="276"/>
      <c r="AC1996" s="276"/>
      <c r="AD1996" s="276"/>
    </row>
    <row r="1997" spans="18:30" x14ac:dyDescent="0.25">
      <c r="R1997" s="508"/>
      <c r="S1997" s="508"/>
      <c r="T1997" s="276"/>
      <c r="U1997" s="276"/>
      <c r="V1997" s="276"/>
      <c r="W1997" s="283"/>
      <c r="X1997" s="276"/>
      <c r="Y1997" s="276"/>
      <c r="Z1997" s="276"/>
      <c r="AA1997" s="276"/>
      <c r="AB1997" s="276"/>
      <c r="AC1997" s="276"/>
      <c r="AD1997" s="276"/>
    </row>
    <row r="1998" spans="18:30" x14ac:dyDescent="0.25">
      <c r="R1998" s="508"/>
      <c r="S1998" s="508"/>
      <c r="T1998" s="276"/>
      <c r="U1998" s="276"/>
      <c r="V1998" s="276"/>
      <c r="W1998" s="283"/>
      <c r="X1998" s="276"/>
      <c r="Y1998" s="276"/>
      <c r="Z1998" s="276"/>
      <c r="AA1998" s="276"/>
      <c r="AB1998" s="276"/>
      <c r="AC1998" s="276"/>
      <c r="AD1998" s="276"/>
    </row>
    <row r="1999" spans="18:30" x14ac:dyDescent="0.25">
      <c r="R1999" s="508"/>
      <c r="S1999" s="508"/>
      <c r="T1999" s="276"/>
      <c r="U1999" s="276"/>
      <c r="V1999" s="276"/>
      <c r="W1999" s="283"/>
      <c r="X1999" s="276"/>
      <c r="Y1999" s="276"/>
      <c r="Z1999" s="276"/>
      <c r="AA1999" s="276"/>
      <c r="AB1999" s="276"/>
      <c r="AC1999" s="276"/>
      <c r="AD1999" s="276"/>
    </row>
    <row r="2000" spans="18:30" x14ac:dyDescent="0.25">
      <c r="R2000" s="508"/>
      <c r="S2000" s="508"/>
      <c r="T2000" s="276"/>
      <c r="U2000" s="276"/>
      <c r="V2000" s="276"/>
      <c r="W2000" s="283"/>
      <c r="X2000" s="276"/>
      <c r="Y2000" s="276"/>
      <c r="Z2000" s="276"/>
      <c r="AA2000" s="276"/>
      <c r="AB2000" s="276"/>
      <c r="AC2000" s="276"/>
      <c r="AD2000" s="276"/>
    </row>
    <row r="2001" spans="18:30" x14ac:dyDescent="0.25">
      <c r="R2001" s="508"/>
      <c r="S2001" s="508"/>
      <c r="T2001" s="276"/>
      <c r="U2001" s="276"/>
      <c r="V2001" s="276"/>
      <c r="W2001" s="283"/>
      <c r="X2001" s="276"/>
      <c r="Y2001" s="276"/>
      <c r="Z2001" s="276"/>
      <c r="AA2001" s="276"/>
      <c r="AB2001" s="276"/>
      <c r="AC2001" s="276"/>
      <c r="AD2001" s="276"/>
    </row>
    <row r="2002" spans="18:30" x14ac:dyDescent="0.25">
      <c r="R2002" s="508"/>
      <c r="S2002" s="508"/>
      <c r="T2002" s="276"/>
      <c r="U2002" s="276"/>
      <c r="V2002" s="276"/>
      <c r="W2002" s="283"/>
      <c r="X2002" s="276"/>
      <c r="Y2002" s="276"/>
      <c r="Z2002" s="276"/>
      <c r="AA2002" s="276"/>
      <c r="AB2002" s="276"/>
      <c r="AC2002" s="276"/>
      <c r="AD2002" s="276"/>
    </row>
    <row r="2003" spans="18:30" x14ac:dyDescent="0.25">
      <c r="R2003" s="508"/>
      <c r="S2003" s="508"/>
      <c r="T2003" s="276"/>
      <c r="U2003" s="276"/>
      <c r="V2003" s="276"/>
      <c r="W2003" s="283"/>
      <c r="X2003" s="276"/>
      <c r="Y2003" s="276"/>
      <c r="Z2003" s="276"/>
      <c r="AA2003" s="276"/>
      <c r="AB2003" s="276"/>
      <c r="AC2003" s="276"/>
      <c r="AD2003" s="276"/>
    </row>
    <row r="2004" spans="18:30" x14ac:dyDescent="0.25">
      <c r="R2004" s="508"/>
      <c r="S2004" s="508"/>
      <c r="T2004" s="276"/>
      <c r="U2004" s="276"/>
      <c r="V2004" s="276"/>
      <c r="W2004" s="283"/>
      <c r="X2004" s="276"/>
      <c r="Y2004" s="276"/>
      <c r="Z2004" s="276"/>
      <c r="AA2004" s="276"/>
      <c r="AB2004" s="276"/>
      <c r="AC2004" s="276"/>
      <c r="AD2004" s="276"/>
    </row>
    <row r="2005" spans="18:30" x14ac:dyDescent="0.25">
      <c r="R2005" s="508"/>
      <c r="S2005" s="508"/>
      <c r="T2005" s="276"/>
      <c r="U2005" s="276"/>
      <c r="V2005" s="276"/>
      <c r="W2005" s="283"/>
      <c r="X2005" s="276"/>
      <c r="Y2005" s="276"/>
      <c r="Z2005" s="276"/>
      <c r="AA2005" s="276"/>
      <c r="AB2005" s="276"/>
      <c r="AC2005" s="276"/>
      <c r="AD2005" s="276"/>
    </row>
    <row r="2006" spans="18:30" x14ac:dyDescent="0.25">
      <c r="R2006" s="508"/>
      <c r="S2006" s="508"/>
      <c r="T2006" s="276"/>
      <c r="U2006" s="276"/>
      <c r="V2006" s="276"/>
      <c r="W2006" s="283"/>
      <c r="X2006" s="276"/>
      <c r="Y2006" s="276"/>
      <c r="Z2006" s="276"/>
      <c r="AA2006" s="276"/>
      <c r="AB2006" s="276"/>
      <c r="AC2006" s="276"/>
      <c r="AD2006" s="276"/>
    </row>
    <row r="2007" spans="18:30" x14ac:dyDescent="0.25">
      <c r="R2007" s="508"/>
      <c r="S2007" s="508"/>
      <c r="T2007" s="276"/>
      <c r="U2007" s="276"/>
      <c r="V2007" s="276"/>
      <c r="W2007" s="283"/>
      <c r="X2007" s="276"/>
      <c r="Y2007" s="276"/>
      <c r="Z2007" s="276"/>
      <c r="AA2007" s="276"/>
      <c r="AB2007" s="276"/>
      <c r="AC2007" s="276"/>
      <c r="AD2007" s="276"/>
    </row>
    <row r="2008" spans="18:30" x14ac:dyDescent="0.25">
      <c r="R2008" s="508"/>
      <c r="S2008" s="508"/>
      <c r="T2008" s="276"/>
      <c r="U2008" s="276"/>
      <c r="V2008" s="276"/>
      <c r="W2008" s="283"/>
      <c r="X2008" s="276"/>
      <c r="Y2008" s="276"/>
      <c r="Z2008" s="276"/>
      <c r="AA2008" s="276"/>
      <c r="AB2008" s="276"/>
      <c r="AC2008" s="276"/>
      <c r="AD2008" s="276"/>
    </row>
    <row r="2009" spans="18:30" x14ac:dyDescent="0.25">
      <c r="R2009" s="508"/>
      <c r="S2009" s="508"/>
      <c r="T2009" s="276"/>
      <c r="U2009" s="276"/>
      <c r="V2009" s="276"/>
      <c r="W2009" s="283"/>
      <c r="X2009" s="276"/>
      <c r="Y2009" s="276"/>
      <c r="Z2009" s="276"/>
      <c r="AA2009" s="276"/>
      <c r="AB2009" s="276"/>
      <c r="AC2009" s="276"/>
      <c r="AD2009" s="276"/>
    </row>
    <row r="2010" spans="18:30" x14ac:dyDescent="0.25">
      <c r="R2010" s="508"/>
      <c r="S2010" s="508"/>
      <c r="T2010" s="276"/>
      <c r="U2010" s="276"/>
      <c r="V2010" s="276"/>
      <c r="W2010" s="283"/>
      <c r="X2010" s="276"/>
      <c r="Y2010" s="276"/>
      <c r="Z2010" s="276"/>
      <c r="AA2010" s="276"/>
      <c r="AB2010" s="276"/>
      <c r="AC2010" s="276"/>
      <c r="AD2010" s="276"/>
    </row>
    <row r="2011" spans="18:30" x14ac:dyDescent="0.25">
      <c r="R2011" s="508"/>
      <c r="S2011" s="508"/>
      <c r="T2011" s="276"/>
      <c r="U2011" s="276"/>
      <c r="V2011" s="276"/>
      <c r="W2011" s="283"/>
      <c r="X2011" s="276"/>
      <c r="Y2011" s="276"/>
      <c r="Z2011" s="276"/>
      <c r="AA2011" s="276"/>
      <c r="AB2011" s="276"/>
      <c r="AC2011" s="276"/>
      <c r="AD2011" s="276"/>
    </row>
    <row r="2012" spans="18:30" x14ac:dyDescent="0.25">
      <c r="R2012" s="508"/>
      <c r="S2012" s="508"/>
      <c r="T2012" s="276"/>
      <c r="U2012" s="276"/>
      <c r="V2012" s="276"/>
      <c r="W2012" s="283"/>
      <c r="X2012" s="276"/>
      <c r="Y2012" s="276"/>
      <c r="Z2012" s="276"/>
      <c r="AA2012" s="276"/>
      <c r="AB2012" s="276"/>
      <c r="AC2012" s="276"/>
      <c r="AD2012" s="276"/>
    </row>
    <row r="2013" spans="18:30" x14ac:dyDescent="0.25">
      <c r="R2013" s="508"/>
      <c r="S2013" s="508"/>
      <c r="T2013" s="276"/>
      <c r="U2013" s="276"/>
      <c r="V2013" s="276"/>
      <c r="W2013" s="283"/>
      <c r="X2013" s="276"/>
      <c r="Y2013" s="276"/>
      <c r="Z2013" s="276"/>
      <c r="AA2013" s="276"/>
      <c r="AB2013" s="276"/>
      <c r="AC2013" s="276"/>
      <c r="AD2013" s="276"/>
    </row>
    <row r="2014" spans="18:30" x14ac:dyDescent="0.25">
      <c r="R2014" s="508"/>
      <c r="S2014" s="508"/>
      <c r="T2014" s="276"/>
      <c r="U2014" s="276"/>
      <c r="V2014" s="276"/>
      <c r="W2014" s="283"/>
      <c r="X2014" s="276"/>
      <c r="Y2014" s="276"/>
      <c r="Z2014" s="276"/>
      <c r="AA2014" s="276"/>
      <c r="AB2014" s="276"/>
      <c r="AC2014" s="276"/>
      <c r="AD2014" s="276"/>
    </row>
    <row r="2015" spans="18:30" x14ac:dyDescent="0.25">
      <c r="R2015" s="508"/>
      <c r="S2015" s="508"/>
      <c r="T2015" s="276"/>
      <c r="U2015" s="276"/>
      <c r="V2015" s="276"/>
      <c r="W2015" s="283"/>
      <c r="X2015" s="276"/>
      <c r="Y2015" s="276"/>
      <c r="Z2015" s="276"/>
      <c r="AA2015" s="276"/>
      <c r="AB2015" s="276"/>
      <c r="AC2015" s="276"/>
      <c r="AD2015" s="276"/>
    </row>
    <row r="2016" spans="18:30" x14ac:dyDescent="0.25">
      <c r="R2016" s="508"/>
      <c r="S2016" s="508"/>
      <c r="T2016" s="276"/>
      <c r="U2016" s="276"/>
      <c r="V2016" s="276"/>
      <c r="W2016" s="283"/>
      <c r="X2016" s="276"/>
      <c r="Y2016" s="276"/>
      <c r="Z2016" s="276"/>
      <c r="AA2016" s="276"/>
      <c r="AB2016" s="276"/>
      <c r="AC2016" s="276"/>
      <c r="AD2016" s="276"/>
    </row>
    <row r="2017" spans="18:30" x14ac:dyDescent="0.25">
      <c r="R2017" s="508"/>
      <c r="S2017" s="508"/>
      <c r="T2017" s="276"/>
      <c r="U2017" s="276"/>
      <c r="V2017" s="276"/>
      <c r="W2017" s="283"/>
      <c r="X2017" s="276"/>
      <c r="Y2017" s="276"/>
      <c r="Z2017" s="276"/>
      <c r="AA2017" s="276"/>
      <c r="AB2017" s="276"/>
      <c r="AC2017" s="276"/>
      <c r="AD2017" s="276"/>
    </row>
    <row r="2018" spans="18:30" x14ac:dyDescent="0.25">
      <c r="R2018" s="508"/>
      <c r="S2018" s="508"/>
      <c r="T2018" s="276"/>
      <c r="U2018" s="276"/>
      <c r="V2018" s="276"/>
      <c r="W2018" s="283"/>
      <c r="X2018" s="276"/>
      <c r="Y2018" s="276"/>
      <c r="Z2018" s="276"/>
      <c r="AA2018" s="276"/>
      <c r="AB2018" s="276"/>
      <c r="AC2018" s="276"/>
      <c r="AD2018" s="276"/>
    </row>
    <row r="2019" spans="18:30" x14ac:dyDescent="0.25">
      <c r="R2019" s="508"/>
      <c r="S2019" s="508"/>
      <c r="T2019" s="276"/>
      <c r="U2019" s="276"/>
      <c r="V2019" s="276"/>
      <c r="W2019" s="283"/>
      <c r="X2019" s="276"/>
      <c r="Y2019" s="276"/>
      <c r="Z2019" s="276"/>
      <c r="AA2019" s="276"/>
      <c r="AB2019" s="276"/>
      <c r="AC2019" s="276"/>
      <c r="AD2019" s="276"/>
    </row>
    <row r="2020" spans="18:30" x14ac:dyDescent="0.25">
      <c r="R2020" s="508"/>
      <c r="S2020" s="508"/>
      <c r="T2020" s="276"/>
      <c r="U2020" s="276"/>
      <c r="V2020" s="276"/>
      <c r="W2020" s="283"/>
      <c r="X2020" s="276"/>
      <c r="Y2020" s="276"/>
      <c r="Z2020" s="276"/>
      <c r="AA2020" s="276"/>
      <c r="AB2020" s="276"/>
      <c r="AC2020" s="276"/>
      <c r="AD2020" s="276"/>
    </row>
    <row r="2021" spans="18:30" x14ac:dyDescent="0.25">
      <c r="R2021" s="508"/>
      <c r="S2021" s="508"/>
      <c r="T2021" s="276"/>
      <c r="U2021" s="276"/>
      <c r="V2021" s="276"/>
      <c r="W2021" s="283"/>
      <c r="X2021" s="276"/>
      <c r="Y2021" s="276"/>
      <c r="Z2021" s="276"/>
      <c r="AA2021" s="276"/>
      <c r="AB2021" s="276"/>
      <c r="AC2021" s="276"/>
      <c r="AD2021" s="276"/>
    </row>
    <row r="2022" spans="18:30" x14ac:dyDescent="0.25">
      <c r="R2022" s="508"/>
      <c r="S2022" s="508"/>
      <c r="T2022" s="276"/>
      <c r="U2022" s="276"/>
      <c r="V2022" s="276"/>
      <c r="W2022" s="283"/>
      <c r="X2022" s="276"/>
      <c r="Y2022" s="276"/>
      <c r="Z2022" s="276"/>
      <c r="AA2022" s="276"/>
      <c r="AB2022" s="276"/>
      <c r="AC2022" s="276"/>
      <c r="AD2022" s="276"/>
    </row>
    <row r="2023" spans="18:30" x14ac:dyDescent="0.25">
      <c r="R2023" s="508"/>
      <c r="S2023" s="508"/>
      <c r="T2023" s="276"/>
      <c r="U2023" s="276"/>
      <c r="V2023" s="276"/>
      <c r="W2023" s="283"/>
      <c r="X2023" s="276"/>
      <c r="Y2023" s="276"/>
      <c r="Z2023" s="276"/>
      <c r="AA2023" s="276"/>
      <c r="AB2023" s="276"/>
      <c r="AC2023" s="276"/>
      <c r="AD2023" s="276"/>
    </row>
    <row r="2024" spans="18:30" x14ac:dyDescent="0.25">
      <c r="R2024" s="508"/>
      <c r="S2024" s="508"/>
      <c r="T2024" s="276"/>
      <c r="U2024" s="276"/>
      <c r="V2024" s="276"/>
      <c r="W2024" s="283"/>
      <c r="X2024" s="276"/>
      <c r="Y2024" s="276"/>
      <c r="Z2024" s="276"/>
      <c r="AA2024" s="276"/>
      <c r="AB2024" s="276"/>
      <c r="AC2024" s="276"/>
      <c r="AD2024" s="276"/>
    </row>
    <row r="2025" spans="18:30" x14ac:dyDescent="0.25">
      <c r="R2025" s="508"/>
      <c r="S2025" s="508"/>
      <c r="T2025" s="276"/>
      <c r="U2025" s="276"/>
      <c r="V2025" s="276"/>
      <c r="W2025" s="283"/>
      <c r="X2025" s="276"/>
      <c r="Y2025" s="276"/>
      <c r="Z2025" s="276"/>
      <c r="AA2025" s="276"/>
      <c r="AB2025" s="276"/>
      <c r="AC2025" s="276"/>
      <c r="AD2025" s="276"/>
    </row>
    <row r="2026" spans="18:30" x14ac:dyDescent="0.25">
      <c r="R2026" s="508"/>
      <c r="S2026" s="508"/>
      <c r="T2026" s="276"/>
      <c r="U2026" s="276"/>
      <c r="V2026" s="276"/>
      <c r="W2026" s="283"/>
      <c r="X2026" s="276"/>
      <c r="Y2026" s="276"/>
      <c r="Z2026" s="276"/>
      <c r="AA2026" s="276"/>
      <c r="AB2026" s="276"/>
      <c r="AC2026" s="276"/>
      <c r="AD2026" s="276"/>
    </row>
    <row r="2027" spans="18:30" x14ac:dyDescent="0.25">
      <c r="R2027" s="508"/>
      <c r="S2027" s="508"/>
      <c r="T2027" s="276"/>
      <c r="U2027" s="276"/>
      <c r="V2027" s="276"/>
      <c r="W2027" s="283"/>
      <c r="X2027" s="276"/>
      <c r="Y2027" s="276"/>
      <c r="Z2027" s="276"/>
      <c r="AA2027" s="276"/>
      <c r="AB2027" s="276"/>
      <c r="AC2027" s="276"/>
      <c r="AD2027" s="276"/>
    </row>
    <row r="2028" spans="18:30" x14ac:dyDescent="0.25">
      <c r="R2028" s="508"/>
      <c r="S2028" s="508"/>
      <c r="T2028" s="276"/>
      <c r="U2028" s="276"/>
      <c r="V2028" s="276"/>
      <c r="W2028" s="283"/>
      <c r="X2028" s="276"/>
      <c r="Y2028" s="276"/>
      <c r="Z2028" s="276"/>
      <c r="AA2028" s="276"/>
      <c r="AB2028" s="276"/>
      <c r="AC2028" s="276"/>
      <c r="AD2028" s="276"/>
    </row>
    <row r="2029" spans="18:30" x14ac:dyDescent="0.25">
      <c r="R2029" s="508"/>
      <c r="S2029" s="508"/>
      <c r="T2029" s="276"/>
      <c r="U2029" s="276"/>
      <c r="V2029" s="276"/>
      <c r="W2029" s="283"/>
      <c r="X2029" s="276"/>
      <c r="Y2029" s="276"/>
      <c r="Z2029" s="276"/>
      <c r="AA2029" s="276"/>
      <c r="AB2029" s="276"/>
      <c r="AC2029" s="276"/>
      <c r="AD2029" s="276"/>
    </row>
    <row r="2030" spans="18:30" x14ac:dyDescent="0.25">
      <c r="R2030" s="508"/>
      <c r="S2030" s="508"/>
      <c r="T2030" s="276"/>
      <c r="U2030" s="276"/>
      <c r="V2030" s="276"/>
      <c r="W2030" s="283"/>
      <c r="X2030" s="276"/>
      <c r="Y2030" s="276"/>
      <c r="Z2030" s="276"/>
      <c r="AA2030" s="276"/>
      <c r="AB2030" s="276"/>
      <c r="AC2030" s="276"/>
      <c r="AD2030" s="276"/>
    </row>
    <row r="2031" spans="18:30" x14ac:dyDescent="0.25">
      <c r="R2031" s="508"/>
      <c r="S2031" s="508"/>
      <c r="T2031" s="276"/>
      <c r="U2031" s="276"/>
      <c r="V2031" s="276"/>
      <c r="W2031" s="283"/>
      <c r="X2031" s="276"/>
      <c r="Y2031" s="276"/>
      <c r="Z2031" s="276"/>
      <c r="AA2031" s="276"/>
      <c r="AB2031" s="276"/>
      <c r="AC2031" s="276"/>
      <c r="AD2031" s="276"/>
    </row>
    <row r="2032" spans="18:30" x14ac:dyDescent="0.25">
      <c r="R2032" s="508"/>
      <c r="S2032" s="508"/>
      <c r="T2032" s="276"/>
      <c r="U2032" s="276"/>
      <c r="V2032" s="276"/>
      <c r="W2032" s="283"/>
      <c r="X2032" s="276"/>
      <c r="Y2032" s="276"/>
      <c r="Z2032" s="276"/>
      <c r="AA2032" s="276"/>
      <c r="AB2032" s="276"/>
      <c r="AC2032" s="276"/>
      <c r="AD2032" s="276"/>
    </row>
    <row r="2033" spans="18:30" x14ac:dyDescent="0.25">
      <c r="R2033" s="508"/>
      <c r="S2033" s="508"/>
      <c r="T2033" s="276"/>
      <c r="U2033" s="276"/>
      <c r="V2033" s="276"/>
      <c r="W2033" s="283"/>
      <c r="X2033" s="276"/>
      <c r="Y2033" s="276"/>
      <c r="Z2033" s="276"/>
      <c r="AA2033" s="276"/>
      <c r="AB2033" s="276"/>
      <c r="AC2033" s="276"/>
      <c r="AD2033" s="276"/>
    </row>
    <row r="2034" spans="18:30" x14ac:dyDescent="0.25">
      <c r="R2034" s="508"/>
      <c r="S2034" s="508"/>
      <c r="T2034" s="276"/>
      <c r="U2034" s="276"/>
      <c r="V2034" s="276"/>
      <c r="W2034" s="283"/>
      <c r="X2034" s="276"/>
      <c r="Y2034" s="276"/>
      <c r="Z2034" s="276"/>
      <c r="AA2034" s="276"/>
      <c r="AB2034" s="276"/>
      <c r="AC2034" s="276"/>
      <c r="AD2034" s="276"/>
    </row>
    <row r="2035" spans="18:30" x14ac:dyDescent="0.25">
      <c r="R2035" s="508"/>
      <c r="S2035" s="508"/>
      <c r="T2035" s="276"/>
      <c r="U2035" s="276"/>
      <c r="V2035" s="276"/>
      <c r="W2035" s="283"/>
      <c r="X2035" s="276"/>
      <c r="Y2035" s="276"/>
      <c r="Z2035" s="276"/>
      <c r="AA2035" s="276"/>
      <c r="AB2035" s="276"/>
      <c r="AC2035" s="276"/>
      <c r="AD2035" s="276"/>
    </row>
    <row r="2036" spans="18:30" x14ac:dyDescent="0.25">
      <c r="R2036" s="508"/>
      <c r="S2036" s="508"/>
      <c r="T2036" s="276"/>
      <c r="U2036" s="276"/>
      <c r="V2036" s="276"/>
      <c r="W2036" s="283"/>
      <c r="X2036" s="276"/>
      <c r="Y2036" s="276"/>
      <c r="Z2036" s="276"/>
      <c r="AA2036" s="276"/>
      <c r="AB2036" s="276"/>
      <c r="AC2036" s="276"/>
      <c r="AD2036" s="276"/>
    </row>
    <row r="2037" spans="18:30" x14ac:dyDescent="0.25">
      <c r="R2037" s="508"/>
      <c r="S2037" s="508"/>
      <c r="T2037" s="276"/>
      <c r="U2037" s="276"/>
      <c r="V2037" s="276"/>
      <c r="W2037" s="283"/>
      <c r="X2037" s="276"/>
      <c r="Y2037" s="276"/>
      <c r="Z2037" s="276"/>
      <c r="AA2037" s="276"/>
      <c r="AB2037" s="276"/>
      <c r="AC2037" s="276"/>
      <c r="AD2037" s="276"/>
    </row>
    <row r="2038" spans="18:30" x14ac:dyDescent="0.25">
      <c r="R2038" s="508"/>
      <c r="S2038" s="508"/>
      <c r="T2038" s="276"/>
      <c r="U2038" s="276"/>
      <c r="V2038" s="276"/>
      <c r="W2038" s="283"/>
      <c r="X2038" s="276"/>
      <c r="Y2038" s="276"/>
      <c r="Z2038" s="276"/>
      <c r="AA2038" s="276"/>
      <c r="AB2038" s="276"/>
      <c r="AC2038" s="276"/>
      <c r="AD2038" s="276"/>
    </row>
    <row r="2039" spans="18:30" x14ac:dyDescent="0.25">
      <c r="R2039" s="508"/>
      <c r="S2039" s="508"/>
      <c r="T2039" s="276"/>
      <c r="U2039" s="276"/>
      <c r="V2039" s="276"/>
      <c r="W2039" s="283"/>
      <c r="X2039" s="276"/>
      <c r="Y2039" s="276"/>
      <c r="Z2039" s="276"/>
      <c r="AA2039" s="276"/>
      <c r="AB2039" s="276"/>
      <c r="AC2039" s="276"/>
      <c r="AD2039" s="276"/>
    </row>
    <row r="2040" spans="18:30" x14ac:dyDescent="0.25">
      <c r="R2040" s="508"/>
      <c r="S2040" s="508"/>
      <c r="T2040" s="276"/>
      <c r="U2040" s="276"/>
      <c r="V2040" s="276"/>
      <c r="W2040" s="283"/>
      <c r="X2040" s="276"/>
      <c r="Y2040" s="276"/>
      <c r="Z2040" s="276"/>
      <c r="AA2040" s="276"/>
      <c r="AB2040" s="276"/>
      <c r="AC2040" s="276"/>
      <c r="AD2040" s="276"/>
    </row>
    <row r="2041" spans="18:30" x14ac:dyDescent="0.25">
      <c r="R2041" s="508"/>
      <c r="S2041" s="508"/>
      <c r="T2041" s="276"/>
      <c r="U2041" s="276"/>
      <c r="V2041" s="276"/>
      <c r="W2041" s="283"/>
      <c r="X2041" s="276"/>
      <c r="Y2041" s="276"/>
      <c r="Z2041" s="276"/>
      <c r="AA2041" s="276"/>
      <c r="AB2041" s="276"/>
      <c r="AC2041" s="276"/>
      <c r="AD2041" s="276"/>
    </row>
    <row r="2042" spans="18:30" x14ac:dyDescent="0.25">
      <c r="R2042" s="508"/>
      <c r="S2042" s="508"/>
      <c r="T2042" s="276"/>
      <c r="U2042" s="276"/>
      <c r="V2042" s="276"/>
      <c r="W2042" s="283"/>
      <c r="X2042" s="276"/>
      <c r="Y2042" s="276"/>
      <c r="Z2042" s="276"/>
      <c r="AA2042" s="276"/>
      <c r="AB2042" s="276"/>
      <c r="AC2042" s="276"/>
      <c r="AD2042" s="276"/>
    </row>
    <row r="2043" spans="18:30" x14ac:dyDescent="0.25">
      <c r="R2043" s="508"/>
      <c r="S2043" s="508"/>
      <c r="T2043" s="276"/>
      <c r="U2043" s="276"/>
      <c r="V2043" s="276"/>
      <c r="W2043" s="283"/>
      <c r="X2043" s="276"/>
      <c r="Y2043" s="276"/>
      <c r="Z2043" s="276"/>
      <c r="AA2043" s="276"/>
      <c r="AB2043" s="276"/>
      <c r="AC2043" s="276"/>
      <c r="AD2043" s="276"/>
    </row>
    <row r="2044" spans="18:30" x14ac:dyDescent="0.25">
      <c r="R2044" s="508"/>
      <c r="S2044" s="508"/>
      <c r="T2044" s="276"/>
      <c r="U2044" s="276"/>
      <c r="V2044" s="276"/>
      <c r="W2044" s="283"/>
      <c r="X2044" s="276"/>
      <c r="Y2044" s="276"/>
      <c r="Z2044" s="276"/>
      <c r="AA2044" s="276"/>
      <c r="AB2044" s="276"/>
      <c r="AC2044" s="276"/>
      <c r="AD2044" s="276"/>
    </row>
    <row r="2045" spans="18:30" x14ac:dyDescent="0.25">
      <c r="R2045" s="508"/>
      <c r="S2045" s="508"/>
      <c r="T2045" s="276"/>
      <c r="U2045" s="276"/>
      <c r="V2045" s="276"/>
      <c r="W2045" s="283"/>
      <c r="X2045" s="276"/>
      <c r="Y2045" s="276"/>
      <c r="Z2045" s="276"/>
      <c r="AA2045" s="276"/>
      <c r="AB2045" s="276"/>
      <c r="AC2045" s="276"/>
      <c r="AD2045" s="276"/>
    </row>
    <row r="2046" spans="18:30" x14ac:dyDescent="0.25">
      <c r="R2046" s="508"/>
      <c r="S2046" s="508"/>
      <c r="T2046" s="276"/>
      <c r="U2046" s="276"/>
      <c r="V2046" s="276"/>
      <c r="W2046" s="283"/>
      <c r="X2046" s="276"/>
      <c r="Y2046" s="276"/>
      <c r="Z2046" s="276"/>
      <c r="AA2046" s="276"/>
      <c r="AB2046" s="276"/>
      <c r="AC2046" s="276"/>
      <c r="AD2046" s="276"/>
    </row>
    <row r="2047" spans="18:30" x14ac:dyDescent="0.25">
      <c r="R2047" s="508"/>
      <c r="S2047" s="508"/>
      <c r="T2047" s="276"/>
      <c r="U2047" s="276"/>
      <c r="V2047" s="276"/>
      <c r="W2047" s="283"/>
      <c r="X2047" s="276"/>
      <c r="Y2047" s="276"/>
      <c r="Z2047" s="276"/>
      <c r="AA2047" s="276"/>
      <c r="AB2047" s="276"/>
      <c r="AC2047" s="276"/>
      <c r="AD2047" s="276"/>
    </row>
    <row r="2048" spans="18:30" x14ac:dyDescent="0.25">
      <c r="R2048" s="508"/>
      <c r="S2048" s="508"/>
      <c r="T2048" s="276"/>
      <c r="U2048" s="276"/>
      <c r="V2048" s="276"/>
      <c r="W2048" s="283"/>
      <c r="X2048" s="276"/>
      <c r="Y2048" s="276"/>
      <c r="Z2048" s="276"/>
      <c r="AA2048" s="276"/>
      <c r="AB2048" s="276"/>
      <c r="AC2048" s="276"/>
      <c r="AD2048" s="276"/>
    </row>
    <row r="2049" spans="18:30" x14ac:dyDescent="0.25">
      <c r="R2049" s="508"/>
      <c r="S2049" s="508"/>
      <c r="T2049" s="276"/>
      <c r="U2049" s="276"/>
      <c r="V2049" s="276"/>
      <c r="W2049" s="283"/>
      <c r="X2049" s="276"/>
      <c r="Y2049" s="276"/>
      <c r="Z2049" s="276"/>
      <c r="AA2049" s="276"/>
      <c r="AB2049" s="276"/>
      <c r="AC2049" s="276"/>
      <c r="AD2049" s="276"/>
    </row>
    <row r="2050" spans="18:30" x14ac:dyDescent="0.25">
      <c r="R2050" s="508"/>
      <c r="S2050" s="508"/>
      <c r="T2050" s="276"/>
      <c r="U2050" s="276"/>
      <c r="V2050" s="276"/>
      <c r="W2050" s="283"/>
      <c r="X2050" s="276"/>
      <c r="Y2050" s="276"/>
      <c r="Z2050" s="276"/>
      <c r="AA2050" s="276"/>
      <c r="AB2050" s="276"/>
      <c r="AC2050" s="276"/>
      <c r="AD2050" s="276"/>
    </row>
    <row r="2051" spans="18:30" x14ac:dyDescent="0.25">
      <c r="R2051" s="508"/>
      <c r="S2051" s="508"/>
      <c r="T2051" s="276"/>
      <c r="U2051" s="276"/>
      <c r="V2051" s="276"/>
      <c r="W2051" s="283"/>
      <c r="X2051" s="276"/>
      <c r="Y2051" s="276"/>
      <c r="Z2051" s="276"/>
      <c r="AA2051" s="276"/>
      <c r="AB2051" s="276"/>
      <c r="AC2051" s="276"/>
      <c r="AD2051" s="276"/>
    </row>
    <row r="2052" spans="18:30" x14ac:dyDescent="0.25">
      <c r="R2052" s="508"/>
      <c r="S2052" s="508"/>
      <c r="T2052" s="276"/>
      <c r="U2052" s="276"/>
      <c r="V2052" s="276"/>
      <c r="W2052" s="283"/>
      <c r="X2052" s="276"/>
      <c r="Y2052" s="276"/>
      <c r="Z2052" s="276"/>
      <c r="AA2052" s="276"/>
      <c r="AB2052" s="276"/>
      <c r="AC2052" s="276"/>
      <c r="AD2052" s="276"/>
    </row>
    <row r="2053" spans="18:30" x14ac:dyDescent="0.25">
      <c r="R2053" s="508"/>
      <c r="S2053" s="508"/>
      <c r="T2053" s="276"/>
      <c r="U2053" s="276"/>
      <c r="V2053" s="276"/>
      <c r="W2053" s="283"/>
      <c r="X2053" s="276"/>
      <c r="Y2053" s="276"/>
      <c r="Z2053" s="276"/>
      <c r="AA2053" s="276"/>
      <c r="AB2053" s="276"/>
      <c r="AC2053" s="276"/>
      <c r="AD2053" s="276"/>
    </row>
    <row r="2054" spans="18:30" x14ac:dyDescent="0.25">
      <c r="R2054" s="508"/>
      <c r="S2054" s="508"/>
      <c r="T2054" s="276"/>
      <c r="U2054" s="276"/>
      <c r="V2054" s="276"/>
      <c r="W2054" s="283"/>
      <c r="X2054" s="276"/>
      <c r="Y2054" s="276"/>
      <c r="Z2054" s="276"/>
      <c r="AA2054" s="276"/>
      <c r="AB2054" s="276"/>
      <c r="AC2054" s="276"/>
      <c r="AD2054" s="276"/>
    </row>
    <row r="2055" spans="18:30" x14ac:dyDescent="0.25">
      <c r="R2055" s="508"/>
      <c r="S2055" s="508"/>
      <c r="T2055" s="276"/>
      <c r="U2055" s="276"/>
      <c r="V2055" s="276"/>
      <c r="W2055" s="283"/>
      <c r="X2055" s="276"/>
      <c r="Y2055" s="276"/>
      <c r="Z2055" s="276"/>
      <c r="AA2055" s="276"/>
      <c r="AB2055" s="276"/>
      <c r="AC2055" s="276"/>
      <c r="AD2055" s="276"/>
    </row>
    <row r="2056" spans="18:30" x14ac:dyDescent="0.25">
      <c r="R2056" s="508"/>
      <c r="S2056" s="508"/>
      <c r="T2056" s="276"/>
      <c r="U2056" s="276"/>
      <c r="V2056" s="276"/>
      <c r="W2056" s="283"/>
      <c r="X2056" s="276"/>
      <c r="Y2056" s="276"/>
      <c r="Z2056" s="276"/>
      <c r="AA2056" s="276"/>
      <c r="AB2056" s="276"/>
      <c r="AC2056" s="276"/>
      <c r="AD2056" s="276"/>
    </row>
    <row r="2057" spans="18:30" x14ac:dyDescent="0.25">
      <c r="R2057" s="508"/>
      <c r="S2057" s="508"/>
      <c r="T2057" s="276"/>
      <c r="U2057" s="276"/>
      <c r="V2057" s="276"/>
      <c r="W2057" s="283"/>
      <c r="X2057" s="276"/>
      <c r="Y2057" s="276"/>
      <c r="Z2057" s="276"/>
      <c r="AA2057" s="276"/>
      <c r="AB2057" s="276"/>
      <c r="AC2057" s="276"/>
      <c r="AD2057" s="276"/>
    </row>
    <row r="2058" spans="18:30" x14ac:dyDescent="0.25">
      <c r="R2058" s="508"/>
      <c r="S2058" s="508"/>
      <c r="T2058" s="276"/>
      <c r="U2058" s="276"/>
      <c r="V2058" s="276"/>
      <c r="W2058" s="283"/>
      <c r="X2058" s="276"/>
      <c r="Y2058" s="276"/>
      <c r="Z2058" s="276"/>
      <c r="AA2058" s="276"/>
      <c r="AB2058" s="276"/>
      <c r="AC2058" s="276"/>
      <c r="AD2058" s="276"/>
    </row>
    <row r="2059" spans="18:30" x14ac:dyDescent="0.25">
      <c r="R2059" s="508"/>
      <c r="S2059" s="508"/>
      <c r="T2059" s="276"/>
      <c r="U2059" s="276"/>
      <c r="V2059" s="276"/>
      <c r="W2059" s="283"/>
      <c r="X2059" s="276"/>
      <c r="Y2059" s="276"/>
      <c r="Z2059" s="276"/>
      <c r="AA2059" s="276"/>
      <c r="AB2059" s="276"/>
      <c r="AC2059" s="276"/>
      <c r="AD2059" s="276"/>
    </row>
    <row r="2060" spans="18:30" x14ac:dyDescent="0.25">
      <c r="R2060" s="508"/>
      <c r="S2060" s="508"/>
      <c r="T2060" s="276"/>
      <c r="U2060" s="276"/>
      <c r="V2060" s="276"/>
      <c r="W2060" s="283"/>
      <c r="X2060" s="276"/>
      <c r="Y2060" s="276"/>
      <c r="Z2060" s="276"/>
      <c r="AA2060" s="276"/>
      <c r="AB2060" s="276"/>
      <c r="AC2060" s="276"/>
      <c r="AD2060" s="276"/>
    </row>
    <row r="2061" spans="18:30" x14ac:dyDescent="0.25">
      <c r="R2061" s="508"/>
      <c r="S2061" s="508"/>
      <c r="T2061" s="276"/>
      <c r="U2061" s="276"/>
      <c r="V2061" s="276"/>
      <c r="W2061" s="283"/>
      <c r="X2061" s="276"/>
      <c r="Y2061" s="276"/>
      <c r="Z2061" s="276"/>
      <c r="AA2061" s="276"/>
      <c r="AB2061" s="276"/>
      <c r="AC2061" s="276"/>
      <c r="AD2061" s="276"/>
    </row>
    <row r="2062" spans="18:30" x14ac:dyDescent="0.25">
      <c r="R2062" s="508"/>
      <c r="S2062" s="508"/>
      <c r="T2062" s="276"/>
      <c r="U2062" s="276"/>
      <c r="V2062" s="276"/>
      <c r="W2062" s="283"/>
      <c r="X2062" s="276"/>
      <c r="Y2062" s="276"/>
      <c r="Z2062" s="276"/>
      <c r="AA2062" s="276"/>
      <c r="AB2062" s="276"/>
      <c r="AC2062" s="276"/>
      <c r="AD2062" s="276"/>
    </row>
    <row r="2063" spans="18:30" x14ac:dyDescent="0.25">
      <c r="R2063" s="508"/>
      <c r="S2063" s="508"/>
      <c r="T2063" s="276"/>
      <c r="U2063" s="276"/>
      <c r="V2063" s="276"/>
      <c r="W2063" s="283"/>
      <c r="X2063" s="276"/>
      <c r="Y2063" s="276"/>
      <c r="Z2063" s="276"/>
      <c r="AA2063" s="276"/>
      <c r="AB2063" s="276"/>
      <c r="AC2063" s="276"/>
      <c r="AD2063" s="276"/>
    </row>
    <row r="2064" spans="18:30" x14ac:dyDescent="0.25">
      <c r="R2064" s="508"/>
      <c r="S2064" s="508"/>
      <c r="T2064" s="276"/>
      <c r="U2064" s="276"/>
      <c r="V2064" s="276"/>
      <c r="W2064" s="283"/>
      <c r="X2064" s="276"/>
      <c r="Y2064" s="276"/>
      <c r="Z2064" s="276"/>
      <c r="AA2064" s="276"/>
      <c r="AB2064" s="276"/>
      <c r="AC2064" s="276"/>
      <c r="AD2064" s="276"/>
    </row>
    <row r="2065" spans="18:30" x14ac:dyDescent="0.25">
      <c r="R2065" s="508"/>
      <c r="S2065" s="508"/>
      <c r="T2065" s="276"/>
      <c r="U2065" s="276"/>
      <c r="V2065" s="276"/>
      <c r="W2065" s="283"/>
      <c r="X2065" s="276"/>
      <c r="Y2065" s="276"/>
      <c r="Z2065" s="276"/>
      <c r="AA2065" s="276"/>
      <c r="AB2065" s="276"/>
      <c r="AC2065" s="276"/>
      <c r="AD2065" s="276"/>
    </row>
    <row r="2066" spans="18:30" x14ac:dyDescent="0.25">
      <c r="R2066" s="508"/>
      <c r="S2066" s="508"/>
      <c r="T2066" s="276"/>
      <c r="U2066" s="276"/>
      <c r="V2066" s="276"/>
      <c r="W2066" s="283"/>
      <c r="X2066" s="276"/>
      <c r="Y2066" s="276"/>
      <c r="Z2066" s="276"/>
      <c r="AA2066" s="276"/>
      <c r="AB2066" s="276"/>
      <c r="AC2066" s="276"/>
      <c r="AD2066" s="276"/>
    </row>
    <row r="2067" spans="18:30" x14ac:dyDescent="0.25">
      <c r="R2067" s="508"/>
      <c r="S2067" s="508"/>
      <c r="T2067" s="276"/>
      <c r="U2067" s="276"/>
      <c r="V2067" s="276"/>
      <c r="W2067" s="283"/>
      <c r="X2067" s="276"/>
      <c r="Y2067" s="276"/>
      <c r="Z2067" s="276"/>
      <c r="AA2067" s="276"/>
      <c r="AB2067" s="276"/>
      <c r="AC2067" s="276"/>
      <c r="AD2067" s="276"/>
    </row>
    <row r="2068" spans="18:30" x14ac:dyDescent="0.25">
      <c r="R2068" s="508"/>
      <c r="S2068" s="508"/>
      <c r="T2068" s="276"/>
      <c r="U2068" s="276"/>
      <c r="V2068" s="276"/>
      <c r="W2068" s="283"/>
      <c r="X2068" s="276"/>
      <c r="Y2068" s="276"/>
      <c r="Z2068" s="276"/>
      <c r="AA2068" s="276"/>
      <c r="AB2068" s="276"/>
      <c r="AC2068" s="276"/>
      <c r="AD2068" s="276"/>
    </row>
    <row r="2069" spans="18:30" x14ac:dyDescent="0.25">
      <c r="R2069" s="508"/>
      <c r="S2069" s="508"/>
      <c r="T2069" s="276"/>
      <c r="U2069" s="276"/>
      <c r="V2069" s="276"/>
      <c r="W2069" s="283"/>
      <c r="X2069" s="276"/>
      <c r="Y2069" s="276"/>
      <c r="Z2069" s="276"/>
      <c r="AA2069" s="276"/>
      <c r="AB2069" s="276"/>
      <c r="AC2069" s="276"/>
      <c r="AD2069" s="276"/>
    </row>
    <row r="2070" spans="18:30" x14ac:dyDescent="0.25">
      <c r="R2070" s="508"/>
      <c r="S2070" s="508"/>
      <c r="T2070" s="276"/>
      <c r="U2070" s="276"/>
      <c r="V2070" s="276"/>
      <c r="W2070" s="283"/>
      <c r="X2070" s="276"/>
      <c r="Y2070" s="276"/>
      <c r="Z2070" s="276"/>
      <c r="AA2070" s="276"/>
      <c r="AB2070" s="276"/>
      <c r="AC2070" s="276"/>
      <c r="AD2070" s="276"/>
    </row>
    <row r="2071" spans="18:30" x14ac:dyDescent="0.25">
      <c r="R2071" s="508"/>
      <c r="S2071" s="508"/>
      <c r="T2071" s="276"/>
      <c r="U2071" s="276"/>
      <c r="V2071" s="276"/>
      <c r="W2071" s="283"/>
      <c r="X2071" s="276"/>
      <c r="Y2071" s="276"/>
      <c r="Z2071" s="276"/>
      <c r="AA2071" s="276"/>
      <c r="AB2071" s="276"/>
      <c r="AC2071" s="276"/>
      <c r="AD2071" s="276"/>
    </row>
    <row r="2072" spans="18:30" x14ac:dyDescent="0.25">
      <c r="R2072" s="508"/>
      <c r="S2072" s="508"/>
      <c r="T2072" s="276"/>
      <c r="U2072" s="276"/>
      <c r="V2072" s="276"/>
      <c r="W2072" s="283"/>
      <c r="X2072" s="276"/>
      <c r="Y2072" s="276"/>
      <c r="Z2072" s="276"/>
      <c r="AA2072" s="276"/>
      <c r="AB2072" s="276"/>
      <c r="AC2072" s="276"/>
      <c r="AD2072" s="276"/>
    </row>
    <row r="2073" spans="18:30" x14ac:dyDescent="0.25">
      <c r="R2073" s="508"/>
      <c r="S2073" s="508"/>
      <c r="T2073" s="276"/>
      <c r="U2073" s="276"/>
      <c r="V2073" s="276"/>
      <c r="W2073" s="283"/>
      <c r="X2073" s="276"/>
      <c r="Y2073" s="276"/>
      <c r="Z2073" s="276"/>
      <c r="AA2073" s="276"/>
      <c r="AB2073" s="276"/>
      <c r="AC2073" s="276"/>
      <c r="AD2073" s="276"/>
    </row>
    <row r="2074" spans="18:30" x14ac:dyDescent="0.25">
      <c r="R2074" s="508"/>
      <c r="S2074" s="508"/>
      <c r="T2074" s="276"/>
      <c r="U2074" s="276"/>
      <c r="V2074" s="276"/>
      <c r="W2074" s="283"/>
      <c r="X2074" s="276"/>
      <c r="Y2074" s="276"/>
      <c r="Z2074" s="276"/>
      <c r="AA2074" s="276"/>
      <c r="AB2074" s="276"/>
      <c r="AC2074" s="276"/>
      <c r="AD2074" s="276"/>
    </row>
    <row r="2075" spans="18:30" x14ac:dyDescent="0.25">
      <c r="R2075" s="508"/>
      <c r="S2075" s="508"/>
      <c r="T2075" s="276"/>
      <c r="U2075" s="276"/>
      <c r="V2075" s="276"/>
      <c r="W2075" s="283"/>
      <c r="X2075" s="276"/>
      <c r="Y2075" s="276"/>
      <c r="Z2075" s="276"/>
      <c r="AA2075" s="276"/>
      <c r="AB2075" s="276"/>
      <c r="AC2075" s="276"/>
      <c r="AD2075" s="276"/>
    </row>
    <row r="2076" spans="18:30" x14ac:dyDescent="0.25">
      <c r="R2076" s="508"/>
      <c r="S2076" s="508"/>
      <c r="T2076" s="276"/>
      <c r="U2076" s="276"/>
      <c r="V2076" s="276"/>
      <c r="W2076" s="283"/>
      <c r="X2076" s="276"/>
      <c r="Y2076" s="276"/>
      <c r="Z2076" s="276"/>
      <c r="AA2076" s="276"/>
      <c r="AB2076" s="276"/>
      <c r="AC2076" s="276"/>
      <c r="AD2076" s="276"/>
    </row>
    <row r="2077" spans="18:30" x14ac:dyDescent="0.25">
      <c r="R2077" s="508"/>
      <c r="S2077" s="508"/>
      <c r="T2077" s="276"/>
      <c r="U2077" s="276"/>
      <c r="V2077" s="276"/>
      <c r="W2077" s="283"/>
      <c r="X2077" s="276"/>
      <c r="Y2077" s="276"/>
      <c r="Z2077" s="276"/>
      <c r="AA2077" s="276"/>
      <c r="AB2077" s="276"/>
      <c r="AC2077" s="276"/>
      <c r="AD2077" s="276"/>
    </row>
    <row r="2078" spans="18:30" x14ac:dyDescent="0.25">
      <c r="R2078" s="508"/>
      <c r="S2078" s="508"/>
      <c r="T2078" s="276"/>
      <c r="U2078" s="276"/>
      <c r="V2078" s="276"/>
      <c r="W2078" s="283"/>
      <c r="X2078" s="276"/>
      <c r="Y2078" s="276"/>
      <c r="Z2078" s="276"/>
      <c r="AA2078" s="276"/>
      <c r="AB2078" s="276"/>
      <c r="AC2078" s="276"/>
      <c r="AD2078" s="276"/>
    </row>
    <row r="2079" spans="18:30" x14ac:dyDescent="0.25">
      <c r="R2079" s="508"/>
      <c r="S2079" s="508"/>
      <c r="T2079" s="276"/>
      <c r="U2079" s="276"/>
      <c r="V2079" s="276"/>
      <c r="W2079" s="283"/>
      <c r="X2079" s="276"/>
      <c r="Y2079" s="276"/>
      <c r="Z2079" s="276"/>
      <c r="AA2079" s="276"/>
      <c r="AB2079" s="276"/>
      <c r="AC2079" s="276"/>
      <c r="AD2079" s="276"/>
    </row>
    <row r="2080" spans="18:30" x14ac:dyDescent="0.25">
      <c r="R2080" s="508"/>
      <c r="S2080" s="508"/>
      <c r="T2080" s="276"/>
      <c r="U2080" s="276"/>
      <c r="V2080" s="276"/>
      <c r="W2080" s="283"/>
      <c r="X2080" s="276"/>
      <c r="Y2080" s="276"/>
      <c r="Z2080" s="276"/>
      <c r="AA2080" s="276"/>
      <c r="AB2080" s="276"/>
      <c r="AC2080" s="276"/>
      <c r="AD2080" s="276"/>
    </row>
    <row r="2081" spans="18:30" x14ac:dyDescent="0.25">
      <c r="R2081" s="508"/>
      <c r="S2081" s="508"/>
      <c r="T2081" s="276"/>
      <c r="U2081" s="276"/>
      <c r="V2081" s="276"/>
      <c r="W2081" s="283"/>
      <c r="X2081" s="276"/>
      <c r="Y2081" s="276"/>
      <c r="Z2081" s="276"/>
      <c r="AA2081" s="276"/>
      <c r="AB2081" s="276"/>
      <c r="AC2081" s="276"/>
      <c r="AD2081" s="276"/>
    </row>
    <row r="2082" spans="18:30" x14ac:dyDescent="0.25">
      <c r="R2082" s="508"/>
      <c r="S2082" s="508"/>
      <c r="T2082" s="276"/>
      <c r="U2082" s="276"/>
      <c r="V2082" s="276"/>
      <c r="W2082" s="283"/>
      <c r="X2082" s="276"/>
      <c r="Y2082" s="276"/>
      <c r="Z2082" s="276"/>
      <c r="AA2082" s="276"/>
      <c r="AB2082" s="276"/>
      <c r="AC2082" s="276"/>
      <c r="AD2082" s="276"/>
    </row>
    <row r="2083" spans="18:30" x14ac:dyDescent="0.25">
      <c r="R2083" s="508"/>
      <c r="S2083" s="508"/>
      <c r="T2083" s="276"/>
      <c r="U2083" s="276"/>
      <c r="V2083" s="276"/>
      <c r="W2083" s="283"/>
      <c r="X2083" s="276"/>
      <c r="Y2083" s="276"/>
      <c r="Z2083" s="276"/>
      <c r="AA2083" s="276"/>
      <c r="AB2083" s="276"/>
      <c r="AC2083" s="276"/>
      <c r="AD2083" s="276"/>
    </row>
    <row r="2084" spans="18:30" x14ac:dyDescent="0.25">
      <c r="R2084" s="508"/>
      <c r="S2084" s="508"/>
      <c r="T2084" s="276"/>
      <c r="U2084" s="276"/>
      <c r="V2084" s="276"/>
      <c r="W2084" s="283"/>
      <c r="X2084" s="276"/>
      <c r="Y2084" s="276"/>
      <c r="Z2084" s="276"/>
      <c r="AA2084" s="276"/>
      <c r="AB2084" s="276"/>
      <c r="AC2084" s="276"/>
      <c r="AD2084" s="276"/>
    </row>
    <row r="2085" spans="18:30" x14ac:dyDescent="0.25">
      <c r="R2085" s="508"/>
      <c r="S2085" s="508"/>
      <c r="T2085" s="276"/>
      <c r="U2085" s="276"/>
      <c r="V2085" s="276"/>
      <c r="W2085" s="283"/>
      <c r="X2085" s="276"/>
      <c r="Y2085" s="276"/>
      <c r="Z2085" s="276"/>
      <c r="AA2085" s="276"/>
      <c r="AB2085" s="276"/>
      <c r="AC2085" s="276"/>
      <c r="AD2085" s="276"/>
    </row>
    <row r="2086" spans="18:30" x14ac:dyDescent="0.25">
      <c r="R2086" s="508"/>
      <c r="S2086" s="508"/>
      <c r="T2086" s="276"/>
      <c r="U2086" s="276"/>
      <c r="V2086" s="276"/>
      <c r="W2086" s="283"/>
      <c r="X2086" s="276"/>
      <c r="Y2086" s="276"/>
      <c r="Z2086" s="276"/>
      <c r="AA2086" s="276"/>
      <c r="AB2086" s="276"/>
      <c r="AC2086" s="276"/>
      <c r="AD2086" s="276"/>
    </row>
    <row r="2087" spans="18:30" x14ac:dyDescent="0.25">
      <c r="R2087" s="508"/>
      <c r="S2087" s="508"/>
      <c r="T2087" s="276"/>
      <c r="U2087" s="276"/>
      <c r="V2087" s="276"/>
      <c r="W2087" s="283"/>
      <c r="X2087" s="276"/>
      <c r="Y2087" s="276"/>
      <c r="Z2087" s="276"/>
      <c r="AA2087" s="276"/>
      <c r="AB2087" s="276"/>
      <c r="AC2087" s="276"/>
      <c r="AD2087" s="276"/>
    </row>
    <row r="2088" spans="18:30" x14ac:dyDescent="0.25">
      <c r="R2088" s="508"/>
      <c r="S2088" s="508"/>
      <c r="T2088" s="276"/>
      <c r="U2088" s="276"/>
      <c r="V2088" s="276"/>
      <c r="W2088" s="283"/>
      <c r="X2088" s="276"/>
      <c r="Y2088" s="276"/>
      <c r="Z2088" s="276"/>
      <c r="AA2088" s="276"/>
      <c r="AB2088" s="276"/>
      <c r="AC2088" s="276"/>
      <c r="AD2088" s="276"/>
    </row>
    <row r="2089" spans="18:30" x14ac:dyDescent="0.25">
      <c r="R2089" s="508"/>
      <c r="S2089" s="508"/>
      <c r="T2089" s="276"/>
      <c r="U2089" s="276"/>
      <c r="V2089" s="276"/>
      <c r="W2089" s="283"/>
      <c r="X2089" s="276"/>
      <c r="Y2089" s="276"/>
      <c r="Z2089" s="276"/>
      <c r="AA2089" s="276"/>
      <c r="AB2089" s="276"/>
      <c r="AC2089" s="276"/>
      <c r="AD2089" s="276"/>
    </row>
    <row r="2090" spans="18:30" x14ac:dyDescent="0.25">
      <c r="R2090" s="508"/>
      <c r="S2090" s="508"/>
      <c r="T2090" s="276"/>
      <c r="U2090" s="276"/>
      <c r="V2090" s="276"/>
      <c r="W2090" s="283"/>
      <c r="X2090" s="276"/>
      <c r="Y2090" s="276"/>
      <c r="Z2090" s="276"/>
      <c r="AA2090" s="276"/>
      <c r="AB2090" s="276"/>
      <c r="AC2090" s="276"/>
      <c r="AD2090" s="276"/>
    </row>
    <row r="2091" spans="18:30" x14ac:dyDescent="0.25">
      <c r="R2091" s="508"/>
      <c r="S2091" s="508"/>
      <c r="T2091" s="276"/>
      <c r="U2091" s="276"/>
      <c r="V2091" s="276"/>
      <c r="W2091" s="283"/>
      <c r="X2091" s="276"/>
      <c r="Y2091" s="276"/>
      <c r="Z2091" s="276"/>
      <c r="AA2091" s="276"/>
      <c r="AB2091" s="276"/>
      <c r="AC2091" s="276"/>
      <c r="AD2091" s="276"/>
    </row>
    <row r="2092" spans="18:30" x14ac:dyDescent="0.25">
      <c r="R2092" s="508"/>
      <c r="S2092" s="508"/>
      <c r="T2092" s="276"/>
      <c r="U2092" s="276"/>
      <c r="V2092" s="276"/>
      <c r="W2092" s="283"/>
      <c r="X2092" s="276"/>
      <c r="Y2092" s="276"/>
      <c r="Z2092" s="276"/>
      <c r="AA2092" s="276"/>
      <c r="AB2092" s="276"/>
      <c r="AC2092" s="276"/>
      <c r="AD2092" s="276"/>
    </row>
    <row r="2093" spans="18:30" x14ac:dyDescent="0.25">
      <c r="R2093" s="508"/>
      <c r="S2093" s="508"/>
      <c r="T2093" s="276"/>
      <c r="U2093" s="276"/>
      <c r="V2093" s="276"/>
      <c r="W2093" s="283"/>
      <c r="X2093" s="276"/>
      <c r="Y2093" s="276"/>
      <c r="Z2093" s="276"/>
      <c r="AA2093" s="276"/>
      <c r="AB2093" s="276"/>
      <c r="AC2093" s="276"/>
      <c r="AD2093" s="276"/>
    </row>
    <row r="2094" spans="18:30" x14ac:dyDescent="0.25">
      <c r="R2094" s="508"/>
      <c r="S2094" s="508"/>
      <c r="T2094" s="276"/>
      <c r="U2094" s="276"/>
      <c r="V2094" s="276"/>
      <c r="W2094" s="283"/>
      <c r="X2094" s="276"/>
      <c r="Y2094" s="276"/>
      <c r="Z2094" s="276"/>
      <c r="AA2094" s="276"/>
      <c r="AB2094" s="276"/>
      <c r="AC2094" s="276"/>
      <c r="AD2094" s="276"/>
    </row>
    <row r="2095" spans="18:30" x14ac:dyDescent="0.25">
      <c r="R2095" s="508"/>
      <c r="S2095" s="508"/>
      <c r="T2095" s="276"/>
      <c r="U2095" s="276"/>
      <c r="V2095" s="276"/>
      <c r="W2095" s="283"/>
      <c r="X2095" s="276"/>
      <c r="Y2095" s="276"/>
      <c r="Z2095" s="276"/>
      <c r="AA2095" s="276"/>
      <c r="AB2095" s="276"/>
      <c r="AC2095" s="276"/>
      <c r="AD2095" s="276"/>
    </row>
    <row r="2096" spans="18:30" x14ac:dyDescent="0.25">
      <c r="R2096" s="508"/>
      <c r="S2096" s="508"/>
      <c r="T2096" s="276"/>
      <c r="U2096" s="276"/>
      <c r="V2096" s="276"/>
      <c r="W2096" s="283"/>
      <c r="X2096" s="276"/>
      <c r="Y2096" s="276"/>
      <c r="Z2096" s="276"/>
      <c r="AA2096" s="276"/>
      <c r="AB2096" s="276"/>
      <c r="AC2096" s="276"/>
      <c r="AD2096" s="276"/>
    </row>
    <row r="2097" spans="18:30" x14ac:dyDescent="0.25">
      <c r="R2097" s="508"/>
      <c r="S2097" s="508"/>
      <c r="T2097" s="276"/>
      <c r="U2097" s="276"/>
      <c r="V2097" s="276"/>
      <c r="W2097" s="283"/>
      <c r="X2097" s="276"/>
      <c r="Y2097" s="276"/>
      <c r="Z2097" s="276"/>
      <c r="AA2097" s="276"/>
      <c r="AB2097" s="276"/>
      <c r="AC2097" s="276"/>
      <c r="AD2097" s="276"/>
    </row>
    <row r="2098" spans="18:30" x14ac:dyDescent="0.25">
      <c r="R2098" s="508"/>
      <c r="S2098" s="508"/>
      <c r="T2098" s="276"/>
      <c r="U2098" s="276"/>
      <c r="V2098" s="276"/>
      <c r="W2098" s="283"/>
      <c r="X2098" s="276"/>
      <c r="Y2098" s="276"/>
      <c r="Z2098" s="276"/>
      <c r="AA2098" s="276"/>
      <c r="AB2098" s="276"/>
      <c r="AC2098" s="276"/>
      <c r="AD2098" s="276"/>
    </row>
    <row r="2099" spans="18:30" x14ac:dyDescent="0.25">
      <c r="R2099" s="508"/>
      <c r="S2099" s="508"/>
      <c r="T2099" s="276"/>
      <c r="U2099" s="276"/>
      <c r="V2099" s="276"/>
      <c r="W2099" s="283"/>
      <c r="X2099" s="276"/>
      <c r="Y2099" s="276"/>
      <c r="Z2099" s="276"/>
      <c r="AA2099" s="276"/>
      <c r="AB2099" s="276"/>
      <c r="AC2099" s="276"/>
      <c r="AD2099" s="276"/>
    </row>
    <row r="2100" spans="18:30" x14ac:dyDescent="0.25">
      <c r="R2100" s="508"/>
      <c r="S2100" s="508"/>
      <c r="T2100" s="276"/>
      <c r="U2100" s="276"/>
      <c r="V2100" s="276"/>
      <c r="W2100" s="283"/>
      <c r="X2100" s="276"/>
      <c r="Y2100" s="276"/>
      <c r="Z2100" s="276"/>
      <c r="AA2100" s="276"/>
      <c r="AB2100" s="276"/>
      <c r="AC2100" s="276"/>
      <c r="AD2100" s="276"/>
    </row>
    <row r="2101" spans="18:30" x14ac:dyDescent="0.25">
      <c r="R2101" s="508"/>
      <c r="S2101" s="508"/>
      <c r="T2101" s="276"/>
      <c r="U2101" s="276"/>
      <c r="V2101" s="276"/>
      <c r="W2101" s="283"/>
      <c r="X2101" s="276"/>
      <c r="Y2101" s="276"/>
      <c r="Z2101" s="276"/>
      <c r="AA2101" s="276"/>
      <c r="AB2101" s="276"/>
      <c r="AC2101" s="276"/>
      <c r="AD2101" s="276"/>
    </row>
    <row r="2102" spans="18:30" x14ac:dyDescent="0.25">
      <c r="R2102" s="508"/>
      <c r="S2102" s="508"/>
      <c r="T2102" s="276"/>
      <c r="U2102" s="276"/>
      <c r="V2102" s="276"/>
      <c r="W2102" s="283"/>
      <c r="X2102" s="276"/>
      <c r="Y2102" s="276"/>
      <c r="Z2102" s="276"/>
      <c r="AA2102" s="276"/>
      <c r="AB2102" s="276"/>
      <c r="AC2102" s="276"/>
      <c r="AD2102" s="276"/>
    </row>
    <row r="2103" spans="18:30" x14ac:dyDescent="0.25">
      <c r="R2103" s="508"/>
      <c r="S2103" s="508"/>
      <c r="T2103" s="276"/>
      <c r="U2103" s="276"/>
      <c r="V2103" s="276"/>
      <c r="W2103" s="283"/>
      <c r="X2103" s="276"/>
      <c r="Y2103" s="276"/>
      <c r="Z2103" s="276"/>
      <c r="AA2103" s="276"/>
      <c r="AB2103" s="276"/>
      <c r="AC2103" s="276"/>
      <c r="AD2103" s="276"/>
    </row>
    <row r="2104" spans="18:30" x14ac:dyDescent="0.25">
      <c r="R2104" s="508"/>
      <c r="S2104" s="508"/>
      <c r="T2104" s="276"/>
      <c r="U2104" s="276"/>
      <c r="V2104" s="276"/>
      <c r="W2104" s="283"/>
      <c r="X2104" s="276"/>
      <c r="Y2104" s="276"/>
      <c r="Z2104" s="276"/>
      <c r="AA2104" s="276"/>
      <c r="AB2104" s="276"/>
      <c r="AC2104" s="276"/>
      <c r="AD2104" s="276"/>
    </row>
    <row r="2105" spans="18:30" x14ac:dyDescent="0.25">
      <c r="R2105" s="508"/>
      <c r="S2105" s="508"/>
      <c r="T2105" s="276"/>
      <c r="U2105" s="276"/>
      <c r="V2105" s="276"/>
      <c r="W2105" s="283"/>
      <c r="X2105" s="276"/>
      <c r="Y2105" s="276"/>
      <c r="Z2105" s="276"/>
      <c r="AA2105" s="276"/>
      <c r="AB2105" s="276"/>
      <c r="AC2105" s="276"/>
      <c r="AD2105" s="276"/>
    </row>
    <row r="2106" spans="18:30" x14ac:dyDescent="0.25">
      <c r="R2106" s="508"/>
      <c r="S2106" s="508"/>
      <c r="T2106" s="276"/>
      <c r="U2106" s="276"/>
      <c r="V2106" s="276"/>
      <c r="W2106" s="283"/>
      <c r="X2106" s="276"/>
      <c r="Y2106" s="276"/>
      <c r="Z2106" s="276"/>
      <c r="AA2106" s="276"/>
      <c r="AB2106" s="276"/>
      <c r="AC2106" s="276"/>
      <c r="AD2106" s="276"/>
    </row>
    <row r="2107" spans="18:30" x14ac:dyDescent="0.25">
      <c r="R2107" s="508"/>
      <c r="S2107" s="508"/>
      <c r="T2107" s="276"/>
      <c r="U2107" s="276"/>
      <c r="V2107" s="276"/>
      <c r="W2107" s="283"/>
      <c r="X2107" s="276"/>
      <c r="Y2107" s="276"/>
      <c r="Z2107" s="276"/>
      <c r="AA2107" s="276"/>
      <c r="AB2107" s="276"/>
      <c r="AC2107" s="276"/>
      <c r="AD2107" s="276"/>
    </row>
    <row r="2108" spans="18:30" x14ac:dyDescent="0.25">
      <c r="R2108" s="508"/>
      <c r="S2108" s="508"/>
      <c r="T2108" s="276"/>
      <c r="U2108" s="276"/>
      <c r="V2108" s="276"/>
      <c r="W2108" s="283"/>
      <c r="X2108" s="276"/>
      <c r="Y2108" s="276"/>
      <c r="Z2108" s="276"/>
      <c r="AA2108" s="276"/>
      <c r="AB2108" s="276"/>
      <c r="AC2108" s="276"/>
      <c r="AD2108" s="276"/>
    </row>
    <row r="2109" spans="18:30" x14ac:dyDescent="0.25">
      <c r="R2109" s="508"/>
      <c r="S2109" s="508"/>
      <c r="T2109" s="276"/>
      <c r="U2109" s="276"/>
      <c r="V2109" s="276"/>
      <c r="W2109" s="283"/>
      <c r="X2109" s="276"/>
      <c r="Y2109" s="276"/>
      <c r="Z2109" s="276"/>
      <c r="AA2109" s="276"/>
      <c r="AB2109" s="276"/>
      <c r="AC2109" s="276"/>
      <c r="AD2109" s="276"/>
    </row>
    <row r="2110" spans="18:30" x14ac:dyDescent="0.25">
      <c r="R2110" s="508"/>
      <c r="S2110" s="508"/>
      <c r="T2110" s="276"/>
      <c r="U2110" s="276"/>
      <c r="V2110" s="276"/>
      <c r="W2110" s="283"/>
      <c r="X2110" s="276"/>
      <c r="Y2110" s="276"/>
      <c r="Z2110" s="276"/>
      <c r="AA2110" s="276"/>
      <c r="AB2110" s="276"/>
      <c r="AC2110" s="276"/>
      <c r="AD2110" s="276"/>
    </row>
    <row r="2111" spans="18:30" x14ac:dyDescent="0.25">
      <c r="R2111" s="508"/>
      <c r="S2111" s="508"/>
      <c r="T2111" s="276"/>
      <c r="U2111" s="276"/>
      <c r="V2111" s="276"/>
      <c r="W2111" s="283"/>
      <c r="X2111" s="276"/>
      <c r="Y2111" s="276"/>
      <c r="Z2111" s="276"/>
      <c r="AA2111" s="276"/>
      <c r="AB2111" s="276"/>
      <c r="AC2111" s="276"/>
      <c r="AD2111" s="276"/>
    </row>
    <row r="2112" spans="18:30" x14ac:dyDescent="0.25">
      <c r="R2112" s="508"/>
      <c r="S2112" s="508"/>
      <c r="T2112" s="276"/>
      <c r="U2112" s="276"/>
      <c r="V2112" s="276"/>
      <c r="W2112" s="283"/>
      <c r="X2112" s="276"/>
      <c r="Y2112" s="276"/>
      <c r="Z2112" s="276"/>
      <c r="AA2112" s="276"/>
      <c r="AB2112" s="276"/>
      <c r="AC2112" s="276"/>
      <c r="AD2112" s="276"/>
    </row>
    <row r="2113" spans="18:30" x14ac:dyDescent="0.25">
      <c r="R2113" s="508"/>
      <c r="S2113" s="508"/>
      <c r="T2113" s="276"/>
      <c r="U2113" s="276"/>
      <c r="V2113" s="276"/>
      <c r="W2113" s="283"/>
      <c r="X2113" s="276"/>
      <c r="Y2113" s="276"/>
      <c r="Z2113" s="276"/>
      <c r="AA2113" s="276"/>
      <c r="AB2113" s="276"/>
      <c r="AC2113" s="276"/>
      <c r="AD2113" s="276"/>
    </row>
    <row r="2114" spans="18:30" x14ac:dyDescent="0.25">
      <c r="R2114" s="508"/>
      <c r="S2114" s="508"/>
      <c r="T2114" s="276"/>
      <c r="U2114" s="276"/>
      <c r="V2114" s="276"/>
      <c r="W2114" s="283"/>
      <c r="X2114" s="276"/>
      <c r="Y2114" s="276"/>
      <c r="Z2114" s="276"/>
      <c r="AA2114" s="276"/>
      <c r="AB2114" s="276"/>
      <c r="AC2114" s="276"/>
      <c r="AD2114" s="276"/>
    </row>
    <row r="2115" spans="18:30" x14ac:dyDescent="0.25">
      <c r="R2115" s="508"/>
      <c r="S2115" s="508"/>
      <c r="T2115" s="276"/>
      <c r="U2115" s="276"/>
      <c r="V2115" s="276"/>
      <c r="W2115" s="283"/>
      <c r="X2115" s="276"/>
      <c r="Y2115" s="276"/>
      <c r="Z2115" s="276"/>
      <c r="AA2115" s="276"/>
      <c r="AB2115" s="276"/>
      <c r="AC2115" s="276"/>
      <c r="AD2115" s="276"/>
    </row>
    <row r="2116" spans="18:30" x14ac:dyDescent="0.25">
      <c r="R2116" s="508"/>
      <c r="S2116" s="508"/>
      <c r="T2116" s="276"/>
      <c r="U2116" s="276"/>
      <c r="V2116" s="276"/>
      <c r="W2116" s="283"/>
      <c r="X2116" s="276"/>
      <c r="Y2116" s="276"/>
      <c r="Z2116" s="276"/>
      <c r="AA2116" s="276"/>
      <c r="AB2116" s="276"/>
      <c r="AC2116" s="276"/>
      <c r="AD2116" s="276"/>
    </row>
    <row r="2117" spans="18:30" x14ac:dyDescent="0.25">
      <c r="R2117" s="508"/>
      <c r="S2117" s="508"/>
      <c r="T2117" s="276"/>
      <c r="U2117" s="276"/>
      <c r="V2117" s="276"/>
      <c r="W2117" s="283"/>
      <c r="X2117" s="276"/>
      <c r="Y2117" s="276"/>
      <c r="Z2117" s="276"/>
      <c r="AA2117" s="276"/>
      <c r="AB2117" s="276"/>
      <c r="AC2117" s="276"/>
      <c r="AD2117" s="276"/>
    </row>
    <row r="2118" spans="18:30" x14ac:dyDescent="0.25">
      <c r="R2118" s="508"/>
      <c r="S2118" s="508"/>
      <c r="T2118" s="276"/>
      <c r="U2118" s="276"/>
      <c r="V2118" s="276"/>
      <c r="W2118" s="283"/>
      <c r="X2118" s="276"/>
      <c r="Y2118" s="276"/>
      <c r="Z2118" s="276"/>
      <c r="AA2118" s="276"/>
      <c r="AB2118" s="276"/>
      <c r="AC2118" s="276"/>
      <c r="AD2118" s="276"/>
    </row>
    <row r="2119" spans="18:30" x14ac:dyDescent="0.25">
      <c r="R2119" s="508"/>
      <c r="S2119" s="508"/>
      <c r="T2119" s="276"/>
      <c r="U2119" s="276"/>
      <c r="V2119" s="276"/>
      <c r="W2119" s="283"/>
      <c r="X2119" s="276"/>
      <c r="Y2119" s="276"/>
      <c r="Z2119" s="276"/>
      <c r="AA2119" s="276"/>
      <c r="AB2119" s="276"/>
      <c r="AC2119" s="276"/>
      <c r="AD2119" s="276"/>
    </row>
    <row r="2120" spans="18:30" x14ac:dyDescent="0.25">
      <c r="R2120" s="508"/>
      <c r="S2120" s="508"/>
      <c r="T2120" s="276"/>
      <c r="U2120" s="276"/>
      <c r="V2120" s="276"/>
      <c r="W2120" s="283"/>
      <c r="X2120" s="276"/>
      <c r="Y2120" s="276"/>
      <c r="Z2120" s="276"/>
      <c r="AA2120" s="276"/>
      <c r="AB2120" s="276"/>
      <c r="AC2120" s="276"/>
      <c r="AD2120" s="276"/>
    </row>
    <row r="2121" spans="18:30" x14ac:dyDescent="0.25">
      <c r="R2121" s="508"/>
      <c r="S2121" s="508"/>
      <c r="T2121" s="276"/>
      <c r="U2121" s="276"/>
      <c r="V2121" s="276"/>
      <c r="W2121" s="283"/>
      <c r="X2121" s="276"/>
      <c r="Y2121" s="276"/>
      <c r="Z2121" s="276"/>
      <c r="AA2121" s="276"/>
      <c r="AB2121" s="276"/>
      <c r="AC2121" s="276"/>
      <c r="AD2121" s="276"/>
    </row>
    <row r="2122" spans="18:30" x14ac:dyDescent="0.25">
      <c r="R2122" s="508"/>
      <c r="S2122" s="508"/>
      <c r="T2122" s="276"/>
      <c r="U2122" s="276"/>
      <c r="V2122" s="276"/>
      <c r="W2122" s="283"/>
      <c r="X2122" s="276"/>
      <c r="Y2122" s="276"/>
      <c r="Z2122" s="276"/>
      <c r="AA2122" s="276"/>
      <c r="AB2122" s="276"/>
      <c r="AC2122" s="276"/>
      <c r="AD2122" s="276"/>
    </row>
    <row r="2123" spans="18:30" x14ac:dyDescent="0.25">
      <c r="R2123" s="508"/>
      <c r="S2123" s="508"/>
      <c r="T2123" s="276"/>
      <c r="U2123" s="276"/>
      <c r="V2123" s="276"/>
      <c r="W2123" s="283"/>
      <c r="X2123" s="276"/>
      <c r="Y2123" s="276"/>
      <c r="Z2123" s="276"/>
      <c r="AA2123" s="276"/>
      <c r="AB2123" s="276"/>
      <c r="AC2123" s="276"/>
      <c r="AD2123" s="276"/>
    </row>
    <row r="2124" spans="18:30" x14ac:dyDescent="0.25">
      <c r="R2124" s="508"/>
      <c r="S2124" s="508"/>
      <c r="T2124" s="276"/>
      <c r="U2124" s="276"/>
      <c r="V2124" s="276"/>
      <c r="W2124" s="283"/>
      <c r="X2124" s="276"/>
      <c r="Y2124" s="276"/>
      <c r="Z2124" s="276"/>
      <c r="AA2124" s="276"/>
      <c r="AB2124" s="276"/>
      <c r="AC2124" s="276"/>
      <c r="AD2124" s="276"/>
    </row>
    <row r="2125" spans="18:30" x14ac:dyDescent="0.25">
      <c r="R2125" s="508"/>
      <c r="S2125" s="508"/>
      <c r="T2125" s="276"/>
      <c r="U2125" s="276"/>
      <c r="V2125" s="276"/>
      <c r="W2125" s="283"/>
      <c r="X2125" s="276"/>
      <c r="Y2125" s="276"/>
      <c r="Z2125" s="276"/>
      <c r="AA2125" s="276"/>
      <c r="AB2125" s="276"/>
      <c r="AC2125" s="276"/>
      <c r="AD2125" s="276"/>
    </row>
    <row r="2126" spans="18:30" x14ac:dyDescent="0.25">
      <c r="R2126" s="508"/>
      <c r="S2126" s="508"/>
      <c r="T2126" s="276"/>
      <c r="U2126" s="276"/>
      <c r="V2126" s="276"/>
      <c r="W2126" s="283"/>
      <c r="X2126" s="276"/>
      <c r="Y2126" s="276"/>
      <c r="Z2126" s="276"/>
      <c r="AA2126" s="276"/>
      <c r="AB2126" s="276"/>
      <c r="AC2126" s="276"/>
      <c r="AD2126" s="276"/>
    </row>
    <row r="2127" spans="18:30" x14ac:dyDescent="0.25">
      <c r="R2127" s="508"/>
      <c r="S2127" s="508"/>
      <c r="T2127" s="276"/>
      <c r="U2127" s="276"/>
      <c r="V2127" s="276"/>
      <c r="W2127" s="283"/>
      <c r="X2127" s="276"/>
      <c r="Y2127" s="276"/>
      <c r="Z2127" s="276"/>
      <c r="AA2127" s="276"/>
      <c r="AB2127" s="276"/>
      <c r="AC2127" s="276"/>
      <c r="AD2127" s="276"/>
    </row>
    <row r="2128" spans="18:30" x14ac:dyDescent="0.25">
      <c r="R2128" s="508"/>
      <c r="S2128" s="508"/>
      <c r="T2128" s="276"/>
      <c r="U2128" s="276"/>
      <c r="V2128" s="276"/>
      <c r="W2128" s="283"/>
      <c r="X2128" s="276"/>
      <c r="Y2128" s="276"/>
      <c r="Z2128" s="276"/>
      <c r="AA2128" s="276"/>
      <c r="AB2128" s="276"/>
      <c r="AC2128" s="276"/>
      <c r="AD2128" s="276"/>
    </row>
    <row r="2129" spans="18:30" x14ac:dyDescent="0.25">
      <c r="R2129" s="508"/>
      <c r="S2129" s="508"/>
      <c r="T2129" s="276"/>
      <c r="U2129" s="276"/>
      <c r="V2129" s="276"/>
      <c r="W2129" s="283"/>
      <c r="X2129" s="276"/>
      <c r="Y2129" s="276"/>
      <c r="Z2129" s="276"/>
      <c r="AA2129" s="276"/>
      <c r="AB2129" s="276"/>
      <c r="AC2129" s="276"/>
      <c r="AD2129" s="276"/>
    </row>
    <row r="2130" spans="18:30" x14ac:dyDescent="0.25">
      <c r="R2130" s="508"/>
      <c r="S2130" s="508"/>
      <c r="T2130" s="276"/>
      <c r="U2130" s="276"/>
      <c r="V2130" s="276"/>
      <c r="W2130" s="283"/>
      <c r="X2130" s="276"/>
      <c r="Y2130" s="276"/>
      <c r="Z2130" s="276"/>
      <c r="AA2130" s="276"/>
      <c r="AB2130" s="276"/>
      <c r="AC2130" s="276"/>
      <c r="AD2130" s="276"/>
    </row>
    <row r="2131" spans="18:30" x14ac:dyDescent="0.25">
      <c r="R2131" s="508"/>
      <c r="S2131" s="508"/>
      <c r="T2131" s="276"/>
      <c r="U2131" s="276"/>
      <c r="V2131" s="276"/>
      <c r="W2131" s="283"/>
      <c r="X2131" s="276"/>
      <c r="Y2131" s="276"/>
      <c r="Z2131" s="276"/>
      <c r="AA2131" s="276"/>
      <c r="AB2131" s="276"/>
      <c r="AC2131" s="276"/>
      <c r="AD2131" s="276"/>
    </row>
    <row r="2132" spans="18:30" x14ac:dyDescent="0.25">
      <c r="R2132" s="508"/>
      <c r="S2132" s="508"/>
      <c r="T2132" s="276"/>
      <c r="U2132" s="276"/>
      <c r="V2132" s="276"/>
      <c r="W2132" s="283"/>
      <c r="X2132" s="276"/>
      <c r="Y2132" s="276"/>
      <c r="Z2132" s="276"/>
      <c r="AA2132" s="276"/>
      <c r="AB2132" s="276"/>
      <c r="AC2132" s="276"/>
      <c r="AD2132" s="276"/>
    </row>
    <row r="2133" spans="18:30" x14ac:dyDescent="0.25">
      <c r="R2133" s="508"/>
      <c r="S2133" s="508"/>
      <c r="T2133" s="276"/>
      <c r="U2133" s="276"/>
      <c r="V2133" s="276"/>
      <c r="W2133" s="283"/>
      <c r="X2133" s="276"/>
      <c r="Y2133" s="276"/>
      <c r="Z2133" s="276"/>
      <c r="AA2133" s="276"/>
      <c r="AB2133" s="276"/>
      <c r="AC2133" s="276"/>
      <c r="AD2133" s="276"/>
    </row>
    <row r="2134" spans="18:30" x14ac:dyDescent="0.25">
      <c r="R2134" s="508"/>
      <c r="S2134" s="508"/>
      <c r="T2134" s="276"/>
      <c r="U2134" s="276"/>
      <c r="V2134" s="276"/>
      <c r="W2134" s="283"/>
      <c r="X2134" s="276"/>
      <c r="Y2134" s="276"/>
      <c r="Z2134" s="276"/>
      <c r="AA2134" s="276"/>
      <c r="AB2134" s="276"/>
      <c r="AC2134" s="276"/>
      <c r="AD2134" s="276"/>
    </row>
    <row r="2135" spans="18:30" x14ac:dyDescent="0.25">
      <c r="R2135" s="508"/>
      <c r="S2135" s="508"/>
      <c r="T2135" s="276"/>
      <c r="U2135" s="276"/>
      <c r="V2135" s="276"/>
      <c r="W2135" s="283"/>
      <c r="X2135" s="276"/>
      <c r="Y2135" s="276"/>
      <c r="Z2135" s="276"/>
      <c r="AA2135" s="276"/>
      <c r="AB2135" s="276"/>
      <c r="AC2135" s="276"/>
      <c r="AD2135" s="276"/>
    </row>
    <row r="2136" spans="18:30" x14ac:dyDescent="0.25">
      <c r="R2136" s="508"/>
      <c r="S2136" s="508"/>
      <c r="T2136" s="276"/>
      <c r="U2136" s="276"/>
      <c r="V2136" s="276"/>
      <c r="W2136" s="283"/>
      <c r="X2136" s="276"/>
      <c r="Y2136" s="276"/>
      <c r="Z2136" s="276"/>
      <c r="AA2136" s="276"/>
      <c r="AB2136" s="276"/>
      <c r="AC2136" s="276"/>
      <c r="AD2136" s="276"/>
    </row>
    <row r="2137" spans="18:30" x14ac:dyDescent="0.25">
      <c r="R2137" s="508"/>
      <c r="S2137" s="508"/>
      <c r="T2137" s="276"/>
      <c r="U2137" s="276"/>
      <c r="V2137" s="276"/>
      <c r="W2137" s="283"/>
      <c r="X2137" s="276"/>
      <c r="Y2137" s="276"/>
      <c r="Z2137" s="276"/>
      <c r="AA2137" s="276"/>
      <c r="AB2137" s="276"/>
      <c r="AC2137" s="276"/>
      <c r="AD2137" s="276"/>
    </row>
    <row r="2138" spans="18:30" x14ac:dyDescent="0.25">
      <c r="R2138" s="508"/>
      <c r="S2138" s="508"/>
      <c r="T2138" s="276"/>
      <c r="U2138" s="276"/>
      <c r="V2138" s="276"/>
      <c r="W2138" s="283"/>
      <c r="X2138" s="276"/>
      <c r="Y2138" s="276"/>
      <c r="Z2138" s="276"/>
      <c r="AA2138" s="276"/>
      <c r="AB2138" s="276"/>
      <c r="AC2138" s="276"/>
      <c r="AD2138" s="276"/>
    </row>
    <row r="2139" spans="18:30" x14ac:dyDescent="0.25">
      <c r="R2139" s="508"/>
      <c r="S2139" s="508"/>
      <c r="T2139" s="276"/>
      <c r="U2139" s="276"/>
      <c r="V2139" s="276"/>
      <c r="W2139" s="283"/>
      <c r="X2139" s="276"/>
      <c r="Y2139" s="276"/>
      <c r="Z2139" s="276"/>
      <c r="AA2139" s="276"/>
      <c r="AB2139" s="276"/>
      <c r="AC2139" s="276"/>
      <c r="AD2139" s="276"/>
    </row>
    <row r="2140" spans="18:30" x14ac:dyDescent="0.25">
      <c r="R2140" s="508"/>
      <c r="S2140" s="508"/>
      <c r="T2140" s="276"/>
      <c r="U2140" s="276"/>
      <c r="V2140" s="276"/>
      <c r="W2140" s="283"/>
      <c r="X2140" s="276"/>
      <c r="Y2140" s="276"/>
      <c r="Z2140" s="276"/>
      <c r="AA2140" s="276"/>
      <c r="AB2140" s="276"/>
      <c r="AC2140" s="276"/>
      <c r="AD2140" s="276"/>
    </row>
    <row r="2141" spans="18:30" x14ac:dyDescent="0.25">
      <c r="R2141" s="508"/>
      <c r="S2141" s="508"/>
      <c r="T2141" s="276"/>
      <c r="U2141" s="276"/>
      <c r="V2141" s="276"/>
      <c r="W2141" s="283"/>
      <c r="X2141" s="276"/>
      <c r="Y2141" s="276"/>
      <c r="Z2141" s="276"/>
      <c r="AA2141" s="276"/>
      <c r="AB2141" s="276"/>
      <c r="AC2141" s="276"/>
      <c r="AD2141" s="276"/>
    </row>
    <row r="2142" spans="18:30" x14ac:dyDescent="0.25">
      <c r="R2142" s="508"/>
      <c r="S2142" s="508"/>
      <c r="T2142" s="276"/>
      <c r="U2142" s="276"/>
      <c r="V2142" s="276"/>
      <c r="W2142" s="283"/>
      <c r="X2142" s="276"/>
      <c r="Y2142" s="276"/>
      <c r="Z2142" s="276"/>
      <c r="AA2142" s="276"/>
      <c r="AB2142" s="276"/>
      <c r="AC2142" s="276"/>
      <c r="AD2142" s="276"/>
    </row>
    <row r="2143" spans="18:30" x14ac:dyDescent="0.25">
      <c r="R2143" s="508"/>
      <c r="S2143" s="508"/>
      <c r="T2143" s="276"/>
      <c r="U2143" s="276"/>
      <c r="V2143" s="276"/>
      <c r="W2143" s="283"/>
      <c r="X2143" s="276"/>
      <c r="Y2143" s="276"/>
      <c r="Z2143" s="276"/>
      <c r="AA2143" s="276"/>
      <c r="AB2143" s="276"/>
      <c r="AC2143" s="276"/>
      <c r="AD2143" s="276"/>
    </row>
    <row r="2144" spans="18:30" x14ac:dyDescent="0.25">
      <c r="R2144" s="508"/>
      <c r="S2144" s="508"/>
      <c r="T2144" s="276"/>
      <c r="U2144" s="276"/>
      <c r="V2144" s="276"/>
      <c r="W2144" s="283"/>
      <c r="X2144" s="276"/>
      <c r="Y2144" s="276"/>
      <c r="Z2144" s="276"/>
      <c r="AA2144" s="276"/>
      <c r="AB2144" s="276"/>
      <c r="AC2144" s="276"/>
      <c r="AD2144" s="276"/>
    </row>
    <row r="2145" spans="18:30" x14ac:dyDescent="0.25">
      <c r="R2145" s="508"/>
      <c r="S2145" s="508"/>
      <c r="T2145" s="276"/>
      <c r="U2145" s="276"/>
      <c r="V2145" s="276"/>
      <c r="W2145" s="283"/>
      <c r="X2145" s="276"/>
      <c r="Y2145" s="276"/>
      <c r="Z2145" s="276"/>
      <c r="AA2145" s="276"/>
      <c r="AB2145" s="276"/>
      <c r="AC2145" s="276"/>
      <c r="AD2145" s="276"/>
    </row>
    <row r="2146" spans="18:30" x14ac:dyDescent="0.25">
      <c r="R2146" s="508"/>
      <c r="S2146" s="508"/>
      <c r="T2146" s="276"/>
      <c r="U2146" s="276"/>
      <c r="V2146" s="276"/>
      <c r="W2146" s="283"/>
      <c r="X2146" s="276"/>
      <c r="Y2146" s="276"/>
      <c r="Z2146" s="276"/>
      <c r="AA2146" s="276"/>
      <c r="AB2146" s="276"/>
      <c r="AC2146" s="276"/>
      <c r="AD2146" s="276"/>
    </row>
    <row r="2147" spans="18:30" x14ac:dyDescent="0.25">
      <c r="R2147" s="508"/>
      <c r="S2147" s="508"/>
      <c r="T2147" s="276"/>
      <c r="U2147" s="276"/>
      <c r="V2147" s="276"/>
      <c r="W2147" s="283"/>
      <c r="X2147" s="276"/>
      <c r="Y2147" s="276"/>
      <c r="Z2147" s="276"/>
      <c r="AA2147" s="276"/>
      <c r="AB2147" s="276"/>
      <c r="AC2147" s="276"/>
      <c r="AD2147" s="276"/>
    </row>
    <row r="2148" spans="18:30" x14ac:dyDescent="0.25">
      <c r="R2148" s="508"/>
      <c r="S2148" s="508"/>
      <c r="T2148" s="276"/>
      <c r="U2148" s="276"/>
      <c r="V2148" s="276"/>
      <c r="W2148" s="283"/>
      <c r="X2148" s="276"/>
      <c r="Y2148" s="276"/>
      <c r="Z2148" s="276"/>
      <c r="AA2148" s="276"/>
      <c r="AB2148" s="276"/>
      <c r="AC2148" s="276"/>
      <c r="AD2148" s="276"/>
    </row>
    <row r="2149" spans="18:30" x14ac:dyDescent="0.25">
      <c r="R2149" s="508"/>
      <c r="S2149" s="508"/>
      <c r="T2149" s="276"/>
      <c r="U2149" s="276"/>
      <c r="V2149" s="276"/>
      <c r="W2149" s="283"/>
      <c r="X2149" s="276"/>
      <c r="Y2149" s="276"/>
      <c r="Z2149" s="276"/>
      <c r="AA2149" s="276"/>
      <c r="AB2149" s="276"/>
      <c r="AC2149" s="276"/>
      <c r="AD2149" s="276"/>
    </row>
    <row r="2150" spans="18:30" x14ac:dyDescent="0.25">
      <c r="R2150" s="508"/>
      <c r="S2150" s="508"/>
      <c r="T2150" s="276"/>
      <c r="U2150" s="276"/>
      <c r="V2150" s="276"/>
      <c r="W2150" s="283"/>
      <c r="X2150" s="276"/>
      <c r="Y2150" s="276"/>
      <c r="Z2150" s="276"/>
      <c r="AA2150" s="276"/>
      <c r="AB2150" s="276"/>
      <c r="AC2150" s="276"/>
      <c r="AD2150" s="276"/>
    </row>
    <row r="2151" spans="18:30" x14ac:dyDescent="0.25">
      <c r="R2151" s="508"/>
      <c r="S2151" s="508"/>
      <c r="T2151" s="276"/>
      <c r="U2151" s="276"/>
      <c r="V2151" s="276"/>
      <c r="W2151" s="283"/>
      <c r="X2151" s="276"/>
      <c r="Y2151" s="276"/>
      <c r="Z2151" s="276"/>
      <c r="AA2151" s="276"/>
      <c r="AB2151" s="276"/>
      <c r="AC2151" s="276"/>
      <c r="AD2151" s="276"/>
    </row>
    <row r="2152" spans="18:30" x14ac:dyDescent="0.25">
      <c r="R2152" s="508"/>
      <c r="S2152" s="508"/>
      <c r="T2152" s="276"/>
      <c r="U2152" s="276"/>
      <c r="V2152" s="276"/>
      <c r="W2152" s="283"/>
      <c r="X2152" s="276"/>
      <c r="Y2152" s="276"/>
      <c r="Z2152" s="276"/>
      <c r="AA2152" s="276"/>
      <c r="AB2152" s="276"/>
      <c r="AC2152" s="276"/>
      <c r="AD2152" s="276"/>
    </row>
    <row r="2153" spans="18:30" x14ac:dyDescent="0.25">
      <c r="R2153" s="508"/>
      <c r="S2153" s="508"/>
      <c r="T2153" s="276"/>
      <c r="U2153" s="276"/>
      <c r="V2153" s="276"/>
      <c r="W2153" s="283"/>
      <c r="X2153" s="276"/>
      <c r="Y2153" s="276"/>
      <c r="Z2153" s="276"/>
      <c r="AA2153" s="276"/>
      <c r="AB2153" s="276"/>
      <c r="AC2153" s="276"/>
      <c r="AD2153" s="276"/>
    </row>
    <row r="2154" spans="18:30" x14ac:dyDescent="0.25">
      <c r="R2154" s="508"/>
      <c r="S2154" s="508"/>
      <c r="T2154" s="276"/>
      <c r="U2154" s="276"/>
      <c r="V2154" s="276"/>
      <c r="W2154" s="283"/>
      <c r="X2154" s="276"/>
      <c r="Y2154" s="276"/>
      <c r="Z2154" s="276"/>
      <c r="AA2154" s="276"/>
      <c r="AB2154" s="276"/>
      <c r="AC2154" s="276"/>
      <c r="AD2154" s="276"/>
    </row>
    <row r="2155" spans="18:30" x14ac:dyDescent="0.25">
      <c r="R2155" s="508"/>
      <c r="S2155" s="508"/>
      <c r="T2155" s="276"/>
      <c r="U2155" s="276"/>
      <c r="V2155" s="276"/>
      <c r="W2155" s="283"/>
      <c r="X2155" s="276"/>
      <c r="Y2155" s="276"/>
      <c r="Z2155" s="276"/>
      <c r="AA2155" s="276"/>
      <c r="AB2155" s="276"/>
      <c r="AC2155" s="276"/>
      <c r="AD2155" s="276"/>
    </row>
    <row r="2156" spans="18:30" x14ac:dyDescent="0.25">
      <c r="R2156" s="508"/>
      <c r="S2156" s="508"/>
      <c r="T2156" s="276"/>
      <c r="U2156" s="276"/>
      <c r="V2156" s="276"/>
      <c r="W2156" s="283"/>
      <c r="X2156" s="276"/>
      <c r="Y2156" s="276"/>
      <c r="Z2156" s="276"/>
      <c r="AA2156" s="276"/>
      <c r="AB2156" s="276"/>
      <c r="AC2156" s="276"/>
      <c r="AD2156" s="276"/>
    </row>
    <row r="2157" spans="18:30" x14ac:dyDescent="0.25">
      <c r="R2157" s="508"/>
      <c r="S2157" s="508"/>
      <c r="T2157" s="276"/>
      <c r="U2157" s="276"/>
      <c r="V2157" s="276"/>
      <c r="W2157" s="283"/>
      <c r="X2157" s="276"/>
      <c r="Y2157" s="276"/>
      <c r="Z2157" s="276"/>
      <c r="AA2157" s="276"/>
      <c r="AB2157" s="276"/>
      <c r="AC2157" s="276"/>
      <c r="AD2157" s="276"/>
    </row>
    <row r="2158" spans="18:30" x14ac:dyDescent="0.25">
      <c r="R2158" s="508"/>
      <c r="S2158" s="508"/>
      <c r="T2158" s="276"/>
      <c r="U2158" s="276"/>
      <c r="V2158" s="276"/>
      <c r="W2158" s="283"/>
      <c r="X2158" s="276"/>
      <c r="Y2158" s="276"/>
      <c r="Z2158" s="276"/>
      <c r="AA2158" s="276"/>
      <c r="AB2158" s="276"/>
      <c r="AC2158" s="276"/>
      <c r="AD2158" s="276"/>
    </row>
    <row r="2159" spans="18:30" x14ac:dyDescent="0.25">
      <c r="R2159" s="508"/>
      <c r="S2159" s="508"/>
      <c r="T2159" s="276"/>
      <c r="U2159" s="276"/>
      <c r="V2159" s="276"/>
      <c r="W2159" s="283"/>
      <c r="X2159" s="276"/>
      <c r="Y2159" s="276"/>
      <c r="Z2159" s="276"/>
      <c r="AA2159" s="276"/>
      <c r="AB2159" s="276"/>
      <c r="AC2159" s="276"/>
      <c r="AD2159" s="276"/>
    </row>
    <row r="2160" spans="18:30" x14ac:dyDescent="0.25">
      <c r="R2160" s="508"/>
      <c r="S2160" s="508"/>
      <c r="T2160" s="276"/>
      <c r="U2160" s="276"/>
      <c r="V2160" s="276"/>
      <c r="W2160" s="283"/>
      <c r="X2160" s="276"/>
      <c r="Y2160" s="276"/>
      <c r="Z2160" s="276"/>
      <c r="AA2160" s="276"/>
      <c r="AB2160" s="276"/>
      <c r="AC2160" s="276"/>
      <c r="AD2160" s="276"/>
    </row>
    <row r="2161" spans="18:30" x14ac:dyDescent="0.25">
      <c r="R2161" s="508"/>
      <c r="S2161" s="508"/>
      <c r="T2161" s="276"/>
      <c r="U2161" s="276"/>
      <c r="V2161" s="276"/>
      <c r="W2161" s="283"/>
      <c r="X2161" s="276"/>
      <c r="Y2161" s="276"/>
      <c r="Z2161" s="276"/>
      <c r="AA2161" s="276"/>
      <c r="AB2161" s="276"/>
      <c r="AC2161" s="276"/>
      <c r="AD2161" s="276"/>
    </row>
    <row r="2162" spans="18:30" x14ac:dyDescent="0.25">
      <c r="R2162" s="508"/>
      <c r="S2162" s="508"/>
      <c r="T2162" s="276"/>
      <c r="U2162" s="276"/>
      <c r="V2162" s="276"/>
      <c r="W2162" s="283"/>
      <c r="X2162" s="276"/>
      <c r="Y2162" s="276"/>
      <c r="Z2162" s="276"/>
      <c r="AA2162" s="276"/>
      <c r="AB2162" s="276"/>
      <c r="AC2162" s="276"/>
      <c r="AD2162" s="276"/>
    </row>
    <row r="2163" spans="18:30" x14ac:dyDescent="0.25">
      <c r="R2163" s="508"/>
      <c r="S2163" s="508"/>
      <c r="T2163" s="276"/>
      <c r="U2163" s="276"/>
      <c r="V2163" s="276"/>
      <c r="W2163" s="283"/>
      <c r="X2163" s="276"/>
      <c r="Y2163" s="276"/>
      <c r="Z2163" s="276"/>
      <c r="AA2163" s="276"/>
      <c r="AB2163" s="276"/>
      <c r="AC2163" s="276"/>
      <c r="AD2163" s="276"/>
    </row>
    <row r="2164" spans="18:30" x14ac:dyDescent="0.25">
      <c r="R2164" s="508"/>
      <c r="S2164" s="508"/>
      <c r="T2164" s="276"/>
      <c r="U2164" s="276"/>
      <c r="V2164" s="276"/>
      <c r="W2164" s="283"/>
      <c r="X2164" s="276"/>
      <c r="Y2164" s="276"/>
      <c r="Z2164" s="276"/>
      <c r="AA2164" s="276"/>
      <c r="AB2164" s="276"/>
      <c r="AC2164" s="276"/>
      <c r="AD2164" s="276"/>
    </row>
    <row r="2165" spans="18:30" x14ac:dyDescent="0.25">
      <c r="R2165" s="508"/>
      <c r="S2165" s="508"/>
      <c r="T2165" s="276"/>
      <c r="U2165" s="276"/>
      <c r="V2165" s="276"/>
      <c r="W2165" s="283"/>
      <c r="X2165" s="276"/>
      <c r="Y2165" s="276"/>
      <c r="Z2165" s="276"/>
      <c r="AA2165" s="276"/>
      <c r="AB2165" s="276"/>
      <c r="AC2165" s="276"/>
      <c r="AD2165" s="276"/>
    </row>
    <row r="2166" spans="18:30" x14ac:dyDescent="0.25">
      <c r="R2166" s="508"/>
      <c r="S2166" s="508"/>
      <c r="T2166" s="276"/>
      <c r="U2166" s="276"/>
      <c r="V2166" s="276"/>
      <c r="W2166" s="283"/>
      <c r="X2166" s="276"/>
      <c r="Y2166" s="276"/>
      <c r="Z2166" s="276"/>
      <c r="AA2166" s="276"/>
      <c r="AB2166" s="276"/>
      <c r="AC2166" s="276"/>
      <c r="AD2166" s="276"/>
    </row>
    <row r="2167" spans="18:30" x14ac:dyDescent="0.25">
      <c r="R2167" s="508"/>
      <c r="S2167" s="508"/>
      <c r="T2167" s="276"/>
      <c r="U2167" s="276"/>
      <c r="V2167" s="276"/>
      <c r="W2167" s="283"/>
      <c r="X2167" s="276"/>
      <c r="Y2167" s="276"/>
      <c r="Z2167" s="276"/>
      <c r="AA2167" s="276"/>
      <c r="AB2167" s="276"/>
      <c r="AC2167" s="276"/>
      <c r="AD2167" s="276"/>
    </row>
    <row r="2168" spans="18:30" x14ac:dyDescent="0.25">
      <c r="R2168" s="508"/>
      <c r="S2168" s="508"/>
      <c r="T2168" s="276"/>
      <c r="U2168" s="276"/>
      <c r="V2168" s="276"/>
      <c r="W2168" s="283"/>
      <c r="X2168" s="276"/>
      <c r="Y2168" s="276"/>
      <c r="Z2168" s="276"/>
      <c r="AA2168" s="276"/>
      <c r="AB2168" s="276"/>
      <c r="AC2168" s="276"/>
      <c r="AD2168" s="276"/>
    </row>
    <row r="2169" spans="18:30" x14ac:dyDescent="0.25">
      <c r="R2169" s="508"/>
      <c r="S2169" s="508"/>
      <c r="T2169" s="276"/>
      <c r="U2169" s="276"/>
      <c r="V2169" s="276"/>
      <c r="W2169" s="283"/>
      <c r="X2169" s="276"/>
      <c r="Y2169" s="276"/>
      <c r="Z2169" s="276"/>
      <c r="AA2169" s="276"/>
      <c r="AB2169" s="276"/>
      <c r="AC2169" s="276"/>
      <c r="AD2169" s="276"/>
    </row>
    <row r="2170" spans="18:30" x14ac:dyDescent="0.25">
      <c r="R2170" s="508"/>
      <c r="S2170" s="508"/>
      <c r="T2170" s="276"/>
      <c r="U2170" s="276"/>
      <c r="V2170" s="276"/>
      <c r="W2170" s="283"/>
      <c r="X2170" s="276"/>
      <c r="Y2170" s="276"/>
      <c r="Z2170" s="276"/>
      <c r="AA2170" s="276"/>
      <c r="AB2170" s="276"/>
      <c r="AC2170" s="276"/>
      <c r="AD2170" s="276"/>
    </row>
    <row r="2171" spans="18:30" x14ac:dyDescent="0.25">
      <c r="R2171" s="508"/>
      <c r="S2171" s="508"/>
      <c r="T2171" s="276"/>
      <c r="U2171" s="276"/>
      <c r="V2171" s="276"/>
      <c r="W2171" s="283"/>
      <c r="X2171" s="276"/>
      <c r="Y2171" s="276"/>
      <c r="Z2171" s="276"/>
      <c r="AA2171" s="276"/>
      <c r="AB2171" s="276"/>
      <c r="AC2171" s="276"/>
      <c r="AD2171" s="276"/>
    </row>
    <row r="2172" spans="18:30" x14ac:dyDescent="0.25">
      <c r="R2172" s="508"/>
      <c r="S2172" s="508"/>
      <c r="T2172" s="276"/>
      <c r="U2172" s="276"/>
      <c r="V2172" s="276"/>
      <c r="W2172" s="283"/>
      <c r="X2172" s="276"/>
      <c r="Y2172" s="276"/>
      <c r="Z2172" s="276"/>
      <c r="AA2172" s="276"/>
      <c r="AB2172" s="276"/>
      <c r="AC2172" s="276"/>
      <c r="AD2172" s="276"/>
    </row>
    <row r="2173" spans="18:30" x14ac:dyDescent="0.25">
      <c r="R2173" s="508"/>
      <c r="S2173" s="508"/>
      <c r="T2173" s="276"/>
      <c r="U2173" s="276"/>
      <c r="V2173" s="276"/>
      <c r="W2173" s="283"/>
      <c r="X2173" s="276"/>
      <c r="Y2173" s="276"/>
      <c r="Z2173" s="276"/>
      <c r="AA2173" s="276"/>
      <c r="AB2173" s="276"/>
      <c r="AC2173" s="276"/>
      <c r="AD2173" s="276"/>
    </row>
    <row r="2174" spans="18:30" x14ac:dyDescent="0.25">
      <c r="R2174" s="508"/>
      <c r="S2174" s="508"/>
      <c r="T2174" s="276"/>
      <c r="U2174" s="276"/>
      <c r="V2174" s="276"/>
      <c r="W2174" s="283"/>
      <c r="X2174" s="276"/>
      <c r="Y2174" s="276"/>
      <c r="Z2174" s="276"/>
      <c r="AA2174" s="276"/>
      <c r="AB2174" s="276"/>
      <c r="AC2174" s="276"/>
      <c r="AD2174" s="276"/>
    </row>
    <row r="2175" spans="18:30" x14ac:dyDescent="0.25">
      <c r="R2175" s="508"/>
      <c r="S2175" s="508"/>
      <c r="T2175" s="276"/>
      <c r="U2175" s="276"/>
      <c r="V2175" s="276"/>
      <c r="W2175" s="283"/>
      <c r="X2175" s="276"/>
      <c r="Y2175" s="276"/>
      <c r="Z2175" s="276"/>
      <c r="AA2175" s="276"/>
      <c r="AB2175" s="276"/>
      <c r="AC2175" s="276"/>
      <c r="AD2175" s="276"/>
    </row>
    <row r="2176" spans="18:30" x14ac:dyDescent="0.25">
      <c r="R2176" s="508"/>
      <c r="S2176" s="508"/>
      <c r="T2176" s="276"/>
      <c r="U2176" s="276"/>
      <c r="V2176" s="276"/>
      <c r="W2176" s="283"/>
      <c r="X2176" s="276"/>
      <c r="Y2176" s="276"/>
      <c r="Z2176" s="276"/>
      <c r="AA2176" s="276"/>
      <c r="AB2176" s="276"/>
      <c r="AC2176" s="276"/>
      <c r="AD2176" s="276"/>
    </row>
    <row r="2177" spans="18:30" x14ac:dyDescent="0.25">
      <c r="R2177" s="508"/>
      <c r="S2177" s="508"/>
      <c r="T2177" s="276"/>
      <c r="U2177" s="276"/>
      <c r="V2177" s="276"/>
      <c r="W2177" s="283"/>
      <c r="X2177" s="276"/>
      <c r="Y2177" s="276"/>
      <c r="Z2177" s="276"/>
      <c r="AA2177" s="276"/>
      <c r="AB2177" s="276"/>
      <c r="AC2177" s="276"/>
      <c r="AD2177" s="276"/>
    </row>
    <row r="2178" spans="18:30" x14ac:dyDescent="0.25">
      <c r="R2178" s="508"/>
      <c r="S2178" s="508"/>
      <c r="T2178" s="276"/>
      <c r="U2178" s="276"/>
      <c r="V2178" s="276"/>
      <c r="W2178" s="283"/>
      <c r="X2178" s="276"/>
      <c r="Y2178" s="276"/>
      <c r="Z2178" s="276"/>
      <c r="AA2178" s="276"/>
      <c r="AB2178" s="276"/>
      <c r="AC2178" s="276"/>
      <c r="AD2178" s="276"/>
    </row>
    <row r="2179" spans="18:30" x14ac:dyDescent="0.25">
      <c r="R2179" s="508"/>
      <c r="S2179" s="508"/>
      <c r="T2179" s="276"/>
      <c r="U2179" s="276"/>
      <c r="V2179" s="276"/>
      <c r="W2179" s="283"/>
      <c r="X2179" s="276"/>
      <c r="Y2179" s="276"/>
      <c r="Z2179" s="276"/>
      <c r="AA2179" s="276"/>
      <c r="AB2179" s="276"/>
      <c r="AC2179" s="276"/>
      <c r="AD2179" s="276"/>
    </row>
    <row r="2180" spans="18:30" x14ac:dyDescent="0.25">
      <c r="R2180" s="508"/>
      <c r="S2180" s="508"/>
      <c r="T2180" s="276"/>
      <c r="U2180" s="276"/>
      <c r="V2180" s="276"/>
      <c r="W2180" s="283"/>
      <c r="X2180" s="276"/>
      <c r="Y2180" s="276"/>
      <c r="Z2180" s="276"/>
      <c r="AA2180" s="276"/>
      <c r="AB2180" s="276"/>
      <c r="AC2180" s="276"/>
      <c r="AD2180" s="276"/>
    </row>
    <row r="2181" spans="18:30" x14ac:dyDescent="0.25">
      <c r="R2181" s="508"/>
      <c r="S2181" s="508"/>
      <c r="T2181" s="276"/>
      <c r="U2181" s="276"/>
      <c r="V2181" s="276"/>
      <c r="W2181" s="283"/>
      <c r="X2181" s="276"/>
      <c r="Y2181" s="276"/>
      <c r="Z2181" s="276"/>
      <c r="AA2181" s="276"/>
      <c r="AB2181" s="276"/>
      <c r="AC2181" s="276"/>
      <c r="AD2181" s="276"/>
    </row>
    <row r="2182" spans="18:30" x14ac:dyDescent="0.25">
      <c r="R2182" s="508"/>
      <c r="S2182" s="508"/>
      <c r="T2182" s="276"/>
      <c r="U2182" s="276"/>
      <c r="V2182" s="276"/>
      <c r="W2182" s="283"/>
      <c r="X2182" s="276"/>
      <c r="Y2182" s="276"/>
      <c r="Z2182" s="276"/>
      <c r="AA2182" s="276"/>
      <c r="AB2182" s="276"/>
      <c r="AC2182" s="276"/>
      <c r="AD2182" s="276"/>
    </row>
    <row r="2183" spans="18:30" x14ac:dyDescent="0.25">
      <c r="R2183" s="508"/>
      <c r="S2183" s="508"/>
      <c r="T2183" s="276"/>
      <c r="U2183" s="276"/>
      <c r="V2183" s="276"/>
      <c r="W2183" s="283"/>
      <c r="X2183" s="276"/>
      <c r="Y2183" s="276"/>
      <c r="Z2183" s="276"/>
      <c r="AA2183" s="276"/>
      <c r="AB2183" s="276"/>
      <c r="AC2183" s="276"/>
      <c r="AD2183" s="276"/>
    </row>
    <row r="2184" spans="18:30" x14ac:dyDescent="0.25">
      <c r="R2184" s="508"/>
      <c r="S2184" s="508"/>
      <c r="T2184" s="276"/>
      <c r="U2184" s="276"/>
      <c r="V2184" s="276"/>
      <c r="W2184" s="283"/>
      <c r="X2184" s="276"/>
      <c r="Y2184" s="276"/>
      <c r="Z2184" s="276"/>
      <c r="AA2184" s="276"/>
      <c r="AB2184" s="276"/>
      <c r="AC2184" s="276"/>
      <c r="AD2184" s="276"/>
    </row>
    <row r="2185" spans="18:30" x14ac:dyDescent="0.25">
      <c r="R2185" s="508"/>
      <c r="S2185" s="508"/>
      <c r="T2185" s="276"/>
      <c r="U2185" s="276"/>
      <c r="V2185" s="276"/>
      <c r="W2185" s="283"/>
      <c r="X2185" s="276"/>
      <c r="Y2185" s="276"/>
      <c r="Z2185" s="276"/>
      <c r="AA2185" s="276"/>
      <c r="AB2185" s="276"/>
      <c r="AC2185" s="276"/>
      <c r="AD2185" s="276"/>
    </row>
    <row r="2186" spans="18:30" x14ac:dyDescent="0.25">
      <c r="R2186" s="508"/>
      <c r="S2186" s="508"/>
      <c r="T2186" s="276"/>
      <c r="U2186" s="276"/>
      <c r="V2186" s="276"/>
      <c r="W2186" s="283"/>
      <c r="X2186" s="276"/>
      <c r="Y2186" s="276"/>
      <c r="Z2186" s="276"/>
      <c r="AA2186" s="276"/>
      <c r="AB2186" s="276"/>
      <c r="AC2186" s="276"/>
      <c r="AD2186" s="276"/>
    </row>
    <row r="2187" spans="18:30" x14ac:dyDescent="0.25">
      <c r="R2187" s="508"/>
      <c r="S2187" s="508"/>
      <c r="T2187" s="276"/>
      <c r="U2187" s="276"/>
      <c r="V2187" s="276"/>
      <c r="W2187" s="283"/>
      <c r="X2187" s="276"/>
      <c r="Y2187" s="276"/>
      <c r="Z2187" s="276"/>
      <c r="AA2187" s="276"/>
      <c r="AB2187" s="276"/>
      <c r="AC2187" s="276"/>
      <c r="AD2187" s="276"/>
    </row>
    <row r="2188" spans="18:30" x14ac:dyDescent="0.25">
      <c r="R2188" s="508"/>
      <c r="S2188" s="508"/>
      <c r="T2188" s="276"/>
      <c r="U2188" s="276"/>
      <c r="V2188" s="276"/>
      <c r="W2188" s="283"/>
      <c r="X2188" s="276"/>
      <c r="Y2188" s="276"/>
      <c r="Z2188" s="276"/>
      <c r="AA2188" s="276"/>
      <c r="AB2188" s="276"/>
      <c r="AC2188" s="276"/>
      <c r="AD2188" s="276"/>
    </row>
    <row r="2189" spans="18:30" x14ac:dyDescent="0.25">
      <c r="R2189" s="508"/>
      <c r="S2189" s="508"/>
      <c r="T2189" s="276"/>
      <c r="U2189" s="276"/>
      <c r="V2189" s="276"/>
      <c r="W2189" s="283"/>
      <c r="X2189" s="276"/>
      <c r="Y2189" s="276"/>
      <c r="Z2189" s="276"/>
      <c r="AA2189" s="276"/>
      <c r="AB2189" s="276"/>
      <c r="AC2189" s="276"/>
      <c r="AD2189" s="276"/>
    </row>
    <row r="2190" spans="18:30" x14ac:dyDescent="0.25">
      <c r="R2190" s="508"/>
      <c r="S2190" s="508"/>
      <c r="T2190" s="276"/>
      <c r="U2190" s="276"/>
      <c r="V2190" s="276"/>
      <c r="W2190" s="283"/>
      <c r="X2190" s="276"/>
      <c r="Y2190" s="276"/>
      <c r="Z2190" s="276"/>
      <c r="AA2190" s="276"/>
      <c r="AB2190" s="276"/>
      <c r="AC2190" s="276"/>
      <c r="AD2190" s="276"/>
    </row>
    <row r="2191" spans="18:30" x14ac:dyDescent="0.25">
      <c r="R2191" s="508"/>
      <c r="S2191" s="508"/>
      <c r="T2191" s="276"/>
      <c r="U2191" s="276"/>
      <c r="V2191" s="276"/>
      <c r="W2191" s="283"/>
      <c r="X2191" s="276"/>
      <c r="Y2191" s="276"/>
      <c r="Z2191" s="276"/>
      <c r="AA2191" s="276"/>
      <c r="AB2191" s="276"/>
      <c r="AC2191" s="276"/>
      <c r="AD2191" s="276"/>
    </row>
    <row r="2192" spans="18:30" x14ac:dyDescent="0.25">
      <c r="R2192" s="508"/>
      <c r="S2192" s="508"/>
      <c r="T2192" s="276"/>
      <c r="U2192" s="276"/>
      <c r="V2192" s="276"/>
      <c r="W2192" s="283"/>
      <c r="X2192" s="276"/>
      <c r="Y2192" s="276"/>
      <c r="Z2192" s="276"/>
      <c r="AA2192" s="276"/>
      <c r="AB2192" s="276"/>
      <c r="AC2192" s="276"/>
      <c r="AD2192" s="276"/>
    </row>
    <row r="2193" spans="18:30" x14ac:dyDescent="0.25">
      <c r="R2193" s="508"/>
      <c r="S2193" s="508"/>
      <c r="T2193" s="276"/>
      <c r="U2193" s="276"/>
      <c r="V2193" s="276"/>
      <c r="W2193" s="283"/>
      <c r="X2193" s="276"/>
      <c r="Y2193" s="276"/>
      <c r="Z2193" s="276"/>
      <c r="AA2193" s="276"/>
      <c r="AB2193" s="276"/>
      <c r="AC2193" s="276"/>
      <c r="AD2193" s="276"/>
    </row>
    <row r="2194" spans="18:30" x14ac:dyDescent="0.25">
      <c r="R2194" s="508"/>
      <c r="S2194" s="508"/>
      <c r="T2194" s="276"/>
      <c r="U2194" s="276"/>
      <c r="V2194" s="276"/>
      <c r="W2194" s="283"/>
      <c r="X2194" s="276"/>
      <c r="Y2194" s="276"/>
      <c r="Z2194" s="276"/>
      <c r="AA2194" s="276"/>
      <c r="AB2194" s="276"/>
      <c r="AC2194" s="276"/>
      <c r="AD2194" s="276"/>
    </row>
    <row r="2195" spans="18:30" x14ac:dyDescent="0.25">
      <c r="R2195" s="508"/>
      <c r="S2195" s="508"/>
      <c r="T2195" s="276"/>
      <c r="U2195" s="276"/>
      <c r="V2195" s="276"/>
      <c r="W2195" s="283"/>
      <c r="X2195" s="276"/>
      <c r="Y2195" s="276"/>
      <c r="Z2195" s="276"/>
      <c r="AA2195" s="276"/>
      <c r="AB2195" s="276"/>
      <c r="AC2195" s="276"/>
      <c r="AD2195" s="276"/>
    </row>
    <row r="2196" spans="18:30" x14ac:dyDescent="0.25">
      <c r="R2196" s="508"/>
      <c r="S2196" s="508"/>
      <c r="T2196" s="276"/>
      <c r="U2196" s="276"/>
      <c r="V2196" s="276"/>
      <c r="W2196" s="283"/>
      <c r="X2196" s="276"/>
      <c r="Y2196" s="276"/>
      <c r="Z2196" s="276"/>
      <c r="AA2196" s="276"/>
      <c r="AB2196" s="276"/>
      <c r="AC2196" s="276"/>
      <c r="AD2196" s="276"/>
    </row>
    <row r="2197" spans="18:30" x14ac:dyDescent="0.25">
      <c r="R2197" s="508"/>
      <c r="S2197" s="508"/>
      <c r="T2197" s="276"/>
      <c r="U2197" s="276"/>
      <c r="V2197" s="276"/>
      <c r="W2197" s="283"/>
      <c r="X2197" s="276"/>
      <c r="Y2197" s="276"/>
      <c r="Z2197" s="276"/>
      <c r="AA2197" s="276"/>
      <c r="AB2197" s="276"/>
      <c r="AC2197" s="276"/>
      <c r="AD2197" s="276"/>
    </row>
    <row r="2198" spans="18:30" x14ac:dyDescent="0.25">
      <c r="R2198" s="508"/>
      <c r="S2198" s="508"/>
      <c r="T2198" s="276"/>
      <c r="U2198" s="276"/>
      <c r="V2198" s="276"/>
      <c r="W2198" s="283"/>
      <c r="X2198" s="276"/>
      <c r="Y2198" s="276"/>
      <c r="Z2198" s="276"/>
      <c r="AA2198" s="276"/>
      <c r="AB2198" s="276"/>
      <c r="AC2198" s="276"/>
      <c r="AD2198" s="276"/>
    </row>
    <row r="2199" spans="18:30" x14ac:dyDescent="0.25">
      <c r="R2199" s="508"/>
      <c r="S2199" s="508"/>
      <c r="T2199" s="276"/>
      <c r="U2199" s="276"/>
      <c r="V2199" s="276"/>
      <c r="W2199" s="283"/>
      <c r="X2199" s="276"/>
      <c r="Y2199" s="276"/>
      <c r="Z2199" s="276"/>
      <c r="AA2199" s="276"/>
      <c r="AB2199" s="276"/>
      <c r="AC2199" s="276"/>
      <c r="AD2199" s="276"/>
    </row>
    <row r="2200" spans="18:30" x14ac:dyDescent="0.25">
      <c r="R2200" s="508"/>
      <c r="S2200" s="508"/>
      <c r="T2200" s="276"/>
      <c r="U2200" s="276"/>
      <c r="V2200" s="276"/>
      <c r="W2200" s="283"/>
      <c r="X2200" s="276"/>
      <c r="Y2200" s="276"/>
      <c r="Z2200" s="276"/>
      <c r="AA2200" s="276"/>
      <c r="AB2200" s="276"/>
      <c r="AC2200" s="276"/>
      <c r="AD2200" s="276"/>
    </row>
    <row r="2201" spans="18:30" x14ac:dyDescent="0.25">
      <c r="R2201" s="508"/>
      <c r="S2201" s="508"/>
      <c r="T2201" s="276"/>
      <c r="U2201" s="276"/>
      <c r="V2201" s="276"/>
      <c r="W2201" s="283"/>
      <c r="X2201" s="276"/>
      <c r="Y2201" s="276"/>
      <c r="Z2201" s="276"/>
      <c r="AA2201" s="276"/>
      <c r="AB2201" s="276"/>
      <c r="AC2201" s="276"/>
      <c r="AD2201" s="276"/>
    </row>
    <row r="2202" spans="18:30" x14ac:dyDescent="0.25">
      <c r="R2202" s="508"/>
      <c r="S2202" s="508"/>
      <c r="T2202" s="276"/>
      <c r="U2202" s="276"/>
      <c r="V2202" s="276"/>
      <c r="W2202" s="283"/>
      <c r="X2202" s="276"/>
      <c r="Y2202" s="276"/>
      <c r="Z2202" s="276"/>
      <c r="AA2202" s="276"/>
      <c r="AB2202" s="276"/>
      <c r="AC2202" s="276"/>
      <c r="AD2202" s="276"/>
    </row>
    <row r="2203" spans="18:30" x14ac:dyDescent="0.25">
      <c r="R2203" s="508"/>
      <c r="S2203" s="508"/>
      <c r="T2203" s="276"/>
      <c r="U2203" s="276"/>
      <c r="V2203" s="276"/>
      <c r="W2203" s="283"/>
      <c r="X2203" s="276"/>
      <c r="Y2203" s="276"/>
      <c r="Z2203" s="276"/>
      <c r="AA2203" s="276"/>
      <c r="AB2203" s="276"/>
      <c r="AC2203" s="276"/>
      <c r="AD2203" s="276"/>
    </row>
    <row r="2204" spans="18:30" x14ac:dyDescent="0.25">
      <c r="R2204" s="508"/>
      <c r="S2204" s="508"/>
      <c r="T2204" s="276"/>
      <c r="U2204" s="276"/>
      <c r="V2204" s="276"/>
      <c r="W2204" s="283"/>
      <c r="X2204" s="276"/>
      <c r="Y2204" s="276"/>
      <c r="Z2204" s="276"/>
      <c r="AA2204" s="276"/>
      <c r="AB2204" s="276"/>
      <c r="AC2204" s="276"/>
      <c r="AD2204" s="276"/>
    </row>
    <row r="2205" spans="18:30" x14ac:dyDescent="0.25">
      <c r="R2205" s="508"/>
      <c r="S2205" s="508"/>
      <c r="T2205" s="276"/>
      <c r="U2205" s="276"/>
      <c r="V2205" s="276"/>
      <c r="W2205" s="283"/>
      <c r="X2205" s="276"/>
      <c r="Y2205" s="276"/>
      <c r="Z2205" s="276"/>
      <c r="AA2205" s="276"/>
      <c r="AB2205" s="276"/>
      <c r="AC2205" s="276"/>
      <c r="AD2205" s="276"/>
    </row>
    <row r="2206" spans="18:30" x14ac:dyDescent="0.25">
      <c r="R2206" s="508"/>
      <c r="S2206" s="508"/>
      <c r="T2206" s="276"/>
      <c r="U2206" s="276"/>
      <c r="V2206" s="276"/>
      <c r="W2206" s="283"/>
      <c r="X2206" s="276"/>
      <c r="Y2206" s="276"/>
      <c r="Z2206" s="276"/>
      <c r="AA2206" s="276"/>
      <c r="AB2206" s="276"/>
      <c r="AC2206" s="276"/>
      <c r="AD2206" s="276"/>
    </row>
    <row r="2207" spans="18:30" x14ac:dyDescent="0.25">
      <c r="R2207" s="508"/>
      <c r="S2207" s="508"/>
      <c r="T2207" s="276"/>
      <c r="U2207" s="276"/>
      <c r="V2207" s="276"/>
      <c r="W2207" s="283"/>
      <c r="X2207" s="276"/>
      <c r="Y2207" s="276"/>
      <c r="Z2207" s="276"/>
      <c r="AA2207" s="276"/>
      <c r="AB2207" s="276"/>
      <c r="AC2207" s="276"/>
      <c r="AD2207" s="276"/>
    </row>
    <row r="2208" spans="18:30" x14ac:dyDescent="0.25">
      <c r="R2208" s="508"/>
      <c r="S2208" s="508"/>
      <c r="T2208" s="276"/>
      <c r="U2208" s="276"/>
      <c r="V2208" s="276"/>
      <c r="W2208" s="283"/>
      <c r="X2208" s="276"/>
      <c r="Y2208" s="276"/>
      <c r="Z2208" s="276"/>
      <c r="AA2208" s="276"/>
      <c r="AB2208" s="276"/>
      <c r="AC2208" s="276"/>
      <c r="AD2208" s="276"/>
    </row>
    <row r="2209" spans="18:30" x14ac:dyDescent="0.25">
      <c r="R2209" s="508"/>
      <c r="S2209" s="508"/>
      <c r="T2209" s="276"/>
      <c r="U2209" s="276"/>
      <c r="V2209" s="276"/>
      <c r="W2209" s="283"/>
      <c r="X2209" s="276"/>
      <c r="Y2209" s="276"/>
      <c r="Z2209" s="276"/>
      <c r="AA2209" s="276"/>
      <c r="AB2209" s="276"/>
      <c r="AC2209" s="276"/>
      <c r="AD2209" s="276"/>
    </row>
    <row r="2210" spans="18:30" x14ac:dyDescent="0.25">
      <c r="R2210" s="508"/>
      <c r="S2210" s="508"/>
      <c r="T2210" s="276"/>
      <c r="U2210" s="276"/>
      <c r="V2210" s="276"/>
      <c r="W2210" s="283"/>
      <c r="X2210" s="276"/>
      <c r="Y2210" s="276"/>
      <c r="Z2210" s="276"/>
      <c r="AA2210" s="276"/>
      <c r="AB2210" s="276"/>
      <c r="AC2210" s="276"/>
      <c r="AD2210" s="276"/>
    </row>
    <row r="2211" spans="18:30" x14ac:dyDescent="0.25">
      <c r="R2211" s="508"/>
      <c r="S2211" s="508"/>
      <c r="T2211" s="276"/>
      <c r="U2211" s="276"/>
      <c r="V2211" s="276"/>
      <c r="W2211" s="283"/>
      <c r="X2211" s="276"/>
      <c r="Y2211" s="276"/>
      <c r="Z2211" s="276"/>
      <c r="AA2211" s="276"/>
      <c r="AB2211" s="276"/>
      <c r="AC2211" s="276"/>
      <c r="AD2211" s="276"/>
    </row>
    <row r="2212" spans="18:30" x14ac:dyDescent="0.25">
      <c r="R2212" s="508"/>
      <c r="S2212" s="508"/>
      <c r="T2212" s="276"/>
      <c r="U2212" s="276"/>
      <c r="V2212" s="276"/>
      <c r="W2212" s="283"/>
      <c r="X2212" s="276"/>
      <c r="Y2212" s="276"/>
      <c r="Z2212" s="276"/>
      <c r="AA2212" s="276"/>
      <c r="AB2212" s="276"/>
      <c r="AC2212" s="276"/>
      <c r="AD2212" s="276"/>
    </row>
    <row r="2213" spans="18:30" x14ac:dyDescent="0.25">
      <c r="R2213" s="508"/>
      <c r="S2213" s="508"/>
      <c r="T2213" s="276"/>
      <c r="U2213" s="276"/>
      <c r="V2213" s="276"/>
      <c r="W2213" s="283"/>
      <c r="X2213" s="276"/>
      <c r="Y2213" s="276"/>
      <c r="Z2213" s="276"/>
      <c r="AA2213" s="276"/>
      <c r="AB2213" s="276"/>
      <c r="AC2213" s="276"/>
      <c r="AD2213" s="276"/>
    </row>
    <row r="2214" spans="18:30" x14ac:dyDescent="0.25">
      <c r="R2214" s="508"/>
      <c r="S2214" s="508"/>
      <c r="T2214" s="276"/>
      <c r="U2214" s="276"/>
      <c r="V2214" s="276"/>
      <c r="W2214" s="283"/>
      <c r="X2214" s="276"/>
      <c r="Y2214" s="276"/>
      <c r="Z2214" s="276"/>
      <c r="AA2214" s="276"/>
      <c r="AB2214" s="276"/>
      <c r="AC2214" s="276"/>
      <c r="AD2214" s="276"/>
    </row>
    <row r="2215" spans="18:30" x14ac:dyDescent="0.25">
      <c r="R2215" s="508"/>
      <c r="S2215" s="508"/>
      <c r="T2215" s="276"/>
      <c r="U2215" s="276"/>
      <c r="V2215" s="276"/>
      <c r="W2215" s="283"/>
      <c r="X2215" s="276"/>
      <c r="Y2215" s="276"/>
      <c r="Z2215" s="276"/>
      <c r="AA2215" s="276"/>
      <c r="AB2215" s="276"/>
      <c r="AC2215" s="276"/>
      <c r="AD2215" s="276"/>
    </row>
    <row r="2216" spans="18:30" x14ac:dyDescent="0.25">
      <c r="R2216" s="508"/>
      <c r="S2216" s="508"/>
      <c r="T2216" s="276"/>
      <c r="U2216" s="276"/>
      <c r="V2216" s="276"/>
      <c r="W2216" s="283"/>
      <c r="X2216" s="276"/>
      <c r="Y2216" s="276"/>
      <c r="Z2216" s="276"/>
      <c r="AA2216" s="276"/>
      <c r="AB2216" s="276"/>
      <c r="AC2216" s="276"/>
      <c r="AD2216" s="276"/>
    </row>
    <row r="2217" spans="18:30" x14ac:dyDescent="0.25">
      <c r="R2217" s="508"/>
      <c r="S2217" s="508"/>
      <c r="T2217" s="276"/>
      <c r="U2217" s="276"/>
      <c r="V2217" s="276"/>
      <c r="W2217" s="283"/>
      <c r="X2217" s="276"/>
      <c r="Y2217" s="276"/>
      <c r="Z2217" s="276"/>
      <c r="AA2217" s="276"/>
      <c r="AB2217" s="276"/>
      <c r="AC2217" s="276"/>
      <c r="AD2217" s="276"/>
    </row>
    <row r="2218" spans="18:30" x14ac:dyDescent="0.25">
      <c r="R2218" s="508"/>
      <c r="S2218" s="508"/>
      <c r="T2218" s="276"/>
      <c r="U2218" s="276"/>
      <c r="V2218" s="276"/>
      <c r="W2218" s="283"/>
      <c r="X2218" s="276"/>
      <c r="Y2218" s="276"/>
      <c r="Z2218" s="276"/>
      <c r="AA2218" s="276"/>
      <c r="AB2218" s="276"/>
      <c r="AC2218" s="276"/>
      <c r="AD2218" s="276"/>
    </row>
    <row r="2219" spans="18:30" x14ac:dyDescent="0.25">
      <c r="R2219" s="508"/>
      <c r="S2219" s="508"/>
      <c r="T2219" s="276"/>
      <c r="U2219" s="276"/>
      <c r="V2219" s="276"/>
      <c r="W2219" s="283"/>
      <c r="X2219" s="276"/>
      <c r="Y2219" s="276"/>
      <c r="Z2219" s="276"/>
      <c r="AA2219" s="276"/>
      <c r="AB2219" s="276"/>
      <c r="AC2219" s="276"/>
      <c r="AD2219" s="276"/>
    </row>
    <row r="2220" spans="18:30" x14ac:dyDescent="0.25">
      <c r="R2220" s="508"/>
      <c r="S2220" s="508"/>
      <c r="T2220" s="276"/>
      <c r="U2220" s="276"/>
      <c r="V2220" s="276"/>
      <c r="W2220" s="283"/>
      <c r="X2220" s="276"/>
      <c r="Y2220" s="276"/>
      <c r="Z2220" s="276"/>
      <c r="AA2220" s="276"/>
      <c r="AB2220" s="276"/>
      <c r="AC2220" s="276"/>
      <c r="AD2220" s="276"/>
    </row>
    <row r="2221" spans="18:30" x14ac:dyDescent="0.25">
      <c r="R2221" s="508"/>
      <c r="S2221" s="508"/>
      <c r="T2221" s="276"/>
      <c r="U2221" s="276"/>
      <c r="V2221" s="276"/>
      <c r="W2221" s="283"/>
      <c r="X2221" s="276"/>
      <c r="Y2221" s="276"/>
      <c r="Z2221" s="276"/>
      <c r="AA2221" s="276"/>
      <c r="AB2221" s="276"/>
      <c r="AC2221" s="276"/>
      <c r="AD2221" s="276"/>
    </row>
    <row r="2222" spans="18:30" x14ac:dyDescent="0.25">
      <c r="R2222" s="508"/>
      <c r="S2222" s="508"/>
      <c r="T2222" s="276"/>
      <c r="U2222" s="276"/>
      <c r="V2222" s="276"/>
      <c r="W2222" s="283"/>
      <c r="X2222" s="276"/>
      <c r="Y2222" s="276"/>
      <c r="Z2222" s="276"/>
      <c r="AA2222" s="276"/>
      <c r="AB2222" s="276"/>
      <c r="AC2222" s="276"/>
      <c r="AD2222" s="276"/>
    </row>
    <row r="2223" spans="18:30" x14ac:dyDescent="0.25">
      <c r="R2223" s="508"/>
      <c r="S2223" s="508"/>
      <c r="T2223" s="276"/>
      <c r="U2223" s="276"/>
      <c r="V2223" s="276"/>
      <c r="W2223" s="283"/>
      <c r="X2223" s="276"/>
      <c r="Y2223" s="276"/>
      <c r="Z2223" s="276"/>
      <c r="AA2223" s="276"/>
      <c r="AB2223" s="276"/>
      <c r="AC2223" s="276"/>
      <c r="AD2223" s="276"/>
    </row>
    <row r="2224" spans="18:30" x14ac:dyDescent="0.25">
      <c r="R2224" s="508"/>
      <c r="S2224" s="508"/>
      <c r="T2224" s="276"/>
      <c r="U2224" s="276"/>
      <c r="V2224" s="276"/>
      <c r="W2224" s="283"/>
      <c r="X2224" s="276"/>
      <c r="Y2224" s="276"/>
      <c r="Z2224" s="276"/>
      <c r="AA2224" s="276"/>
      <c r="AB2224" s="276"/>
      <c r="AC2224" s="276"/>
      <c r="AD2224" s="276"/>
    </row>
    <row r="2225" spans="18:30" x14ac:dyDescent="0.25">
      <c r="R2225" s="508"/>
      <c r="S2225" s="508"/>
      <c r="T2225" s="276"/>
      <c r="U2225" s="276"/>
      <c r="V2225" s="276"/>
      <c r="W2225" s="283"/>
      <c r="X2225" s="276"/>
      <c r="Y2225" s="276"/>
      <c r="Z2225" s="276"/>
      <c r="AA2225" s="276"/>
      <c r="AB2225" s="276"/>
      <c r="AC2225" s="276"/>
      <c r="AD2225" s="276"/>
    </row>
    <row r="2226" spans="18:30" x14ac:dyDescent="0.25">
      <c r="R2226" s="508"/>
      <c r="S2226" s="508"/>
      <c r="T2226" s="276"/>
      <c r="U2226" s="276"/>
      <c r="V2226" s="276"/>
      <c r="W2226" s="283"/>
      <c r="X2226" s="276"/>
      <c r="Y2226" s="276"/>
      <c r="Z2226" s="276"/>
      <c r="AA2226" s="276"/>
      <c r="AB2226" s="276"/>
      <c r="AC2226" s="276"/>
      <c r="AD2226" s="276"/>
    </row>
    <row r="2227" spans="18:30" x14ac:dyDescent="0.25">
      <c r="R2227" s="508"/>
      <c r="S2227" s="508"/>
      <c r="T2227" s="276"/>
      <c r="U2227" s="276"/>
      <c r="V2227" s="276"/>
      <c r="W2227" s="283"/>
      <c r="X2227" s="276"/>
      <c r="Y2227" s="276"/>
      <c r="Z2227" s="276"/>
      <c r="AA2227" s="276"/>
      <c r="AB2227" s="276"/>
      <c r="AC2227" s="276"/>
      <c r="AD2227" s="276"/>
    </row>
    <row r="2228" spans="18:30" x14ac:dyDescent="0.25">
      <c r="R2228" s="508"/>
      <c r="S2228" s="508"/>
      <c r="T2228" s="276"/>
      <c r="U2228" s="276"/>
      <c r="V2228" s="276"/>
      <c r="W2228" s="283"/>
      <c r="X2228" s="276"/>
      <c r="Y2228" s="276"/>
      <c r="Z2228" s="276"/>
      <c r="AA2228" s="276"/>
      <c r="AB2228" s="276"/>
      <c r="AC2228" s="276"/>
      <c r="AD2228" s="276"/>
    </row>
    <row r="2229" spans="18:30" x14ac:dyDescent="0.25">
      <c r="R2229" s="508"/>
      <c r="S2229" s="508"/>
      <c r="T2229" s="276"/>
      <c r="U2229" s="276"/>
      <c r="V2229" s="276"/>
      <c r="W2229" s="283"/>
      <c r="X2229" s="276"/>
      <c r="Y2229" s="276"/>
      <c r="Z2229" s="276"/>
      <c r="AA2229" s="276"/>
      <c r="AB2229" s="276"/>
      <c r="AC2229" s="276"/>
      <c r="AD2229" s="276"/>
    </row>
    <row r="2230" spans="18:30" x14ac:dyDescent="0.25">
      <c r="R2230" s="508"/>
      <c r="S2230" s="508"/>
      <c r="T2230" s="276"/>
      <c r="U2230" s="276"/>
      <c r="V2230" s="276"/>
      <c r="W2230" s="283"/>
      <c r="X2230" s="276"/>
      <c r="Y2230" s="276"/>
      <c r="Z2230" s="276"/>
      <c r="AA2230" s="276"/>
      <c r="AB2230" s="276"/>
      <c r="AC2230" s="276"/>
      <c r="AD2230" s="276"/>
    </row>
    <row r="2231" spans="18:30" x14ac:dyDescent="0.25">
      <c r="R2231" s="508"/>
      <c r="S2231" s="508"/>
      <c r="T2231" s="276"/>
      <c r="U2231" s="276"/>
      <c r="V2231" s="276"/>
      <c r="W2231" s="283"/>
      <c r="X2231" s="276"/>
      <c r="Y2231" s="276"/>
      <c r="Z2231" s="276"/>
      <c r="AA2231" s="276"/>
      <c r="AB2231" s="276"/>
      <c r="AC2231" s="276"/>
      <c r="AD2231" s="276"/>
    </row>
    <row r="2232" spans="18:30" x14ac:dyDescent="0.25">
      <c r="R2232" s="508"/>
      <c r="S2232" s="508"/>
      <c r="T2232" s="276"/>
      <c r="U2232" s="276"/>
      <c r="V2232" s="276"/>
      <c r="W2232" s="283"/>
      <c r="X2232" s="276"/>
      <c r="Y2232" s="276"/>
      <c r="Z2232" s="276"/>
      <c r="AA2232" s="276"/>
      <c r="AB2232" s="276"/>
      <c r="AC2232" s="276"/>
      <c r="AD2232" s="276"/>
    </row>
    <row r="2233" spans="18:30" x14ac:dyDescent="0.25">
      <c r="R2233" s="508"/>
      <c r="S2233" s="508"/>
      <c r="T2233" s="276"/>
      <c r="U2233" s="276"/>
      <c r="V2233" s="276"/>
      <c r="W2233" s="283"/>
      <c r="X2233" s="276"/>
      <c r="Y2233" s="276"/>
      <c r="Z2233" s="276"/>
      <c r="AA2233" s="276"/>
      <c r="AB2233" s="276"/>
      <c r="AC2233" s="276"/>
      <c r="AD2233" s="276"/>
    </row>
    <row r="2234" spans="18:30" x14ac:dyDescent="0.25">
      <c r="R2234" s="508"/>
      <c r="S2234" s="508"/>
      <c r="T2234" s="276"/>
      <c r="U2234" s="276"/>
      <c r="V2234" s="276"/>
      <c r="W2234" s="283"/>
      <c r="X2234" s="276"/>
      <c r="Y2234" s="276"/>
      <c r="Z2234" s="276"/>
      <c r="AA2234" s="276"/>
      <c r="AB2234" s="276"/>
      <c r="AC2234" s="276"/>
      <c r="AD2234" s="276"/>
    </row>
    <row r="2235" spans="18:30" x14ac:dyDescent="0.25">
      <c r="R2235" s="508"/>
      <c r="S2235" s="508"/>
      <c r="T2235" s="276"/>
      <c r="U2235" s="276"/>
      <c r="V2235" s="276"/>
      <c r="W2235" s="283"/>
      <c r="X2235" s="276"/>
      <c r="Y2235" s="276"/>
      <c r="Z2235" s="276"/>
      <c r="AA2235" s="276"/>
      <c r="AB2235" s="276"/>
      <c r="AC2235" s="276"/>
      <c r="AD2235" s="276"/>
    </row>
    <row r="2236" spans="18:30" x14ac:dyDescent="0.25">
      <c r="R2236" s="508"/>
      <c r="S2236" s="508"/>
      <c r="T2236" s="276"/>
      <c r="U2236" s="276"/>
      <c r="V2236" s="276"/>
      <c r="W2236" s="283"/>
      <c r="X2236" s="276"/>
      <c r="Y2236" s="276"/>
      <c r="Z2236" s="276"/>
      <c r="AA2236" s="276"/>
      <c r="AB2236" s="276"/>
      <c r="AC2236" s="276"/>
      <c r="AD2236" s="276"/>
    </row>
    <row r="2237" spans="18:30" x14ac:dyDescent="0.25">
      <c r="R2237" s="508"/>
      <c r="S2237" s="508"/>
      <c r="T2237" s="276"/>
      <c r="U2237" s="276"/>
      <c r="V2237" s="276"/>
      <c r="W2237" s="283"/>
      <c r="X2237" s="276"/>
      <c r="Y2237" s="276"/>
      <c r="Z2237" s="276"/>
      <c r="AA2237" s="276"/>
      <c r="AB2237" s="276"/>
      <c r="AC2237" s="276"/>
      <c r="AD2237" s="276"/>
    </row>
    <row r="2238" spans="18:30" x14ac:dyDescent="0.25">
      <c r="R2238" s="508"/>
      <c r="S2238" s="508"/>
      <c r="T2238" s="276"/>
      <c r="U2238" s="276"/>
      <c r="V2238" s="276"/>
      <c r="W2238" s="283"/>
      <c r="X2238" s="276"/>
      <c r="Y2238" s="276"/>
      <c r="Z2238" s="276"/>
      <c r="AA2238" s="276"/>
      <c r="AB2238" s="276"/>
      <c r="AC2238" s="276"/>
      <c r="AD2238" s="276"/>
    </row>
    <row r="2239" spans="18:30" x14ac:dyDescent="0.25">
      <c r="R2239" s="508"/>
      <c r="S2239" s="508"/>
      <c r="T2239" s="276"/>
      <c r="U2239" s="276"/>
      <c r="V2239" s="276"/>
      <c r="W2239" s="283"/>
      <c r="X2239" s="276"/>
      <c r="Y2239" s="276"/>
      <c r="Z2239" s="276"/>
      <c r="AA2239" s="276"/>
      <c r="AB2239" s="276"/>
      <c r="AC2239" s="276"/>
      <c r="AD2239" s="276"/>
    </row>
    <row r="2240" spans="18:30" x14ac:dyDescent="0.25">
      <c r="R2240" s="508"/>
      <c r="S2240" s="508"/>
      <c r="T2240" s="276"/>
      <c r="U2240" s="276"/>
      <c r="V2240" s="276"/>
      <c r="W2240" s="283"/>
      <c r="X2240" s="276"/>
      <c r="Y2240" s="276"/>
      <c r="Z2240" s="276"/>
      <c r="AA2240" s="276"/>
      <c r="AB2240" s="276"/>
      <c r="AC2240" s="276"/>
      <c r="AD2240" s="276"/>
    </row>
    <row r="2241" spans="18:30" x14ac:dyDescent="0.25">
      <c r="R2241" s="508"/>
      <c r="S2241" s="508"/>
      <c r="T2241" s="276"/>
      <c r="U2241" s="276"/>
      <c r="V2241" s="276"/>
      <c r="W2241" s="283"/>
      <c r="X2241" s="276"/>
      <c r="Y2241" s="276"/>
      <c r="Z2241" s="276"/>
      <c r="AA2241" s="276"/>
      <c r="AB2241" s="276"/>
      <c r="AC2241" s="276"/>
      <c r="AD2241" s="276"/>
    </row>
    <row r="2242" spans="18:30" x14ac:dyDescent="0.25">
      <c r="R2242" s="508"/>
      <c r="S2242" s="508"/>
      <c r="T2242" s="276"/>
      <c r="U2242" s="276"/>
      <c r="V2242" s="276"/>
      <c r="W2242" s="283"/>
      <c r="X2242" s="276"/>
      <c r="Y2242" s="276"/>
      <c r="Z2242" s="276"/>
      <c r="AA2242" s="276"/>
      <c r="AB2242" s="276"/>
      <c r="AC2242" s="276"/>
      <c r="AD2242" s="276"/>
    </row>
    <row r="2243" spans="18:30" x14ac:dyDescent="0.25">
      <c r="R2243" s="508"/>
      <c r="S2243" s="508"/>
      <c r="T2243" s="276"/>
      <c r="U2243" s="276"/>
      <c r="V2243" s="276"/>
      <c r="W2243" s="283"/>
      <c r="X2243" s="276"/>
      <c r="Y2243" s="276"/>
      <c r="Z2243" s="276"/>
      <c r="AA2243" s="276"/>
      <c r="AB2243" s="276"/>
      <c r="AC2243" s="276"/>
      <c r="AD2243" s="276"/>
    </row>
    <row r="2244" spans="18:30" x14ac:dyDescent="0.25">
      <c r="R2244" s="508"/>
      <c r="S2244" s="508"/>
      <c r="T2244" s="276"/>
      <c r="U2244" s="276"/>
      <c r="V2244" s="276"/>
      <c r="W2244" s="283"/>
      <c r="X2244" s="276"/>
      <c r="Y2244" s="276"/>
      <c r="Z2244" s="276"/>
      <c r="AA2244" s="276"/>
      <c r="AB2244" s="276"/>
      <c r="AC2244" s="276"/>
      <c r="AD2244" s="276"/>
    </row>
    <row r="2245" spans="18:30" x14ac:dyDescent="0.25">
      <c r="R2245" s="508"/>
      <c r="S2245" s="508"/>
      <c r="T2245" s="276"/>
      <c r="U2245" s="276"/>
      <c r="V2245" s="276"/>
      <c r="W2245" s="283"/>
      <c r="X2245" s="276"/>
      <c r="Y2245" s="276"/>
      <c r="Z2245" s="276"/>
      <c r="AA2245" s="276"/>
      <c r="AB2245" s="276"/>
      <c r="AC2245" s="276"/>
      <c r="AD2245" s="276"/>
    </row>
    <row r="2246" spans="18:30" x14ac:dyDescent="0.25">
      <c r="R2246" s="508"/>
      <c r="S2246" s="508"/>
      <c r="T2246" s="276"/>
      <c r="U2246" s="276"/>
      <c r="V2246" s="276"/>
      <c r="W2246" s="283"/>
      <c r="X2246" s="276"/>
      <c r="Y2246" s="276"/>
      <c r="Z2246" s="276"/>
      <c r="AA2246" s="276"/>
      <c r="AB2246" s="276"/>
      <c r="AC2246" s="276"/>
      <c r="AD2246" s="276"/>
    </row>
    <row r="2247" spans="18:30" x14ac:dyDescent="0.25">
      <c r="R2247" s="508"/>
      <c r="S2247" s="508"/>
      <c r="T2247" s="276"/>
      <c r="U2247" s="276"/>
      <c r="V2247" s="276"/>
      <c r="W2247" s="283"/>
      <c r="X2247" s="276"/>
      <c r="Y2247" s="276"/>
      <c r="Z2247" s="276"/>
      <c r="AA2247" s="276"/>
      <c r="AB2247" s="276"/>
      <c r="AC2247" s="276"/>
      <c r="AD2247" s="276"/>
    </row>
    <row r="2248" spans="18:30" x14ac:dyDescent="0.25">
      <c r="R2248" s="508"/>
      <c r="S2248" s="508"/>
      <c r="T2248" s="276"/>
      <c r="U2248" s="276"/>
      <c r="V2248" s="276"/>
      <c r="W2248" s="283"/>
      <c r="X2248" s="276"/>
      <c r="Y2248" s="276"/>
      <c r="Z2248" s="276"/>
      <c r="AA2248" s="276"/>
      <c r="AB2248" s="276"/>
      <c r="AC2248" s="276"/>
      <c r="AD2248" s="276"/>
    </row>
    <row r="2249" spans="18:30" x14ac:dyDescent="0.25">
      <c r="R2249" s="508"/>
      <c r="S2249" s="508"/>
      <c r="T2249" s="276"/>
      <c r="U2249" s="276"/>
      <c r="V2249" s="276"/>
      <c r="W2249" s="283"/>
      <c r="X2249" s="276"/>
      <c r="Y2249" s="276"/>
      <c r="Z2249" s="276"/>
      <c r="AA2249" s="276"/>
      <c r="AB2249" s="276"/>
      <c r="AC2249" s="276"/>
      <c r="AD2249" s="276"/>
    </row>
    <row r="2250" spans="18:30" x14ac:dyDescent="0.25">
      <c r="R2250" s="508"/>
      <c r="S2250" s="508"/>
      <c r="T2250" s="276"/>
      <c r="U2250" s="276"/>
      <c r="V2250" s="276"/>
      <c r="W2250" s="283"/>
      <c r="X2250" s="276"/>
      <c r="Y2250" s="276"/>
      <c r="Z2250" s="276"/>
      <c r="AA2250" s="276"/>
      <c r="AB2250" s="276"/>
      <c r="AC2250" s="276"/>
      <c r="AD2250" s="276"/>
    </row>
    <row r="2251" spans="18:30" x14ac:dyDescent="0.25">
      <c r="R2251" s="508"/>
      <c r="S2251" s="508"/>
      <c r="T2251" s="276"/>
      <c r="U2251" s="276"/>
      <c r="V2251" s="276"/>
      <c r="W2251" s="283"/>
      <c r="X2251" s="276"/>
      <c r="Y2251" s="276"/>
      <c r="Z2251" s="276"/>
      <c r="AA2251" s="276"/>
      <c r="AB2251" s="276"/>
      <c r="AC2251" s="276"/>
      <c r="AD2251" s="276"/>
    </row>
    <row r="2252" spans="18:30" x14ac:dyDescent="0.25">
      <c r="R2252" s="508"/>
      <c r="S2252" s="508"/>
      <c r="T2252" s="276"/>
      <c r="U2252" s="276"/>
      <c r="V2252" s="276"/>
      <c r="W2252" s="283"/>
      <c r="X2252" s="276"/>
      <c r="Y2252" s="276"/>
      <c r="Z2252" s="276"/>
      <c r="AA2252" s="276"/>
      <c r="AB2252" s="276"/>
      <c r="AC2252" s="276"/>
      <c r="AD2252" s="276"/>
    </row>
    <row r="2253" spans="18:30" x14ac:dyDescent="0.25">
      <c r="R2253" s="508"/>
      <c r="S2253" s="508"/>
      <c r="T2253" s="276"/>
      <c r="U2253" s="276"/>
      <c r="V2253" s="276"/>
      <c r="W2253" s="283"/>
      <c r="X2253" s="276"/>
      <c r="Y2253" s="276"/>
      <c r="Z2253" s="276"/>
      <c r="AA2253" s="276"/>
      <c r="AB2253" s="276"/>
      <c r="AC2253" s="276"/>
      <c r="AD2253" s="276"/>
    </row>
    <row r="2254" spans="18:30" x14ac:dyDescent="0.25">
      <c r="R2254" s="508"/>
      <c r="S2254" s="508"/>
      <c r="T2254" s="276"/>
      <c r="U2254" s="276"/>
      <c r="V2254" s="276"/>
      <c r="W2254" s="283"/>
      <c r="X2254" s="276"/>
      <c r="Y2254" s="276"/>
      <c r="Z2254" s="276"/>
      <c r="AA2254" s="276"/>
      <c r="AB2254" s="276"/>
      <c r="AC2254" s="276"/>
      <c r="AD2254" s="276"/>
    </row>
    <row r="2255" spans="18:30" x14ac:dyDescent="0.25">
      <c r="R2255" s="508"/>
      <c r="S2255" s="508"/>
      <c r="T2255" s="276"/>
      <c r="U2255" s="276"/>
      <c r="V2255" s="276"/>
      <c r="W2255" s="283"/>
      <c r="X2255" s="276"/>
      <c r="Y2255" s="276"/>
      <c r="Z2255" s="276"/>
      <c r="AA2255" s="276"/>
      <c r="AB2255" s="276"/>
      <c r="AC2255" s="276"/>
      <c r="AD2255" s="276"/>
    </row>
    <row r="2256" spans="18:30" x14ac:dyDescent="0.25">
      <c r="R2256" s="508"/>
      <c r="S2256" s="508"/>
      <c r="T2256" s="276"/>
      <c r="U2256" s="276"/>
      <c r="V2256" s="276"/>
      <c r="W2256" s="283"/>
      <c r="X2256" s="276"/>
      <c r="Y2256" s="276"/>
      <c r="Z2256" s="276"/>
      <c r="AA2256" s="276"/>
      <c r="AB2256" s="276"/>
      <c r="AC2256" s="276"/>
      <c r="AD2256" s="276"/>
    </row>
    <row r="2257" spans="18:30" x14ac:dyDescent="0.25">
      <c r="R2257" s="508"/>
      <c r="S2257" s="508"/>
      <c r="T2257" s="276"/>
      <c r="U2257" s="276"/>
      <c r="V2257" s="276"/>
      <c r="W2257" s="283"/>
      <c r="X2257" s="276"/>
      <c r="Y2257" s="276"/>
      <c r="Z2257" s="276"/>
      <c r="AA2257" s="276"/>
      <c r="AB2257" s="276"/>
      <c r="AC2257" s="276"/>
      <c r="AD2257" s="276"/>
    </row>
    <row r="2258" spans="18:30" x14ac:dyDescent="0.25">
      <c r="R2258" s="508"/>
      <c r="S2258" s="508"/>
      <c r="T2258" s="276"/>
      <c r="U2258" s="276"/>
      <c r="V2258" s="276"/>
      <c r="W2258" s="283"/>
      <c r="X2258" s="276"/>
      <c r="Y2258" s="276"/>
      <c r="Z2258" s="276"/>
      <c r="AA2258" s="276"/>
      <c r="AB2258" s="276"/>
      <c r="AC2258" s="276"/>
      <c r="AD2258" s="276"/>
    </row>
    <row r="2259" spans="18:30" x14ac:dyDescent="0.25">
      <c r="R2259" s="508"/>
      <c r="S2259" s="508"/>
      <c r="T2259" s="276"/>
      <c r="U2259" s="276"/>
      <c r="V2259" s="276"/>
      <c r="W2259" s="283"/>
      <c r="X2259" s="276"/>
      <c r="Y2259" s="276"/>
      <c r="Z2259" s="276"/>
      <c r="AA2259" s="276"/>
      <c r="AB2259" s="276"/>
      <c r="AC2259" s="276"/>
      <c r="AD2259" s="276"/>
    </row>
    <row r="2260" spans="18:30" x14ac:dyDescent="0.25">
      <c r="R2260" s="508"/>
      <c r="S2260" s="508"/>
      <c r="T2260" s="276"/>
      <c r="U2260" s="276"/>
      <c r="V2260" s="276"/>
      <c r="W2260" s="283"/>
      <c r="X2260" s="276"/>
      <c r="Y2260" s="276"/>
      <c r="Z2260" s="276"/>
      <c r="AA2260" s="276"/>
      <c r="AB2260" s="276"/>
      <c r="AC2260" s="276"/>
      <c r="AD2260" s="276"/>
    </row>
    <row r="2261" spans="18:30" x14ac:dyDescent="0.25">
      <c r="R2261" s="508"/>
      <c r="S2261" s="508"/>
      <c r="T2261" s="276"/>
      <c r="U2261" s="276"/>
      <c r="V2261" s="276"/>
      <c r="W2261" s="283"/>
      <c r="X2261" s="276"/>
      <c r="Y2261" s="276"/>
      <c r="Z2261" s="276"/>
      <c r="AA2261" s="276"/>
      <c r="AB2261" s="276"/>
      <c r="AC2261" s="276"/>
      <c r="AD2261" s="276"/>
    </row>
    <row r="2262" spans="18:30" x14ac:dyDescent="0.25">
      <c r="R2262" s="508"/>
      <c r="S2262" s="508"/>
      <c r="T2262" s="276"/>
      <c r="U2262" s="276"/>
      <c r="V2262" s="276"/>
      <c r="W2262" s="283"/>
      <c r="X2262" s="276"/>
      <c r="Y2262" s="276"/>
      <c r="Z2262" s="276"/>
      <c r="AA2262" s="276"/>
      <c r="AB2262" s="276"/>
      <c r="AC2262" s="276"/>
      <c r="AD2262" s="276"/>
    </row>
    <row r="2263" spans="18:30" x14ac:dyDescent="0.25">
      <c r="R2263" s="508"/>
      <c r="S2263" s="508"/>
      <c r="T2263" s="276"/>
      <c r="U2263" s="276"/>
      <c r="V2263" s="276"/>
      <c r="W2263" s="283"/>
      <c r="X2263" s="276"/>
      <c r="Y2263" s="276"/>
      <c r="Z2263" s="276"/>
      <c r="AA2263" s="276"/>
      <c r="AB2263" s="276"/>
      <c r="AC2263" s="276"/>
      <c r="AD2263" s="276"/>
    </row>
    <row r="2264" spans="18:30" x14ac:dyDescent="0.25">
      <c r="R2264" s="508"/>
      <c r="S2264" s="508"/>
      <c r="T2264" s="276"/>
      <c r="U2264" s="276"/>
      <c r="V2264" s="276"/>
      <c r="W2264" s="283"/>
      <c r="X2264" s="276"/>
      <c r="Y2264" s="276"/>
      <c r="Z2264" s="276"/>
      <c r="AA2264" s="276"/>
      <c r="AB2264" s="276"/>
      <c r="AC2264" s="276"/>
      <c r="AD2264" s="276"/>
    </row>
    <row r="2265" spans="18:30" x14ac:dyDescent="0.25">
      <c r="R2265" s="508"/>
      <c r="S2265" s="508"/>
      <c r="T2265" s="276"/>
      <c r="U2265" s="276"/>
      <c r="V2265" s="276"/>
      <c r="W2265" s="283"/>
      <c r="X2265" s="276"/>
      <c r="Y2265" s="276"/>
      <c r="Z2265" s="276"/>
      <c r="AA2265" s="276"/>
      <c r="AB2265" s="276"/>
      <c r="AC2265" s="276"/>
      <c r="AD2265" s="276"/>
    </row>
    <row r="2266" spans="18:30" x14ac:dyDescent="0.25">
      <c r="R2266" s="508"/>
      <c r="S2266" s="508"/>
      <c r="T2266" s="276"/>
      <c r="U2266" s="276"/>
      <c r="V2266" s="276"/>
      <c r="W2266" s="283"/>
      <c r="X2266" s="276"/>
      <c r="Y2266" s="276"/>
      <c r="Z2266" s="276"/>
      <c r="AA2266" s="276"/>
      <c r="AB2266" s="276"/>
      <c r="AC2266" s="276"/>
      <c r="AD2266" s="276"/>
    </row>
    <row r="2267" spans="18:30" x14ac:dyDescent="0.25">
      <c r="R2267" s="508"/>
      <c r="S2267" s="508"/>
      <c r="T2267" s="276"/>
      <c r="U2267" s="276"/>
      <c r="V2267" s="276"/>
      <c r="W2267" s="283"/>
      <c r="X2267" s="276"/>
      <c r="Y2267" s="276"/>
      <c r="Z2267" s="276"/>
      <c r="AA2267" s="276"/>
      <c r="AB2267" s="276"/>
      <c r="AC2267" s="276"/>
      <c r="AD2267" s="276"/>
    </row>
    <row r="2268" spans="18:30" x14ac:dyDescent="0.25">
      <c r="R2268" s="508"/>
      <c r="S2268" s="508"/>
      <c r="T2268" s="276"/>
      <c r="U2268" s="276"/>
      <c r="V2268" s="276"/>
      <c r="W2268" s="283"/>
      <c r="X2268" s="276"/>
      <c r="Y2268" s="276"/>
      <c r="Z2268" s="276"/>
      <c r="AA2268" s="276"/>
      <c r="AB2268" s="276"/>
      <c r="AC2268" s="276"/>
      <c r="AD2268" s="276"/>
    </row>
    <row r="2269" spans="18:30" x14ac:dyDescent="0.25">
      <c r="R2269" s="508"/>
      <c r="S2269" s="508"/>
      <c r="T2269" s="276"/>
      <c r="U2269" s="276"/>
      <c r="V2269" s="276"/>
      <c r="W2269" s="283"/>
      <c r="X2269" s="276"/>
      <c r="Y2269" s="276"/>
      <c r="Z2269" s="276"/>
      <c r="AA2269" s="276"/>
      <c r="AB2269" s="276"/>
      <c r="AC2269" s="276"/>
      <c r="AD2269" s="276"/>
    </row>
    <row r="2270" spans="18:30" x14ac:dyDescent="0.25">
      <c r="R2270" s="508"/>
      <c r="S2270" s="508"/>
      <c r="T2270" s="276"/>
      <c r="U2270" s="276"/>
      <c r="V2270" s="276"/>
      <c r="W2270" s="283"/>
      <c r="X2270" s="276"/>
      <c r="Y2270" s="276"/>
      <c r="Z2270" s="276"/>
      <c r="AA2270" s="276"/>
      <c r="AB2270" s="276"/>
      <c r="AC2270" s="276"/>
      <c r="AD2270" s="276"/>
    </row>
    <row r="2271" spans="18:30" x14ac:dyDescent="0.25">
      <c r="R2271" s="508"/>
      <c r="S2271" s="508"/>
      <c r="T2271" s="276"/>
      <c r="U2271" s="276"/>
      <c r="V2271" s="276"/>
      <c r="W2271" s="283"/>
      <c r="X2271" s="276"/>
      <c r="Y2271" s="276"/>
      <c r="Z2271" s="276"/>
      <c r="AA2271" s="276"/>
      <c r="AB2271" s="276"/>
      <c r="AC2271" s="276"/>
      <c r="AD2271" s="276"/>
    </row>
    <row r="2272" spans="18:30" x14ac:dyDescent="0.25">
      <c r="R2272" s="508"/>
      <c r="S2272" s="508"/>
      <c r="T2272" s="276"/>
      <c r="U2272" s="276"/>
      <c r="V2272" s="276"/>
      <c r="W2272" s="283"/>
      <c r="X2272" s="276"/>
      <c r="Y2272" s="276"/>
      <c r="Z2272" s="276"/>
      <c r="AA2272" s="276"/>
      <c r="AB2272" s="276"/>
      <c r="AC2272" s="276"/>
      <c r="AD2272" s="276"/>
    </row>
    <row r="2273" spans="18:30" x14ac:dyDescent="0.25">
      <c r="R2273" s="508"/>
      <c r="S2273" s="508"/>
      <c r="T2273" s="276"/>
      <c r="U2273" s="276"/>
      <c r="V2273" s="276"/>
      <c r="W2273" s="283"/>
      <c r="X2273" s="276"/>
      <c r="Y2273" s="276"/>
      <c r="Z2273" s="276"/>
      <c r="AA2273" s="276"/>
      <c r="AB2273" s="276"/>
      <c r="AC2273" s="276"/>
      <c r="AD2273" s="276"/>
    </row>
    <row r="2274" spans="18:30" x14ac:dyDescent="0.25">
      <c r="R2274" s="508"/>
      <c r="S2274" s="508"/>
      <c r="T2274" s="276"/>
      <c r="U2274" s="276"/>
      <c r="V2274" s="276"/>
      <c r="W2274" s="283"/>
      <c r="X2274" s="276"/>
      <c r="Y2274" s="276"/>
      <c r="Z2274" s="276"/>
      <c r="AA2274" s="276"/>
      <c r="AB2274" s="276"/>
      <c r="AC2274" s="276"/>
      <c r="AD2274" s="276"/>
    </row>
    <row r="2275" spans="18:30" x14ac:dyDescent="0.25">
      <c r="R2275" s="508"/>
      <c r="S2275" s="508"/>
      <c r="T2275" s="276"/>
      <c r="U2275" s="276"/>
      <c r="V2275" s="276"/>
      <c r="W2275" s="283"/>
      <c r="X2275" s="276"/>
      <c r="Y2275" s="276"/>
      <c r="Z2275" s="276"/>
      <c r="AA2275" s="276"/>
      <c r="AB2275" s="276"/>
      <c r="AC2275" s="276"/>
      <c r="AD2275" s="276"/>
    </row>
    <row r="2276" spans="18:30" x14ac:dyDescent="0.25">
      <c r="R2276" s="508"/>
      <c r="S2276" s="508"/>
      <c r="T2276" s="276"/>
      <c r="U2276" s="276"/>
      <c r="V2276" s="276"/>
      <c r="W2276" s="283"/>
      <c r="X2276" s="276"/>
      <c r="Y2276" s="276"/>
      <c r="Z2276" s="276"/>
      <c r="AA2276" s="276"/>
      <c r="AB2276" s="276"/>
      <c r="AC2276" s="276"/>
      <c r="AD2276" s="276"/>
    </row>
    <row r="2277" spans="18:30" x14ac:dyDescent="0.25">
      <c r="R2277" s="508"/>
      <c r="S2277" s="508"/>
      <c r="T2277" s="276"/>
      <c r="U2277" s="276"/>
      <c r="V2277" s="276"/>
      <c r="W2277" s="283"/>
      <c r="X2277" s="276"/>
      <c r="Y2277" s="276"/>
      <c r="Z2277" s="276"/>
      <c r="AA2277" s="276"/>
      <c r="AB2277" s="276"/>
      <c r="AC2277" s="276"/>
      <c r="AD2277" s="276"/>
    </row>
    <row r="2278" spans="18:30" x14ac:dyDescent="0.25">
      <c r="R2278" s="508"/>
      <c r="S2278" s="508"/>
      <c r="T2278" s="276"/>
      <c r="U2278" s="276"/>
      <c r="V2278" s="276"/>
      <c r="W2278" s="283"/>
      <c r="X2278" s="276"/>
      <c r="Y2278" s="276"/>
      <c r="Z2278" s="276"/>
      <c r="AA2278" s="276"/>
      <c r="AB2278" s="276"/>
      <c r="AC2278" s="276"/>
      <c r="AD2278" s="276"/>
    </row>
    <row r="2279" spans="18:30" x14ac:dyDescent="0.25">
      <c r="R2279" s="508"/>
      <c r="S2279" s="508"/>
      <c r="T2279" s="276"/>
      <c r="U2279" s="276"/>
      <c r="V2279" s="276"/>
      <c r="W2279" s="283"/>
      <c r="X2279" s="276"/>
      <c r="Y2279" s="276"/>
      <c r="Z2279" s="276"/>
      <c r="AA2279" s="276"/>
      <c r="AB2279" s="276"/>
      <c r="AC2279" s="276"/>
      <c r="AD2279" s="276"/>
    </row>
    <row r="2280" spans="18:30" x14ac:dyDescent="0.25">
      <c r="R2280" s="508"/>
      <c r="S2280" s="508"/>
      <c r="T2280" s="276"/>
      <c r="U2280" s="276"/>
      <c r="V2280" s="276"/>
      <c r="W2280" s="283"/>
      <c r="X2280" s="276"/>
      <c r="Y2280" s="276"/>
      <c r="Z2280" s="276"/>
      <c r="AA2280" s="276"/>
      <c r="AB2280" s="276"/>
      <c r="AC2280" s="276"/>
      <c r="AD2280" s="276"/>
    </row>
    <row r="2281" spans="18:30" x14ac:dyDescent="0.25">
      <c r="R2281" s="508"/>
      <c r="S2281" s="508"/>
      <c r="T2281" s="276"/>
      <c r="U2281" s="276"/>
      <c r="V2281" s="276"/>
      <c r="W2281" s="283"/>
      <c r="X2281" s="276"/>
      <c r="Y2281" s="276"/>
      <c r="Z2281" s="276"/>
      <c r="AA2281" s="276"/>
      <c r="AB2281" s="276"/>
      <c r="AC2281" s="276"/>
      <c r="AD2281" s="276"/>
    </row>
    <row r="2282" spans="18:30" x14ac:dyDescent="0.25">
      <c r="R2282" s="508"/>
      <c r="S2282" s="508"/>
      <c r="T2282" s="276"/>
      <c r="U2282" s="276"/>
      <c r="V2282" s="276"/>
      <c r="W2282" s="283"/>
      <c r="X2282" s="276"/>
      <c r="Y2282" s="276"/>
      <c r="Z2282" s="276"/>
      <c r="AA2282" s="276"/>
      <c r="AB2282" s="276"/>
      <c r="AC2282" s="276"/>
      <c r="AD2282" s="276"/>
    </row>
    <row r="2283" spans="18:30" x14ac:dyDescent="0.25">
      <c r="R2283" s="508"/>
      <c r="S2283" s="508"/>
      <c r="T2283" s="276"/>
      <c r="U2283" s="276"/>
      <c r="V2283" s="276"/>
      <c r="W2283" s="283"/>
      <c r="X2283" s="276"/>
      <c r="Y2283" s="276"/>
      <c r="Z2283" s="276"/>
      <c r="AA2283" s="276"/>
      <c r="AB2283" s="276"/>
      <c r="AC2283" s="276"/>
      <c r="AD2283" s="276"/>
    </row>
    <row r="2284" spans="18:30" x14ac:dyDescent="0.25">
      <c r="R2284" s="508"/>
      <c r="S2284" s="508"/>
      <c r="T2284" s="276"/>
      <c r="U2284" s="276"/>
      <c r="V2284" s="276"/>
      <c r="W2284" s="283"/>
      <c r="X2284" s="276"/>
      <c r="Y2284" s="276"/>
      <c r="Z2284" s="276"/>
      <c r="AA2284" s="276"/>
      <c r="AB2284" s="276"/>
      <c r="AC2284" s="276"/>
      <c r="AD2284" s="276"/>
    </row>
    <row r="2285" spans="18:30" x14ac:dyDescent="0.25">
      <c r="R2285" s="508"/>
      <c r="S2285" s="508"/>
      <c r="T2285" s="276"/>
      <c r="U2285" s="276"/>
      <c r="V2285" s="276"/>
      <c r="W2285" s="283"/>
      <c r="X2285" s="276"/>
      <c r="Y2285" s="276"/>
      <c r="Z2285" s="276"/>
      <c r="AA2285" s="276"/>
      <c r="AB2285" s="276"/>
      <c r="AC2285" s="276"/>
      <c r="AD2285" s="276"/>
    </row>
    <row r="2286" spans="18:30" x14ac:dyDescent="0.25">
      <c r="R2286" s="508"/>
      <c r="S2286" s="508"/>
      <c r="T2286" s="276"/>
      <c r="U2286" s="276"/>
      <c r="V2286" s="276"/>
      <c r="W2286" s="283"/>
      <c r="X2286" s="276"/>
      <c r="Y2286" s="276"/>
      <c r="Z2286" s="276"/>
      <c r="AA2286" s="276"/>
      <c r="AB2286" s="276"/>
      <c r="AC2286" s="276"/>
      <c r="AD2286" s="276"/>
    </row>
    <row r="2287" spans="18:30" x14ac:dyDescent="0.25">
      <c r="R2287" s="508"/>
      <c r="S2287" s="508"/>
      <c r="T2287" s="276"/>
      <c r="U2287" s="276"/>
      <c r="V2287" s="276"/>
      <c r="W2287" s="283"/>
      <c r="X2287" s="276"/>
      <c r="Y2287" s="276"/>
      <c r="Z2287" s="276"/>
      <c r="AA2287" s="276"/>
      <c r="AB2287" s="276"/>
      <c r="AC2287" s="276"/>
      <c r="AD2287" s="276"/>
    </row>
    <row r="2288" spans="18:30" x14ac:dyDescent="0.25">
      <c r="R2288" s="508"/>
      <c r="S2288" s="508"/>
      <c r="T2288" s="276"/>
      <c r="U2288" s="276"/>
      <c r="V2288" s="276"/>
      <c r="W2288" s="283"/>
      <c r="X2288" s="276"/>
      <c r="Y2288" s="276"/>
      <c r="Z2288" s="276"/>
      <c r="AA2288" s="276"/>
      <c r="AB2288" s="276"/>
      <c r="AC2288" s="276"/>
      <c r="AD2288" s="276"/>
    </row>
    <row r="2289" spans="18:30" x14ac:dyDescent="0.25">
      <c r="R2289" s="508"/>
      <c r="S2289" s="508"/>
      <c r="T2289" s="276"/>
      <c r="U2289" s="276"/>
      <c r="V2289" s="276"/>
      <c r="W2289" s="283"/>
      <c r="X2289" s="276"/>
      <c r="Y2289" s="276"/>
      <c r="Z2289" s="276"/>
      <c r="AA2289" s="276"/>
      <c r="AB2289" s="276"/>
      <c r="AC2289" s="276"/>
      <c r="AD2289" s="276"/>
    </row>
    <row r="2290" spans="18:30" x14ac:dyDescent="0.25">
      <c r="R2290" s="508"/>
      <c r="S2290" s="508"/>
      <c r="T2290" s="276"/>
      <c r="U2290" s="276"/>
      <c r="V2290" s="276"/>
      <c r="W2290" s="283"/>
      <c r="X2290" s="276"/>
      <c r="Y2290" s="276"/>
      <c r="Z2290" s="276"/>
      <c r="AA2290" s="276"/>
      <c r="AB2290" s="276"/>
      <c r="AC2290" s="276"/>
      <c r="AD2290" s="276"/>
    </row>
    <row r="2291" spans="18:30" x14ac:dyDescent="0.25">
      <c r="R2291" s="508"/>
      <c r="S2291" s="508"/>
      <c r="T2291" s="276"/>
      <c r="U2291" s="276"/>
      <c r="V2291" s="276"/>
      <c r="W2291" s="283"/>
      <c r="X2291" s="276"/>
      <c r="Y2291" s="276"/>
      <c r="Z2291" s="276"/>
      <c r="AA2291" s="276"/>
      <c r="AB2291" s="276"/>
      <c r="AC2291" s="276"/>
      <c r="AD2291" s="276"/>
    </row>
    <row r="2292" spans="18:30" x14ac:dyDescent="0.25">
      <c r="R2292" s="508"/>
      <c r="S2292" s="508"/>
      <c r="T2292" s="276"/>
      <c r="U2292" s="276"/>
      <c r="V2292" s="276"/>
      <c r="W2292" s="283"/>
      <c r="X2292" s="276"/>
      <c r="Y2292" s="276"/>
      <c r="Z2292" s="276"/>
      <c r="AA2292" s="276"/>
      <c r="AB2292" s="276"/>
      <c r="AC2292" s="276"/>
      <c r="AD2292" s="276"/>
    </row>
    <row r="2293" spans="18:30" x14ac:dyDescent="0.25">
      <c r="R2293" s="508"/>
      <c r="S2293" s="508"/>
      <c r="T2293" s="276"/>
      <c r="U2293" s="276"/>
      <c r="V2293" s="276"/>
      <c r="W2293" s="283"/>
      <c r="X2293" s="276"/>
      <c r="Y2293" s="276"/>
      <c r="Z2293" s="276"/>
      <c r="AA2293" s="276"/>
      <c r="AB2293" s="276"/>
      <c r="AC2293" s="276"/>
      <c r="AD2293" s="276"/>
    </row>
    <row r="2294" spans="18:30" x14ac:dyDescent="0.25">
      <c r="R2294" s="508"/>
      <c r="S2294" s="508"/>
      <c r="T2294" s="276"/>
      <c r="U2294" s="276"/>
      <c r="V2294" s="276"/>
      <c r="W2294" s="283"/>
      <c r="X2294" s="276"/>
      <c r="Y2294" s="276"/>
      <c r="Z2294" s="276"/>
      <c r="AA2294" s="276"/>
      <c r="AB2294" s="276"/>
      <c r="AC2294" s="276"/>
      <c r="AD2294" s="276"/>
    </row>
    <row r="2295" spans="18:30" x14ac:dyDescent="0.25">
      <c r="R2295" s="508"/>
      <c r="S2295" s="508"/>
      <c r="T2295" s="276"/>
      <c r="U2295" s="276"/>
      <c r="V2295" s="276"/>
      <c r="W2295" s="283"/>
      <c r="X2295" s="276"/>
      <c r="Y2295" s="276"/>
      <c r="Z2295" s="276"/>
      <c r="AA2295" s="276"/>
      <c r="AB2295" s="276"/>
      <c r="AC2295" s="276"/>
      <c r="AD2295" s="276"/>
    </row>
    <row r="2296" spans="18:30" x14ac:dyDescent="0.25">
      <c r="R2296" s="508"/>
      <c r="S2296" s="508"/>
      <c r="T2296" s="276"/>
      <c r="U2296" s="276"/>
      <c r="V2296" s="276"/>
      <c r="W2296" s="283"/>
      <c r="X2296" s="276"/>
      <c r="Y2296" s="276"/>
      <c r="Z2296" s="276"/>
      <c r="AA2296" s="276"/>
      <c r="AB2296" s="276"/>
      <c r="AC2296" s="276"/>
      <c r="AD2296" s="276"/>
    </row>
    <row r="2297" spans="18:30" x14ac:dyDescent="0.25">
      <c r="R2297" s="508"/>
      <c r="S2297" s="508"/>
      <c r="T2297" s="276"/>
      <c r="U2297" s="276"/>
      <c r="V2297" s="276"/>
      <c r="W2297" s="283"/>
      <c r="X2297" s="276"/>
      <c r="Y2297" s="276"/>
      <c r="Z2297" s="276"/>
      <c r="AA2297" s="276"/>
      <c r="AB2297" s="276"/>
      <c r="AC2297" s="276"/>
      <c r="AD2297" s="276"/>
    </row>
    <row r="2298" spans="18:30" x14ac:dyDescent="0.25">
      <c r="R2298" s="508"/>
      <c r="S2298" s="508"/>
      <c r="T2298" s="276"/>
      <c r="U2298" s="276"/>
      <c r="V2298" s="276"/>
      <c r="W2298" s="283"/>
      <c r="X2298" s="276"/>
      <c r="Y2298" s="276"/>
      <c r="Z2298" s="276"/>
      <c r="AA2298" s="276"/>
      <c r="AB2298" s="276"/>
      <c r="AC2298" s="276"/>
      <c r="AD2298" s="276"/>
    </row>
    <row r="2299" spans="18:30" x14ac:dyDescent="0.25">
      <c r="R2299" s="508"/>
      <c r="S2299" s="508"/>
      <c r="T2299" s="276"/>
      <c r="U2299" s="276"/>
      <c r="V2299" s="276"/>
      <c r="W2299" s="283"/>
      <c r="X2299" s="276"/>
      <c r="Y2299" s="276"/>
      <c r="Z2299" s="276"/>
      <c r="AA2299" s="276"/>
      <c r="AB2299" s="276"/>
      <c r="AC2299" s="276"/>
      <c r="AD2299" s="276"/>
    </row>
    <row r="2300" spans="18:30" x14ac:dyDescent="0.25">
      <c r="R2300" s="508"/>
      <c r="S2300" s="508"/>
      <c r="T2300" s="276"/>
      <c r="U2300" s="276"/>
      <c r="V2300" s="276"/>
      <c r="W2300" s="283"/>
      <c r="X2300" s="276"/>
      <c r="Y2300" s="276"/>
      <c r="Z2300" s="276"/>
      <c r="AA2300" s="276"/>
      <c r="AB2300" s="276"/>
      <c r="AC2300" s="276"/>
      <c r="AD2300" s="276"/>
    </row>
    <row r="2301" spans="18:30" x14ac:dyDescent="0.25">
      <c r="R2301" s="508"/>
      <c r="S2301" s="508"/>
      <c r="T2301" s="276"/>
      <c r="U2301" s="276"/>
      <c r="V2301" s="276"/>
      <c r="W2301" s="283"/>
      <c r="X2301" s="276"/>
      <c r="Y2301" s="276"/>
      <c r="Z2301" s="276"/>
      <c r="AA2301" s="276"/>
      <c r="AB2301" s="276"/>
      <c r="AC2301" s="276"/>
      <c r="AD2301" s="276"/>
    </row>
    <row r="2302" spans="18:30" x14ac:dyDescent="0.25">
      <c r="R2302" s="508"/>
      <c r="S2302" s="508"/>
      <c r="T2302" s="276"/>
      <c r="U2302" s="276"/>
      <c r="V2302" s="276"/>
      <c r="W2302" s="283"/>
      <c r="X2302" s="276"/>
      <c r="Y2302" s="276"/>
      <c r="Z2302" s="276"/>
      <c r="AA2302" s="276"/>
      <c r="AB2302" s="276"/>
      <c r="AC2302" s="276"/>
      <c r="AD2302" s="276"/>
    </row>
    <row r="2303" spans="18:30" x14ac:dyDescent="0.25">
      <c r="R2303" s="508"/>
      <c r="S2303" s="508"/>
      <c r="T2303" s="276"/>
      <c r="U2303" s="276"/>
      <c r="V2303" s="276"/>
      <c r="W2303" s="283"/>
      <c r="X2303" s="276"/>
      <c r="Y2303" s="276"/>
      <c r="Z2303" s="276"/>
      <c r="AA2303" s="276"/>
      <c r="AB2303" s="276"/>
      <c r="AC2303" s="276"/>
      <c r="AD2303" s="276"/>
    </row>
    <row r="2304" spans="18:30" x14ac:dyDescent="0.25">
      <c r="R2304" s="508"/>
      <c r="S2304" s="508"/>
      <c r="T2304" s="276"/>
      <c r="U2304" s="276"/>
      <c r="V2304" s="276"/>
      <c r="W2304" s="283"/>
      <c r="X2304" s="276"/>
      <c r="Y2304" s="276"/>
      <c r="Z2304" s="276"/>
      <c r="AA2304" s="276"/>
      <c r="AB2304" s="276"/>
      <c r="AC2304" s="276"/>
      <c r="AD2304" s="276"/>
    </row>
    <row r="2305" spans="18:30" x14ac:dyDescent="0.25">
      <c r="R2305" s="508"/>
      <c r="S2305" s="508"/>
      <c r="T2305" s="276"/>
      <c r="U2305" s="276"/>
      <c r="V2305" s="276"/>
      <c r="W2305" s="283"/>
      <c r="X2305" s="276"/>
      <c r="Y2305" s="276"/>
      <c r="Z2305" s="276"/>
      <c r="AA2305" s="276"/>
      <c r="AB2305" s="276"/>
      <c r="AC2305" s="276"/>
      <c r="AD2305" s="276"/>
    </row>
    <row r="2306" spans="18:30" x14ac:dyDescent="0.25">
      <c r="R2306" s="508"/>
      <c r="S2306" s="508"/>
      <c r="T2306" s="276"/>
      <c r="U2306" s="276"/>
      <c r="V2306" s="276"/>
      <c r="W2306" s="283"/>
      <c r="X2306" s="276"/>
      <c r="Y2306" s="276"/>
      <c r="Z2306" s="276"/>
      <c r="AA2306" s="276"/>
      <c r="AB2306" s="276"/>
      <c r="AC2306" s="276"/>
      <c r="AD2306" s="276"/>
    </row>
    <row r="2307" spans="18:30" x14ac:dyDescent="0.25">
      <c r="R2307" s="508"/>
      <c r="S2307" s="508"/>
      <c r="T2307" s="276"/>
      <c r="U2307" s="276"/>
      <c r="V2307" s="276"/>
      <c r="W2307" s="283"/>
      <c r="X2307" s="276"/>
      <c r="Y2307" s="276"/>
      <c r="Z2307" s="276"/>
      <c r="AA2307" s="276"/>
      <c r="AB2307" s="276"/>
      <c r="AC2307" s="276"/>
      <c r="AD2307" s="276"/>
    </row>
    <row r="2308" spans="18:30" x14ac:dyDescent="0.25">
      <c r="R2308" s="508"/>
      <c r="S2308" s="508"/>
      <c r="T2308" s="276"/>
      <c r="U2308" s="276"/>
      <c r="V2308" s="276"/>
      <c r="W2308" s="283"/>
      <c r="X2308" s="276"/>
      <c r="Y2308" s="276"/>
      <c r="Z2308" s="276"/>
      <c r="AA2308" s="276"/>
      <c r="AB2308" s="276"/>
      <c r="AC2308" s="276"/>
      <c r="AD2308" s="276"/>
    </row>
    <row r="2309" spans="18:30" x14ac:dyDescent="0.25">
      <c r="R2309" s="508"/>
      <c r="S2309" s="508"/>
      <c r="T2309" s="276"/>
      <c r="U2309" s="276"/>
      <c r="V2309" s="276"/>
      <c r="W2309" s="283"/>
      <c r="X2309" s="276"/>
      <c r="Y2309" s="276"/>
      <c r="Z2309" s="276"/>
      <c r="AA2309" s="276"/>
      <c r="AB2309" s="276"/>
      <c r="AC2309" s="276"/>
      <c r="AD2309" s="276"/>
    </row>
    <row r="2310" spans="18:30" x14ac:dyDescent="0.25">
      <c r="R2310" s="508"/>
      <c r="S2310" s="508"/>
      <c r="T2310" s="276"/>
      <c r="U2310" s="276"/>
      <c r="V2310" s="276"/>
      <c r="W2310" s="283"/>
      <c r="X2310" s="276"/>
      <c r="Y2310" s="276"/>
      <c r="Z2310" s="276"/>
      <c r="AA2310" s="276"/>
      <c r="AB2310" s="276"/>
      <c r="AC2310" s="276"/>
      <c r="AD2310" s="276"/>
    </row>
    <row r="2311" spans="18:30" x14ac:dyDescent="0.25">
      <c r="R2311" s="508"/>
      <c r="S2311" s="508"/>
      <c r="T2311" s="276"/>
      <c r="U2311" s="276"/>
      <c r="V2311" s="276"/>
      <c r="W2311" s="283"/>
      <c r="X2311" s="276"/>
      <c r="Y2311" s="276"/>
      <c r="Z2311" s="276"/>
      <c r="AA2311" s="276"/>
      <c r="AB2311" s="276"/>
      <c r="AC2311" s="276"/>
      <c r="AD2311" s="276"/>
    </row>
    <row r="2312" spans="18:30" x14ac:dyDescent="0.25">
      <c r="R2312" s="508"/>
      <c r="S2312" s="508"/>
      <c r="T2312" s="276"/>
      <c r="U2312" s="276"/>
      <c r="V2312" s="276"/>
      <c r="W2312" s="283"/>
      <c r="X2312" s="276"/>
      <c r="Y2312" s="276"/>
      <c r="Z2312" s="276"/>
      <c r="AA2312" s="276"/>
      <c r="AB2312" s="276"/>
      <c r="AC2312" s="276"/>
      <c r="AD2312" s="276"/>
    </row>
    <row r="2313" spans="18:30" x14ac:dyDescent="0.25">
      <c r="R2313" s="508"/>
      <c r="S2313" s="508"/>
      <c r="T2313" s="276"/>
      <c r="U2313" s="276"/>
      <c r="V2313" s="276"/>
      <c r="W2313" s="283"/>
      <c r="X2313" s="276"/>
      <c r="Y2313" s="276"/>
      <c r="Z2313" s="276"/>
      <c r="AA2313" s="276"/>
      <c r="AB2313" s="276"/>
      <c r="AC2313" s="276"/>
      <c r="AD2313" s="276"/>
    </row>
    <row r="2314" spans="18:30" x14ac:dyDescent="0.25">
      <c r="R2314" s="508"/>
      <c r="S2314" s="508"/>
      <c r="T2314" s="276"/>
      <c r="U2314" s="276"/>
      <c r="V2314" s="276"/>
      <c r="W2314" s="283"/>
      <c r="X2314" s="276"/>
      <c r="Y2314" s="276"/>
      <c r="Z2314" s="276"/>
      <c r="AA2314" s="276"/>
      <c r="AB2314" s="276"/>
      <c r="AC2314" s="276"/>
      <c r="AD2314" s="276"/>
    </row>
    <row r="2315" spans="18:30" x14ac:dyDescent="0.25">
      <c r="R2315" s="508"/>
      <c r="S2315" s="508"/>
      <c r="T2315" s="276"/>
      <c r="U2315" s="276"/>
      <c r="V2315" s="276"/>
      <c r="W2315" s="283"/>
      <c r="X2315" s="276"/>
      <c r="Y2315" s="276"/>
      <c r="Z2315" s="276"/>
      <c r="AA2315" s="276"/>
      <c r="AB2315" s="276"/>
      <c r="AC2315" s="276"/>
      <c r="AD2315" s="276"/>
    </row>
    <row r="2316" spans="18:30" x14ac:dyDescent="0.25">
      <c r="R2316" s="508"/>
      <c r="S2316" s="508"/>
      <c r="T2316" s="276"/>
      <c r="U2316" s="276"/>
      <c r="V2316" s="276"/>
      <c r="W2316" s="283"/>
      <c r="X2316" s="276"/>
      <c r="Y2316" s="276"/>
      <c r="Z2316" s="276"/>
      <c r="AA2316" s="276"/>
      <c r="AB2316" s="276"/>
      <c r="AC2316" s="276"/>
      <c r="AD2316" s="276"/>
    </row>
    <row r="2317" spans="18:30" x14ac:dyDescent="0.25">
      <c r="R2317" s="508"/>
      <c r="S2317" s="508"/>
      <c r="T2317" s="276"/>
      <c r="U2317" s="276"/>
      <c r="V2317" s="276"/>
      <c r="W2317" s="283"/>
      <c r="X2317" s="276"/>
      <c r="Y2317" s="276"/>
      <c r="Z2317" s="276"/>
      <c r="AA2317" s="276"/>
      <c r="AB2317" s="276"/>
      <c r="AC2317" s="276"/>
      <c r="AD2317" s="276"/>
    </row>
    <row r="2318" spans="18:30" x14ac:dyDescent="0.25">
      <c r="R2318" s="508"/>
      <c r="S2318" s="508"/>
      <c r="T2318" s="276"/>
      <c r="U2318" s="276"/>
      <c r="V2318" s="276"/>
      <c r="W2318" s="283"/>
      <c r="X2318" s="276"/>
      <c r="Y2318" s="276"/>
      <c r="Z2318" s="276"/>
      <c r="AA2318" s="276"/>
      <c r="AB2318" s="276"/>
      <c r="AC2318" s="276"/>
      <c r="AD2318" s="276"/>
    </row>
    <row r="2319" spans="18:30" x14ac:dyDescent="0.25">
      <c r="R2319" s="508"/>
      <c r="S2319" s="508"/>
      <c r="T2319" s="276"/>
      <c r="U2319" s="276"/>
      <c r="V2319" s="276"/>
      <c r="W2319" s="283"/>
      <c r="X2319" s="276"/>
      <c r="Y2319" s="276"/>
      <c r="Z2319" s="276"/>
      <c r="AA2319" s="276"/>
      <c r="AB2319" s="276"/>
      <c r="AC2319" s="276"/>
      <c r="AD2319" s="276"/>
    </row>
    <row r="2320" spans="18:30" x14ac:dyDescent="0.25">
      <c r="R2320" s="508"/>
      <c r="S2320" s="508"/>
      <c r="T2320" s="276"/>
      <c r="U2320" s="276"/>
      <c r="V2320" s="276"/>
      <c r="W2320" s="283"/>
      <c r="X2320" s="276"/>
      <c r="Y2320" s="276"/>
      <c r="Z2320" s="276"/>
      <c r="AA2320" s="276"/>
      <c r="AB2320" s="276"/>
      <c r="AC2320" s="276"/>
      <c r="AD2320" s="276"/>
    </row>
    <row r="2321" spans="18:30" x14ac:dyDescent="0.25">
      <c r="R2321" s="508"/>
      <c r="S2321" s="508"/>
      <c r="T2321" s="276"/>
      <c r="U2321" s="276"/>
      <c r="V2321" s="276"/>
      <c r="W2321" s="283"/>
      <c r="X2321" s="276"/>
      <c r="Y2321" s="276"/>
      <c r="Z2321" s="276"/>
      <c r="AA2321" s="276"/>
      <c r="AB2321" s="276"/>
      <c r="AC2321" s="276"/>
      <c r="AD2321" s="276"/>
    </row>
    <row r="2322" spans="18:30" x14ac:dyDescent="0.25">
      <c r="R2322" s="508"/>
      <c r="S2322" s="508"/>
      <c r="T2322" s="276"/>
      <c r="U2322" s="276"/>
      <c r="V2322" s="276"/>
      <c r="W2322" s="283"/>
      <c r="X2322" s="276"/>
      <c r="Y2322" s="276"/>
      <c r="Z2322" s="276"/>
      <c r="AA2322" s="276"/>
      <c r="AB2322" s="276"/>
      <c r="AC2322" s="276"/>
      <c r="AD2322" s="276"/>
    </row>
    <row r="2323" spans="18:30" x14ac:dyDescent="0.25">
      <c r="R2323" s="508"/>
      <c r="S2323" s="508"/>
      <c r="T2323" s="276"/>
      <c r="U2323" s="276"/>
      <c r="V2323" s="276"/>
      <c r="W2323" s="283"/>
      <c r="X2323" s="276"/>
      <c r="Y2323" s="276"/>
      <c r="Z2323" s="276"/>
      <c r="AA2323" s="276"/>
      <c r="AB2323" s="276"/>
      <c r="AC2323" s="276"/>
      <c r="AD2323" s="276"/>
    </row>
    <row r="2324" spans="18:30" x14ac:dyDescent="0.25">
      <c r="R2324" s="508"/>
      <c r="S2324" s="508"/>
      <c r="T2324" s="276"/>
      <c r="U2324" s="276"/>
      <c r="V2324" s="276"/>
      <c r="W2324" s="283"/>
      <c r="X2324" s="276"/>
      <c r="Y2324" s="276"/>
      <c r="Z2324" s="276"/>
      <c r="AA2324" s="276"/>
      <c r="AB2324" s="276"/>
      <c r="AC2324" s="276"/>
      <c r="AD2324" s="276"/>
    </row>
    <row r="2325" spans="18:30" x14ac:dyDescent="0.25">
      <c r="R2325" s="508"/>
      <c r="S2325" s="508"/>
      <c r="T2325" s="276"/>
      <c r="U2325" s="276"/>
      <c r="V2325" s="276"/>
      <c r="W2325" s="283"/>
      <c r="X2325" s="276"/>
      <c r="Y2325" s="276"/>
      <c r="Z2325" s="276"/>
      <c r="AA2325" s="276"/>
      <c r="AB2325" s="276"/>
      <c r="AC2325" s="276"/>
      <c r="AD2325" s="276"/>
    </row>
    <row r="2326" spans="18:30" x14ac:dyDescent="0.25">
      <c r="R2326" s="508"/>
      <c r="S2326" s="508"/>
      <c r="T2326" s="276"/>
      <c r="U2326" s="276"/>
      <c r="V2326" s="276"/>
      <c r="W2326" s="283"/>
      <c r="X2326" s="276"/>
      <c r="Y2326" s="276"/>
      <c r="Z2326" s="276"/>
      <c r="AA2326" s="276"/>
      <c r="AB2326" s="276"/>
      <c r="AC2326" s="276"/>
      <c r="AD2326" s="276"/>
    </row>
    <row r="2327" spans="18:30" x14ac:dyDescent="0.25">
      <c r="R2327" s="508"/>
      <c r="S2327" s="508"/>
      <c r="T2327" s="276"/>
      <c r="U2327" s="276"/>
      <c r="V2327" s="276"/>
      <c r="W2327" s="283"/>
      <c r="X2327" s="276"/>
      <c r="Y2327" s="276"/>
      <c r="Z2327" s="276"/>
      <c r="AA2327" s="276"/>
      <c r="AB2327" s="276"/>
      <c r="AC2327" s="276"/>
      <c r="AD2327" s="276"/>
    </row>
    <row r="2328" spans="18:30" x14ac:dyDescent="0.25">
      <c r="R2328" s="508"/>
      <c r="S2328" s="508"/>
      <c r="T2328" s="276"/>
      <c r="U2328" s="276"/>
      <c r="V2328" s="276"/>
      <c r="W2328" s="283"/>
      <c r="X2328" s="276"/>
      <c r="Y2328" s="276"/>
      <c r="Z2328" s="276"/>
      <c r="AA2328" s="276"/>
      <c r="AB2328" s="276"/>
      <c r="AC2328" s="276"/>
      <c r="AD2328" s="276"/>
    </row>
    <row r="2329" spans="18:30" x14ac:dyDescent="0.25">
      <c r="R2329" s="508"/>
      <c r="S2329" s="508"/>
      <c r="T2329" s="276"/>
      <c r="U2329" s="276"/>
      <c r="V2329" s="276"/>
      <c r="W2329" s="283"/>
      <c r="X2329" s="276"/>
      <c r="Y2329" s="276"/>
      <c r="Z2329" s="276"/>
      <c r="AA2329" s="276"/>
      <c r="AB2329" s="276"/>
      <c r="AC2329" s="276"/>
      <c r="AD2329" s="276"/>
    </row>
    <row r="2330" spans="18:30" x14ac:dyDescent="0.25">
      <c r="R2330" s="508"/>
      <c r="S2330" s="508"/>
      <c r="T2330" s="276"/>
      <c r="U2330" s="276"/>
      <c r="V2330" s="276"/>
      <c r="W2330" s="283"/>
      <c r="X2330" s="276"/>
      <c r="Y2330" s="276"/>
      <c r="Z2330" s="276"/>
      <c r="AA2330" s="276"/>
      <c r="AB2330" s="276"/>
      <c r="AC2330" s="276"/>
      <c r="AD2330" s="276"/>
    </row>
    <row r="2331" spans="18:30" x14ac:dyDescent="0.25">
      <c r="R2331" s="508"/>
      <c r="S2331" s="508"/>
      <c r="T2331" s="276"/>
      <c r="U2331" s="276"/>
      <c r="V2331" s="276"/>
      <c r="W2331" s="283"/>
      <c r="X2331" s="276"/>
      <c r="Y2331" s="276"/>
      <c r="Z2331" s="276"/>
      <c r="AA2331" s="276"/>
      <c r="AB2331" s="276"/>
      <c r="AC2331" s="276"/>
      <c r="AD2331" s="276"/>
    </row>
    <row r="2332" spans="18:30" x14ac:dyDescent="0.25">
      <c r="R2332" s="508"/>
      <c r="S2332" s="508"/>
      <c r="T2332" s="276"/>
      <c r="U2332" s="276"/>
      <c r="V2332" s="276"/>
      <c r="W2332" s="283"/>
      <c r="X2332" s="276"/>
      <c r="Y2332" s="276"/>
      <c r="Z2332" s="276"/>
      <c r="AA2332" s="276"/>
      <c r="AB2332" s="276"/>
      <c r="AC2332" s="276"/>
      <c r="AD2332" s="276"/>
    </row>
    <row r="2333" spans="18:30" x14ac:dyDescent="0.25">
      <c r="R2333" s="508"/>
      <c r="S2333" s="508"/>
      <c r="T2333" s="276"/>
      <c r="U2333" s="276"/>
      <c r="V2333" s="276"/>
      <c r="W2333" s="283"/>
      <c r="X2333" s="276"/>
      <c r="Y2333" s="276"/>
      <c r="Z2333" s="276"/>
      <c r="AA2333" s="276"/>
      <c r="AB2333" s="276"/>
      <c r="AC2333" s="276"/>
      <c r="AD2333" s="276"/>
    </row>
    <row r="2334" spans="18:30" x14ac:dyDescent="0.25">
      <c r="R2334" s="508"/>
      <c r="S2334" s="508"/>
      <c r="T2334" s="276"/>
      <c r="U2334" s="276"/>
      <c r="V2334" s="276"/>
      <c r="W2334" s="283"/>
      <c r="X2334" s="276"/>
      <c r="Y2334" s="276"/>
      <c r="Z2334" s="276"/>
      <c r="AA2334" s="276"/>
      <c r="AB2334" s="276"/>
      <c r="AC2334" s="276"/>
      <c r="AD2334" s="276"/>
    </row>
    <row r="2335" spans="18:30" x14ac:dyDescent="0.25">
      <c r="R2335" s="508"/>
      <c r="S2335" s="508"/>
      <c r="T2335" s="276"/>
      <c r="U2335" s="276"/>
      <c r="V2335" s="276"/>
      <c r="W2335" s="283"/>
      <c r="X2335" s="276"/>
      <c r="Y2335" s="276"/>
      <c r="Z2335" s="276"/>
      <c r="AA2335" s="276"/>
      <c r="AB2335" s="276"/>
      <c r="AC2335" s="276"/>
      <c r="AD2335" s="276"/>
    </row>
    <row r="2336" spans="18:30" x14ac:dyDescent="0.25">
      <c r="R2336" s="508"/>
      <c r="S2336" s="508"/>
      <c r="T2336" s="276"/>
      <c r="U2336" s="276"/>
      <c r="V2336" s="276"/>
      <c r="W2336" s="283"/>
      <c r="X2336" s="276"/>
      <c r="Y2336" s="276"/>
      <c r="Z2336" s="276"/>
      <c r="AA2336" s="276"/>
      <c r="AB2336" s="276"/>
      <c r="AC2336" s="276"/>
      <c r="AD2336" s="276"/>
    </row>
    <row r="2337" spans="18:30" x14ac:dyDescent="0.25">
      <c r="R2337" s="508"/>
      <c r="S2337" s="508"/>
      <c r="T2337" s="276"/>
      <c r="U2337" s="276"/>
      <c r="V2337" s="276"/>
      <c r="W2337" s="283"/>
      <c r="X2337" s="276"/>
      <c r="Y2337" s="276"/>
      <c r="Z2337" s="276"/>
      <c r="AA2337" s="276"/>
      <c r="AB2337" s="276"/>
      <c r="AC2337" s="276"/>
      <c r="AD2337" s="276"/>
    </row>
    <row r="2338" spans="18:30" x14ac:dyDescent="0.25">
      <c r="R2338" s="508"/>
      <c r="S2338" s="508"/>
      <c r="T2338" s="276"/>
      <c r="U2338" s="276"/>
      <c r="V2338" s="276"/>
      <c r="W2338" s="283"/>
      <c r="X2338" s="276"/>
      <c r="Y2338" s="276"/>
      <c r="Z2338" s="276"/>
      <c r="AA2338" s="276"/>
      <c r="AB2338" s="276"/>
      <c r="AC2338" s="276"/>
      <c r="AD2338" s="276"/>
    </row>
    <row r="2339" spans="18:30" x14ac:dyDescent="0.25">
      <c r="R2339" s="508"/>
      <c r="S2339" s="508"/>
      <c r="T2339" s="276"/>
      <c r="U2339" s="276"/>
      <c r="V2339" s="276"/>
      <c r="W2339" s="283"/>
      <c r="X2339" s="276"/>
      <c r="Y2339" s="276"/>
      <c r="Z2339" s="276"/>
      <c r="AA2339" s="276"/>
      <c r="AB2339" s="276"/>
      <c r="AC2339" s="276"/>
      <c r="AD2339" s="276"/>
    </row>
    <row r="2340" spans="18:30" x14ac:dyDescent="0.25">
      <c r="R2340" s="508"/>
      <c r="S2340" s="508"/>
      <c r="T2340" s="276"/>
      <c r="U2340" s="276"/>
      <c r="V2340" s="276"/>
      <c r="W2340" s="283"/>
      <c r="X2340" s="276"/>
      <c r="Y2340" s="276"/>
      <c r="Z2340" s="276"/>
      <c r="AA2340" s="276"/>
      <c r="AB2340" s="276"/>
      <c r="AC2340" s="276"/>
      <c r="AD2340" s="276"/>
    </row>
    <row r="2341" spans="18:30" x14ac:dyDescent="0.25">
      <c r="R2341" s="508"/>
      <c r="S2341" s="508"/>
      <c r="T2341" s="276"/>
      <c r="U2341" s="276"/>
      <c r="V2341" s="276"/>
      <c r="W2341" s="283"/>
      <c r="X2341" s="276"/>
      <c r="Y2341" s="276"/>
      <c r="Z2341" s="276"/>
      <c r="AA2341" s="276"/>
      <c r="AB2341" s="276"/>
      <c r="AC2341" s="276"/>
      <c r="AD2341" s="276"/>
    </row>
    <row r="2342" spans="18:30" x14ac:dyDescent="0.25">
      <c r="R2342" s="508"/>
      <c r="S2342" s="508"/>
      <c r="T2342" s="276"/>
      <c r="U2342" s="276"/>
      <c r="V2342" s="276"/>
      <c r="W2342" s="283"/>
      <c r="X2342" s="276"/>
      <c r="Y2342" s="276"/>
      <c r="Z2342" s="276"/>
      <c r="AA2342" s="276"/>
      <c r="AB2342" s="276"/>
      <c r="AC2342" s="276"/>
      <c r="AD2342" s="276"/>
    </row>
    <row r="2343" spans="18:30" x14ac:dyDescent="0.25">
      <c r="R2343" s="508"/>
      <c r="S2343" s="508"/>
      <c r="T2343" s="276"/>
      <c r="U2343" s="276"/>
      <c r="V2343" s="276"/>
      <c r="W2343" s="283"/>
      <c r="X2343" s="276"/>
      <c r="Y2343" s="276"/>
      <c r="Z2343" s="276"/>
      <c r="AA2343" s="276"/>
      <c r="AB2343" s="276"/>
      <c r="AC2343" s="276"/>
      <c r="AD2343" s="276"/>
    </row>
    <row r="2344" spans="18:30" x14ac:dyDescent="0.25">
      <c r="R2344" s="508"/>
      <c r="S2344" s="508"/>
      <c r="T2344" s="276"/>
      <c r="U2344" s="276"/>
      <c r="V2344" s="276"/>
      <c r="W2344" s="283"/>
      <c r="X2344" s="276"/>
      <c r="Y2344" s="276"/>
      <c r="Z2344" s="276"/>
      <c r="AA2344" s="276"/>
      <c r="AB2344" s="276"/>
      <c r="AC2344" s="276"/>
      <c r="AD2344" s="276"/>
    </row>
    <row r="2345" spans="18:30" x14ac:dyDescent="0.25">
      <c r="R2345" s="508"/>
      <c r="S2345" s="508"/>
      <c r="T2345" s="276"/>
      <c r="U2345" s="276"/>
      <c r="V2345" s="276"/>
      <c r="W2345" s="283"/>
      <c r="X2345" s="276"/>
      <c r="Y2345" s="276"/>
      <c r="Z2345" s="276"/>
      <c r="AA2345" s="276"/>
      <c r="AB2345" s="276"/>
      <c r="AC2345" s="276"/>
      <c r="AD2345" s="276"/>
    </row>
    <row r="2346" spans="18:30" x14ac:dyDescent="0.25">
      <c r="R2346" s="508"/>
      <c r="S2346" s="508"/>
      <c r="T2346" s="276"/>
      <c r="U2346" s="276"/>
      <c r="V2346" s="276"/>
      <c r="W2346" s="283"/>
      <c r="X2346" s="276"/>
      <c r="Y2346" s="276"/>
      <c r="Z2346" s="276"/>
      <c r="AA2346" s="276"/>
      <c r="AB2346" s="276"/>
      <c r="AC2346" s="276"/>
      <c r="AD2346" s="276"/>
    </row>
    <row r="2347" spans="18:30" x14ac:dyDescent="0.25">
      <c r="R2347" s="508"/>
      <c r="S2347" s="508"/>
      <c r="T2347" s="276"/>
      <c r="U2347" s="276"/>
      <c r="V2347" s="276"/>
      <c r="W2347" s="283"/>
      <c r="X2347" s="276"/>
      <c r="Y2347" s="276"/>
      <c r="Z2347" s="276"/>
      <c r="AA2347" s="276"/>
      <c r="AB2347" s="276"/>
      <c r="AC2347" s="276"/>
      <c r="AD2347" s="276"/>
    </row>
    <row r="2348" spans="18:30" x14ac:dyDescent="0.25">
      <c r="R2348" s="508"/>
      <c r="S2348" s="508"/>
      <c r="T2348" s="276"/>
      <c r="U2348" s="276"/>
      <c r="V2348" s="276"/>
      <c r="W2348" s="283"/>
      <c r="X2348" s="276"/>
      <c r="Y2348" s="276"/>
      <c r="Z2348" s="276"/>
      <c r="AA2348" s="276"/>
      <c r="AB2348" s="276"/>
      <c r="AC2348" s="276"/>
      <c r="AD2348" s="276"/>
    </row>
    <row r="2349" spans="18:30" x14ac:dyDescent="0.25">
      <c r="R2349" s="508"/>
      <c r="S2349" s="508"/>
      <c r="T2349" s="276"/>
      <c r="U2349" s="276"/>
      <c r="V2349" s="276"/>
      <c r="W2349" s="283"/>
      <c r="X2349" s="276"/>
      <c r="Y2349" s="276"/>
      <c r="Z2349" s="276"/>
      <c r="AA2349" s="276"/>
      <c r="AB2349" s="276"/>
      <c r="AC2349" s="276"/>
      <c r="AD2349" s="276"/>
    </row>
    <row r="2350" spans="18:30" x14ac:dyDescent="0.25">
      <c r="R2350" s="508"/>
      <c r="S2350" s="508"/>
      <c r="T2350" s="276"/>
      <c r="U2350" s="276"/>
      <c r="V2350" s="276"/>
      <c r="W2350" s="283"/>
      <c r="X2350" s="276"/>
      <c r="Y2350" s="276"/>
      <c r="Z2350" s="276"/>
      <c r="AA2350" s="276"/>
      <c r="AB2350" s="276"/>
      <c r="AC2350" s="276"/>
      <c r="AD2350" s="276"/>
    </row>
    <row r="2351" spans="18:30" x14ac:dyDescent="0.25">
      <c r="R2351" s="508"/>
      <c r="S2351" s="508"/>
      <c r="T2351" s="276"/>
      <c r="U2351" s="276"/>
      <c r="V2351" s="276"/>
      <c r="W2351" s="283"/>
      <c r="X2351" s="276"/>
      <c r="Y2351" s="276"/>
      <c r="Z2351" s="276"/>
      <c r="AA2351" s="276"/>
      <c r="AB2351" s="276"/>
      <c r="AC2351" s="276"/>
      <c r="AD2351" s="276"/>
    </row>
    <row r="2352" spans="18:30" x14ac:dyDescent="0.25">
      <c r="R2352" s="508"/>
      <c r="S2352" s="508"/>
      <c r="T2352" s="276"/>
      <c r="U2352" s="276"/>
      <c r="V2352" s="276"/>
      <c r="W2352" s="283"/>
      <c r="X2352" s="276"/>
      <c r="Y2352" s="276"/>
      <c r="Z2352" s="276"/>
      <c r="AA2352" s="276"/>
      <c r="AB2352" s="276"/>
      <c r="AC2352" s="276"/>
      <c r="AD2352" s="276"/>
    </row>
    <row r="2353" spans="18:30" x14ac:dyDescent="0.25">
      <c r="R2353" s="508"/>
      <c r="S2353" s="508"/>
      <c r="T2353" s="276"/>
      <c r="U2353" s="276"/>
      <c r="V2353" s="276"/>
      <c r="W2353" s="283"/>
      <c r="X2353" s="276"/>
      <c r="Y2353" s="276"/>
      <c r="Z2353" s="276"/>
      <c r="AA2353" s="276"/>
      <c r="AB2353" s="276"/>
      <c r="AC2353" s="276"/>
      <c r="AD2353" s="276"/>
    </row>
    <row r="2354" spans="18:30" x14ac:dyDescent="0.25">
      <c r="R2354" s="508"/>
      <c r="S2354" s="508"/>
      <c r="T2354" s="276"/>
      <c r="U2354" s="276"/>
      <c r="V2354" s="276"/>
      <c r="W2354" s="283"/>
      <c r="X2354" s="276"/>
      <c r="Y2354" s="276"/>
      <c r="Z2354" s="276"/>
      <c r="AA2354" s="276"/>
      <c r="AB2354" s="276"/>
      <c r="AC2354" s="276"/>
      <c r="AD2354" s="276"/>
    </row>
    <row r="2355" spans="18:30" x14ac:dyDescent="0.25">
      <c r="R2355" s="508"/>
      <c r="S2355" s="508"/>
      <c r="T2355" s="276"/>
      <c r="U2355" s="276"/>
      <c r="V2355" s="276"/>
      <c r="W2355" s="283"/>
      <c r="X2355" s="276"/>
      <c r="Y2355" s="276"/>
      <c r="Z2355" s="276"/>
      <c r="AA2355" s="276"/>
      <c r="AB2355" s="276"/>
      <c r="AC2355" s="276"/>
      <c r="AD2355" s="276"/>
    </row>
    <row r="2356" spans="18:30" x14ac:dyDescent="0.25">
      <c r="R2356" s="508"/>
      <c r="S2356" s="508"/>
      <c r="T2356" s="276"/>
      <c r="U2356" s="276"/>
      <c r="V2356" s="276"/>
      <c r="W2356" s="283"/>
      <c r="X2356" s="276"/>
      <c r="Y2356" s="276"/>
      <c r="Z2356" s="276"/>
      <c r="AA2356" s="276"/>
      <c r="AB2356" s="276"/>
      <c r="AC2356" s="276"/>
      <c r="AD2356" s="276"/>
    </row>
    <row r="2357" spans="18:30" x14ac:dyDescent="0.25">
      <c r="R2357" s="508"/>
      <c r="S2357" s="508"/>
      <c r="T2357" s="276"/>
      <c r="U2357" s="276"/>
      <c r="V2357" s="276"/>
      <c r="W2357" s="283"/>
      <c r="X2357" s="276"/>
      <c r="Y2357" s="276"/>
      <c r="Z2357" s="276"/>
      <c r="AA2357" s="276"/>
      <c r="AB2357" s="276"/>
      <c r="AC2357" s="276"/>
      <c r="AD2357" s="276"/>
    </row>
    <row r="2358" spans="18:30" x14ac:dyDescent="0.25">
      <c r="R2358" s="508"/>
      <c r="S2358" s="508"/>
      <c r="T2358" s="276"/>
      <c r="U2358" s="276"/>
      <c r="V2358" s="276"/>
      <c r="W2358" s="283"/>
      <c r="X2358" s="276"/>
      <c r="Y2358" s="276"/>
      <c r="Z2358" s="276"/>
      <c r="AA2358" s="276"/>
      <c r="AB2358" s="276"/>
      <c r="AC2358" s="276"/>
      <c r="AD2358" s="276"/>
    </row>
    <row r="2359" spans="18:30" x14ac:dyDescent="0.25">
      <c r="R2359" s="508"/>
      <c r="S2359" s="508"/>
      <c r="T2359" s="276"/>
      <c r="U2359" s="276"/>
      <c r="V2359" s="276"/>
      <c r="W2359" s="283"/>
      <c r="X2359" s="276"/>
      <c r="Y2359" s="276"/>
      <c r="Z2359" s="276"/>
      <c r="AA2359" s="276"/>
      <c r="AB2359" s="276"/>
      <c r="AC2359" s="276"/>
      <c r="AD2359" s="276"/>
    </row>
    <row r="2360" spans="18:30" x14ac:dyDescent="0.25">
      <c r="R2360" s="508"/>
      <c r="S2360" s="508"/>
      <c r="T2360" s="276"/>
      <c r="U2360" s="276"/>
      <c r="V2360" s="276"/>
      <c r="W2360" s="283"/>
      <c r="X2360" s="276"/>
      <c r="Y2360" s="276"/>
      <c r="Z2360" s="276"/>
      <c r="AA2360" s="276"/>
      <c r="AB2360" s="276"/>
      <c r="AC2360" s="276"/>
      <c r="AD2360" s="276"/>
    </row>
    <row r="2361" spans="18:30" x14ac:dyDescent="0.25">
      <c r="R2361" s="508"/>
      <c r="S2361" s="508"/>
      <c r="T2361" s="276"/>
      <c r="U2361" s="276"/>
      <c r="V2361" s="276"/>
      <c r="W2361" s="283"/>
      <c r="X2361" s="276"/>
      <c r="Y2361" s="276"/>
      <c r="Z2361" s="276"/>
      <c r="AA2361" s="276"/>
      <c r="AB2361" s="276"/>
      <c r="AC2361" s="276"/>
      <c r="AD2361" s="276"/>
    </row>
    <row r="2362" spans="18:30" x14ac:dyDescent="0.25">
      <c r="R2362" s="508"/>
      <c r="S2362" s="508"/>
      <c r="T2362" s="276"/>
      <c r="U2362" s="276"/>
      <c r="V2362" s="276"/>
      <c r="W2362" s="283"/>
      <c r="X2362" s="276"/>
      <c r="Y2362" s="276"/>
      <c r="Z2362" s="276"/>
      <c r="AA2362" s="276"/>
      <c r="AB2362" s="276"/>
      <c r="AC2362" s="276"/>
      <c r="AD2362" s="276"/>
    </row>
    <row r="2363" spans="18:30" x14ac:dyDescent="0.25">
      <c r="R2363" s="508"/>
      <c r="S2363" s="508"/>
      <c r="T2363" s="276"/>
      <c r="U2363" s="276"/>
      <c r="V2363" s="276"/>
      <c r="W2363" s="283"/>
      <c r="X2363" s="276"/>
      <c r="Y2363" s="276"/>
      <c r="Z2363" s="276"/>
      <c r="AA2363" s="276"/>
      <c r="AB2363" s="276"/>
      <c r="AC2363" s="276"/>
      <c r="AD2363" s="276"/>
    </row>
    <row r="2364" spans="18:30" x14ac:dyDescent="0.25">
      <c r="R2364" s="508"/>
      <c r="S2364" s="508"/>
      <c r="T2364" s="276"/>
      <c r="U2364" s="276"/>
      <c r="V2364" s="276"/>
      <c r="W2364" s="283"/>
      <c r="X2364" s="276"/>
      <c r="Y2364" s="276"/>
      <c r="Z2364" s="276"/>
      <c r="AA2364" s="276"/>
      <c r="AB2364" s="276"/>
      <c r="AC2364" s="276"/>
      <c r="AD2364" s="276"/>
    </row>
    <row r="2365" spans="18:30" x14ac:dyDescent="0.25">
      <c r="R2365" s="508"/>
      <c r="S2365" s="508"/>
      <c r="T2365" s="276"/>
      <c r="U2365" s="276"/>
      <c r="V2365" s="276"/>
      <c r="W2365" s="283"/>
      <c r="X2365" s="276"/>
      <c r="Y2365" s="276"/>
      <c r="Z2365" s="276"/>
      <c r="AA2365" s="276"/>
      <c r="AB2365" s="276"/>
      <c r="AC2365" s="276"/>
      <c r="AD2365" s="276"/>
    </row>
    <row r="2366" spans="18:30" x14ac:dyDescent="0.25">
      <c r="R2366" s="508"/>
      <c r="S2366" s="508"/>
      <c r="T2366" s="276"/>
      <c r="U2366" s="276"/>
      <c r="V2366" s="276"/>
      <c r="W2366" s="283"/>
      <c r="X2366" s="276"/>
      <c r="Y2366" s="276"/>
      <c r="Z2366" s="276"/>
      <c r="AA2366" s="276"/>
      <c r="AB2366" s="276"/>
      <c r="AC2366" s="276"/>
      <c r="AD2366" s="276"/>
    </row>
    <row r="2367" spans="18:30" x14ac:dyDescent="0.25">
      <c r="R2367" s="508"/>
      <c r="S2367" s="508"/>
      <c r="T2367" s="276"/>
      <c r="U2367" s="276"/>
      <c r="V2367" s="276"/>
      <c r="W2367" s="283"/>
      <c r="X2367" s="276"/>
      <c r="Y2367" s="276"/>
      <c r="Z2367" s="276"/>
      <c r="AA2367" s="276"/>
      <c r="AB2367" s="276"/>
      <c r="AC2367" s="276"/>
      <c r="AD2367" s="276"/>
    </row>
    <row r="2368" spans="18:30" x14ac:dyDescent="0.25">
      <c r="R2368" s="508"/>
      <c r="S2368" s="508"/>
      <c r="T2368" s="276"/>
      <c r="U2368" s="276"/>
      <c r="V2368" s="276"/>
      <c r="W2368" s="283"/>
      <c r="X2368" s="276"/>
      <c r="Y2368" s="276"/>
      <c r="Z2368" s="276"/>
      <c r="AA2368" s="276"/>
      <c r="AB2368" s="276"/>
      <c r="AC2368" s="276"/>
      <c r="AD2368" s="276"/>
    </row>
    <row r="2369" spans="18:30" x14ac:dyDescent="0.25">
      <c r="R2369" s="508"/>
      <c r="S2369" s="508"/>
      <c r="T2369" s="276"/>
      <c r="U2369" s="276"/>
      <c r="V2369" s="276"/>
      <c r="W2369" s="283"/>
      <c r="X2369" s="276"/>
      <c r="Y2369" s="276"/>
      <c r="Z2369" s="276"/>
      <c r="AA2369" s="276"/>
      <c r="AB2369" s="276"/>
      <c r="AC2369" s="276"/>
      <c r="AD2369" s="276"/>
    </row>
    <row r="2370" spans="18:30" x14ac:dyDescent="0.25">
      <c r="R2370" s="508"/>
      <c r="S2370" s="508"/>
      <c r="T2370" s="276"/>
      <c r="U2370" s="276"/>
      <c r="V2370" s="276"/>
      <c r="W2370" s="283"/>
      <c r="X2370" s="276"/>
      <c r="Y2370" s="276"/>
      <c r="Z2370" s="276"/>
      <c r="AA2370" s="276"/>
      <c r="AB2370" s="276"/>
      <c r="AC2370" s="276"/>
      <c r="AD2370" s="276"/>
    </row>
    <row r="2371" spans="18:30" x14ac:dyDescent="0.25">
      <c r="R2371" s="508"/>
      <c r="S2371" s="508"/>
      <c r="T2371" s="276"/>
      <c r="U2371" s="276"/>
      <c r="V2371" s="276"/>
      <c r="W2371" s="283"/>
      <c r="X2371" s="276"/>
      <c r="Y2371" s="276"/>
      <c r="Z2371" s="276"/>
      <c r="AA2371" s="276"/>
      <c r="AB2371" s="276"/>
      <c r="AC2371" s="276"/>
      <c r="AD2371" s="276"/>
    </row>
    <row r="2372" spans="18:30" x14ac:dyDescent="0.25">
      <c r="R2372" s="508"/>
      <c r="S2372" s="508"/>
      <c r="T2372" s="276"/>
      <c r="U2372" s="276"/>
      <c r="V2372" s="276"/>
      <c r="W2372" s="283"/>
      <c r="X2372" s="276"/>
      <c r="Y2372" s="276"/>
      <c r="Z2372" s="276"/>
      <c r="AA2372" s="276"/>
      <c r="AB2372" s="276"/>
      <c r="AC2372" s="276"/>
      <c r="AD2372" s="276"/>
    </row>
    <row r="2373" spans="18:30" x14ac:dyDescent="0.25">
      <c r="R2373" s="508"/>
      <c r="S2373" s="508"/>
      <c r="T2373" s="276"/>
      <c r="U2373" s="276"/>
      <c r="V2373" s="276"/>
      <c r="W2373" s="283"/>
      <c r="X2373" s="276"/>
      <c r="Y2373" s="276"/>
      <c r="Z2373" s="276"/>
      <c r="AA2373" s="276"/>
      <c r="AB2373" s="276"/>
      <c r="AC2373" s="276"/>
      <c r="AD2373" s="276"/>
    </row>
    <row r="2374" spans="18:30" x14ac:dyDescent="0.25">
      <c r="R2374" s="508"/>
      <c r="S2374" s="508"/>
      <c r="T2374" s="276"/>
      <c r="U2374" s="276"/>
      <c r="V2374" s="276"/>
      <c r="W2374" s="283"/>
      <c r="X2374" s="276"/>
      <c r="Y2374" s="276"/>
      <c r="Z2374" s="276"/>
      <c r="AA2374" s="276"/>
      <c r="AB2374" s="276"/>
      <c r="AC2374" s="276"/>
      <c r="AD2374" s="276"/>
    </row>
    <row r="2375" spans="18:30" x14ac:dyDescent="0.25">
      <c r="R2375" s="508"/>
      <c r="S2375" s="508"/>
      <c r="T2375" s="276"/>
      <c r="U2375" s="276"/>
      <c r="V2375" s="276"/>
      <c r="W2375" s="283"/>
      <c r="X2375" s="276"/>
      <c r="Y2375" s="276"/>
      <c r="Z2375" s="276"/>
      <c r="AA2375" s="276"/>
      <c r="AB2375" s="276"/>
      <c r="AC2375" s="276"/>
      <c r="AD2375" s="276"/>
    </row>
    <row r="2376" spans="18:30" x14ac:dyDescent="0.25">
      <c r="R2376" s="508"/>
      <c r="S2376" s="508"/>
      <c r="T2376" s="276"/>
      <c r="U2376" s="276"/>
      <c r="V2376" s="276"/>
      <c r="W2376" s="283"/>
      <c r="X2376" s="276"/>
      <c r="Y2376" s="276"/>
      <c r="Z2376" s="276"/>
      <c r="AA2376" s="276"/>
      <c r="AB2376" s="276"/>
      <c r="AC2376" s="276"/>
      <c r="AD2376" s="276"/>
    </row>
    <row r="2377" spans="18:30" x14ac:dyDescent="0.25">
      <c r="R2377" s="508"/>
      <c r="S2377" s="508"/>
      <c r="T2377" s="276"/>
      <c r="U2377" s="276"/>
      <c r="V2377" s="276"/>
      <c r="W2377" s="283"/>
      <c r="X2377" s="276"/>
      <c r="Y2377" s="276"/>
      <c r="Z2377" s="276"/>
      <c r="AA2377" s="276"/>
      <c r="AB2377" s="276"/>
      <c r="AC2377" s="276"/>
      <c r="AD2377" s="276"/>
    </row>
    <row r="2378" spans="18:30" x14ac:dyDescent="0.25">
      <c r="R2378" s="508"/>
      <c r="S2378" s="508"/>
      <c r="T2378" s="276"/>
      <c r="U2378" s="276"/>
      <c r="V2378" s="276"/>
      <c r="W2378" s="283"/>
      <c r="X2378" s="276"/>
      <c r="Y2378" s="276"/>
      <c r="Z2378" s="276"/>
      <c r="AA2378" s="276"/>
      <c r="AB2378" s="276"/>
      <c r="AC2378" s="276"/>
      <c r="AD2378" s="276"/>
    </row>
    <row r="2379" spans="18:30" x14ac:dyDescent="0.25">
      <c r="R2379" s="508"/>
      <c r="S2379" s="508"/>
      <c r="T2379" s="276"/>
      <c r="U2379" s="276"/>
      <c r="V2379" s="276"/>
      <c r="W2379" s="283"/>
      <c r="X2379" s="276"/>
      <c r="Y2379" s="276"/>
      <c r="Z2379" s="276"/>
      <c r="AA2379" s="276"/>
      <c r="AB2379" s="276"/>
      <c r="AC2379" s="276"/>
      <c r="AD2379" s="276"/>
    </row>
    <row r="2380" spans="18:30" x14ac:dyDescent="0.25">
      <c r="R2380" s="508"/>
      <c r="S2380" s="508"/>
      <c r="T2380" s="276"/>
      <c r="U2380" s="276"/>
      <c r="V2380" s="276"/>
      <c r="W2380" s="283"/>
      <c r="X2380" s="276"/>
      <c r="Y2380" s="276"/>
      <c r="Z2380" s="276"/>
      <c r="AA2380" s="276"/>
      <c r="AB2380" s="276"/>
      <c r="AC2380" s="276"/>
      <c r="AD2380" s="276"/>
    </row>
    <row r="2381" spans="18:30" x14ac:dyDescent="0.25">
      <c r="R2381" s="508"/>
      <c r="S2381" s="508"/>
      <c r="T2381" s="276"/>
      <c r="U2381" s="276"/>
      <c r="V2381" s="276"/>
      <c r="W2381" s="283"/>
      <c r="X2381" s="276"/>
      <c r="Y2381" s="276"/>
      <c r="Z2381" s="276"/>
      <c r="AA2381" s="276"/>
      <c r="AB2381" s="276"/>
      <c r="AC2381" s="276"/>
      <c r="AD2381" s="276"/>
    </row>
    <row r="2382" spans="18:30" x14ac:dyDescent="0.25">
      <c r="R2382" s="508"/>
      <c r="S2382" s="508"/>
      <c r="T2382" s="276"/>
      <c r="U2382" s="276"/>
      <c r="V2382" s="276"/>
      <c r="W2382" s="283"/>
      <c r="X2382" s="276"/>
      <c r="Y2382" s="276"/>
      <c r="Z2382" s="276"/>
      <c r="AA2382" s="276"/>
      <c r="AB2382" s="276"/>
      <c r="AC2382" s="276"/>
      <c r="AD2382" s="276"/>
    </row>
    <row r="2383" spans="18:30" x14ac:dyDescent="0.25">
      <c r="R2383" s="508"/>
      <c r="S2383" s="508"/>
      <c r="T2383" s="276"/>
      <c r="U2383" s="276"/>
      <c r="V2383" s="276"/>
      <c r="W2383" s="283"/>
      <c r="X2383" s="276"/>
      <c r="Y2383" s="276"/>
      <c r="Z2383" s="276"/>
      <c r="AA2383" s="276"/>
      <c r="AB2383" s="276"/>
      <c r="AC2383" s="276"/>
      <c r="AD2383" s="276"/>
    </row>
    <row r="2384" spans="18:30" x14ac:dyDescent="0.25">
      <c r="R2384" s="508"/>
      <c r="S2384" s="508"/>
      <c r="T2384" s="276"/>
      <c r="U2384" s="276"/>
      <c r="V2384" s="276"/>
      <c r="W2384" s="283"/>
      <c r="X2384" s="276"/>
      <c r="Y2384" s="276"/>
      <c r="Z2384" s="276"/>
      <c r="AA2384" s="276"/>
      <c r="AB2384" s="276"/>
      <c r="AC2384" s="276"/>
      <c r="AD2384" s="276"/>
    </row>
    <row r="2385" spans="18:30" x14ac:dyDescent="0.25">
      <c r="R2385" s="508"/>
      <c r="S2385" s="508"/>
      <c r="T2385" s="276"/>
      <c r="U2385" s="276"/>
      <c r="V2385" s="276"/>
      <c r="W2385" s="283"/>
      <c r="X2385" s="276"/>
      <c r="Y2385" s="276"/>
      <c r="Z2385" s="276"/>
      <c r="AA2385" s="276"/>
      <c r="AB2385" s="276"/>
      <c r="AC2385" s="276"/>
      <c r="AD2385" s="276"/>
    </row>
    <row r="2386" spans="18:30" x14ac:dyDescent="0.25">
      <c r="R2386" s="508"/>
      <c r="S2386" s="508"/>
      <c r="T2386" s="276"/>
      <c r="U2386" s="276"/>
      <c r="V2386" s="276"/>
      <c r="W2386" s="283"/>
      <c r="X2386" s="276"/>
      <c r="Y2386" s="276"/>
      <c r="Z2386" s="276"/>
      <c r="AA2386" s="276"/>
      <c r="AB2386" s="276"/>
      <c r="AC2386" s="276"/>
      <c r="AD2386" s="276"/>
    </row>
    <row r="2387" spans="18:30" x14ac:dyDescent="0.25">
      <c r="R2387" s="508"/>
      <c r="S2387" s="508"/>
      <c r="T2387" s="276"/>
      <c r="U2387" s="276"/>
      <c r="V2387" s="276"/>
      <c r="W2387" s="283"/>
      <c r="X2387" s="276"/>
      <c r="Y2387" s="276"/>
      <c r="Z2387" s="276"/>
      <c r="AA2387" s="276"/>
      <c r="AB2387" s="276"/>
      <c r="AC2387" s="276"/>
      <c r="AD2387" s="276"/>
    </row>
    <row r="2388" spans="18:30" x14ac:dyDescent="0.25">
      <c r="R2388" s="508"/>
      <c r="S2388" s="508"/>
      <c r="T2388" s="276"/>
      <c r="U2388" s="276"/>
      <c r="V2388" s="276"/>
      <c r="W2388" s="283"/>
      <c r="X2388" s="276"/>
      <c r="Y2388" s="276"/>
      <c r="Z2388" s="276"/>
      <c r="AA2388" s="276"/>
      <c r="AB2388" s="276"/>
      <c r="AC2388" s="276"/>
      <c r="AD2388" s="276"/>
    </row>
    <row r="2389" spans="18:30" x14ac:dyDescent="0.25">
      <c r="R2389" s="508"/>
      <c r="S2389" s="508"/>
      <c r="T2389" s="276"/>
      <c r="U2389" s="276"/>
      <c r="V2389" s="276"/>
      <c r="W2389" s="283"/>
      <c r="X2389" s="276"/>
      <c r="Y2389" s="276"/>
      <c r="Z2389" s="276"/>
      <c r="AA2389" s="276"/>
      <c r="AB2389" s="276"/>
      <c r="AC2389" s="276"/>
      <c r="AD2389" s="276"/>
    </row>
    <row r="2390" spans="18:30" x14ac:dyDescent="0.25">
      <c r="R2390" s="508"/>
      <c r="S2390" s="508"/>
      <c r="T2390" s="276"/>
      <c r="U2390" s="276"/>
      <c r="V2390" s="276"/>
      <c r="W2390" s="283"/>
      <c r="X2390" s="276"/>
      <c r="Y2390" s="276"/>
      <c r="Z2390" s="276"/>
      <c r="AA2390" s="276"/>
      <c r="AB2390" s="276"/>
      <c r="AC2390" s="276"/>
      <c r="AD2390" s="276"/>
    </row>
    <row r="2391" spans="18:30" x14ac:dyDescent="0.25">
      <c r="R2391" s="508"/>
      <c r="S2391" s="508"/>
      <c r="T2391" s="276"/>
      <c r="U2391" s="276"/>
      <c r="V2391" s="276"/>
      <c r="W2391" s="283"/>
      <c r="X2391" s="276"/>
      <c r="Y2391" s="276"/>
      <c r="Z2391" s="276"/>
      <c r="AA2391" s="276"/>
      <c r="AB2391" s="276"/>
      <c r="AC2391" s="276"/>
      <c r="AD2391" s="276"/>
    </row>
    <row r="2392" spans="18:30" x14ac:dyDescent="0.25">
      <c r="R2392" s="508"/>
      <c r="S2392" s="508"/>
      <c r="T2392" s="276"/>
      <c r="U2392" s="276"/>
      <c r="V2392" s="276"/>
      <c r="W2392" s="283"/>
      <c r="X2392" s="276"/>
      <c r="Y2392" s="276"/>
      <c r="Z2392" s="276"/>
      <c r="AA2392" s="276"/>
      <c r="AB2392" s="276"/>
      <c r="AC2392" s="276"/>
      <c r="AD2392" s="276"/>
    </row>
    <row r="2393" spans="18:30" x14ac:dyDescent="0.25">
      <c r="R2393" s="508"/>
      <c r="S2393" s="508"/>
      <c r="T2393" s="276"/>
      <c r="U2393" s="276"/>
      <c r="V2393" s="276"/>
      <c r="W2393" s="283"/>
      <c r="X2393" s="276"/>
      <c r="Y2393" s="276"/>
      <c r="Z2393" s="276"/>
      <c r="AA2393" s="276"/>
      <c r="AB2393" s="276"/>
      <c r="AC2393" s="276"/>
      <c r="AD2393" s="276"/>
    </row>
    <row r="2394" spans="18:30" x14ac:dyDescent="0.25">
      <c r="R2394" s="508"/>
      <c r="S2394" s="508"/>
      <c r="T2394" s="276"/>
      <c r="U2394" s="276"/>
      <c r="V2394" s="276"/>
      <c r="W2394" s="283"/>
      <c r="X2394" s="276"/>
      <c r="Y2394" s="276"/>
      <c r="Z2394" s="276"/>
      <c r="AA2394" s="276"/>
      <c r="AB2394" s="276"/>
      <c r="AC2394" s="276"/>
      <c r="AD2394" s="276"/>
    </row>
    <row r="2395" spans="18:30" x14ac:dyDescent="0.25">
      <c r="R2395" s="508"/>
      <c r="S2395" s="508"/>
      <c r="T2395" s="276"/>
      <c r="U2395" s="276"/>
      <c r="V2395" s="276"/>
      <c r="W2395" s="283"/>
      <c r="X2395" s="276"/>
      <c r="Y2395" s="276"/>
      <c r="Z2395" s="276"/>
      <c r="AA2395" s="276"/>
      <c r="AB2395" s="276"/>
      <c r="AC2395" s="276"/>
      <c r="AD2395" s="276"/>
    </row>
    <row r="2396" spans="18:30" x14ac:dyDescent="0.25">
      <c r="R2396" s="508"/>
      <c r="S2396" s="508"/>
      <c r="T2396" s="276"/>
      <c r="U2396" s="276"/>
      <c r="V2396" s="276"/>
      <c r="W2396" s="283"/>
      <c r="X2396" s="276"/>
      <c r="Y2396" s="276"/>
      <c r="Z2396" s="276"/>
      <c r="AA2396" s="276"/>
      <c r="AB2396" s="276"/>
      <c r="AC2396" s="276"/>
      <c r="AD2396" s="276"/>
    </row>
    <row r="2397" spans="18:30" x14ac:dyDescent="0.25">
      <c r="R2397" s="508"/>
      <c r="S2397" s="508"/>
      <c r="T2397" s="276"/>
      <c r="U2397" s="276"/>
      <c r="V2397" s="276"/>
      <c r="W2397" s="283"/>
      <c r="X2397" s="276"/>
      <c r="Y2397" s="276"/>
      <c r="Z2397" s="276"/>
      <c r="AA2397" s="276"/>
      <c r="AB2397" s="276"/>
      <c r="AC2397" s="276"/>
      <c r="AD2397" s="276"/>
    </row>
    <row r="2398" spans="18:30" x14ac:dyDescent="0.25">
      <c r="R2398" s="508"/>
      <c r="S2398" s="508"/>
      <c r="T2398" s="276"/>
      <c r="U2398" s="276"/>
      <c r="V2398" s="276"/>
      <c r="W2398" s="283"/>
      <c r="X2398" s="276"/>
      <c r="Y2398" s="276"/>
      <c r="Z2398" s="276"/>
      <c r="AA2398" s="276"/>
      <c r="AB2398" s="276"/>
      <c r="AC2398" s="276"/>
      <c r="AD2398" s="276"/>
    </row>
    <row r="2399" spans="18:30" x14ac:dyDescent="0.25">
      <c r="R2399" s="508"/>
      <c r="S2399" s="508"/>
      <c r="T2399" s="276"/>
      <c r="U2399" s="276"/>
      <c r="V2399" s="276"/>
      <c r="W2399" s="283"/>
      <c r="X2399" s="276"/>
      <c r="Y2399" s="276"/>
      <c r="Z2399" s="276"/>
      <c r="AA2399" s="276"/>
      <c r="AB2399" s="276"/>
      <c r="AC2399" s="276"/>
      <c r="AD2399" s="276"/>
    </row>
    <row r="2400" spans="18:30" x14ac:dyDescent="0.25">
      <c r="R2400" s="508"/>
      <c r="S2400" s="508"/>
      <c r="T2400" s="276"/>
      <c r="U2400" s="276"/>
      <c r="V2400" s="276"/>
      <c r="W2400" s="283"/>
      <c r="X2400" s="276"/>
      <c r="Y2400" s="276"/>
      <c r="Z2400" s="276"/>
      <c r="AA2400" s="276"/>
      <c r="AB2400" s="276"/>
      <c r="AC2400" s="276"/>
      <c r="AD2400" s="276"/>
    </row>
    <row r="2401" spans="18:30" x14ac:dyDescent="0.25">
      <c r="R2401" s="508"/>
      <c r="S2401" s="508"/>
      <c r="T2401" s="276"/>
      <c r="U2401" s="276"/>
      <c r="V2401" s="276"/>
      <c r="W2401" s="283"/>
      <c r="X2401" s="276"/>
      <c r="Y2401" s="276"/>
      <c r="Z2401" s="276"/>
      <c r="AA2401" s="276"/>
      <c r="AB2401" s="276"/>
      <c r="AC2401" s="276"/>
      <c r="AD2401" s="276"/>
    </row>
    <row r="2402" spans="18:30" x14ac:dyDescent="0.25">
      <c r="R2402" s="508"/>
      <c r="S2402" s="508"/>
      <c r="T2402" s="276"/>
      <c r="U2402" s="276"/>
      <c r="V2402" s="276"/>
      <c r="W2402" s="283"/>
      <c r="X2402" s="276"/>
      <c r="Y2402" s="276"/>
      <c r="Z2402" s="276"/>
      <c r="AA2402" s="276"/>
      <c r="AB2402" s="276"/>
      <c r="AC2402" s="276"/>
      <c r="AD2402" s="276"/>
    </row>
    <row r="2403" spans="18:30" x14ac:dyDescent="0.25">
      <c r="R2403" s="508"/>
      <c r="S2403" s="508"/>
      <c r="T2403" s="276"/>
      <c r="U2403" s="276"/>
      <c r="V2403" s="276"/>
      <c r="W2403" s="283"/>
      <c r="X2403" s="276"/>
      <c r="Y2403" s="276"/>
      <c r="Z2403" s="276"/>
      <c r="AA2403" s="276"/>
      <c r="AB2403" s="276"/>
      <c r="AC2403" s="276"/>
      <c r="AD2403" s="276"/>
    </row>
    <row r="2404" spans="18:30" x14ac:dyDescent="0.25">
      <c r="R2404" s="508"/>
      <c r="S2404" s="508"/>
      <c r="T2404" s="276"/>
      <c r="U2404" s="276"/>
      <c r="V2404" s="276"/>
      <c r="W2404" s="283"/>
      <c r="X2404" s="276"/>
      <c r="Y2404" s="276"/>
      <c r="Z2404" s="276"/>
      <c r="AA2404" s="276"/>
      <c r="AB2404" s="276"/>
      <c r="AC2404" s="276"/>
      <c r="AD2404" s="276"/>
    </row>
    <row r="2405" spans="18:30" x14ac:dyDescent="0.25">
      <c r="R2405" s="508"/>
      <c r="S2405" s="508"/>
      <c r="T2405" s="276"/>
      <c r="U2405" s="276"/>
      <c r="V2405" s="276"/>
      <c r="W2405" s="283"/>
      <c r="X2405" s="276"/>
      <c r="Y2405" s="276"/>
      <c r="Z2405" s="276"/>
      <c r="AA2405" s="276"/>
      <c r="AB2405" s="276"/>
      <c r="AC2405" s="276"/>
      <c r="AD2405" s="276"/>
    </row>
    <row r="2406" spans="18:30" x14ac:dyDescent="0.25">
      <c r="R2406" s="508"/>
      <c r="S2406" s="508"/>
      <c r="T2406" s="276"/>
      <c r="U2406" s="276"/>
      <c r="V2406" s="276"/>
      <c r="W2406" s="283"/>
      <c r="X2406" s="276"/>
      <c r="Y2406" s="276"/>
      <c r="Z2406" s="276"/>
      <c r="AA2406" s="276"/>
      <c r="AB2406" s="276"/>
      <c r="AC2406" s="276"/>
      <c r="AD2406" s="276"/>
    </row>
    <row r="2407" spans="18:30" x14ac:dyDescent="0.25">
      <c r="R2407" s="508"/>
      <c r="S2407" s="508"/>
      <c r="T2407" s="276"/>
      <c r="U2407" s="276"/>
      <c r="V2407" s="276"/>
      <c r="W2407" s="283"/>
      <c r="X2407" s="276"/>
      <c r="Y2407" s="276"/>
      <c r="Z2407" s="276"/>
      <c r="AA2407" s="276"/>
      <c r="AB2407" s="276"/>
      <c r="AC2407" s="276"/>
      <c r="AD2407" s="276"/>
    </row>
    <row r="2408" spans="18:30" x14ac:dyDescent="0.25">
      <c r="R2408" s="508"/>
      <c r="S2408" s="508"/>
      <c r="T2408" s="276"/>
      <c r="U2408" s="276"/>
      <c r="V2408" s="276"/>
      <c r="W2408" s="283"/>
      <c r="X2408" s="276"/>
      <c r="Y2408" s="276"/>
      <c r="Z2408" s="276"/>
      <c r="AA2408" s="276"/>
      <c r="AB2408" s="276"/>
      <c r="AC2408" s="276"/>
      <c r="AD2408" s="276"/>
    </row>
    <row r="2409" spans="18:30" x14ac:dyDescent="0.25">
      <c r="R2409" s="508"/>
      <c r="S2409" s="508"/>
      <c r="T2409" s="276"/>
      <c r="U2409" s="276"/>
      <c r="V2409" s="276"/>
      <c r="W2409" s="283"/>
      <c r="X2409" s="276"/>
      <c r="Y2409" s="276"/>
      <c r="Z2409" s="276"/>
      <c r="AA2409" s="276"/>
      <c r="AB2409" s="276"/>
      <c r="AC2409" s="276"/>
      <c r="AD2409" s="276"/>
    </row>
    <row r="2410" spans="18:30" x14ac:dyDescent="0.25">
      <c r="R2410" s="508"/>
      <c r="S2410" s="508"/>
      <c r="T2410" s="276"/>
      <c r="U2410" s="276"/>
      <c r="V2410" s="276"/>
      <c r="W2410" s="283"/>
      <c r="X2410" s="276"/>
      <c r="Y2410" s="276"/>
      <c r="Z2410" s="276"/>
      <c r="AA2410" s="276"/>
      <c r="AB2410" s="276"/>
      <c r="AC2410" s="276"/>
      <c r="AD2410" s="276"/>
    </row>
    <row r="2411" spans="18:30" x14ac:dyDescent="0.25">
      <c r="R2411" s="508"/>
      <c r="S2411" s="508"/>
      <c r="T2411" s="276"/>
      <c r="U2411" s="276"/>
      <c r="V2411" s="276"/>
      <c r="W2411" s="283"/>
      <c r="X2411" s="276"/>
      <c r="Y2411" s="276"/>
      <c r="Z2411" s="276"/>
      <c r="AA2411" s="276"/>
      <c r="AB2411" s="276"/>
      <c r="AC2411" s="276"/>
      <c r="AD2411" s="276"/>
    </row>
    <row r="2412" spans="18:30" x14ac:dyDescent="0.25">
      <c r="R2412" s="508"/>
      <c r="S2412" s="508"/>
      <c r="T2412" s="276"/>
      <c r="U2412" s="276"/>
      <c r="V2412" s="276"/>
      <c r="W2412" s="283"/>
      <c r="X2412" s="276"/>
      <c r="Y2412" s="276"/>
      <c r="Z2412" s="276"/>
      <c r="AA2412" s="276"/>
      <c r="AB2412" s="276"/>
      <c r="AC2412" s="276"/>
      <c r="AD2412" s="276"/>
    </row>
    <row r="2413" spans="18:30" x14ac:dyDescent="0.25">
      <c r="R2413" s="508"/>
      <c r="S2413" s="508"/>
      <c r="T2413" s="276"/>
      <c r="U2413" s="276"/>
      <c r="V2413" s="276"/>
      <c r="W2413" s="283"/>
      <c r="X2413" s="276"/>
      <c r="Y2413" s="276"/>
      <c r="Z2413" s="276"/>
      <c r="AA2413" s="276"/>
      <c r="AB2413" s="276"/>
      <c r="AC2413" s="276"/>
      <c r="AD2413" s="276"/>
    </row>
    <row r="2414" spans="18:30" x14ac:dyDescent="0.25">
      <c r="R2414" s="508"/>
      <c r="S2414" s="508"/>
      <c r="T2414" s="276"/>
      <c r="U2414" s="276"/>
      <c r="V2414" s="276"/>
      <c r="W2414" s="283"/>
      <c r="X2414" s="276"/>
      <c r="Y2414" s="276"/>
      <c r="Z2414" s="276"/>
      <c r="AA2414" s="276"/>
      <c r="AB2414" s="276"/>
      <c r="AC2414" s="276"/>
      <c r="AD2414" s="276"/>
    </row>
    <row r="2415" spans="18:30" x14ac:dyDescent="0.25">
      <c r="R2415" s="508"/>
      <c r="S2415" s="508"/>
      <c r="T2415" s="276"/>
      <c r="U2415" s="276"/>
      <c r="V2415" s="276"/>
      <c r="W2415" s="283"/>
      <c r="X2415" s="276"/>
      <c r="Y2415" s="276"/>
      <c r="Z2415" s="276"/>
      <c r="AA2415" s="276"/>
      <c r="AB2415" s="276"/>
      <c r="AC2415" s="276"/>
      <c r="AD2415" s="276"/>
    </row>
    <row r="2416" spans="18:30" x14ac:dyDescent="0.25">
      <c r="R2416" s="508"/>
      <c r="S2416" s="508"/>
      <c r="T2416" s="276"/>
      <c r="U2416" s="276"/>
      <c r="V2416" s="276"/>
      <c r="W2416" s="283"/>
      <c r="X2416" s="276"/>
      <c r="Y2416" s="276"/>
      <c r="Z2416" s="276"/>
      <c r="AA2416" s="276"/>
      <c r="AB2416" s="276"/>
      <c r="AC2416" s="276"/>
      <c r="AD2416" s="276"/>
    </row>
    <row r="2417" spans="18:30" x14ac:dyDescent="0.25">
      <c r="R2417" s="508"/>
      <c r="S2417" s="508"/>
      <c r="T2417" s="276"/>
      <c r="U2417" s="276"/>
      <c r="V2417" s="276"/>
      <c r="W2417" s="283"/>
      <c r="X2417" s="276"/>
      <c r="Y2417" s="276"/>
      <c r="Z2417" s="276"/>
      <c r="AA2417" s="276"/>
      <c r="AB2417" s="276"/>
      <c r="AC2417" s="276"/>
      <c r="AD2417" s="276"/>
    </row>
    <row r="2418" spans="18:30" x14ac:dyDescent="0.25">
      <c r="R2418" s="508"/>
      <c r="S2418" s="508"/>
      <c r="T2418" s="276"/>
      <c r="U2418" s="276"/>
      <c r="V2418" s="276"/>
      <c r="W2418" s="283"/>
      <c r="X2418" s="276"/>
      <c r="Y2418" s="276"/>
      <c r="Z2418" s="276"/>
      <c r="AA2418" s="276"/>
      <c r="AB2418" s="276"/>
      <c r="AC2418" s="276"/>
      <c r="AD2418" s="276"/>
    </row>
    <row r="2419" spans="18:30" x14ac:dyDescent="0.25">
      <c r="R2419" s="508"/>
      <c r="S2419" s="508"/>
      <c r="T2419" s="276"/>
      <c r="U2419" s="276"/>
      <c r="V2419" s="276"/>
      <c r="W2419" s="283"/>
      <c r="X2419" s="276"/>
      <c r="Y2419" s="276"/>
      <c r="Z2419" s="276"/>
      <c r="AA2419" s="276"/>
      <c r="AB2419" s="276"/>
      <c r="AC2419" s="276"/>
      <c r="AD2419" s="276"/>
    </row>
    <row r="2420" spans="18:30" x14ac:dyDescent="0.25">
      <c r="R2420" s="508"/>
      <c r="S2420" s="508"/>
      <c r="T2420" s="276"/>
      <c r="U2420" s="276"/>
      <c r="V2420" s="276"/>
      <c r="W2420" s="283"/>
      <c r="X2420" s="276"/>
      <c r="Y2420" s="276"/>
      <c r="Z2420" s="276"/>
      <c r="AA2420" s="276"/>
      <c r="AB2420" s="276"/>
      <c r="AC2420" s="276"/>
      <c r="AD2420" s="276"/>
    </row>
    <row r="2421" spans="18:30" x14ac:dyDescent="0.25">
      <c r="R2421" s="508"/>
      <c r="S2421" s="508"/>
      <c r="T2421" s="276"/>
      <c r="U2421" s="276"/>
      <c r="V2421" s="276"/>
      <c r="W2421" s="283"/>
      <c r="X2421" s="276"/>
      <c r="Y2421" s="276"/>
      <c r="Z2421" s="276"/>
      <c r="AA2421" s="276"/>
      <c r="AB2421" s="276"/>
      <c r="AC2421" s="276"/>
      <c r="AD2421" s="276"/>
    </row>
    <row r="2422" spans="18:30" x14ac:dyDescent="0.25">
      <c r="R2422" s="508"/>
      <c r="S2422" s="508"/>
      <c r="T2422" s="276"/>
      <c r="U2422" s="276"/>
      <c r="V2422" s="276"/>
      <c r="W2422" s="283"/>
      <c r="X2422" s="276"/>
      <c r="Y2422" s="276"/>
      <c r="Z2422" s="276"/>
      <c r="AA2422" s="276"/>
      <c r="AB2422" s="276"/>
      <c r="AC2422" s="276"/>
      <c r="AD2422" s="276"/>
    </row>
    <row r="2423" spans="18:30" x14ac:dyDescent="0.25">
      <c r="R2423" s="508"/>
      <c r="S2423" s="508"/>
      <c r="T2423" s="276"/>
      <c r="U2423" s="276"/>
      <c r="V2423" s="276"/>
      <c r="W2423" s="283"/>
      <c r="X2423" s="276"/>
      <c r="Y2423" s="276"/>
      <c r="Z2423" s="276"/>
      <c r="AA2423" s="276"/>
      <c r="AB2423" s="276"/>
      <c r="AC2423" s="276"/>
      <c r="AD2423" s="276"/>
    </row>
    <row r="2424" spans="18:30" x14ac:dyDescent="0.25">
      <c r="R2424" s="508"/>
      <c r="S2424" s="508"/>
      <c r="T2424" s="276"/>
      <c r="U2424" s="276"/>
      <c r="V2424" s="276"/>
      <c r="W2424" s="283"/>
      <c r="X2424" s="276"/>
      <c r="Y2424" s="276"/>
      <c r="Z2424" s="276"/>
      <c r="AA2424" s="276"/>
      <c r="AB2424" s="276"/>
      <c r="AC2424" s="276"/>
      <c r="AD2424" s="276"/>
    </row>
    <row r="2425" spans="18:30" x14ac:dyDescent="0.25">
      <c r="R2425" s="508"/>
      <c r="S2425" s="508"/>
      <c r="T2425" s="276"/>
      <c r="U2425" s="276"/>
      <c r="V2425" s="276"/>
      <c r="W2425" s="283"/>
      <c r="X2425" s="276"/>
      <c r="Y2425" s="276"/>
      <c r="Z2425" s="276"/>
      <c r="AA2425" s="276"/>
      <c r="AB2425" s="276"/>
      <c r="AC2425" s="276"/>
      <c r="AD2425" s="276"/>
    </row>
    <row r="2426" spans="18:30" x14ac:dyDescent="0.25">
      <c r="R2426" s="508"/>
      <c r="S2426" s="508"/>
      <c r="T2426" s="276"/>
      <c r="U2426" s="276"/>
      <c r="V2426" s="276"/>
      <c r="W2426" s="283"/>
      <c r="X2426" s="276"/>
      <c r="Y2426" s="276"/>
      <c r="Z2426" s="276"/>
      <c r="AA2426" s="276"/>
      <c r="AB2426" s="276"/>
      <c r="AC2426" s="276"/>
      <c r="AD2426" s="276"/>
    </row>
    <row r="2427" spans="18:30" x14ac:dyDescent="0.25">
      <c r="R2427" s="508"/>
      <c r="S2427" s="508"/>
      <c r="T2427" s="276"/>
      <c r="U2427" s="276"/>
      <c r="V2427" s="276"/>
      <c r="W2427" s="283"/>
      <c r="X2427" s="276"/>
      <c r="Y2427" s="276"/>
      <c r="Z2427" s="276"/>
      <c r="AA2427" s="276"/>
      <c r="AB2427" s="276"/>
      <c r="AC2427" s="276"/>
      <c r="AD2427" s="276"/>
    </row>
    <row r="2428" spans="18:30" x14ac:dyDescent="0.25">
      <c r="R2428" s="508"/>
      <c r="S2428" s="508"/>
      <c r="T2428" s="276"/>
      <c r="U2428" s="276"/>
      <c r="V2428" s="276"/>
      <c r="W2428" s="283"/>
      <c r="X2428" s="276"/>
      <c r="Y2428" s="276"/>
      <c r="Z2428" s="276"/>
      <c r="AA2428" s="276"/>
      <c r="AB2428" s="276"/>
      <c r="AC2428" s="276"/>
      <c r="AD2428" s="276"/>
    </row>
    <row r="2429" spans="18:30" x14ac:dyDescent="0.25">
      <c r="R2429" s="508"/>
      <c r="S2429" s="508"/>
      <c r="T2429" s="276"/>
      <c r="U2429" s="276"/>
      <c r="V2429" s="276"/>
      <c r="W2429" s="283"/>
      <c r="X2429" s="276"/>
      <c r="Y2429" s="276"/>
      <c r="Z2429" s="276"/>
      <c r="AA2429" s="276"/>
      <c r="AB2429" s="276"/>
      <c r="AC2429" s="276"/>
      <c r="AD2429" s="276"/>
    </row>
    <row r="2430" spans="18:30" x14ac:dyDescent="0.25">
      <c r="R2430" s="508"/>
      <c r="S2430" s="508"/>
      <c r="T2430" s="276"/>
      <c r="U2430" s="276"/>
      <c r="V2430" s="276"/>
      <c r="W2430" s="283"/>
      <c r="X2430" s="276"/>
      <c r="Y2430" s="276"/>
      <c r="Z2430" s="276"/>
      <c r="AA2430" s="276"/>
      <c r="AB2430" s="276"/>
      <c r="AC2430" s="276"/>
      <c r="AD2430" s="276"/>
    </row>
    <row r="2431" spans="18:30" x14ac:dyDescent="0.25">
      <c r="R2431" s="508"/>
      <c r="S2431" s="508"/>
      <c r="T2431" s="276"/>
      <c r="U2431" s="276"/>
      <c r="V2431" s="276"/>
      <c r="W2431" s="283"/>
      <c r="X2431" s="276"/>
      <c r="Y2431" s="276"/>
      <c r="Z2431" s="276"/>
      <c r="AA2431" s="276"/>
      <c r="AB2431" s="276"/>
      <c r="AC2431" s="276"/>
      <c r="AD2431" s="276"/>
    </row>
    <row r="2432" spans="18:30" x14ac:dyDescent="0.25">
      <c r="R2432" s="508"/>
      <c r="S2432" s="508"/>
      <c r="T2432" s="276"/>
      <c r="U2432" s="276"/>
      <c r="V2432" s="276"/>
      <c r="W2432" s="283"/>
      <c r="X2432" s="276"/>
      <c r="Y2432" s="276"/>
      <c r="Z2432" s="276"/>
      <c r="AA2432" s="276"/>
      <c r="AB2432" s="276"/>
      <c r="AC2432" s="276"/>
      <c r="AD2432" s="276"/>
    </row>
    <row r="2433" spans="18:30" x14ac:dyDescent="0.25">
      <c r="R2433" s="508"/>
      <c r="S2433" s="508"/>
      <c r="T2433" s="276"/>
      <c r="U2433" s="276"/>
      <c r="V2433" s="276"/>
      <c r="W2433" s="283"/>
      <c r="X2433" s="276"/>
      <c r="Y2433" s="276"/>
      <c r="Z2433" s="276"/>
      <c r="AA2433" s="276"/>
      <c r="AB2433" s="276"/>
      <c r="AC2433" s="276"/>
      <c r="AD2433" s="276"/>
    </row>
    <row r="2434" spans="18:30" x14ac:dyDescent="0.25">
      <c r="R2434" s="508"/>
      <c r="S2434" s="508"/>
      <c r="T2434" s="276"/>
      <c r="U2434" s="276"/>
      <c r="V2434" s="276"/>
      <c r="W2434" s="283"/>
      <c r="X2434" s="276"/>
      <c r="Y2434" s="276"/>
      <c r="Z2434" s="276"/>
      <c r="AA2434" s="276"/>
      <c r="AB2434" s="276"/>
      <c r="AC2434" s="276"/>
      <c r="AD2434" s="276"/>
    </row>
    <row r="2435" spans="18:30" x14ac:dyDescent="0.25">
      <c r="R2435" s="508"/>
      <c r="S2435" s="508"/>
      <c r="T2435" s="276"/>
      <c r="U2435" s="276"/>
      <c r="V2435" s="276"/>
      <c r="W2435" s="283"/>
      <c r="X2435" s="276"/>
      <c r="Y2435" s="276"/>
      <c r="Z2435" s="276"/>
      <c r="AA2435" s="276"/>
      <c r="AB2435" s="276"/>
      <c r="AC2435" s="276"/>
      <c r="AD2435" s="276"/>
    </row>
    <row r="2436" spans="18:30" x14ac:dyDescent="0.25">
      <c r="R2436" s="508"/>
      <c r="S2436" s="508"/>
      <c r="T2436" s="276"/>
      <c r="U2436" s="276"/>
      <c r="V2436" s="276"/>
      <c r="W2436" s="283"/>
      <c r="X2436" s="276"/>
      <c r="Y2436" s="276"/>
      <c r="Z2436" s="276"/>
      <c r="AA2436" s="276"/>
      <c r="AB2436" s="276"/>
      <c r="AC2436" s="276"/>
      <c r="AD2436" s="276"/>
    </row>
    <row r="2437" spans="18:30" x14ac:dyDescent="0.25">
      <c r="R2437" s="508"/>
      <c r="S2437" s="508"/>
      <c r="T2437" s="276"/>
      <c r="U2437" s="276"/>
      <c r="V2437" s="276"/>
      <c r="W2437" s="283"/>
      <c r="X2437" s="276"/>
      <c r="Y2437" s="276"/>
      <c r="Z2437" s="276"/>
      <c r="AA2437" s="276"/>
      <c r="AB2437" s="276"/>
      <c r="AC2437" s="276"/>
      <c r="AD2437" s="276"/>
    </row>
    <row r="2438" spans="18:30" x14ac:dyDescent="0.25">
      <c r="R2438" s="508"/>
      <c r="S2438" s="508"/>
      <c r="T2438" s="276"/>
      <c r="U2438" s="276"/>
      <c r="V2438" s="276"/>
      <c r="W2438" s="283"/>
      <c r="X2438" s="276"/>
      <c r="Y2438" s="276"/>
      <c r="Z2438" s="276"/>
      <c r="AA2438" s="276"/>
      <c r="AB2438" s="276"/>
      <c r="AC2438" s="276"/>
      <c r="AD2438" s="276"/>
    </row>
    <row r="2439" spans="18:30" x14ac:dyDescent="0.25">
      <c r="R2439" s="508"/>
      <c r="S2439" s="508"/>
      <c r="T2439" s="276"/>
      <c r="U2439" s="276"/>
      <c r="V2439" s="276"/>
      <c r="W2439" s="283"/>
      <c r="X2439" s="276"/>
      <c r="Y2439" s="276"/>
      <c r="Z2439" s="276"/>
      <c r="AA2439" s="276"/>
      <c r="AB2439" s="276"/>
      <c r="AC2439" s="276"/>
      <c r="AD2439" s="276"/>
    </row>
    <row r="2440" spans="18:30" x14ac:dyDescent="0.25">
      <c r="R2440" s="508"/>
      <c r="S2440" s="508"/>
      <c r="T2440" s="276"/>
      <c r="U2440" s="276"/>
      <c r="V2440" s="276"/>
      <c r="W2440" s="283"/>
      <c r="X2440" s="276"/>
      <c r="Y2440" s="276"/>
      <c r="Z2440" s="276"/>
      <c r="AA2440" s="276"/>
      <c r="AB2440" s="276"/>
      <c r="AC2440" s="276"/>
      <c r="AD2440" s="276"/>
    </row>
    <row r="2441" spans="18:30" x14ac:dyDescent="0.25">
      <c r="R2441" s="508"/>
      <c r="S2441" s="508"/>
      <c r="T2441" s="276"/>
      <c r="U2441" s="276"/>
      <c r="V2441" s="276"/>
      <c r="W2441" s="283"/>
      <c r="X2441" s="276"/>
      <c r="Y2441" s="276"/>
      <c r="Z2441" s="276"/>
      <c r="AA2441" s="276"/>
      <c r="AB2441" s="276"/>
      <c r="AC2441" s="276"/>
      <c r="AD2441" s="276"/>
    </row>
    <row r="2442" spans="18:30" x14ac:dyDescent="0.25">
      <c r="R2442" s="508"/>
      <c r="S2442" s="508"/>
      <c r="T2442" s="276"/>
      <c r="U2442" s="276"/>
      <c r="V2442" s="276"/>
      <c r="W2442" s="283"/>
      <c r="X2442" s="276"/>
      <c r="Y2442" s="276"/>
      <c r="Z2442" s="276"/>
      <c r="AA2442" s="276"/>
      <c r="AB2442" s="276"/>
      <c r="AC2442" s="276"/>
      <c r="AD2442" s="276"/>
    </row>
    <row r="2443" spans="18:30" x14ac:dyDescent="0.25">
      <c r="R2443" s="508"/>
      <c r="S2443" s="508"/>
      <c r="T2443" s="276"/>
      <c r="U2443" s="276"/>
      <c r="V2443" s="276"/>
      <c r="W2443" s="283"/>
      <c r="X2443" s="276"/>
      <c r="Y2443" s="276"/>
      <c r="Z2443" s="276"/>
      <c r="AA2443" s="276"/>
      <c r="AB2443" s="276"/>
      <c r="AC2443" s="276"/>
      <c r="AD2443" s="276"/>
    </row>
    <row r="2444" spans="18:30" x14ac:dyDescent="0.25">
      <c r="R2444" s="508"/>
      <c r="S2444" s="508"/>
      <c r="T2444" s="276"/>
      <c r="U2444" s="276"/>
      <c r="V2444" s="276"/>
      <c r="W2444" s="283"/>
      <c r="X2444" s="276"/>
      <c r="Y2444" s="276"/>
      <c r="Z2444" s="276"/>
      <c r="AA2444" s="276"/>
      <c r="AB2444" s="276"/>
      <c r="AC2444" s="276"/>
      <c r="AD2444" s="276"/>
    </row>
    <row r="2445" spans="18:30" x14ac:dyDescent="0.25">
      <c r="R2445" s="508"/>
      <c r="S2445" s="508"/>
      <c r="T2445" s="276"/>
      <c r="U2445" s="276"/>
      <c r="V2445" s="276"/>
      <c r="W2445" s="283"/>
      <c r="X2445" s="276"/>
      <c r="Y2445" s="276"/>
      <c r="Z2445" s="276"/>
      <c r="AA2445" s="276"/>
      <c r="AB2445" s="276"/>
      <c r="AC2445" s="276"/>
      <c r="AD2445" s="276"/>
    </row>
    <row r="2446" spans="18:30" x14ac:dyDescent="0.25">
      <c r="R2446" s="508"/>
      <c r="S2446" s="508"/>
      <c r="T2446" s="276"/>
      <c r="U2446" s="276"/>
      <c r="V2446" s="276"/>
      <c r="W2446" s="283"/>
      <c r="X2446" s="276"/>
      <c r="Y2446" s="276"/>
      <c r="Z2446" s="276"/>
      <c r="AA2446" s="276"/>
      <c r="AB2446" s="276"/>
      <c r="AC2446" s="276"/>
      <c r="AD2446" s="276"/>
    </row>
    <row r="2447" spans="18:30" x14ac:dyDescent="0.25">
      <c r="R2447" s="508"/>
      <c r="S2447" s="508"/>
      <c r="T2447" s="276"/>
      <c r="U2447" s="276"/>
      <c r="V2447" s="276"/>
      <c r="W2447" s="283"/>
      <c r="X2447" s="276"/>
      <c r="Y2447" s="276"/>
      <c r="Z2447" s="276"/>
      <c r="AA2447" s="276"/>
      <c r="AB2447" s="276"/>
      <c r="AC2447" s="276"/>
      <c r="AD2447" s="276"/>
    </row>
    <row r="2448" spans="18:30" x14ac:dyDescent="0.25">
      <c r="R2448" s="508"/>
      <c r="S2448" s="508"/>
      <c r="T2448" s="276"/>
      <c r="U2448" s="276"/>
      <c r="V2448" s="276"/>
      <c r="W2448" s="283"/>
      <c r="X2448" s="276"/>
      <c r="Y2448" s="276"/>
      <c r="Z2448" s="276"/>
      <c r="AA2448" s="276"/>
      <c r="AB2448" s="276"/>
      <c r="AC2448" s="276"/>
      <c r="AD2448" s="276"/>
    </row>
    <row r="2449" spans="18:30" x14ac:dyDescent="0.25">
      <c r="R2449" s="508"/>
      <c r="S2449" s="508"/>
      <c r="T2449" s="276"/>
      <c r="U2449" s="276"/>
      <c r="V2449" s="276"/>
      <c r="W2449" s="283"/>
      <c r="X2449" s="276"/>
      <c r="Y2449" s="276"/>
      <c r="Z2449" s="276"/>
      <c r="AA2449" s="276"/>
      <c r="AB2449" s="276"/>
      <c r="AC2449" s="276"/>
      <c r="AD2449" s="276"/>
    </row>
    <row r="2450" spans="18:30" x14ac:dyDescent="0.25">
      <c r="R2450" s="508"/>
      <c r="S2450" s="508"/>
      <c r="T2450" s="276"/>
      <c r="U2450" s="276"/>
      <c r="V2450" s="276"/>
      <c r="W2450" s="283"/>
      <c r="X2450" s="276"/>
      <c r="Y2450" s="276"/>
      <c r="Z2450" s="276"/>
      <c r="AA2450" s="276"/>
      <c r="AB2450" s="276"/>
      <c r="AC2450" s="276"/>
      <c r="AD2450" s="276"/>
    </row>
    <row r="2451" spans="18:30" x14ac:dyDescent="0.25">
      <c r="R2451" s="508"/>
      <c r="S2451" s="508"/>
      <c r="T2451" s="276"/>
      <c r="U2451" s="276"/>
      <c r="V2451" s="276"/>
      <c r="W2451" s="283"/>
      <c r="X2451" s="276"/>
      <c r="Y2451" s="276"/>
      <c r="Z2451" s="276"/>
      <c r="AA2451" s="276"/>
      <c r="AB2451" s="276"/>
      <c r="AC2451" s="276"/>
      <c r="AD2451" s="276"/>
    </row>
    <row r="2452" spans="18:30" x14ac:dyDescent="0.25">
      <c r="R2452" s="508"/>
      <c r="S2452" s="508"/>
      <c r="T2452" s="276"/>
      <c r="U2452" s="276"/>
      <c r="V2452" s="276"/>
      <c r="W2452" s="283"/>
      <c r="X2452" s="276"/>
      <c r="Y2452" s="276"/>
      <c r="Z2452" s="276"/>
      <c r="AA2452" s="276"/>
      <c r="AB2452" s="276"/>
      <c r="AC2452" s="276"/>
      <c r="AD2452" s="276"/>
    </row>
    <row r="2453" spans="18:30" x14ac:dyDescent="0.25">
      <c r="R2453" s="508"/>
      <c r="S2453" s="508"/>
      <c r="T2453" s="276"/>
      <c r="U2453" s="276"/>
      <c r="V2453" s="276"/>
      <c r="W2453" s="283"/>
      <c r="X2453" s="276"/>
      <c r="Y2453" s="276"/>
      <c r="Z2453" s="276"/>
      <c r="AA2453" s="276"/>
      <c r="AB2453" s="276"/>
      <c r="AC2453" s="276"/>
      <c r="AD2453" s="276"/>
    </row>
    <row r="2454" spans="18:30" x14ac:dyDescent="0.25">
      <c r="R2454" s="508"/>
      <c r="S2454" s="508"/>
      <c r="T2454" s="276"/>
      <c r="U2454" s="276"/>
      <c r="V2454" s="276"/>
      <c r="W2454" s="283"/>
      <c r="X2454" s="276"/>
      <c r="Y2454" s="276"/>
      <c r="Z2454" s="276"/>
      <c r="AA2454" s="276"/>
      <c r="AB2454" s="276"/>
      <c r="AC2454" s="276"/>
      <c r="AD2454" s="276"/>
    </row>
    <row r="2455" spans="18:30" x14ac:dyDescent="0.25">
      <c r="R2455" s="508"/>
      <c r="S2455" s="508"/>
      <c r="T2455" s="276"/>
      <c r="U2455" s="276"/>
      <c r="V2455" s="276"/>
      <c r="W2455" s="283"/>
      <c r="X2455" s="276"/>
      <c r="Y2455" s="276"/>
      <c r="Z2455" s="276"/>
      <c r="AA2455" s="276"/>
      <c r="AB2455" s="276"/>
      <c r="AC2455" s="276"/>
      <c r="AD2455" s="276"/>
    </row>
    <row r="2456" spans="18:30" x14ac:dyDescent="0.25">
      <c r="R2456" s="508"/>
      <c r="S2456" s="508"/>
      <c r="T2456" s="276"/>
      <c r="U2456" s="276"/>
      <c r="V2456" s="276"/>
      <c r="W2456" s="283"/>
      <c r="X2456" s="276"/>
      <c r="Y2456" s="276"/>
      <c r="Z2456" s="276"/>
      <c r="AA2456" s="276"/>
      <c r="AB2456" s="276"/>
      <c r="AC2456" s="276"/>
      <c r="AD2456" s="276"/>
    </row>
    <row r="2457" spans="18:30" x14ac:dyDescent="0.25">
      <c r="R2457" s="508"/>
      <c r="S2457" s="508"/>
      <c r="T2457" s="276"/>
      <c r="U2457" s="276"/>
      <c r="V2457" s="276"/>
      <c r="W2457" s="283"/>
      <c r="X2457" s="276"/>
      <c r="Y2457" s="276"/>
      <c r="Z2457" s="276"/>
      <c r="AA2457" s="276"/>
      <c r="AB2457" s="276"/>
      <c r="AC2457" s="276"/>
      <c r="AD2457" s="276"/>
    </row>
    <row r="2458" spans="18:30" x14ac:dyDescent="0.25">
      <c r="R2458" s="508"/>
      <c r="S2458" s="508"/>
      <c r="T2458" s="276"/>
      <c r="U2458" s="276"/>
      <c r="V2458" s="276"/>
      <c r="W2458" s="283"/>
      <c r="X2458" s="276"/>
      <c r="Y2458" s="276"/>
      <c r="Z2458" s="276"/>
      <c r="AA2458" s="276"/>
      <c r="AB2458" s="276"/>
      <c r="AC2458" s="276"/>
      <c r="AD2458" s="276"/>
    </row>
    <row r="2459" spans="18:30" x14ac:dyDescent="0.25">
      <c r="R2459" s="508"/>
      <c r="S2459" s="508"/>
      <c r="T2459" s="276"/>
      <c r="U2459" s="276"/>
      <c r="V2459" s="276"/>
      <c r="W2459" s="283"/>
      <c r="X2459" s="276"/>
      <c r="Y2459" s="276"/>
      <c r="Z2459" s="276"/>
      <c r="AA2459" s="276"/>
      <c r="AB2459" s="276"/>
      <c r="AC2459" s="276"/>
      <c r="AD2459" s="276"/>
    </row>
    <row r="2460" spans="18:30" x14ac:dyDescent="0.25">
      <c r="R2460" s="508"/>
      <c r="S2460" s="508"/>
      <c r="T2460" s="276"/>
      <c r="U2460" s="276"/>
      <c r="V2460" s="276"/>
      <c r="W2460" s="283"/>
      <c r="X2460" s="276"/>
      <c r="Y2460" s="276"/>
      <c r="Z2460" s="276"/>
      <c r="AA2460" s="276"/>
      <c r="AB2460" s="276"/>
      <c r="AC2460" s="276"/>
      <c r="AD2460" s="276"/>
    </row>
    <row r="2461" spans="18:30" x14ac:dyDescent="0.25">
      <c r="R2461" s="508"/>
      <c r="S2461" s="508"/>
      <c r="T2461" s="276"/>
      <c r="U2461" s="276"/>
      <c r="V2461" s="276"/>
      <c r="W2461" s="283"/>
      <c r="X2461" s="276"/>
      <c r="Y2461" s="276"/>
      <c r="Z2461" s="276"/>
      <c r="AA2461" s="276"/>
      <c r="AB2461" s="276"/>
      <c r="AC2461" s="276"/>
      <c r="AD2461" s="276"/>
    </row>
    <row r="2462" spans="18:30" x14ac:dyDescent="0.25">
      <c r="R2462" s="508"/>
      <c r="S2462" s="508"/>
      <c r="T2462" s="276"/>
      <c r="U2462" s="276"/>
      <c r="V2462" s="276"/>
      <c r="W2462" s="283"/>
      <c r="X2462" s="276"/>
      <c r="Y2462" s="276"/>
      <c r="Z2462" s="276"/>
      <c r="AA2462" s="276"/>
      <c r="AB2462" s="276"/>
      <c r="AC2462" s="276"/>
      <c r="AD2462" s="276"/>
    </row>
    <row r="2463" spans="18:30" x14ac:dyDescent="0.25">
      <c r="R2463" s="508"/>
      <c r="S2463" s="508"/>
      <c r="T2463" s="276"/>
      <c r="U2463" s="276"/>
      <c r="V2463" s="276"/>
      <c r="W2463" s="283"/>
      <c r="X2463" s="276"/>
      <c r="Y2463" s="276"/>
      <c r="Z2463" s="276"/>
      <c r="AA2463" s="276"/>
      <c r="AB2463" s="276"/>
      <c r="AC2463" s="276"/>
      <c r="AD2463" s="276"/>
    </row>
    <row r="2464" spans="18:30" x14ac:dyDescent="0.25">
      <c r="R2464" s="508"/>
      <c r="S2464" s="508"/>
      <c r="T2464" s="276"/>
      <c r="U2464" s="276"/>
      <c r="V2464" s="276"/>
      <c r="W2464" s="283"/>
      <c r="X2464" s="276"/>
      <c r="Y2464" s="276"/>
      <c r="Z2464" s="276"/>
      <c r="AA2464" s="276"/>
      <c r="AB2464" s="276"/>
      <c r="AC2464" s="276"/>
      <c r="AD2464" s="276"/>
    </row>
    <row r="2465" spans="18:30" x14ac:dyDescent="0.25">
      <c r="R2465" s="508"/>
      <c r="S2465" s="508"/>
      <c r="T2465" s="276"/>
      <c r="U2465" s="276"/>
      <c r="V2465" s="276"/>
      <c r="W2465" s="283"/>
      <c r="X2465" s="276"/>
      <c r="Y2465" s="276"/>
      <c r="Z2465" s="276"/>
      <c r="AA2465" s="276"/>
      <c r="AB2465" s="276"/>
      <c r="AC2465" s="276"/>
      <c r="AD2465" s="276"/>
    </row>
    <row r="2466" spans="18:30" x14ac:dyDescent="0.25">
      <c r="R2466" s="508"/>
      <c r="S2466" s="508"/>
      <c r="T2466" s="276"/>
      <c r="U2466" s="276"/>
      <c r="V2466" s="276"/>
      <c r="W2466" s="283"/>
      <c r="X2466" s="276"/>
      <c r="Y2466" s="276"/>
      <c r="Z2466" s="276"/>
      <c r="AA2466" s="276"/>
      <c r="AB2466" s="276"/>
      <c r="AC2466" s="276"/>
      <c r="AD2466" s="276"/>
    </row>
    <row r="2467" spans="18:30" x14ac:dyDescent="0.25">
      <c r="R2467" s="508"/>
      <c r="S2467" s="508"/>
      <c r="T2467" s="276"/>
      <c r="U2467" s="276"/>
      <c r="V2467" s="276"/>
      <c r="W2467" s="283"/>
      <c r="X2467" s="276"/>
      <c r="Y2467" s="276"/>
      <c r="Z2467" s="276"/>
      <c r="AA2467" s="276"/>
      <c r="AB2467" s="276"/>
      <c r="AC2467" s="276"/>
      <c r="AD2467" s="276"/>
    </row>
    <row r="2468" spans="18:30" x14ac:dyDescent="0.25">
      <c r="R2468" s="508"/>
      <c r="S2468" s="508"/>
      <c r="T2468" s="276"/>
      <c r="U2468" s="276"/>
      <c r="V2468" s="276"/>
      <c r="W2468" s="283"/>
      <c r="X2468" s="276"/>
      <c r="Y2468" s="276"/>
      <c r="Z2468" s="276"/>
      <c r="AA2468" s="276"/>
      <c r="AB2468" s="276"/>
      <c r="AC2468" s="276"/>
      <c r="AD2468" s="276"/>
    </row>
    <row r="2469" spans="18:30" x14ac:dyDescent="0.25">
      <c r="R2469" s="508"/>
      <c r="S2469" s="508"/>
      <c r="T2469" s="276"/>
      <c r="U2469" s="276"/>
      <c r="V2469" s="276"/>
      <c r="W2469" s="283"/>
      <c r="X2469" s="276"/>
      <c r="Y2469" s="276"/>
      <c r="Z2469" s="276"/>
      <c r="AA2469" s="276"/>
      <c r="AB2469" s="276"/>
      <c r="AC2469" s="276"/>
      <c r="AD2469" s="276"/>
    </row>
    <row r="2470" spans="18:30" x14ac:dyDescent="0.25">
      <c r="R2470" s="508"/>
      <c r="S2470" s="508"/>
      <c r="T2470" s="276"/>
      <c r="U2470" s="276"/>
      <c r="V2470" s="276"/>
      <c r="W2470" s="283"/>
      <c r="X2470" s="276"/>
      <c r="Y2470" s="276"/>
      <c r="Z2470" s="276"/>
      <c r="AA2470" s="276"/>
      <c r="AB2470" s="276"/>
      <c r="AC2470" s="276"/>
      <c r="AD2470" s="276"/>
    </row>
    <row r="2471" spans="18:30" x14ac:dyDescent="0.25">
      <c r="R2471" s="508"/>
      <c r="S2471" s="508"/>
      <c r="T2471" s="276"/>
      <c r="U2471" s="276"/>
      <c r="V2471" s="276"/>
      <c r="W2471" s="283"/>
      <c r="X2471" s="276"/>
      <c r="Y2471" s="276"/>
      <c r="Z2471" s="276"/>
      <c r="AA2471" s="276"/>
      <c r="AB2471" s="276"/>
      <c r="AC2471" s="276"/>
      <c r="AD2471" s="276"/>
    </row>
    <row r="2472" spans="18:30" x14ac:dyDescent="0.25">
      <c r="R2472" s="508"/>
      <c r="S2472" s="508"/>
      <c r="T2472" s="276"/>
      <c r="U2472" s="276"/>
      <c r="V2472" s="276"/>
      <c r="W2472" s="283"/>
      <c r="X2472" s="276"/>
      <c r="Y2472" s="276"/>
      <c r="Z2472" s="276"/>
      <c r="AA2472" s="276"/>
      <c r="AB2472" s="276"/>
      <c r="AC2472" s="276"/>
      <c r="AD2472" s="276"/>
    </row>
    <row r="2473" spans="18:30" x14ac:dyDescent="0.25">
      <c r="R2473" s="508"/>
      <c r="S2473" s="508"/>
      <c r="T2473" s="276"/>
      <c r="U2473" s="276"/>
      <c r="V2473" s="276"/>
      <c r="W2473" s="283"/>
      <c r="X2473" s="276"/>
      <c r="Y2473" s="276"/>
      <c r="Z2473" s="276"/>
      <c r="AA2473" s="276"/>
      <c r="AB2473" s="276"/>
      <c r="AC2473" s="276"/>
      <c r="AD2473" s="276"/>
    </row>
    <row r="2474" spans="18:30" x14ac:dyDescent="0.25">
      <c r="R2474" s="508"/>
      <c r="S2474" s="508"/>
      <c r="T2474" s="276"/>
      <c r="U2474" s="276"/>
      <c r="V2474" s="276"/>
      <c r="W2474" s="283"/>
      <c r="X2474" s="276"/>
      <c r="Y2474" s="276"/>
      <c r="Z2474" s="276"/>
      <c r="AA2474" s="276"/>
      <c r="AB2474" s="276"/>
      <c r="AC2474" s="276"/>
      <c r="AD2474" s="276"/>
    </row>
    <row r="2475" spans="18:30" x14ac:dyDescent="0.25">
      <c r="R2475" s="508"/>
      <c r="S2475" s="508"/>
      <c r="T2475" s="276"/>
      <c r="U2475" s="276"/>
      <c r="V2475" s="276"/>
      <c r="W2475" s="283"/>
      <c r="X2475" s="276"/>
      <c r="Y2475" s="276"/>
      <c r="Z2475" s="276"/>
      <c r="AA2475" s="276"/>
      <c r="AB2475" s="276"/>
      <c r="AC2475" s="276"/>
      <c r="AD2475" s="276"/>
    </row>
    <row r="2476" spans="18:30" x14ac:dyDescent="0.25">
      <c r="R2476" s="508"/>
      <c r="S2476" s="508"/>
      <c r="T2476" s="276"/>
      <c r="U2476" s="276"/>
      <c r="V2476" s="276"/>
      <c r="W2476" s="283"/>
      <c r="X2476" s="276"/>
      <c r="Y2476" s="276"/>
      <c r="Z2476" s="276"/>
      <c r="AA2476" s="276"/>
      <c r="AB2476" s="276"/>
      <c r="AC2476" s="276"/>
      <c r="AD2476" s="276"/>
    </row>
    <row r="2477" spans="18:30" x14ac:dyDescent="0.25">
      <c r="R2477" s="508"/>
      <c r="S2477" s="508"/>
      <c r="T2477" s="276"/>
      <c r="U2477" s="276"/>
      <c r="V2477" s="276"/>
      <c r="W2477" s="283"/>
      <c r="X2477" s="276"/>
      <c r="Y2477" s="276"/>
      <c r="Z2477" s="276"/>
      <c r="AA2477" s="276"/>
      <c r="AB2477" s="276"/>
      <c r="AC2477" s="276"/>
      <c r="AD2477" s="276"/>
    </row>
    <row r="2478" spans="18:30" x14ac:dyDescent="0.25">
      <c r="R2478" s="508"/>
      <c r="S2478" s="508"/>
      <c r="T2478" s="276"/>
      <c r="U2478" s="276"/>
      <c r="V2478" s="276"/>
      <c r="W2478" s="283"/>
      <c r="X2478" s="276"/>
      <c r="Y2478" s="276"/>
      <c r="Z2478" s="276"/>
      <c r="AA2478" s="276"/>
      <c r="AB2478" s="276"/>
      <c r="AC2478" s="276"/>
      <c r="AD2478" s="276"/>
    </row>
    <row r="2479" spans="18:30" x14ac:dyDescent="0.25">
      <c r="R2479" s="508"/>
      <c r="S2479" s="508"/>
      <c r="T2479" s="276"/>
      <c r="U2479" s="276"/>
      <c r="V2479" s="276"/>
      <c r="W2479" s="283"/>
      <c r="X2479" s="276"/>
      <c r="Y2479" s="276"/>
      <c r="Z2479" s="276"/>
      <c r="AA2479" s="276"/>
      <c r="AB2479" s="276"/>
      <c r="AC2479" s="276"/>
      <c r="AD2479" s="276"/>
    </row>
    <row r="2480" spans="18:30" x14ac:dyDescent="0.25">
      <c r="R2480" s="508"/>
      <c r="S2480" s="508"/>
      <c r="T2480" s="276"/>
      <c r="U2480" s="276"/>
      <c r="V2480" s="276"/>
      <c r="W2480" s="283"/>
      <c r="X2480" s="276"/>
      <c r="Y2480" s="276"/>
      <c r="Z2480" s="276"/>
      <c r="AA2480" s="276"/>
      <c r="AB2480" s="276"/>
      <c r="AC2480" s="276"/>
      <c r="AD2480" s="276"/>
    </row>
    <row r="2481" spans="18:30" x14ac:dyDescent="0.25">
      <c r="R2481" s="508"/>
      <c r="S2481" s="508"/>
      <c r="T2481" s="276"/>
      <c r="U2481" s="276"/>
      <c r="V2481" s="276"/>
      <c r="W2481" s="283"/>
      <c r="X2481" s="276"/>
      <c r="Y2481" s="276"/>
      <c r="Z2481" s="276"/>
      <c r="AA2481" s="276"/>
      <c r="AB2481" s="276"/>
      <c r="AC2481" s="276"/>
      <c r="AD2481" s="276"/>
    </row>
    <row r="2482" spans="18:30" x14ac:dyDescent="0.25">
      <c r="R2482" s="508"/>
      <c r="S2482" s="508"/>
      <c r="T2482" s="276"/>
      <c r="U2482" s="276"/>
      <c r="V2482" s="276"/>
      <c r="W2482" s="283"/>
      <c r="X2482" s="276"/>
      <c r="Y2482" s="276"/>
      <c r="Z2482" s="276"/>
      <c r="AA2482" s="276"/>
      <c r="AB2482" s="276"/>
      <c r="AC2482" s="276"/>
      <c r="AD2482" s="276"/>
    </row>
    <row r="2483" spans="18:30" x14ac:dyDescent="0.25">
      <c r="R2483" s="508"/>
      <c r="S2483" s="508"/>
      <c r="T2483" s="276"/>
      <c r="U2483" s="276"/>
      <c r="V2483" s="276"/>
      <c r="W2483" s="283"/>
      <c r="X2483" s="276"/>
      <c r="Y2483" s="276"/>
      <c r="Z2483" s="276"/>
      <c r="AA2483" s="276"/>
      <c r="AB2483" s="276"/>
      <c r="AC2483" s="276"/>
      <c r="AD2483" s="276"/>
    </row>
    <row r="2484" spans="18:30" x14ac:dyDescent="0.25">
      <c r="R2484" s="508"/>
      <c r="S2484" s="508"/>
      <c r="T2484" s="276"/>
      <c r="U2484" s="276"/>
      <c r="V2484" s="276"/>
      <c r="W2484" s="283"/>
      <c r="X2484" s="276"/>
      <c r="Y2484" s="276"/>
      <c r="Z2484" s="276"/>
      <c r="AA2484" s="276"/>
      <c r="AB2484" s="276"/>
      <c r="AC2484" s="276"/>
      <c r="AD2484" s="276"/>
    </row>
    <row r="2485" spans="18:30" x14ac:dyDescent="0.25">
      <c r="R2485" s="508"/>
      <c r="S2485" s="508"/>
      <c r="T2485" s="276"/>
      <c r="U2485" s="276"/>
      <c r="V2485" s="276"/>
      <c r="W2485" s="283"/>
      <c r="X2485" s="276"/>
      <c r="Y2485" s="276"/>
      <c r="Z2485" s="276"/>
      <c r="AA2485" s="276"/>
      <c r="AB2485" s="276"/>
      <c r="AC2485" s="276"/>
      <c r="AD2485" s="276"/>
    </row>
    <row r="2486" spans="18:30" x14ac:dyDescent="0.25">
      <c r="R2486" s="508"/>
      <c r="S2486" s="508"/>
      <c r="T2486" s="276"/>
      <c r="U2486" s="276"/>
      <c r="V2486" s="276"/>
      <c r="W2486" s="283"/>
      <c r="X2486" s="276"/>
      <c r="Y2486" s="276"/>
      <c r="Z2486" s="276"/>
      <c r="AA2486" s="276"/>
      <c r="AB2486" s="276"/>
      <c r="AC2486" s="276"/>
      <c r="AD2486" s="276"/>
    </row>
    <row r="2487" spans="18:30" x14ac:dyDescent="0.25">
      <c r="R2487" s="508"/>
      <c r="S2487" s="508"/>
      <c r="T2487" s="276"/>
      <c r="U2487" s="276"/>
      <c r="V2487" s="276"/>
      <c r="W2487" s="283"/>
      <c r="X2487" s="276"/>
      <c r="Y2487" s="276"/>
      <c r="Z2487" s="276"/>
      <c r="AA2487" s="276"/>
      <c r="AB2487" s="276"/>
      <c r="AC2487" s="276"/>
      <c r="AD2487" s="276"/>
    </row>
    <row r="2488" spans="18:30" x14ac:dyDescent="0.25">
      <c r="R2488" s="508"/>
      <c r="S2488" s="508"/>
      <c r="T2488" s="276"/>
      <c r="U2488" s="276"/>
      <c r="V2488" s="276"/>
      <c r="W2488" s="283"/>
      <c r="X2488" s="276"/>
      <c r="Y2488" s="276"/>
      <c r="Z2488" s="276"/>
      <c r="AA2488" s="276"/>
      <c r="AB2488" s="276"/>
      <c r="AC2488" s="276"/>
      <c r="AD2488" s="276"/>
    </row>
    <row r="2489" spans="18:30" x14ac:dyDescent="0.25">
      <c r="R2489" s="508"/>
      <c r="S2489" s="508"/>
      <c r="T2489" s="276"/>
      <c r="U2489" s="276"/>
      <c r="V2489" s="276"/>
      <c r="W2489" s="283"/>
      <c r="X2489" s="276"/>
      <c r="Y2489" s="276"/>
      <c r="Z2489" s="276"/>
      <c r="AA2489" s="276"/>
      <c r="AB2489" s="276"/>
      <c r="AC2489" s="276"/>
      <c r="AD2489" s="276"/>
    </row>
    <row r="2490" spans="18:30" x14ac:dyDescent="0.25">
      <c r="R2490" s="508"/>
      <c r="S2490" s="508"/>
      <c r="T2490" s="276"/>
      <c r="U2490" s="276"/>
      <c r="V2490" s="276"/>
      <c r="W2490" s="283"/>
      <c r="X2490" s="276"/>
      <c r="Y2490" s="276"/>
      <c r="Z2490" s="276"/>
      <c r="AA2490" s="276"/>
      <c r="AB2490" s="276"/>
      <c r="AC2490" s="276"/>
      <c r="AD2490" s="276"/>
    </row>
    <row r="2491" spans="18:30" x14ac:dyDescent="0.25">
      <c r="R2491" s="508"/>
      <c r="S2491" s="508"/>
      <c r="T2491" s="276"/>
      <c r="U2491" s="276"/>
      <c r="V2491" s="276"/>
      <c r="W2491" s="283"/>
      <c r="X2491" s="276"/>
      <c r="Y2491" s="276"/>
      <c r="Z2491" s="276"/>
      <c r="AA2491" s="276"/>
      <c r="AB2491" s="276"/>
      <c r="AC2491" s="276"/>
      <c r="AD2491" s="276"/>
    </row>
    <row r="2492" spans="18:30" x14ac:dyDescent="0.25">
      <c r="R2492" s="508"/>
      <c r="S2492" s="508"/>
      <c r="T2492" s="276"/>
      <c r="U2492" s="276"/>
      <c r="V2492" s="276"/>
      <c r="W2492" s="283"/>
      <c r="X2492" s="276"/>
      <c r="Y2492" s="276"/>
      <c r="Z2492" s="276"/>
      <c r="AA2492" s="276"/>
      <c r="AB2492" s="276"/>
      <c r="AC2492" s="276"/>
      <c r="AD2492" s="276"/>
    </row>
    <row r="2493" spans="18:30" x14ac:dyDescent="0.25">
      <c r="R2493" s="508"/>
      <c r="S2493" s="508"/>
      <c r="T2493" s="276"/>
      <c r="U2493" s="276"/>
      <c r="V2493" s="276"/>
      <c r="W2493" s="283"/>
      <c r="X2493" s="276"/>
      <c r="Y2493" s="276"/>
      <c r="Z2493" s="276"/>
      <c r="AA2493" s="276"/>
      <c r="AB2493" s="276"/>
      <c r="AC2493" s="276"/>
      <c r="AD2493" s="276"/>
    </row>
    <row r="2494" spans="18:30" x14ac:dyDescent="0.25">
      <c r="R2494" s="508"/>
      <c r="S2494" s="508"/>
      <c r="T2494" s="276"/>
      <c r="U2494" s="276"/>
      <c r="V2494" s="276"/>
      <c r="W2494" s="283"/>
      <c r="X2494" s="276"/>
      <c r="Y2494" s="276"/>
      <c r="Z2494" s="276"/>
      <c r="AA2494" s="276"/>
      <c r="AB2494" s="276"/>
      <c r="AC2494" s="276"/>
      <c r="AD2494" s="276"/>
    </row>
    <row r="2495" spans="18:30" x14ac:dyDescent="0.25">
      <c r="R2495" s="508"/>
      <c r="S2495" s="508"/>
      <c r="T2495" s="276"/>
      <c r="U2495" s="276"/>
      <c r="V2495" s="276"/>
      <c r="W2495" s="283"/>
      <c r="X2495" s="276"/>
      <c r="Y2495" s="276"/>
      <c r="Z2495" s="276"/>
      <c r="AA2495" s="276"/>
      <c r="AB2495" s="276"/>
      <c r="AC2495" s="276"/>
      <c r="AD2495" s="276"/>
    </row>
    <row r="2496" spans="18:30" x14ac:dyDescent="0.25">
      <c r="R2496" s="508"/>
      <c r="S2496" s="508"/>
      <c r="T2496" s="276"/>
      <c r="U2496" s="276"/>
      <c r="V2496" s="276"/>
      <c r="W2496" s="283"/>
      <c r="X2496" s="276"/>
      <c r="Y2496" s="276"/>
      <c r="Z2496" s="276"/>
      <c r="AA2496" s="276"/>
      <c r="AB2496" s="276"/>
      <c r="AC2496" s="276"/>
      <c r="AD2496" s="276"/>
    </row>
    <row r="2497" spans="18:30" x14ac:dyDescent="0.25">
      <c r="R2497" s="508"/>
      <c r="S2497" s="508"/>
      <c r="T2497" s="276"/>
      <c r="U2497" s="276"/>
      <c r="V2497" s="276"/>
      <c r="W2497" s="283"/>
      <c r="X2497" s="276"/>
      <c r="Y2497" s="276"/>
      <c r="Z2497" s="276"/>
      <c r="AA2497" s="276"/>
      <c r="AB2497" s="276"/>
      <c r="AC2497" s="276"/>
      <c r="AD2497" s="276"/>
    </row>
    <row r="2498" spans="18:30" x14ac:dyDescent="0.25">
      <c r="R2498" s="508"/>
      <c r="S2498" s="508"/>
      <c r="T2498" s="276"/>
      <c r="U2498" s="276"/>
      <c r="V2498" s="276"/>
      <c r="W2498" s="283"/>
      <c r="X2498" s="276"/>
      <c r="Y2498" s="276"/>
      <c r="Z2498" s="276"/>
      <c r="AA2498" s="276"/>
      <c r="AB2498" s="276"/>
      <c r="AC2498" s="276"/>
      <c r="AD2498" s="276"/>
    </row>
    <row r="2499" spans="18:30" x14ac:dyDescent="0.25">
      <c r="R2499" s="508"/>
      <c r="S2499" s="508"/>
      <c r="T2499" s="276"/>
      <c r="U2499" s="276"/>
      <c r="V2499" s="276"/>
      <c r="W2499" s="283"/>
      <c r="X2499" s="276"/>
      <c r="Y2499" s="276"/>
      <c r="Z2499" s="276"/>
      <c r="AA2499" s="276"/>
      <c r="AB2499" s="276"/>
      <c r="AC2499" s="276"/>
      <c r="AD2499" s="276"/>
    </row>
    <row r="2500" spans="18:30" x14ac:dyDescent="0.25">
      <c r="R2500" s="508"/>
      <c r="S2500" s="508"/>
      <c r="T2500" s="276"/>
      <c r="U2500" s="276"/>
      <c r="V2500" s="276"/>
      <c r="W2500" s="283"/>
      <c r="X2500" s="276"/>
      <c r="Y2500" s="276"/>
      <c r="Z2500" s="276"/>
      <c r="AA2500" s="276"/>
      <c r="AB2500" s="276"/>
      <c r="AC2500" s="276"/>
      <c r="AD2500" s="276"/>
    </row>
    <row r="2501" spans="18:30" x14ac:dyDescent="0.25">
      <c r="R2501" s="508"/>
      <c r="S2501" s="508"/>
      <c r="T2501" s="276"/>
      <c r="U2501" s="276"/>
      <c r="V2501" s="276"/>
      <c r="W2501" s="283"/>
      <c r="X2501" s="276"/>
      <c r="Y2501" s="276"/>
      <c r="Z2501" s="276"/>
      <c r="AA2501" s="276"/>
      <c r="AB2501" s="276"/>
      <c r="AC2501" s="276"/>
      <c r="AD2501" s="276"/>
    </row>
    <row r="2502" spans="18:30" x14ac:dyDescent="0.25">
      <c r="R2502" s="508"/>
      <c r="S2502" s="508"/>
      <c r="T2502" s="276"/>
      <c r="U2502" s="276"/>
      <c r="V2502" s="276"/>
      <c r="W2502" s="283"/>
      <c r="X2502" s="276"/>
      <c r="Y2502" s="276"/>
      <c r="Z2502" s="276"/>
      <c r="AA2502" s="276"/>
      <c r="AB2502" s="276"/>
      <c r="AC2502" s="276"/>
      <c r="AD2502" s="276"/>
    </row>
    <row r="2503" spans="18:30" x14ac:dyDescent="0.25">
      <c r="R2503" s="508"/>
      <c r="S2503" s="508"/>
      <c r="T2503" s="276"/>
      <c r="U2503" s="276"/>
      <c r="V2503" s="276"/>
      <c r="W2503" s="283"/>
      <c r="X2503" s="276"/>
      <c r="Y2503" s="276"/>
      <c r="Z2503" s="276"/>
      <c r="AA2503" s="276"/>
      <c r="AB2503" s="276"/>
      <c r="AC2503" s="276"/>
      <c r="AD2503" s="276"/>
    </row>
    <row r="2504" spans="18:30" x14ac:dyDescent="0.25">
      <c r="R2504" s="508"/>
      <c r="S2504" s="508"/>
      <c r="T2504" s="276"/>
      <c r="U2504" s="276"/>
      <c r="V2504" s="276"/>
      <c r="W2504" s="283"/>
      <c r="X2504" s="276"/>
      <c r="Y2504" s="276"/>
      <c r="Z2504" s="276"/>
      <c r="AA2504" s="276"/>
      <c r="AB2504" s="276"/>
      <c r="AC2504" s="276"/>
      <c r="AD2504" s="276"/>
    </row>
    <row r="2505" spans="18:30" x14ac:dyDescent="0.25">
      <c r="R2505" s="508"/>
      <c r="S2505" s="508"/>
      <c r="T2505" s="276"/>
      <c r="U2505" s="276"/>
      <c r="V2505" s="276"/>
      <c r="W2505" s="283"/>
      <c r="X2505" s="276"/>
      <c r="Y2505" s="276"/>
      <c r="Z2505" s="276"/>
      <c r="AA2505" s="276"/>
      <c r="AB2505" s="276"/>
      <c r="AC2505" s="276"/>
      <c r="AD2505" s="276"/>
    </row>
    <row r="2506" spans="18:30" x14ac:dyDescent="0.25">
      <c r="R2506" s="508"/>
      <c r="S2506" s="508"/>
      <c r="T2506" s="276"/>
      <c r="U2506" s="276"/>
      <c r="V2506" s="276"/>
      <c r="W2506" s="283"/>
      <c r="X2506" s="276"/>
      <c r="Y2506" s="276"/>
      <c r="Z2506" s="276"/>
      <c r="AA2506" s="276"/>
      <c r="AB2506" s="276"/>
      <c r="AC2506" s="276"/>
      <c r="AD2506" s="276"/>
    </row>
    <row r="2507" spans="18:30" x14ac:dyDescent="0.25">
      <c r="R2507" s="508"/>
      <c r="S2507" s="508"/>
      <c r="T2507" s="276"/>
      <c r="U2507" s="276"/>
      <c r="V2507" s="276"/>
      <c r="W2507" s="283"/>
      <c r="X2507" s="276"/>
      <c r="Y2507" s="276"/>
      <c r="Z2507" s="276"/>
      <c r="AA2507" s="276"/>
      <c r="AB2507" s="276"/>
      <c r="AC2507" s="276"/>
      <c r="AD2507" s="276"/>
    </row>
    <row r="2508" spans="18:30" x14ac:dyDescent="0.25">
      <c r="R2508" s="508"/>
      <c r="S2508" s="508"/>
      <c r="T2508" s="276"/>
      <c r="U2508" s="276"/>
      <c r="V2508" s="276"/>
      <c r="W2508" s="283"/>
      <c r="X2508" s="276"/>
      <c r="Y2508" s="276"/>
      <c r="Z2508" s="276"/>
      <c r="AA2508" s="276"/>
      <c r="AB2508" s="276"/>
      <c r="AC2508" s="276"/>
      <c r="AD2508" s="276"/>
    </row>
    <row r="2509" spans="18:30" x14ac:dyDescent="0.25">
      <c r="R2509" s="508"/>
      <c r="S2509" s="508"/>
      <c r="T2509" s="276"/>
      <c r="U2509" s="276"/>
      <c r="V2509" s="276"/>
      <c r="W2509" s="283"/>
      <c r="X2509" s="276"/>
      <c r="Y2509" s="276"/>
      <c r="Z2509" s="276"/>
      <c r="AA2509" s="276"/>
      <c r="AB2509" s="276"/>
      <c r="AC2509" s="276"/>
      <c r="AD2509" s="276"/>
    </row>
    <row r="2510" spans="18:30" x14ac:dyDescent="0.25">
      <c r="R2510" s="508"/>
      <c r="S2510" s="508"/>
      <c r="T2510" s="276"/>
      <c r="U2510" s="276"/>
      <c r="V2510" s="276"/>
      <c r="W2510" s="283"/>
      <c r="X2510" s="276"/>
      <c r="Y2510" s="276"/>
      <c r="Z2510" s="276"/>
      <c r="AA2510" s="276"/>
      <c r="AB2510" s="276"/>
      <c r="AC2510" s="276"/>
      <c r="AD2510" s="276"/>
    </row>
    <row r="2511" spans="18:30" x14ac:dyDescent="0.25">
      <c r="R2511" s="508"/>
      <c r="S2511" s="508"/>
      <c r="T2511" s="276"/>
      <c r="U2511" s="276"/>
      <c r="V2511" s="276"/>
      <c r="W2511" s="283"/>
      <c r="X2511" s="276"/>
      <c r="Y2511" s="276"/>
      <c r="Z2511" s="276"/>
      <c r="AA2511" s="276"/>
      <c r="AB2511" s="276"/>
      <c r="AC2511" s="276"/>
      <c r="AD2511" s="276"/>
    </row>
    <row r="2512" spans="18:30" x14ac:dyDescent="0.25">
      <c r="R2512" s="508"/>
      <c r="S2512" s="508"/>
      <c r="T2512" s="276"/>
      <c r="U2512" s="276"/>
      <c r="V2512" s="276"/>
      <c r="W2512" s="283"/>
      <c r="X2512" s="276"/>
      <c r="Y2512" s="276"/>
      <c r="Z2512" s="276"/>
      <c r="AA2512" s="276"/>
      <c r="AB2512" s="276"/>
      <c r="AC2512" s="276"/>
      <c r="AD2512" s="276"/>
    </row>
    <row r="2513" spans="18:30" x14ac:dyDescent="0.25">
      <c r="R2513" s="508"/>
      <c r="S2513" s="508"/>
      <c r="T2513" s="276"/>
      <c r="U2513" s="276"/>
      <c r="V2513" s="276"/>
      <c r="W2513" s="283"/>
      <c r="X2513" s="276"/>
      <c r="Y2513" s="276"/>
      <c r="Z2513" s="276"/>
      <c r="AA2513" s="276"/>
      <c r="AB2513" s="276"/>
      <c r="AC2513" s="276"/>
      <c r="AD2513" s="276"/>
    </row>
    <row r="2514" spans="18:30" x14ac:dyDescent="0.25">
      <c r="R2514" s="508"/>
      <c r="S2514" s="508"/>
      <c r="T2514" s="276"/>
      <c r="U2514" s="276"/>
      <c r="V2514" s="276"/>
      <c r="W2514" s="283"/>
      <c r="X2514" s="276"/>
      <c r="Y2514" s="276"/>
      <c r="Z2514" s="276"/>
      <c r="AA2514" s="276"/>
      <c r="AB2514" s="276"/>
      <c r="AC2514" s="276"/>
      <c r="AD2514" s="276"/>
    </row>
    <row r="2515" spans="18:30" x14ac:dyDescent="0.25">
      <c r="R2515" s="508"/>
      <c r="S2515" s="508"/>
      <c r="T2515" s="276"/>
      <c r="U2515" s="276"/>
      <c r="V2515" s="276"/>
      <c r="W2515" s="283"/>
      <c r="X2515" s="276"/>
      <c r="Y2515" s="276"/>
      <c r="Z2515" s="276"/>
      <c r="AA2515" s="276"/>
      <c r="AB2515" s="276"/>
      <c r="AC2515" s="276"/>
      <c r="AD2515" s="276"/>
    </row>
    <row r="2516" spans="18:30" x14ac:dyDescent="0.25">
      <c r="R2516" s="508"/>
      <c r="S2516" s="508"/>
      <c r="T2516" s="276"/>
      <c r="U2516" s="276"/>
      <c r="V2516" s="276"/>
      <c r="W2516" s="283"/>
      <c r="X2516" s="276"/>
      <c r="Y2516" s="276"/>
      <c r="Z2516" s="276"/>
      <c r="AA2516" s="276"/>
      <c r="AB2516" s="276"/>
      <c r="AC2516" s="276"/>
      <c r="AD2516" s="276"/>
    </row>
    <row r="2517" spans="18:30" x14ac:dyDescent="0.25">
      <c r="R2517" s="508"/>
      <c r="S2517" s="508"/>
      <c r="T2517" s="276"/>
      <c r="U2517" s="276"/>
      <c r="V2517" s="276"/>
      <c r="W2517" s="283"/>
      <c r="X2517" s="276"/>
      <c r="Y2517" s="276"/>
      <c r="Z2517" s="276"/>
      <c r="AA2517" s="276"/>
      <c r="AB2517" s="276"/>
      <c r="AC2517" s="276"/>
      <c r="AD2517" s="276"/>
    </row>
    <row r="2518" spans="18:30" x14ac:dyDescent="0.25">
      <c r="R2518" s="508"/>
      <c r="S2518" s="508"/>
      <c r="T2518" s="276"/>
      <c r="U2518" s="276"/>
      <c r="V2518" s="276"/>
      <c r="W2518" s="283"/>
      <c r="X2518" s="276"/>
      <c r="Y2518" s="276"/>
      <c r="Z2518" s="276"/>
      <c r="AA2518" s="276"/>
      <c r="AB2518" s="276"/>
      <c r="AC2518" s="276"/>
      <c r="AD2518" s="276"/>
    </row>
    <row r="2519" spans="18:30" x14ac:dyDescent="0.25">
      <c r="R2519" s="508"/>
      <c r="S2519" s="508"/>
      <c r="T2519" s="276"/>
      <c r="U2519" s="276"/>
      <c r="V2519" s="276"/>
      <c r="W2519" s="283"/>
      <c r="X2519" s="276"/>
      <c r="Y2519" s="276"/>
      <c r="Z2519" s="276"/>
      <c r="AA2519" s="276"/>
      <c r="AB2519" s="276"/>
      <c r="AC2519" s="276"/>
      <c r="AD2519" s="276"/>
    </row>
    <row r="2520" spans="18:30" x14ac:dyDescent="0.25">
      <c r="R2520" s="508"/>
      <c r="S2520" s="508"/>
      <c r="T2520" s="276"/>
      <c r="U2520" s="276"/>
      <c r="V2520" s="276"/>
      <c r="W2520" s="283"/>
      <c r="X2520" s="276"/>
      <c r="Y2520" s="276"/>
      <c r="Z2520" s="276"/>
      <c r="AA2520" s="276"/>
      <c r="AB2520" s="276"/>
      <c r="AC2520" s="276"/>
      <c r="AD2520" s="276"/>
    </row>
    <row r="2521" spans="18:30" x14ac:dyDescent="0.25">
      <c r="R2521" s="508"/>
      <c r="S2521" s="508"/>
      <c r="T2521" s="276"/>
      <c r="U2521" s="276"/>
      <c r="V2521" s="276"/>
      <c r="W2521" s="283"/>
      <c r="X2521" s="276"/>
      <c r="Y2521" s="276"/>
      <c r="Z2521" s="276"/>
      <c r="AA2521" s="276"/>
      <c r="AB2521" s="276"/>
      <c r="AC2521" s="276"/>
      <c r="AD2521" s="276"/>
    </row>
    <row r="2522" spans="18:30" x14ac:dyDescent="0.25">
      <c r="R2522" s="508"/>
      <c r="S2522" s="508"/>
      <c r="T2522" s="276"/>
      <c r="U2522" s="276"/>
      <c r="V2522" s="276"/>
      <c r="W2522" s="283"/>
      <c r="X2522" s="276"/>
      <c r="Y2522" s="276"/>
      <c r="Z2522" s="276"/>
      <c r="AA2522" s="276"/>
      <c r="AB2522" s="276"/>
      <c r="AC2522" s="276"/>
      <c r="AD2522" s="276"/>
    </row>
    <row r="2523" spans="18:30" x14ac:dyDescent="0.25">
      <c r="R2523" s="508"/>
      <c r="S2523" s="508"/>
      <c r="T2523" s="276"/>
      <c r="U2523" s="276"/>
      <c r="V2523" s="276"/>
      <c r="W2523" s="283"/>
      <c r="X2523" s="276"/>
      <c r="Y2523" s="276"/>
      <c r="Z2523" s="276"/>
      <c r="AA2523" s="276"/>
      <c r="AB2523" s="276"/>
      <c r="AC2523" s="276"/>
      <c r="AD2523" s="276"/>
    </row>
    <row r="2524" spans="18:30" x14ac:dyDescent="0.25">
      <c r="R2524" s="508"/>
      <c r="S2524" s="508"/>
      <c r="T2524" s="276"/>
      <c r="U2524" s="276"/>
      <c r="V2524" s="276"/>
      <c r="W2524" s="283"/>
      <c r="X2524" s="276"/>
      <c r="Y2524" s="276"/>
      <c r="Z2524" s="276"/>
      <c r="AA2524" s="276"/>
      <c r="AB2524" s="276"/>
      <c r="AC2524" s="276"/>
      <c r="AD2524" s="276"/>
    </row>
    <row r="2525" spans="18:30" x14ac:dyDescent="0.25">
      <c r="R2525" s="508"/>
      <c r="S2525" s="508"/>
      <c r="T2525" s="276"/>
      <c r="U2525" s="276"/>
      <c r="V2525" s="276"/>
      <c r="W2525" s="283"/>
      <c r="X2525" s="276"/>
      <c r="Y2525" s="276"/>
      <c r="Z2525" s="276"/>
      <c r="AA2525" s="276"/>
      <c r="AB2525" s="276"/>
      <c r="AC2525" s="276"/>
      <c r="AD2525" s="276"/>
    </row>
    <row r="2526" spans="18:30" x14ac:dyDescent="0.25">
      <c r="R2526" s="508"/>
      <c r="S2526" s="508"/>
      <c r="T2526" s="276"/>
      <c r="U2526" s="276"/>
      <c r="V2526" s="276"/>
      <c r="W2526" s="283"/>
      <c r="X2526" s="276"/>
      <c r="Y2526" s="276"/>
      <c r="Z2526" s="276"/>
      <c r="AA2526" s="276"/>
      <c r="AB2526" s="276"/>
      <c r="AC2526" s="276"/>
      <c r="AD2526" s="276"/>
    </row>
    <row r="2527" spans="18:30" x14ac:dyDescent="0.25">
      <c r="R2527" s="508"/>
      <c r="S2527" s="508"/>
      <c r="T2527" s="276"/>
      <c r="U2527" s="276"/>
      <c r="V2527" s="276"/>
      <c r="W2527" s="283"/>
      <c r="X2527" s="276"/>
      <c r="Y2527" s="276"/>
      <c r="Z2527" s="276"/>
      <c r="AA2527" s="276"/>
      <c r="AB2527" s="276"/>
      <c r="AC2527" s="276"/>
      <c r="AD2527" s="276"/>
    </row>
    <row r="2528" spans="18:30" x14ac:dyDescent="0.25">
      <c r="R2528" s="508"/>
      <c r="S2528" s="508"/>
      <c r="T2528" s="276"/>
      <c r="U2528" s="276"/>
      <c r="V2528" s="276"/>
      <c r="W2528" s="283"/>
      <c r="X2528" s="276"/>
      <c r="Y2528" s="276"/>
      <c r="Z2528" s="276"/>
      <c r="AA2528" s="276"/>
      <c r="AB2528" s="276"/>
      <c r="AC2528" s="276"/>
      <c r="AD2528" s="276"/>
    </row>
    <row r="2529" spans="18:30" x14ac:dyDescent="0.25">
      <c r="R2529" s="508"/>
      <c r="S2529" s="508"/>
      <c r="T2529" s="276"/>
      <c r="U2529" s="276"/>
      <c r="V2529" s="276"/>
      <c r="W2529" s="283"/>
      <c r="X2529" s="276"/>
      <c r="Y2529" s="276"/>
      <c r="Z2529" s="276"/>
      <c r="AA2529" s="276"/>
      <c r="AB2529" s="276"/>
      <c r="AC2529" s="276"/>
      <c r="AD2529" s="276"/>
    </row>
    <row r="2530" spans="18:30" x14ac:dyDescent="0.25">
      <c r="R2530" s="508"/>
      <c r="S2530" s="508"/>
      <c r="T2530" s="276"/>
      <c r="U2530" s="276"/>
      <c r="V2530" s="276"/>
      <c r="W2530" s="283"/>
      <c r="X2530" s="276"/>
      <c r="Y2530" s="276"/>
      <c r="Z2530" s="276"/>
      <c r="AA2530" s="276"/>
      <c r="AB2530" s="276"/>
      <c r="AC2530" s="276"/>
      <c r="AD2530" s="276"/>
    </row>
    <row r="2531" spans="18:30" x14ac:dyDescent="0.25">
      <c r="R2531" s="508"/>
      <c r="S2531" s="508"/>
      <c r="T2531" s="276"/>
      <c r="U2531" s="276"/>
      <c r="V2531" s="276"/>
      <c r="W2531" s="283"/>
      <c r="X2531" s="276"/>
      <c r="Y2531" s="276"/>
      <c r="Z2531" s="276"/>
      <c r="AA2531" s="276"/>
      <c r="AB2531" s="276"/>
      <c r="AC2531" s="276"/>
      <c r="AD2531" s="276"/>
    </row>
    <row r="2532" spans="18:30" x14ac:dyDescent="0.25">
      <c r="R2532" s="508"/>
      <c r="S2532" s="508"/>
      <c r="T2532" s="276"/>
      <c r="U2532" s="276"/>
      <c r="V2532" s="276"/>
      <c r="W2532" s="283"/>
      <c r="X2532" s="276"/>
      <c r="Y2532" s="276"/>
      <c r="Z2532" s="276"/>
      <c r="AA2532" s="276"/>
      <c r="AB2532" s="276"/>
      <c r="AC2532" s="276"/>
      <c r="AD2532" s="276"/>
    </row>
    <row r="2533" spans="18:30" x14ac:dyDescent="0.25">
      <c r="R2533" s="508"/>
      <c r="S2533" s="508"/>
      <c r="T2533" s="276"/>
      <c r="U2533" s="276"/>
      <c r="V2533" s="276"/>
      <c r="W2533" s="283"/>
      <c r="X2533" s="276"/>
      <c r="Y2533" s="276"/>
      <c r="Z2533" s="276"/>
      <c r="AA2533" s="276"/>
      <c r="AB2533" s="276"/>
      <c r="AC2533" s="276"/>
      <c r="AD2533" s="276"/>
    </row>
    <row r="2534" spans="18:30" x14ac:dyDescent="0.25">
      <c r="R2534" s="508"/>
      <c r="S2534" s="508"/>
      <c r="T2534" s="276"/>
      <c r="U2534" s="276"/>
      <c r="V2534" s="276"/>
      <c r="W2534" s="283"/>
      <c r="X2534" s="276"/>
      <c r="Y2534" s="276"/>
      <c r="Z2534" s="276"/>
      <c r="AA2534" s="276"/>
      <c r="AB2534" s="276"/>
      <c r="AC2534" s="276"/>
      <c r="AD2534" s="276"/>
    </row>
    <row r="2535" spans="18:30" x14ac:dyDescent="0.25">
      <c r="R2535" s="508"/>
      <c r="S2535" s="508"/>
      <c r="T2535" s="276"/>
      <c r="U2535" s="276"/>
      <c r="V2535" s="276"/>
      <c r="W2535" s="283"/>
      <c r="X2535" s="276"/>
      <c r="Y2535" s="276"/>
      <c r="Z2535" s="276"/>
      <c r="AA2535" s="276"/>
      <c r="AB2535" s="276"/>
      <c r="AC2535" s="276"/>
      <c r="AD2535" s="276"/>
    </row>
    <row r="2536" spans="18:30" x14ac:dyDescent="0.25">
      <c r="R2536" s="508"/>
      <c r="S2536" s="508"/>
      <c r="T2536" s="276"/>
      <c r="U2536" s="276"/>
      <c r="V2536" s="276"/>
      <c r="W2536" s="283"/>
      <c r="X2536" s="276"/>
      <c r="Y2536" s="276"/>
      <c r="Z2536" s="276"/>
      <c r="AA2536" s="276"/>
      <c r="AB2536" s="276"/>
      <c r="AC2536" s="276"/>
      <c r="AD2536" s="276"/>
    </row>
    <row r="2537" spans="18:30" x14ac:dyDescent="0.25">
      <c r="R2537" s="508"/>
      <c r="S2537" s="508"/>
      <c r="T2537" s="276"/>
      <c r="U2537" s="276"/>
      <c r="V2537" s="276"/>
      <c r="W2537" s="283"/>
      <c r="X2537" s="276"/>
      <c r="Y2537" s="276"/>
      <c r="Z2537" s="276"/>
      <c r="AA2537" s="276"/>
      <c r="AB2537" s="276"/>
      <c r="AC2537" s="276"/>
      <c r="AD2537" s="276"/>
    </row>
    <row r="2538" spans="18:30" x14ac:dyDescent="0.25">
      <c r="R2538" s="508"/>
      <c r="S2538" s="508"/>
      <c r="T2538" s="276"/>
      <c r="U2538" s="276"/>
      <c r="V2538" s="276"/>
      <c r="W2538" s="283"/>
      <c r="X2538" s="276"/>
      <c r="Y2538" s="276"/>
      <c r="Z2538" s="276"/>
      <c r="AA2538" s="276"/>
      <c r="AB2538" s="276"/>
      <c r="AC2538" s="276"/>
      <c r="AD2538" s="276"/>
    </row>
    <row r="2539" spans="18:30" x14ac:dyDescent="0.25">
      <c r="R2539" s="508"/>
      <c r="S2539" s="508"/>
      <c r="T2539" s="276"/>
      <c r="U2539" s="276"/>
      <c r="V2539" s="276"/>
      <c r="W2539" s="283"/>
      <c r="X2539" s="276"/>
      <c r="Y2539" s="276"/>
      <c r="Z2539" s="276"/>
      <c r="AA2539" s="276"/>
      <c r="AB2539" s="276"/>
      <c r="AC2539" s="276"/>
      <c r="AD2539" s="276"/>
    </row>
    <row r="2540" spans="18:30" x14ac:dyDescent="0.25">
      <c r="R2540" s="508"/>
      <c r="S2540" s="508"/>
      <c r="T2540" s="276"/>
      <c r="U2540" s="276"/>
      <c r="V2540" s="276"/>
      <c r="W2540" s="283"/>
      <c r="X2540" s="276"/>
      <c r="Y2540" s="276"/>
      <c r="Z2540" s="276"/>
      <c r="AA2540" s="276"/>
      <c r="AB2540" s="276"/>
      <c r="AC2540" s="276"/>
      <c r="AD2540" s="276"/>
    </row>
    <row r="2541" spans="18:30" x14ac:dyDescent="0.25">
      <c r="R2541" s="508"/>
      <c r="S2541" s="508"/>
      <c r="T2541" s="276"/>
      <c r="U2541" s="276"/>
      <c r="V2541" s="276"/>
      <c r="W2541" s="283"/>
      <c r="X2541" s="276"/>
      <c r="Y2541" s="276"/>
      <c r="Z2541" s="276"/>
      <c r="AA2541" s="276"/>
      <c r="AB2541" s="276"/>
      <c r="AC2541" s="276"/>
      <c r="AD2541" s="276"/>
    </row>
    <row r="2542" spans="18:30" x14ac:dyDescent="0.25">
      <c r="R2542" s="508"/>
      <c r="S2542" s="508"/>
      <c r="T2542" s="276"/>
      <c r="U2542" s="276"/>
      <c r="V2542" s="276"/>
      <c r="W2542" s="283"/>
      <c r="X2542" s="276"/>
      <c r="Y2542" s="276"/>
      <c r="Z2542" s="276"/>
      <c r="AA2542" s="276"/>
      <c r="AB2542" s="276"/>
      <c r="AC2542" s="276"/>
      <c r="AD2542" s="276"/>
    </row>
    <row r="2543" spans="18:30" x14ac:dyDescent="0.25">
      <c r="R2543" s="508"/>
      <c r="S2543" s="508"/>
      <c r="T2543" s="276"/>
      <c r="U2543" s="276"/>
      <c r="V2543" s="276"/>
      <c r="W2543" s="283"/>
      <c r="X2543" s="276"/>
      <c r="Y2543" s="276"/>
      <c r="Z2543" s="276"/>
      <c r="AA2543" s="276"/>
      <c r="AB2543" s="276"/>
      <c r="AC2543" s="276"/>
      <c r="AD2543" s="276"/>
    </row>
    <row r="2544" spans="18:30" x14ac:dyDescent="0.25">
      <c r="R2544" s="508"/>
      <c r="S2544" s="508"/>
      <c r="T2544" s="276"/>
      <c r="U2544" s="276"/>
      <c r="V2544" s="276"/>
      <c r="W2544" s="283"/>
      <c r="X2544" s="276"/>
      <c r="Y2544" s="276"/>
      <c r="Z2544" s="276"/>
      <c r="AA2544" s="276"/>
      <c r="AB2544" s="276"/>
      <c r="AC2544" s="276"/>
      <c r="AD2544" s="276"/>
    </row>
    <row r="2545" spans="18:30" x14ac:dyDescent="0.25">
      <c r="R2545" s="508"/>
      <c r="S2545" s="508"/>
      <c r="T2545" s="276"/>
      <c r="U2545" s="276"/>
      <c r="V2545" s="276"/>
      <c r="W2545" s="283"/>
      <c r="X2545" s="276"/>
      <c r="Y2545" s="276"/>
      <c r="Z2545" s="276"/>
      <c r="AA2545" s="276"/>
      <c r="AB2545" s="276"/>
      <c r="AC2545" s="276"/>
      <c r="AD2545" s="276"/>
    </row>
    <row r="2546" spans="18:30" x14ac:dyDescent="0.25">
      <c r="R2546" s="508"/>
      <c r="S2546" s="508"/>
      <c r="T2546" s="276"/>
      <c r="U2546" s="276"/>
      <c r="V2546" s="276"/>
      <c r="W2546" s="283"/>
      <c r="X2546" s="276"/>
      <c r="Y2546" s="276"/>
      <c r="Z2546" s="276"/>
      <c r="AA2546" s="276"/>
      <c r="AB2546" s="276"/>
      <c r="AC2546" s="276"/>
      <c r="AD2546" s="276"/>
    </row>
    <row r="2547" spans="18:30" x14ac:dyDescent="0.25">
      <c r="R2547" s="508"/>
      <c r="S2547" s="508"/>
      <c r="T2547" s="276"/>
      <c r="U2547" s="276"/>
      <c r="V2547" s="276"/>
      <c r="W2547" s="283"/>
      <c r="X2547" s="276"/>
      <c r="Y2547" s="276"/>
      <c r="Z2547" s="276"/>
      <c r="AA2547" s="276"/>
      <c r="AB2547" s="276"/>
      <c r="AC2547" s="276"/>
      <c r="AD2547" s="276"/>
    </row>
    <row r="2548" spans="18:30" x14ac:dyDescent="0.25">
      <c r="R2548" s="508"/>
      <c r="S2548" s="508"/>
      <c r="T2548" s="276"/>
      <c r="U2548" s="276"/>
      <c r="V2548" s="276"/>
      <c r="W2548" s="283"/>
      <c r="X2548" s="276"/>
      <c r="Y2548" s="276"/>
      <c r="Z2548" s="276"/>
      <c r="AA2548" s="276"/>
      <c r="AB2548" s="276"/>
      <c r="AC2548" s="276"/>
      <c r="AD2548" s="276"/>
    </row>
    <row r="2549" spans="18:30" x14ac:dyDescent="0.25">
      <c r="R2549" s="508"/>
      <c r="S2549" s="508"/>
      <c r="T2549" s="276"/>
      <c r="U2549" s="276"/>
      <c r="V2549" s="276"/>
      <c r="W2549" s="283"/>
      <c r="X2549" s="276"/>
      <c r="Y2549" s="276"/>
      <c r="Z2549" s="276"/>
      <c r="AA2549" s="276"/>
      <c r="AB2549" s="276"/>
      <c r="AC2549" s="276"/>
      <c r="AD2549" s="276"/>
    </row>
    <row r="2550" spans="18:30" x14ac:dyDescent="0.25">
      <c r="R2550" s="508"/>
      <c r="S2550" s="508"/>
      <c r="T2550" s="276"/>
      <c r="U2550" s="276"/>
      <c r="V2550" s="276"/>
      <c r="W2550" s="283"/>
      <c r="X2550" s="276"/>
      <c r="Y2550" s="276"/>
      <c r="Z2550" s="276"/>
      <c r="AA2550" s="276"/>
      <c r="AB2550" s="276"/>
      <c r="AC2550" s="276"/>
      <c r="AD2550" s="276"/>
    </row>
    <row r="2551" spans="18:30" x14ac:dyDescent="0.25">
      <c r="R2551" s="508"/>
      <c r="S2551" s="508"/>
      <c r="T2551" s="276"/>
      <c r="U2551" s="276"/>
      <c r="V2551" s="276"/>
      <c r="W2551" s="283"/>
      <c r="X2551" s="276"/>
      <c r="Y2551" s="276"/>
      <c r="Z2551" s="276"/>
      <c r="AA2551" s="276"/>
      <c r="AB2551" s="276"/>
      <c r="AC2551" s="276"/>
      <c r="AD2551" s="276"/>
    </row>
    <row r="2552" spans="18:30" x14ac:dyDescent="0.25">
      <c r="R2552" s="508"/>
      <c r="S2552" s="508"/>
      <c r="T2552" s="276"/>
      <c r="U2552" s="276"/>
      <c r="V2552" s="276"/>
      <c r="W2552" s="283"/>
      <c r="X2552" s="276"/>
      <c r="Y2552" s="276"/>
      <c r="Z2552" s="276"/>
      <c r="AA2552" s="276"/>
      <c r="AB2552" s="276"/>
      <c r="AC2552" s="276"/>
      <c r="AD2552" s="276"/>
    </row>
    <row r="2553" spans="18:30" x14ac:dyDescent="0.25">
      <c r="R2553" s="508"/>
      <c r="S2553" s="508"/>
      <c r="T2553" s="276"/>
      <c r="U2553" s="276"/>
      <c r="V2553" s="276"/>
      <c r="W2553" s="283"/>
      <c r="X2553" s="276"/>
      <c r="Y2553" s="276"/>
      <c r="Z2553" s="276"/>
      <c r="AA2553" s="276"/>
      <c r="AB2553" s="276"/>
      <c r="AC2553" s="276"/>
      <c r="AD2553" s="276"/>
    </row>
    <row r="2554" spans="18:30" x14ac:dyDescent="0.25">
      <c r="R2554" s="508"/>
      <c r="S2554" s="508"/>
      <c r="T2554" s="276"/>
      <c r="U2554" s="276"/>
      <c r="V2554" s="276"/>
      <c r="W2554" s="283"/>
      <c r="X2554" s="276"/>
      <c r="Y2554" s="276"/>
      <c r="Z2554" s="276"/>
      <c r="AA2554" s="276"/>
      <c r="AB2554" s="276"/>
      <c r="AC2554" s="276"/>
      <c r="AD2554" s="276"/>
    </row>
    <row r="2555" spans="18:30" x14ac:dyDescent="0.25">
      <c r="R2555" s="508"/>
      <c r="S2555" s="508"/>
      <c r="T2555" s="276"/>
      <c r="U2555" s="276"/>
      <c r="V2555" s="276"/>
      <c r="W2555" s="283"/>
      <c r="X2555" s="276"/>
      <c r="Y2555" s="276"/>
      <c r="Z2555" s="276"/>
      <c r="AA2555" s="276"/>
      <c r="AB2555" s="276"/>
      <c r="AC2555" s="276"/>
      <c r="AD2555" s="276"/>
    </row>
    <row r="2556" spans="18:30" x14ac:dyDescent="0.25">
      <c r="R2556" s="508"/>
      <c r="S2556" s="508"/>
      <c r="T2556" s="276"/>
      <c r="U2556" s="276"/>
      <c r="V2556" s="276"/>
      <c r="W2556" s="283"/>
      <c r="X2556" s="276"/>
      <c r="Y2556" s="276"/>
      <c r="Z2556" s="276"/>
      <c r="AA2556" s="276"/>
      <c r="AB2556" s="276"/>
      <c r="AC2556" s="276"/>
      <c r="AD2556" s="276"/>
    </row>
    <row r="2557" spans="18:30" x14ac:dyDescent="0.25">
      <c r="R2557" s="508"/>
      <c r="S2557" s="508"/>
      <c r="T2557" s="276"/>
      <c r="U2557" s="276"/>
      <c r="V2557" s="276"/>
      <c r="W2557" s="283"/>
      <c r="X2557" s="276"/>
      <c r="Y2557" s="276"/>
      <c r="Z2557" s="276"/>
      <c r="AA2557" s="276"/>
      <c r="AB2557" s="276"/>
      <c r="AC2557" s="276"/>
      <c r="AD2557" s="276"/>
    </row>
    <row r="2558" spans="18:30" x14ac:dyDescent="0.25">
      <c r="R2558" s="508"/>
      <c r="S2558" s="508"/>
      <c r="T2558" s="276"/>
      <c r="U2558" s="276"/>
      <c r="V2558" s="276"/>
      <c r="W2558" s="283"/>
      <c r="X2558" s="276"/>
      <c r="Y2558" s="276"/>
      <c r="Z2558" s="276"/>
      <c r="AA2558" s="276"/>
      <c r="AB2558" s="276"/>
      <c r="AC2558" s="276"/>
      <c r="AD2558" s="276"/>
    </row>
    <row r="2559" spans="18:30" x14ac:dyDescent="0.25">
      <c r="R2559" s="508"/>
      <c r="S2559" s="508"/>
      <c r="T2559" s="276"/>
      <c r="U2559" s="276"/>
      <c r="V2559" s="276"/>
      <c r="W2559" s="283"/>
      <c r="X2559" s="276"/>
      <c r="Y2559" s="276"/>
      <c r="Z2559" s="276"/>
      <c r="AA2559" s="276"/>
      <c r="AB2559" s="276"/>
      <c r="AC2559" s="276"/>
      <c r="AD2559" s="276"/>
    </row>
    <row r="2560" spans="18:30" x14ac:dyDescent="0.25">
      <c r="R2560" s="508"/>
      <c r="S2560" s="508"/>
      <c r="T2560" s="276"/>
      <c r="U2560" s="276"/>
      <c r="V2560" s="276"/>
      <c r="W2560" s="283"/>
      <c r="X2560" s="276"/>
      <c r="Y2560" s="276"/>
      <c r="Z2560" s="276"/>
      <c r="AA2560" s="276"/>
      <c r="AB2560" s="276"/>
      <c r="AC2560" s="276"/>
      <c r="AD2560" s="276"/>
    </row>
    <row r="2561" spans="18:30" x14ac:dyDescent="0.25">
      <c r="R2561" s="508"/>
      <c r="S2561" s="508"/>
      <c r="T2561" s="276"/>
      <c r="U2561" s="276"/>
      <c r="V2561" s="276"/>
      <c r="W2561" s="283"/>
      <c r="X2561" s="276"/>
      <c r="Y2561" s="276"/>
      <c r="Z2561" s="276"/>
      <c r="AA2561" s="276"/>
      <c r="AB2561" s="276"/>
      <c r="AC2561" s="276"/>
      <c r="AD2561" s="276"/>
    </row>
  </sheetData>
  <autoFilter ref="A8:AY990" xr:uid="{00000000-0009-0000-0000-00000300000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5" showButton="0"/>
    <filterColumn colId="46" showButton="0"/>
    <filterColumn colId="47" showButton="0"/>
    <filterColumn colId="48" showButton="0"/>
    <filterColumn colId="49" showButton="0"/>
  </autoFilter>
  <mergeCells count="3308">
    <mergeCell ref="AV838:AV843"/>
    <mergeCell ref="AW838:AW843"/>
    <mergeCell ref="AX838:AX843"/>
    <mergeCell ref="AY838:AY843"/>
    <mergeCell ref="AL694:AL699"/>
    <mergeCell ref="C694:C699"/>
    <mergeCell ref="AG694:AG699"/>
    <mergeCell ref="AH694:AH699"/>
    <mergeCell ref="AI694:AI699"/>
    <mergeCell ref="AJ694:AJ699"/>
    <mergeCell ref="AK694:AK699"/>
    <mergeCell ref="AS694:AS699"/>
    <mergeCell ref="AT694:AT699"/>
    <mergeCell ref="C838:C843"/>
    <mergeCell ref="AF838:AF843"/>
    <mergeCell ref="AG838:AG843"/>
    <mergeCell ref="AH838:AH843"/>
    <mergeCell ref="AI838:AI843"/>
    <mergeCell ref="AJ838:AJ843"/>
    <mergeCell ref="AK838:AK843"/>
    <mergeCell ref="AL838:AL843"/>
    <mergeCell ref="AM838:AM843"/>
    <mergeCell ref="AN838:AN843"/>
    <mergeCell ref="AO838:AO843"/>
    <mergeCell ref="AP838:AP843"/>
    <mergeCell ref="AQ838:AQ843"/>
    <mergeCell ref="AR838:AR843"/>
    <mergeCell ref="AS838:AS843"/>
    <mergeCell ref="AT838:AT843"/>
    <mergeCell ref="AU838:AU843"/>
    <mergeCell ref="AF712:AF717"/>
    <mergeCell ref="AF760:AF765"/>
    <mergeCell ref="AR622:AR627"/>
    <mergeCell ref="AS622:AS627"/>
    <mergeCell ref="AT622:AT627"/>
    <mergeCell ref="AX310:AX315"/>
    <mergeCell ref="AT184:AT189"/>
    <mergeCell ref="AU184:AU189"/>
    <mergeCell ref="AV184:AV189"/>
    <mergeCell ref="AW184:AW189"/>
    <mergeCell ref="AX184:AX189"/>
    <mergeCell ref="C190:C195"/>
    <mergeCell ref="AG190:AG195"/>
    <mergeCell ref="AH190:AH195"/>
    <mergeCell ref="AX622:AX627"/>
    <mergeCell ref="AF466:AF471"/>
    <mergeCell ref="AG466:AG471"/>
    <mergeCell ref="AH466:AH471"/>
    <mergeCell ref="AI466:AI471"/>
    <mergeCell ref="AJ466:AJ471"/>
    <mergeCell ref="AK466:AK471"/>
    <mergeCell ref="AL466:AL471"/>
    <mergeCell ref="AM466:AM471"/>
    <mergeCell ref="AV328:AV333"/>
    <mergeCell ref="AW328:AW333"/>
    <mergeCell ref="AX328:AX333"/>
    <mergeCell ref="AF184:AF189"/>
    <mergeCell ref="C328:C333"/>
    <mergeCell ref="AF328:AF333"/>
    <mergeCell ref="AG328:AG333"/>
    <mergeCell ref="AH328:AH333"/>
    <mergeCell ref="AI328:AI333"/>
    <mergeCell ref="AJ328:AJ333"/>
    <mergeCell ref="AK328:AK333"/>
    <mergeCell ref="C466:C471"/>
    <mergeCell ref="AX382:AX387"/>
    <mergeCell ref="C388:C393"/>
    <mergeCell ref="AF388:AF393"/>
    <mergeCell ref="AG388:AG393"/>
    <mergeCell ref="AH388:AH393"/>
    <mergeCell ref="AW622:AW627"/>
    <mergeCell ref="C520:C525"/>
    <mergeCell ref="AF520:AF525"/>
    <mergeCell ref="AG520:AG525"/>
    <mergeCell ref="AH520:AH525"/>
    <mergeCell ref="AI520:AI525"/>
    <mergeCell ref="AJ520:AJ525"/>
    <mergeCell ref="AK520:AK525"/>
    <mergeCell ref="AL520:AL525"/>
    <mergeCell ref="AM520:AM525"/>
    <mergeCell ref="AO328:AO333"/>
    <mergeCell ref="AP328:AP333"/>
    <mergeCell ref="AQ328:AQ333"/>
    <mergeCell ref="AR328:AR333"/>
    <mergeCell ref="AS328:AS333"/>
    <mergeCell ref="AT328:AT333"/>
    <mergeCell ref="AU328:AU333"/>
    <mergeCell ref="C622:C627"/>
    <mergeCell ref="AG622:AG627"/>
    <mergeCell ref="AH622:AH627"/>
    <mergeCell ref="AI622:AI627"/>
    <mergeCell ref="AJ622:AJ627"/>
    <mergeCell ref="AK622:AK627"/>
    <mergeCell ref="AL622:AL627"/>
    <mergeCell ref="AM622:AM627"/>
    <mergeCell ref="AN622:AN627"/>
    <mergeCell ref="AR412:AR417"/>
    <mergeCell ref="AS412:AS417"/>
    <mergeCell ref="AT412:AT417"/>
    <mergeCell ref="AU412:AU417"/>
    <mergeCell ref="AU622:AU627"/>
    <mergeCell ref="AV622:AV627"/>
    <mergeCell ref="AV376:AV381"/>
    <mergeCell ref="AW376:AW381"/>
    <mergeCell ref="AX376:AX381"/>
    <mergeCell ref="AF382:AF387"/>
    <mergeCell ref="AG382:AG387"/>
    <mergeCell ref="AJ382:AJ387"/>
    <mergeCell ref="AK382:AK387"/>
    <mergeCell ref="AL382:AL387"/>
    <mergeCell ref="AM382:AM387"/>
    <mergeCell ref="AN382:AN387"/>
    <mergeCell ref="AO382:AO387"/>
    <mergeCell ref="AP382:AP387"/>
    <mergeCell ref="AF376:AF381"/>
    <mergeCell ref="AT466:AT471"/>
    <mergeCell ref="AU466:AU471"/>
    <mergeCell ref="AV466:AV471"/>
    <mergeCell ref="AW466:AW471"/>
    <mergeCell ref="AX466:AX471"/>
    <mergeCell ref="AT520:AT525"/>
    <mergeCell ref="AU520:AU525"/>
    <mergeCell ref="AV520:AV525"/>
    <mergeCell ref="AW520:AW525"/>
    <mergeCell ref="AX520:AX525"/>
    <mergeCell ref="AO622:AO627"/>
    <mergeCell ref="AP622:AP627"/>
    <mergeCell ref="AQ622:AQ627"/>
    <mergeCell ref="AT406:AT411"/>
    <mergeCell ref="AU406:AU411"/>
    <mergeCell ref="AV406:AV411"/>
    <mergeCell ref="AW406:AW411"/>
    <mergeCell ref="C310:C315"/>
    <mergeCell ref="AF310:AF315"/>
    <mergeCell ref="AG310:AG315"/>
    <mergeCell ref="AH310:AH315"/>
    <mergeCell ref="AI310:AI315"/>
    <mergeCell ref="AJ310:AJ315"/>
    <mergeCell ref="AK310:AK315"/>
    <mergeCell ref="AL310:AL315"/>
    <mergeCell ref="AM310:AM315"/>
    <mergeCell ref="AN310:AN315"/>
    <mergeCell ref="AO310:AO315"/>
    <mergeCell ref="AP310:AP315"/>
    <mergeCell ref="AQ310:AQ315"/>
    <mergeCell ref="AR310:AR315"/>
    <mergeCell ref="AS310:AS315"/>
    <mergeCell ref="AT310:AT315"/>
    <mergeCell ref="AU310:AU315"/>
    <mergeCell ref="AV310:AV315"/>
    <mergeCell ref="AW310:AW315"/>
    <mergeCell ref="AV394:AV399"/>
    <mergeCell ref="AW394:AW399"/>
    <mergeCell ref="C376:C381"/>
    <mergeCell ref="AL328:AL333"/>
    <mergeCell ref="AM328:AM333"/>
    <mergeCell ref="AN328:AN333"/>
    <mergeCell ref="AX400:AX405"/>
    <mergeCell ref="AX460:AX465"/>
    <mergeCell ref="AR394:AR399"/>
    <mergeCell ref="AS394:AS399"/>
    <mergeCell ref="AT394:AT399"/>
    <mergeCell ref="AU394:AU399"/>
    <mergeCell ref="AW442:AW447"/>
    <mergeCell ref="AL442:AL447"/>
    <mergeCell ref="AM442:AM447"/>
    <mergeCell ref="AV436:AV441"/>
    <mergeCell ref="AW436:AW441"/>
    <mergeCell ref="AX436:AX441"/>
    <mergeCell ref="AN442:AN447"/>
    <mergeCell ref="AO442:AO447"/>
    <mergeCell ref="AP442:AP447"/>
    <mergeCell ref="AQ442:AQ447"/>
    <mergeCell ref="AR442:AR447"/>
    <mergeCell ref="AM436:AM441"/>
    <mergeCell ref="AM460:AM465"/>
    <mergeCell ref="AN460:AN465"/>
    <mergeCell ref="AO460:AO465"/>
    <mergeCell ref="AP460:AP465"/>
    <mergeCell ref="AQ460:AQ465"/>
    <mergeCell ref="AR460:AR465"/>
    <mergeCell ref="AS460:AS465"/>
    <mergeCell ref="AT460:AT465"/>
    <mergeCell ref="AU460:AU465"/>
    <mergeCell ref="AV460:AV465"/>
    <mergeCell ref="AW460:AW465"/>
    <mergeCell ref="AT436:AT441"/>
    <mergeCell ref="AU436:AU441"/>
    <mergeCell ref="AU424:AU429"/>
    <mergeCell ref="AI388:AI393"/>
    <mergeCell ref="AJ388:AJ393"/>
    <mergeCell ref="AK388:AK393"/>
    <mergeCell ref="AL388:AL393"/>
    <mergeCell ref="AM388:AM393"/>
    <mergeCell ref="AU388:AU393"/>
    <mergeCell ref="AT400:AT405"/>
    <mergeCell ref="AU400:AU405"/>
    <mergeCell ref="AP406:AP411"/>
    <mergeCell ref="AU472:AU477"/>
    <mergeCell ref="AT424:AT429"/>
    <mergeCell ref="AT418:AT423"/>
    <mergeCell ref="AU418:AU423"/>
    <mergeCell ref="AV382:AV387"/>
    <mergeCell ref="AW382:AW387"/>
    <mergeCell ref="AR400:AR405"/>
    <mergeCell ref="AS400:AS405"/>
    <mergeCell ref="AV400:AV405"/>
    <mergeCell ref="AW400:AW405"/>
    <mergeCell ref="AW388:AW393"/>
    <mergeCell ref="AR406:AR411"/>
    <mergeCell ref="AS406:AS411"/>
    <mergeCell ref="AV442:AV447"/>
    <mergeCell ref="AN436:AN441"/>
    <mergeCell ref="AO436:AO441"/>
    <mergeCell ref="AN424:AN429"/>
    <mergeCell ref="AO424:AO429"/>
    <mergeCell ref="AP424:AP429"/>
    <mergeCell ref="AQ424:AQ429"/>
    <mergeCell ref="AV388:AV393"/>
    <mergeCell ref="AN406:AN411"/>
    <mergeCell ref="AL436:AL441"/>
    <mergeCell ref="AN520:AN525"/>
    <mergeCell ref="AO520:AO525"/>
    <mergeCell ref="AP520:AP525"/>
    <mergeCell ref="AQ520:AQ525"/>
    <mergeCell ref="AR520:AR525"/>
    <mergeCell ref="AS520:AS525"/>
    <mergeCell ref="AG376:AG381"/>
    <mergeCell ref="AH376:AH381"/>
    <mergeCell ref="AI376:AI381"/>
    <mergeCell ref="AJ376:AJ381"/>
    <mergeCell ref="AK376:AK381"/>
    <mergeCell ref="AL376:AL381"/>
    <mergeCell ref="AM376:AM381"/>
    <mergeCell ref="AN376:AN381"/>
    <mergeCell ref="AO376:AO381"/>
    <mergeCell ref="AP376:AP381"/>
    <mergeCell ref="AQ376:AQ381"/>
    <mergeCell ref="AR376:AR381"/>
    <mergeCell ref="AS376:AS381"/>
    <mergeCell ref="AK436:AK441"/>
    <mergeCell ref="AR418:AR423"/>
    <mergeCell ref="AS418:AS423"/>
    <mergeCell ref="AH412:AH417"/>
    <mergeCell ref="AI412:AI417"/>
    <mergeCell ref="AJ412:AJ417"/>
    <mergeCell ref="AK412:AK417"/>
    <mergeCell ref="AL412:AL417"/>
    <mergeCell ref="AM412:AM417"/>
    <mergeCell ref="AP412:AP417"/>
    <mergeCell ref="AQ412:AQ417"/>
    <mergeCell ref="AJ490:AJ495"/>
    <mergeCell ref="AK490:AK495"/>
    <mergeCell ref="AF628:AF633"/>
    <mergeCell ref="C568:C573"/>
    <mergeCell ref="AJ568:AJ573"/>
    <mergeCell ref="AK568:AK573"/>
    <mergeCell ref="AL568:AL573"/>
    <mergeCell ref="AM568:AM573"/>
    <mergeCell ref="AN568:AN573"/>
    <mergeCell ref="AO568:AO573"/>
    <mergeCell ref="AP568:AP573"/>
    <mergeCell ref="AQ568:AQ573"/>
    <mergeCell ref="AP490:AP495"/>
    <mergeCell ref="AQ490:AQ495"/>
    <mergeCell ref="C490:C495"/>
    <mergeCell ref="AP526:AP531"/>
    <mergeCell ref="C526:C531"/>
    <mergeCell ref="AF526:AF531"/>
    <mergeCell ref="AG526:AG531"/>
    <mergeCell ref="C544:C549"/>
    <mergeCell ref="AG544:AG549"/>
    <mergeCell ref="AH544:AH549"/>
    <mergeCell ref="AI544:AI549"/>
    <mergeCell ref="AJ544:AJ549"/>
    <mergeCell ref="AK544:AK549"/>
    <mergeCell ref="AL544:AL549"/>
    <mergeCell ref="AF544:AF549"/>
    <mergeCell ref="AH526:AH531"/>
    <mergeCell ref="AI526:AI531"/>
    <mergeCell ref="AJ526:AJ531"/>
    <mergeCell ref="AO490:AO495"/>
    <mergeCell ref="AG490:AG495"/>
    <mergeCell ref="AH490:AH495"/>
    <mergeCell ref="AI490:AI495"/>
    <mergeCell ref="AX568:AX573"/>
    <mergeCell ref="AF28:AF33"/>
    <mergeCell ref="AF106:AF111"/>
    <mergeCell ref="AV334:AV339"/>
    <mergeCell ref="AW334:AW339"/>
    <mergeCell ref="AX334:AX339"/>
    <mergeCell ref="AV412:AV417"/>
    <mergeCell ref="AW412:AW417"/>
    <mergeCell ref="AX412:AX417"/>
    <mergeCell ref="AW346:AW351"/>
    <mergeCell ref="AX346:AX351"/>
    <mergeCell ref="AX28:AX33"/>
    <mergeCell ref="AX34:AX39"/>
    <mergeCell ref="AV46:AV51"/>
    <mergeCell ref="AW46:AW51"/>
    <mergeCell ref="AV40:AV45"/>
    <mergeCell ref="AW40:AW45"/>
    <mergeCell ref="AX394:AX399"/>
    <mergeCell ref="AF550:AF555"/>
    <mergeCell ref="AN388:AN393"/>
    <mergeCell ref="AO388:AO393"/>
    <mergeCell ref="AP388:AP393"/>
    <mergeCell ref="AQ388:AQ393"/>
    <mergeCell ref="AR388:AR393"/>
    <mergeCell ref="AS388:AS393"/>
    <mergeCell ref="AT388:AT393"/>
    <mergeCell ref="AF568:AF573"/>
    <mergeCell ref="AG568:AG573"/>
    <mergeCell ref="AH568:AH573"/>
    <mergeCell ref="AI568:AI573"/>
    <mergeCell ref="AT568:AT573"/>
    <mergeCell ref="AU568:AU573"/>
    <mergeCell ref="C460:C465"/>
    <mergeCell ref="AF460:AF465"/>
    <mergeCell ref="AG460:AG465"/>
    <mergeCell ref="AH460:AH465"/>
    <mergeCell ref="AI460:AI465"/>
    <mergeCell ref="AJ460:AJ465"/>
    <mergeCell ref="AK460:AK465"/>
    <mergeCell ref="AL460:AL465"/>
    <mergeCell ref="AS442:AS447"/>
    <mergeCell ref="AT442:AT447"/>
    <mergeCell ref="AU442:AU447"/>
    <mergeCell ref="AH478:AH483"/>
    <mergeCell ref="AI478:AI483"/>
    <mergeCell ref="AN448:AN453"/>
    <mergeCell ref="AN466:AN471"/>
    <mergeCell ref="AO466:AO471"/>
    <mergeCell ref="AP466:AP471"/>
    <mergeCell ref="AQ466:AQ471"/>
    <mergeCell ref="AR466:AR471"/>
    <mergeCell ref="AS466:AS471"/>
    <mergeCell ref="AP448:AP453"/>
    <mergeCell ref="AQ448:AQ453"/>
    <mergeCell ref="AR448:AR453"/>
    <mergeCell ref="AS448:AS453"/>
    <mergeCell ref="AH448:AH453"/>
    <mergeCell ref="AI448:AI453"/>
    <mergeCell ref="AJ448:AJ453"/>
    <mergeCell ref="AK448:AK453"/>
    <mergeCell ref="AL448:AL453"/>
    <mergeCell ref="AM448:AM453"/>
    <mergeCell ref="C478:C483"/>
    <mergeCell ref="AO448:AO453"/>
    <mergeCell ref="AR436:AR441"/>
    <mergeCell ref="AS436:AS441"/>
    <mergeCell ref="AJ436:AJ441"/>
    <mergeCell ref="AK442:AK447"/>
    <mergeCell ref="AH436:AH441"/>
    <mergeCell ref="AI436:AI441"/>
    <mergeCell ref="AT376:AT381"/>
    <mergeCell ref="AU376:AU381"/>
    <mergeCell ref="AQ382:AQ387"/>
    <mergeCell ref="AR382:AR387"/>
    <mergeCell ref="AS382:AS387"/>
    <mergeCell ref="AT382:AT387"/>
    <mergeCell ref="AU382:AU387"/>
    <mergeCell ref="C334:C339"/>
    <mergeCell ref="AF334:AF339"/>
    <mergeCell ref="AG334:AG339"/>
    <mergeCell ref="AH334:AH339"/>
    <mergeCell ref="AI334:AI339"/>
    <mergeCell ref="AJ334:AJ339"/>
    <mergeCell ref="AK334:AK339"/>
    <mergeCell ref="AL334:AL339"/>
    <mergeCell ref="AM334:AM339"/>
    <mergeCell ref="AN334:AN339"/>
    <mergeCell ref="AO334:AO339"/>
    <mergeCell ref="AP334:AP339"/>
    <mergeCell ref="AQ334:AQ339"/>
    <mergeCell ref="AR334:AR339"/>
    <mergeCell ref="AS334:AS339"/>
    <mergeCell ref="AT334:AT339"/>
    <mergeCell ref="AU334:AU339"/>
    <mergeCell ref="AH382:AH387"/>
    <mergeCell ref="AI382:AI387"/>
    <mergeCell ref="A1:D3"/>
    <mergeCell ref="E1:AY1"/>
    <mergeCell ref="E2:AY2"/>
    <mergeCell ref="E3:AD3"/>
    <mergeCell ref="AE3:AY3"/>
    <mergeCell ref="A4:D4"/>
    <mergeCell ref="E4:AY4"/>
    <mergeCell ref="G8:S8"/>
    <mergeCell ref="T8:AF8"/>
    <mergeCell ref="AG8:AS8"/>
    <mergeCell ref="AT8:AY8"/>
    <mergeCell ref="A10:A153"/>
    <mergeCell ref="B10:B153"/>
    <mergeCell ref="C10:C15"/>
    <mergeCell ref="S10:S15"/>
    <mergeCell ref="AF10:AF15"/>
    <mergeCell ref="AG10:AG15"/>
    <mergeCell ref="A5:D5"/>
    <mergeCell ref="E5:AY5"/>
    <mergeCell ref="A6:D6"/>
    <mergeCell ref="E6:AY6"/>
    <mergeCell ref="A7:AY7"/>
    <mergeCell ref="A8:A9"/>
    <mergeCell ref="B8:B9"/>
    <mergeCell ref="C8:C9"/>
    <mergeCell ref="D8:D9"/>
    <mergeCell ref="E8:E9"/>
    <mergeCell ref="AT10:AT15"/>
    <mergeCell ref="AU10:AU15"/>
    <mergeCell ref="AV10:AV15"/>
    <mergeCell ref="AW10:AW15"/>
    <mergeCell ref="AX10:AX15"/>
    <mergeCell ref="AY10:AY27"/>
    <mergeCell ref="AW16:AW21"/>
    <mergeCell ref="AX16:AX21"/>
    <mergeCell ref="AW22:AW27"/>
    <mergeCell ref="AX22:AX27"/>
    <mergeCell ref="AN10:AN15"/>
    <mergeCell ref="AO10:AO15"/>
    <mergeCell ref="AP10:AP15"/>
    <mergeCell ref="AQ10:AQ15"/>
    <mergeCell ref="AR10:AR15"/>
    <mergeCell ref="AS10:AS15"/>
    <mergeCell ref="AH10:AH15"/>
    <mergeCell ref="AI10:AI15"/>
    <mergeCell ref="AJ10:AJ15"/>
    <mergeCell ref="AK10:AK15"/>
    <mergeCell ref="AL10:AL15"/>
    <mergeCell ref="AM10:AM15"/>
    <mergeCell ref="AV22:AV27"/>
    <mergeCell ref="AK22:AK27"/>
    <mergeCell ref="AL22:AL27"/>
    <mergeCell ref="AM22:AM27"/>
    <mergeCell ref="AN22:AN27"/>
    <mergeCell ref="AO22:AO27"/>
    <mergeCell ref="AP22:AP27"/>
    <mergeCell ref="AQ22:AQ27"/>
    <mergeCell ref="AR22:AR27"/>
    <mergeCell ref="AS22:AS27"/>
    <mergeCell ref="AT22:AT27"/>
    <mergeCell ref="AU22:AU27"/>
    <mergeCell ref="C22:C27"/>
    <mergeCell ref="AF22:AF27"/>
    <mergeCell ref="AG22:AG27"/>
    <mergeCell ref="AH22:AH27"/>
    <mergeCell ref="AI22:AI27"/>
    <mergeCell ref="AJ22:AJ27"/>
    <mergeCell ref="AQ16:AQ21"/>
    <mergeCell ref="AR16:AR21"/>
    <mergeCell ref="AS16:AS21"/>
    <mergeCell ref="AT16:AT21"/>
    <mergeCell ref="AU16:AU21"/>
    <mergeCell ref="AV16:AV21"/>
    <mergeCell ref="AK16:AK21"/>
    <mergeCell ref="AL16:AL21"/>
    <mergeCell ref="AM16:AM21"/>
    <mergeCell ref="AN16:AN21"/>
    <mergeCell ref="AO16:AO21"/>
    <mergeCell ref="AP16:AP21"/>
    <mergeCell ref="C16:C21"/>
    <mergeCell ref="AF16:AF21"/>
    <mergeCell ref="AG16:AG21"/>
    <mergeCell ref="AH16:AH21"/>
    <mergeCell ref="AI16:AI21"/>
    <mergeCell ref="AJ16:AJ21"/>
    <mergeCell ref="C34:C39"/>
    <mergeCell ref="AF34:AF39"/>
    <mergeCell ref="AG34:AG39"/>
    <mergeCell ref="AH34:AH39"/>
    <mergeCell ref="AI34:AI39"/>
    <mergeCell ref="AJ34:AJ39"/>
    <mergeCell ref="AK34:AK39"/>
    <mergeCell ref="AL34:AL39"/>
    <mergeCell ref="AM34:AM39"/>
    <mergeCell ref="AR28:AR33"/>
    <mergeCell ref="AS28:AS33"/>
    <mergeCell ref="AT28:AT33"/>
    <mergeCell ref="AU28:AU33"/>
    <mergeCell ref="AV28:AV33"/>
    <mergeCell ref="AW28:AW33"/>
    <mergeCell ref="AL28:AL33"/>
    <mergeCell ref="AM28:AM33"/>
    <mergeCell ref="AN28:AN33"/>
    <mergeCell ref="AO28:AO33"/>
    <mergeCell ref="AP28:AP33"/>
    <mergeCell ref="AQ28:AQ33"/>
    <mergeCell ref="C28:C33"/>
    <mergeCell ref="AG28:AG33"/>
    <mergeCell ref="AH28:AH33"/>
    <mergeCell ref="AI28:AI33"/>
    <mergeCell ref="AJ28:AJ33"/>
    <mergeCell ref="AK28:AK33"/>
    <mergeCell ref="AT34:AT39"/>
    <mergeCell ref="AU34:AU39"/>
    <mergeCell ref="AV34:AV39"/>
    <mergeCell ref="AW34:AW39"/>
    <mergeCell ref="AN34:AN39"/>
    <mergeCell ref="AO34:AO39"/>
    <mergeCell ref="AP34:AP39"/>
    <mergeCell ref="AQ34:AQ39"/>
    <mergeCell ref="AR34:AR39"/>
    <mergeCell ref="AS34:AS39"/>
    <mergeCell ref="AN40:AN45"/>
    <mergeCell ref="AO40:AO45"/>
    <mergeCell ref="AR46:AR51"/>
    <mergeCell ref="AS46:AS51"/>
    <mergeCell ref="AT46:AT51"/>
    <mergeCell ref="AU46:AU51"/>
    <mergeCell ref="AL46:AL51"/>
    <mergeCell ref="AM46:AM51"/>
    <mergeCell ref="AN46:AN51"/>
    <mergeCell ref="AO46:AO51"/>
    <mergeCell ref="AP46:AP51"/>
    <mergeCell ref="AQ46:AQ51"/>
    <mergeCell ref="AX40:AX45"/>
    <mergeCell ref="C46:C51"/>
    <mergeCell ref="AF46:AF51"/>
    <mergeCell ref="AG46:AG51"/>
    <mergeCell ref="AH46:AH51"/>
    <mergeCell ref="AI46:AI51"/>
    <mergeCell ref="AJ46:AJ51"/>
    <mergeCell ref="AK46:AK51"/>
    <mergeCell ref="AP40:AP45"/>
    <mergeCell ref="AQ40:AQ45"/>
    <mergeCell ref="AR40:AR45"/>
    <mergeCell ref="AS40:AS45"/>
    <mergeCell ref="AT40:AT45"/>
    <mergeCell ref="AU40:AU45"/>
    <mergeCell ref="AJ40:AJ45"/>
    <mergeCell ref="AK40:AK45"/>
    <mergeCell ref="AL40:AL45"/>
    <mergeCell ref="AM40:AM45"/>
    <mergeCell ref="AX46:AX51"/>
    <mergeCell ref="C40:C45"/>
    <mergeCell ref="AF40:AF45"/>
    <mergeCell ref="AG40:AG45"/>
    <mergeCell ref="AH40:AH45"/>
    <mergeCell ref="AI40:AI45"/>
    <mergeCell ref="AL58:AL63"/>
    <mergeCell ref="AM58:AM63"/>
    <mergeCell ref="AN58:AN63"/>
    <mergeCell ref="AO58:AO63"/>
    <mergeCell ref="AP58:AP63"/>
    <mergeCell ref="AQ58:AQ63"/>
    <mergeCell ref="AU52:AU57"/>
    <mergeCell ref="AV52:AV57"/>
    <mergeCell ref="AW52:AW57"/>
    <mergeCell ref="AX52:AX57"/>
    <mergeCell ref="C58:C63"/>
    <mergeCell ref="AG58:AG63"/>
    <mergeCell ref="AH58:AH63"/>
    <mergeCell ref="AI58:AI63"/>
    <mergeCell ref="AJ58:AJ63"/>
    <mergeCell ref="AK58:AK63"/>
    <mergeCell ref="AO52:AO57"/>
    <mergeCell ref="AP52:AP57"/>
    <mergeCell ref="AQ52:AQ57"/>
    <mergeCell ref="AR52:AR57"/>
    <mergeCell ref="AS52:AS57"/>
    <mergeCell ref="AT52:AT57"/>
    <mergeCell ref="C52:C57"/>
    <mergeCell ref="AG52:AG57"/>
    <mergeCell ref="AH52:AH57"/>
    <mergeCell ref="AI52:AI57"/>
    <mergeCell ref="AJ52:AJ57"/>
    <mergeCell ref="AK52:AK57"/>
    <mergeCell ref="AL52:AL57"/>
    <mergeCell ref="AM52:AM57"/>
    <mergeCell ref="AN52:AN57"/>
    <mergeCell ref="AT64:AT69"/>
    <mergeCell ref="AU64:AU69"/>
    <mergeCell ref="AV64:AV69"/>
    <mergeCell ref="AW64:AW69"/>
    <mergeCell ref="AX64:AX69"/>
    <mergeCell ref="C70:C75"/>
    <mergeCell ref="AF70:AF75"/>
    <mergeCell ref="AG70:AG75"/>
    <mergeCell ref="AH70:AH75"/>
    <mergeCell ref="AI70:AI75"/>
    <mergeCell ref="AN64:AN69"/>
    <mergeCell ref="AO64:AO69"/>
    <mergeCell ref="AP64:AP69"/>
    <mergeCell ref="AQ64:AQ69"/>
    <mergeCell ref="AR64:AR69"/>
    <mergeCell ref="AS64:AS69"/>
    <mergeCell ref="AX58:AX63"/>
    <mergeCell ref="C64:C69"/>
    <mergeCell ref="AF64:AF69"/>
    <mergeCell ref="AG64:AG69"/>
    <mergeCell ref="AH64:AH69"/>
    <mergeCell ref="AI64:AI69"/>
    <mergeCell ref="AJ64:AJ69"/>
    <mergeCell ref="AK64:AK69"/>
    <mergeCell ref="AL64:AL69"/>
    <mergeCell ref="AM64:AM69"/>
    <mergeCell ref="AR58:AR63"/>
    <mergeCell ref="AS58:AS63"/>
    <mergeCell ref="AT58:AT63"/>
    <mergeCell ref="AU58:AU63"/>
    <mergeCell ref="AV58:AV63"/>
    <mergeCell ref="AW58:AW63"/>
    <mergeCell ref="AL76:AL81"/>
    <mergeCell ref="AM76:AM81"/>
    <mergeCell ref="AN76:AN81"/>
    <mergeCell ref="AO76:AO81"/>
    <mergeCell ref="AP76:AP81"/>
    <mergeCell ref="AQ76:AQ81"/>
    <mergeCell ref="AV70:AV75"/>
    <mergeCell ref="AW70:AW75"/>
    <mergeCell ref="AX70:AX75"/>
    <mergeCell ref="C76:C81"/>
    <mergeCell ref="AF76:AF81"/>
    <mergeCell ref="AG76:AG81"/>
    <mergeCell ref="AH76:AH81"/>
    <mergeCell ref="AI76:AI81"/>
    <mergeCell ref="AJ76:AJ81"/>
    <mergeCell ref="AK76:AK81"/>
    <mergeCell ref="AP70:AP75"/>
    <mergeCell ref="AQ70:AQ75"/>
    <mergeCell ref="AR70:AR75"/>
    <mergeCell ref="AS70:AS75"/>
    <mergeCell ref="AT70:AT75"/>
    <mergeCell ref="AU70:AU75"/>
    <mergeCell ref="AJ70:AJ75"/>
    <mergeCell ref="AK70:AK75"/>
    <mergeCell ref="AL70:AL75"/>
    <mergeCell ref="AM70:AM75"/>
    <mergeCell ref="AN70:AN75"/>
    <mergeCell ref="AO70:AO75"/>
    <mergeCell ref="AT82:AT87"/>
    <mergeCell ref="AU82:AU87"/>
    <mergeCell ref="AV82:AV87"/>
    <mergeCell ref="AW82:AW87"/>
    <mergeCell ref="AX82:AX87"/>
    <mergeCell ref="C88:C93"/>
    <mergeCell ref="AF88:AF93"/>
    <mergeCell ref="AG88:AG93"/>
    <mergeCell ref="AH88:AH93"/>
    <mergeCell ref="AI88:AI93"/>
    <mergeCell ref="AN82:AN87"/>
    <mergeCell ref="AO82:AO87"/>
    <mergeCell ref="AP82:AP87"/>
    <mergeCell ref="AQ82:AQ87"/>
    <mergeCell ref="AR82:AR87"/>
    <mergeCell ref="AS82:AS87"/>
    <mergeCell ref="AX76:AX81"/>
    <mergeCell ref="C82:C87"/>
    <mergeCell ref="AF82:AF87"/>
    <mergeCell ref="AG82:AG87"/>
    <mergeCell ref="AH82:AH87"/>
    <mergeCell ref="AI82:AI87"/>
    <mergeCell ref="AJ82:AJ87"/>
    <mergeCell ref="AK82:AK87"/>
    <mergeCell ref="AL82:AL87"/>
    <mergeCell ref="AM82:AM87"/>
    <mergeCell ref="AR76:AR81"/>
    <mergeCell ref="AS76:AS81"/>
    <mergeCell ref="AT76:AT81"/>
    <mergeCell ref="AU76:AU81"/>
    <mergeCell ref="AV76:AV81"/>
    <mergeCell ref="AW76:AW81"/>
    <mergeCell ref="AX94:AX99"/>
    <mergeCell ref="AM94:AM99"/>
    <mergeCell ref="AN94:AN99"/>
    <mergeCell ref="AO94:AO99"/>
    <mergeCell ref="AP94:AP99"/>
    <mergeCell ref="AQ94:AQ99"/>
    <mergeCell ref="AR94:AR99"/>
    <mergeCell ref="AV88:AV93"/>
    <mergeCell ref="AW88:AW93"/>
    <mergeCell ref="AX88:AX93"/>
    <mergeCell ref="C94:C99"/>
    <mergeCell ref="AG94:AG99"/>
    <mergeCell ref="AH94:AH99"/>
    <mergeCell ref="AI94:AI99"/>
    <mergeCell ref="AJ94:AJ99"/>
    <mergeCell ref="AK94:AK99"/>
    <mergeCell ref="AL94:AL99"/>
    <mergeCell ref="AP88:AP93"/>
    <mergeCell ref="AQ88:AQ93"/>
    <mergeCell ref="AR88:AR93"/>
    <mergeCell ref="AS88:AS93"/>
    <mergeCell ref="AT88:AT93"/>
    <mergeCell ref="AU88:AU93"/>
    <mergeCell ref="AJ88:AJ93"/>
    <mergeCell ref="AK88:AK93"/>
    <mergeCell ref="AL88:AL93"/>
    <mergeCell ref="AM88:AM93"/>
    <mergeCell ref="AN88:AN93"/>
    <mergeCell ref="AO88:AO93"/>
    <mergeCell ref="AL100:AL105"/>
    <mergeCell ref="AM100:AM105"/>
    <mergeCell ref="AN100:AN105"/>
    <mergeCell ref="AO100:AO105"/>
    <mergeCell ref="AP100:AP105"/>
    <mergeCell ref="AQ100:AQ105"/>
    <mergeCell ref="C100:C105"/>
    <mergeCell ref="AG100:AG105"/>
    <mergeCell ref="AH100:AH105"/>
    <mergeCell ref="AI100:AI105"/>
    <mergeCell ref="AJ100:AJ105"/>
    <mergeCell ref="AK100:AK105"/>
    <mergeCell ref="AS94:AS99"/>
    <mergeCell ref="AT94:AT99"/>
    <mergeCell ref="AU94:AU99"/>
    <mergeCell ref="AV94:AV99"/>
    <mergeCell ref="AW94:AW99"/>
    <mergeCell ref="AF100:AF105"/>
    <mergeCell ref="AF94:AF99"/>
    <mergeCell ref="AU106:AU111"/>
    <mergeCell ref="AV106:AV111"/>
    <mergeCell ref="AW106:AW111"/>
    <mergeCell ref="AX106:AX111"/>
    <mergeCell ref="C112:C117"/>
    <mergeCell ref="AF112:AF117"/>
    <mergeCell ref="AG112:AG117"/>
    <mergeCell ref="AH112:AH117"/>
    <mergeCell ref="AI112:AI117"/>
    <mergeCell ref="AJ112:AJ117"/>
    <mergeCell ref="AO106:AO111"/>
    <mergeCell ref="AP106:AP111"/>
    <mergeCell ref="AQ106:AQ111"/>
    <mergeCell ref="AR106:AR111"/>
    <mergeCell ref="AS106:AS111"/>
    <mergeCell ref="AT106:AT111"/>
    <mergeCell ref="AX100:AX105"/>
    <mergeCell ref="C106:C111"/>
    <mergeCell ref="AG106:AG111"/>
    <mergeCell ref="AH106:AH111"/>
    <mergeCell ref="AI106:AI111"/>
    <mergeCell ref="AJ106:AJ111"/>
    <mergeCell ref="AK106:AK111"/>
    <mergeCell ref="AL106:AL111"/>
    <mergeCell ref="AM106:AM111"/>
    <mergeCell ref="AN106:AN111"/>
    <mergeCell ref="AR100:AR105"/>
    <mergeCell ref="AS100:AS105"/>
    <mergeCell ref="AT100:AT105"/>
    <mergeCell ref="AU100:AU105"/>
    <mergeCell ref="AV100:AV105"/>
    <mergeCell ref="AW100:AW105"/>
    <mergeCell ref="AX118:AX123"/>
    <mergeCell ref="AM118:AM123"/>
    <mergeCell ref="AN118:AN123"/>
    <mergeCell ref="AO118:AO123"/>
    <mergeCell ref="AP118:AP123"/>
    <mergeCell ref="AQ118:AQ123"/>
    <mergeCell ref="AR118:AR123"/>
    <mergeCell ref="AW112:AW117"/>
    <mergeCell ref="AX112:AX117"/>
    <mergeCell ref="C118:C123"/>
    <mergeCell ref="AF118:AF123"/>
    <mergeCell ref="AG118:AG123"/>
    <mergeCell ref="AH118:AH123"/>
    <mergeCell ref="AI118:AI123"/>
    <mergeCell ref="AJ118:AJ123"/>
    <mergeCell ref="AK118:AK123"/>
    <mergeCell ref="AL118:AL123"/>
    <mergeCell ref="AQ112:AQ117"/>
    <mergeCell ref="AR112:AR117"/>
    <mergeCell ref="AS112:AS117"/>
    <mergeCell ref="AT112:AT117"/>
    <mergeCell ref="AU112:AU117"/>
    <mergeCell ref="AV112:AV117"/>
    <mergeCell ref="AK112:AK117"/>
    <mergeCell ref="AL112:AL117"/>
    <mergeCell ref="AM112:AM117"/>
    <mergeCell ref="AN112:AN117"/>
    <mergeCell ref="AO112:AO117"/>
    <mergeCell ref="AP112:AP117"/>
    <mergeCell ref="AL124:AL129"/>
    <mergeCell ref="AM124:AM129"/>
    <mergeCell ref="AN124:AN129"/>
    <mergeCell ref="AO124:AO129"/>
    <mergeCell ref="AP124:AP129"/>
    <mergeCell ref="AQ124:AQ129"/>
    <mergeCell ref="C124:C129"/>
    <mergeCell ref="AG124:AG129"/>
    <mergeCell ref="AH124:AH129"/>
    <mergeCell ref="AI124:AI129"/>
    <mergeCell ref="AJ124:AJ129"/>
    <mergeCell ref="AK124:AK129"/>
    <mergeCell ref="AS118:AS123"/>
    <mergeCell ref="AT118:AT123"/>
    <mergeCell ref="AU118:AU123"/>
    <mergeCell ref="AV118:AV123"/>
    <mergeCell ref="AW118:AW123"/>
    <mergeCell ref="AT130:AT135"/>
    <mergeCell ref="AU130:AU135"/>
    <mergeCell ref="AV130:AV135"/>
    <mergeCell ref="AW130:AW135"/>
    <mergeCell ref="AX130:AX135"/>
    <mergeCell ref="C136:C141"/>
    <mergeCell ref="AF136:AF141"/>
    <mergeCell ref="AG136:AG141"/>
    <mergeCell ref="AH136:AH141"/>
    <mergeCell ref="AI136:AI141"/>
    <mergeCell ref="AN130:AN135"/>
    <mergeCell ref="AO130:AO135"/>
    <mergeCell ref="AP130:AP135"/>
    <mergeCell ref="AQ130:AQ135"/>
    <mergeCell ref="AR130:AR135"/>
    <mergeCell ref="AS130:AS135"/>
    <mergeCell ref="AX124:AX129"/>
    <mergeCell ref="C130:C135"/>
    <mergeCell ref="AF130:AF135"/>
    <mergeCell ref="AG130:AG135"/>
    <mergeCell ref="AH130:AH135"/>
    <mergeCell ref="AI130:AI135"/>
    <mergeCell ref="AJ130:AJ135"/>
    <mergeCell ref="AK130:AK135"/>
    <mergeCell ref="AL130:AL135"/>
    <mergeCell ref="AM130:AM135"/>
    <mergeCell ref="AR124:AR129"/>
    <mergeCell ref="AS124:AS129"/>
    <mergeCell ref="AT124:AT129"/>
    <mergeCell ref="AU124:AU129"/>
    <mergeCell ref="AV124:AV129"/>
    <mergeCell ref="AW124:AW129"/>
    <mergeCell ref="AL142:AL147"/>
    <mergeCell ref="AM142:AM147"/>
    <mergeCell ref="AN142:AN147"/>
    <mergeCell ref="AO142:AO147"/>
    <mergeCell ref="AP142:AP147"/>
    <mergeCell ref="AQ142:AQ147"/>
    <mergeCell ref="AV136:AV141"/>
    <mergeCell ref="AW136:AW141"/>
    <mergeCell ref="AX136:AX141"/>
    <mergeCell ref="C142:C147"/>
    <mergeCell ref="AF142:AF147"/>
    <mergeCell ref="AG142:AG147"/>
    <mergeCell ref="AH142:AH147"/>
    <mergeCell ref="AI142:AI147"/>
    <mergeCell ref="AJ142:AJ147"/>
    <mergeCell ref="AK142:AK147"/>
    <mergeCell ref="AP136:AP141"/>
    <mergeCell ref="AQ136:AQ141"/>
    <mergeCell ref="AR136:AR141"/>
    <mergeCell ref="AS136:AS141"/>
    <mergeCell ref="AT136:AT141"/>
    <mergeCell ref="AU136:AU141"/>
    <mergeCell ref="AJ136:AJ141"/>
    <mergeCell ref="AK136:AK141"/>
    <mergeCell ref="AL136:AL141"/>
    <mergeCell ref="AM136:AM141"/>
    <mergeCell ref="AN136:AN141"/>
    <mergeCell ref="AO136:AO141"/>
    <mergeCell ref="AU148:AU153"/>
    <mergeCell ref="AV148:AV153"/>
    <mergeCell ref="AW148:AW153"/>
    <mergeCell ref="AX148:AX153"/>
    <mergeCell ref="A154:A297"/>
    <mergeCell ref="B154:B297"/>
    <mergeCell ref="C154:C159"/>
    <mergeCell ref="S154:S297"/>
    <mergeCell ref="AF154:AF159"/>
    <mergeCell ref="AG154:AG159"/>
    <mergeCell ref="AO148:AO153"/>
    <mergeCell ref="AP148:AP153"/>
    <mergeCell ref="AQ148:AQ153"/>
    <mergeCell ref="AR148:AR153"/>
    <mergeCell ref="AS148:AS153"/>
    <mergeCell ref="AT148:AT153"/>
    <mergeCell ref="AX142:AX147"/>
    <mergeCell ref="C148:C153"/>
    <mergeCell ref="AG148:AG153"/>
    <mergeCell ref="AH148:AH153"/>
    <mergeCell ref="AI148:AI153"/>
    <mergeCell ref="AJ148:AJ153"/>
    <mergeCell ref="AK148:AK153"/>
    <mergeCell ref="AL148:AL153"/>
    <mergeCell ref="AM148:AM153"/>
    <mergeCell ref="AN148:AN153"/>
    <mergeCell ref="AR142:AR147"/>
    <mergeCell ref="AS142:AS147"/>
    <mergeCell ref="AT142:AT147"/>
    <mergeCell ref="AU142:AU147"/>
    <mergeCell ref="AV142:AV147"/>
    <mergeCell ref="AW142:AW147"/>
    <mergeCell ref="C160:C165"/>
    <mergeCell ref="AF160:AF165"/>
    <mergeCell ref="AG160:AG165"/>
    <mergeCell ref="AH160:AH165"/>
    <mergeCell ref="AI160:AI165"/>
    <mergeCell ref="AN154:AN159"/>
    <mergeCell ref="AO154:AO159"/>
    <mergeCell ref="AP154:AP159"/>
    <mergeCell ref="AQ154:AQ159"/>
    <mergeCell ref="AR154:AR159"/>
    <mergeCell ref="AS154:AS159"/>
    <mergeCell ref="AH154:AH159"/>
    <mergeCell ref="AI154:AI159"/>
    <mergeCell ref="AJ154:AJ159"/>
    <mergeCell ref="AK154:AK159"/>
    <mergeCell ref="AL154:AL159"/>
    <mergeCell ref="AM154:AM159"/>
    <mergeCell ref="AP160:AP165"/>
    <mergeCell ref="AQ160:AQ165"/>
    <mergeCell ref="AR160:AR165"/>
    <mergeCell ref="AS160:AS165"/>
    <mergeCell ref="AT160:AT165"/>
    <mergeCell ref="AU160:AU165"/>
    <mergeCell ref="AJ160:AJ165"/>
    <mergeCell ref="AK160:AK165"/>
    <mergeCell ref="AL160:AL165"/>
    <mergeCell ref="AM160:AM165"/>
    <mergeCell ref="AN160:AN165"/>
    <mergeCell ref="AO160:AO165"/>
    <mergeCell ref="AT154:AT159"/>
    <mergeCell ref="AU154:AU159"/>
    <mergeCell ref="AV154:AV159"/>
    <mergeCell ref="AW154:AW159"/>
    <mergeCell ref="AX154:AX159"/>
    <mergeCell ref="AV160:AV165"/>
    <mergeCell ref="AW160:AW165"/>
    <mergeCell ref="AX160:AX165"/>
    <mergeCell ref="AX166:AX171"/>
    <mergeCell ref="AR166:AR171"/>
    <mergeCell ref="AS166:AS171"/>
    <mergeCell ref="AT166:AT171"/>
    <mergeCell ref="AU166:AU171"/>
    <mergeCell ref="AV166:AV171"/>
    <mergeCell ref="AW166:AW171"/>
    <mergeCell ref="AL166:AL171"/>
    <mergeCell ref="AM166:AM171"/>
    <mergeCell ref="AN166:AN171"/>
    <mergeCell ref="AO166:AO171"/>
    <mergeCell ref="AP166:AP171"/>
    <mergeCell ref="AQ166:AQ171"/>
    <mergeCell ref="C166:C171"/>
    <mergeCell ref="AF166:AF171"/>
    <mergeCell ref="AG166:AG171"/>
    <mergeCell ref="AH166:AH171"/>
    <mergeCell ref="AI166:AI171"/>
    <mergeCell ref="AJ166:AJ171"/>
    <mergeCell ref="AK166:AK171"/>
    <mergeCell ref="AK178:AK183"/>
    <mergeCell ref="AL178:AL183"/>
    <mergeCell ref="AM178:AM183"/>
    <mergeCell ref="AN178:AN183"/>
    <mergeCell ref="AO178:AO183"/>
    <mergeCell ref="AP178:AP183"/>
    <mergeCell ref="AT172:AT177"/>
    <mergeCell ref="AU172:AU177"/>
    <mergeCell ref="AV172:AV177"/>
    <mergeCell ref="AW172:AW177"/>
    <mergeCell ref="AX172:AX177"/>
    <mergeCell ref="C178:C183"/>
    <mergeCell ref="AG178:AG183"/>
    <mergeCell ref="AH178:AH183"/>
    <mergeCell ref="AI178:AI183"/>
    <mergeCell ref="AJ178:AJ183"/>
    <mergeCell ref="AN172:AN177"/>
    <mergeCell ref="AO172:AO177"/>
    <mergeCell ref="AP172:AP177"/>
    <mergeCell ref="AQ172:AQ177"/>
    <mergeCell ref="AR172:AR177"/>
    <mergeCell ref="AS172:AS177"/>
    <mergeCell ref="C172:C177"/>
    <mergeCell ref="AF172:AF177"/>
    <mergeCell ref="AG172:AG177"/>
    <mergeCell ref="AH172:AH177"/>
    <mergeCell ref="AI172:AI177"/>
    <mergeCell ref="AJ172:AJ177"/>
    <mergeCell ref="AK172:AK177"/>
    <mergeCell ref="AL172:AL177"/>
    <mergeCell ref="AM172:AM177"/>
    <mergeCell ref="AW178:AW183"/>
    <mergeCell ref="AX178:AX183"/>
    <mergeCell ref="AQ178:AQ183"/>
    <mergeCell ref="AR178:AR183"/>
    <mergeCell ref="AS178:AS183"/>
    <mergeCell ref="AT178:AT183"/>
    <mergeCell ref="AU178:AU183"/>
    <mergeCell ref="AV178:AV183"/>
    <mergeCell ref="AX190:AX195"/>
    <mergeCell ref="AQ190:AQ195"/>
    <mergeCell ref="AR190:AR195"/>
    <mergeCell ref="AS190:AS195"/>
    <mergeCell ref="AT190:AT195"/>
    <mergeCell ref="AU190:AU195"/>
    <mergeCell ref="AV190:AV195"/>
    <mergeCell ref="AK190:AK195"/>
    <mergeCell ref="AL190:AL195"/>
    <mergeCell ref="AM190:AM195"/>
    <mergeCell ref="AN190:AN195"/>
    <mergeCell ref="AO190:AO195"/>
    <mergeCell ref="AP190:AP195"/>
    <mergeCell ref="AN184:AN189"/>
    <mergeCell ref="AO184:AO189"/>
    <mergeCell ref="AP184:AP189"/>
    <mergeCell ref="AQ184:AQ189"/>
    <mergeCell ref="AR184:AR189"/>
    <mergeCell ref="AS184:AS189"/>
    <mergeCell ref="AO202:AO207"/>
    <mergeCell ref="AP202:AP207"/>
    <mergeCell ref="C202:C207"/>
    <mergeCell ref="AF202:AF207"/>
    <mergeCell ref="AG202:AG207"/>
    <mergeCell ref="AH202:AH207"/>
    <mergeCell ref="AI202:AI207"/>
    <mergeCell ref="AJ202:AJ207"/>
    <mergeCell ref="AS196:AS201"/>
    <mergeCell ref="AT196:AT201"/>
    <mergeCell ref="AU196:AU201"/>
    <mergeCell ref="AV196:AV201"/>
    <mergeCell ref="AW196:AW201"/>
    <mergeCell ref="C184:C189"/>
    <mergeCell ref="AG184:AG189"/>
    <mergeCell ref="AH184:AH189"/>
    <mergeCell ref="AI184:AI189"/>
    <mergeCell ref="AJ184:AJ189"/>
    <mergeCell ref="AK184:AK189"/>
    <mergeCell ref="AL184:AL189"/>
    <mergeCell ref="AM184:AM189"/>
    <mergeCell ref="AI190:AI195"/>
    <mergeCell ref="AJ190:AJ195"/>
    <mergeCell ref="AW190:AW195"/>
    <mergeCell ref="AX196:AX201"/>
    <mergeCell ref="AM196:AM201"/>
    <mergeCell ref="AN196:AN201"/>
    <mergeCell ref="AO196:AO201"/>
    <mergeCell ref="AP196:AP201"/>
    <mergeCell ref="AQ196:AQ201"/>
    <mergeCell ref="AR196:AR201"/>
    <mergeCell ref="C196:C201"/>
    <mergeCell ref="AF196:AF201"/>
    <mergeCell ref="AG196:AG201"/>
    <mergeCell ref="AH196:AH201"/>
    <mergeCell ref="AI196:AI201"/>
    <mergeCell ref="AJ196:AJ201"/>
    <mergeCell ref="AK196:AK201"/>
    <mergeCell ref="AL196:AL201"/>
    <mergeCell ref="AS208:AS213"/>
    <mergeCell ref="AT208:AT213"/>
    <mergeCell ref="AU208:AU213"/>
    <mergeCell ref="AV208:AV213"/>
    <mergeCell ref="AW208:AW213"/>
    <mergeCell ref="AX208:AX213"/>
    <mergeCell ref="AM208:AM213"/>
    <mergeCell ref="AN208:AN213"/>
    <mergeCell ref="AO208:AO213"/>
    <mergeCell ref="AP208:AP213"/>
    <mergeCell ref="AQ208:AQ213"/>
    <mergeCell ref="AR208:AR213"/>
    <mergeCell ref="AW202:AW207"/>
    <mergeCell ref="AX202:AX207"/>
    <mergeCell ref="C208:C213"/>
    <mergeCell ref="AF208:AF213"/>
    <mergeCell ref="AG208:AG213"/>
    <mergeCell ref="AH208:AH213"/>
    <mergeCell ref="AI208:AI213"/>
    <mergeCell ref="AJ208:AJ213"/>
    <mergeCell ref="AK208:AK213"/>
    <mergeCell ref="AL208:AL213"/>
    <mergeCell ref="AQ202:AQ207"/>
    <mergeCell ref="AR202:AR207"/>
    <mergeCell ref="AS202:AS207"/>
    <mergeCell ref="AT202:AT207"/>
    <mergeCell ref="AU202:AU207"/>
    <mergeCell ref="AV202:AV207"/>
    <mergeCell ref="AK202:AK207"/>
    <mergeCell ref="AL202:AL207"/>
    <mergeCell ref="AM202:AM207"/>
    <mergeCell ref="AN202:AN207"/>
    <mergeCell ref="C220:C225"/>
    <mergeCell ref="AF220:AF225"/>
    <mergeCell ref="AG220:AG225"/>
    <mergeCell ref="AH220:AH225"/>
    <mergeCell ref="AI220:AI225"/>
    <mergeCell ref="AJ220:AJ225"/>
    <mergeCell ref="AK220:AK225"/>
    <mergeCell ref="AL220:AL225"/>
    <mergeCell ref="AQ214:AQ219"/>
    <mergeCell ref="AR214:AR219"/>
    <mergeCell ref="AS214:AS219"/>
    <mergeCell ref="AT214:AT219"/>
    <mergeCell ref="AU214:AU219"/>
    <mergeCell ref="AV214:AV219"/>
    <mergeCell ref="AK214:AK219"/>
    <mergeCell ref="AL214:AL219"/>
    <mergeCell ref="AM214:AM219"/>
    <mergeCell ref="AW214:AW219"/>
    <mergeCell ref="AX214:AX219"/>
    <mergeCell ref="AX232:AX237"/>
    <mergeCell ref="AM232:AM237"/>
    <mergeCell ref="AN232:AN237"/>
    <mergeCell ref="AO232:AO237"/>
    <mergeCell ref="AP232:AP237"/>
    <mergeCell ref="AQ232:AQ237"/>
    <mergeCell ref="AR232:AR237"/>
    <mergeCell ref="AW226:AW231"/>
    <mergeCell ref="AX226:AX231"/>
    <mergeCell ref="AN214:AN219"/>
    <mergeCell ref="AO214:AO219"/>
    <mergeCell ref="AP214:AP219"/>
    <mergeCell ref="C214:C219"/>
    <mergeCell ref="AF214:AF219"/>
    <mergeCell ref="AG214:AG219"/>
    <mergeCell ref="AH214:AH219"/>
    <mergeCell ref="AI214:AI219"/>
    <mergeCell ref="AJ214:AJ219"/>
    <mergeCell ref="AH226:AH231"/>
    <mergeCell ref="AI226:AI231"/>
    <mergeCell ref="AJ226:AJ231"/>
    <mergeCell ref="AS220:AS225"/>
    <mergeCell ref="AT220:AT225"/>
    <mergeCell ref="AU220:AU225"/>
    <mergeCell ref="AV220:AV225"/>
    <mergeCell ref="AW220:AW225"/>
    <mergeCell ref="AQ226:AQ231"/>
    <mergeCell ref="AR226:AR231"/>
    <mergeCell ref="AS226:AS231"/>
    <mergeCell ref="AT226:AT231"/>
    <mergeCell ref="AU226:AU231"/>
    <mergeCell ref="AV226:AV231"/>
    <mergeCell ref="AK226:AK231"/>
    <mergeCell ref="AL226:AL231"/>
    <mergeCell ref="AM226:AM231"/>
    <mergeCell ref="AN226:AN231"/>
    <mergeCell ref="AO226:AO231"/>
    <mergeCell ref="AP226:AP231"/>
    <mergeCell ref="C226:C231"/>
    <mergeCell ref="AF226:AF231"/>
    <mergeCell ref="AG226:AG231"/>
    <mergeCell ref="AX220:AX225"/>
    <mergeCell ref="AM220:AM225"/>
    <mergeCell ref="AN220:AN225"/>
    <mergeCell ref="AO220:AO225"/>
    <mergeCell ref="AP220:AP225"/>
    <mergeCell ref="AQ220:AQ225"/>
    <mergeCell ref="AR220:AR225"/>
    <mergeCell ref="AL238:AL243"/>
    <mergeCell ref="AM238:AM243"/>
    <mergeCell ref="AN238:AN243"/>
    <mergeCell ref="AO238:AO243"/>
    <mergeCell ref="AP238:AP243"/>
    <mergeCell ref="AQ238:AQ243"/>
    <mergeCell ref="C238:C243"/>
    <mergeCell ref="AG238:AG243"/>
    <mergeCell ref="AH238:AH243"/>
    <mergeCell ref="AI238:AI243"/>
    <mergeCell ref="AJ238:AJ243"/>
    <mergeCell ref="AK238:AK243"/>
    <mergeCell ref="AS232:AS237"/>
    <mergeCell ref="AT232:AT237"/>
    <mergeCell ref="AU232:AU237"/>
    <mergeCell ref="AV232:AV237"/>
    <mergeCell ref="AW232:AW237"/>
    <mergeCell ref="C232:C237"/>
    <mergeCell ref="AF232:AF237"/>
    <mergeCell ref="AG232:AG237"/>
    <mergeCell ref="AH232:AH237"/>
    <mergeCell ref="AI232:AI237"/>
    <mergeCell ref="AJ232:AJ237"/>
    <mergeCell ref="AK232:AK237"/>
    <mergeCell ref="AL232:AL237"/>
    <mergeCell ref="AU244:AU249"/>
    <mergeCell ref="AV244:AV249"/>
    <mergeCell ref="AW244:AW249"/>
    <mergeCell ref="AX244:AX249"/>
    <mergeCell ref="C250:C255"/>
    <mergeCell ref="AF250:AF255"/>
    <mergeCell ref="AG250:AG255"/>
    <mergeCell ref="AH250:AH255"/>
    <mergeCell ref="AI250:AI255"/>
    <mergeCell ref="AJ250:AJ255"/>
    <mergeCell ref="AO244:AO249"/>
    <mergeCell ref="AP244:AP249"/>
    <mergeCell ref="AQ244:AQ249"/>
    <mergeCell ref="AR244:AR249"/>
    <mergeCell ref="AS244:AS249"/>
    <mergeCell ref="AT244:AT249"/>
    <mergeCell ref="AX238:AX243"/>
    <mergeCell ref="C244:C249"/>
    <mergeCell ref="AG244:AG249"/>
    <mergeCell ref="AH244:AH249"/>
    <mergeCell ref="AI244:AI249"/>
    <mergeCell ref="AJ244:AJ249"/>
    <mergeCell ref="AK244:AK249"/>
    <mergeCell ref="AL244:AL249"/>
    <mergeCell ref="AM244:AM249"/>
    <mergeCell ref="AN244:AN249"/>
    <mergeCell ref="AR238:AR243"/>
    <mergeCell ref="AS238:AS243"/>
    <mergeCell ref="AT238:AT243"/>
    <mergeCell ref="AU238:AU243"/>
    <mergeCell ref="AV238:AV243"/>
    <mergeCell ref="AW238:AW243"/>
    <mergeCell ref="AW250:AW255"/>
    <mergeCell ref="AX250:AX255"/>
    <mergeCell ref="C256:C261"/>
    <mergeCell ref="AG256:AG261"/>
    <mergeCell ref="AH256:AH261"/>
    <mergeCell ref="AI256:AI261"/>
    <mergeCell ref="AJ256:AJ261"/>
    <mergeCell ref="AK256:AK261"/>
    <mergeCell ref="AL256:AL261"/>
    <mergeCell ref="AM256:AM261"/>
    <mergeCell ref="AQ250:AQ255"/>
    <mergeCell ref="AR250:AR255"/>
    <mergeCell ref="AS250:AS255"/>
    <mergeCell ref="AT250:AT255"/>
    <mergeCell ref="AU250:AU255"/>
    <mergeCell ref="AV250:AV255"/>
    <mergeCell ref="AK250:AK255"/>
    <mergeCell ref="AL250:AL255"/>
    <mergeCell ref="AM250:AM255"/>
    <mergeCell ref="AN250:AN255"/>
    <mergeCell ref="AO250:AO255"/>
    <mergeCell ref="AP250:AP255"/>
    <mergeCell ref="AT256:AT261"/>
    <mergeCell ref="AU256:AU261"/>
    <mergeCell ref="AV256:AV261"/>
    <mergeCell ref="AW256:AW261"/>
    <mergeCell ref="AX256:AX261"/>
    <mergeCell ref="AN256:AN261"/>
    <mergeCell ref="AO256:AO261"/>
    <mergeCell ref="AP256:AP261"/>
    <mergeCell ref="AQ256:AQ261"/>
    <mergeCell ref="AR256:AR261"/>
    <mergeCell ref="AS256:AS261"/>
    <mergeCell ref="AR268:AR273"/>
    <mergeCell ref="AS268:AS273"/>
    <mergeCell ref="AT268:AT273"/>
    <mergeCell ref="AU268:AU273"/>
    <mergeCell ref="AV268:AV273"/>
    <mergeCell ref="AW268:AW273"/>
    <mergeCell ref="AL268:AL273"/>
    <mergeCell ref="AM268:AM273"/>
    <mergeCell ref="AN268:AN273"/>
    <mergeCell ref="AO268:AO273"/>
    <mergeCell ref="AP268:AP273"/>
    <mergeCell ref="AQ268:AQ273"/>
    <mergeCell ref="AV262:AV267"/>
    <mergeCell ref="AW262:AW267"/>
    <mergeCell ref="AX262:AX267"/>
    <mergeCell ref="C268:C273"/>
    <mergeCell ref="AF268:AF273"/>
    <mergeCell ref="AG268:AG273"/>
    <mergeCell ref="AH268:AH273"/>
    <mergeCell ref="AI268:AI273"/>
    <mergeCell ref="AJ268:AJ273"/>
    <mergeCell ref="AK268:AK273"/>
    <mergeCell ref="AP262:AP267"/>
    <mergeCell ref="AQ262:AQ267"/>
    <mergeCell ref="AR262:AR267"/>
    <mergeCell ref="AS262:AS267"/>
    <mergeCell ref="AT262:AT267"/>
    <mergeCell ref="AU262:AU267"/>
    <mergeCell ref="AJ262:AJ267"/>
    <mergeCell ref="AK262:AK267"/>
    <mergeCell ref="AL262:AL267"/>
    <mergeCell ref="AM262:AM267"/>
    <mergeCell ref="AN262:AN267"/>
    <mergeCell ref="AO262:AO267"/>
    <mergeCell ref="AX268:AX273"/>
    <mergeCell ref="C262:C267"/>
    <mergeCell ref="AF262:AF267"/>
    <mergeCell ref="AG262:AG267"/>
    <mergeCell ref="AH262:AH267"/>
    <mergeCell ref="AI262:AI267"/>
    <mergeCell ref="AK280:AK285"/>
    <mergeCell ref="AL280:AL285"/>
    <mergeCell ref="AM280:AM285"/>
    <mergeCell ref="AN280:AN285"/>
    <mergeCell ref="AO280:AO285"/>
    <mergeCell ref="AP280:AP285"/>
    <mergeCell ref="AT274:AT279"/>
    <mergeCell ref="AU274:AU279"/>
    <mergeCell ref="AV274:AV279"/>
    <mergeCell ref="AW274:AW279"/>
    <mergeCell ref="AX274:AX279"/>
    <mergeCell ref="C280:C285"/>
    <mergeCell ref="AG280:AG285"/>
    <mergeCell ref="AH280:AH285"/>
    <mergeCell ref="AI280:AI285"/>
    <mergeCell ref="AJ280:AJ285"/>
    <mergeCell ref="AN274:AN279"/>
    <mergeCell ref="AO274:AO279"/>
    <mergeCell ref="AP274:AP279"/>
    <mergeCell ref="AQ274:AQ279"/>
    <mergeCell ref="AR274:AR279"/>
    <mergeCell ref="AS274:AS279"/>
    <mergeCell ref="C274:C279"/>
    <mergeCell ref="AF274:AF279"/>
    <mergeCell ref="AG274:AG279"/>
    <mergeCell ref="AH274:AH279"/>
    <mergeCell ref="AI274:AI279"/>
    <mergeCell ref="AJ274:AJ279"/>
    <mergeCell ref="AK274:AK279"/>
    <mergeCell ref="AL274:AL279"/>
    <mergeCell ref="AM274:AM279"/>
    <mergeCell ref="AT286:AT291"/>
    <mergeCell ref="AU286:AU291"/>
    <mergeCell ref="AV286:AV291"/>
    <mergeCell ref="AW286:AW291"/>
    <mergeCell ref="AX286:AX291"/>
    <mergeCell ref="C292:C297"/>
    <mergeCell ref="AG292:AG297"/>
    <mergeCell ref="AH292:AH297"/>
    <mergeCell ref="AI292:AI297"/>
    <mergeCell ref="AJ292:AJ297"/>
    <mergeCell ref="AN286:AN291"/>
    <mergeCell ref="AO286:AO291"/>
    <mergeCell ref="AP286:AP291"/>
    <mergeCell ref="AQ286:AQ291"/>
    <mergeCell ref="AR286:AR291"/>
    <mergeCell ref="AS286:AS291"/>
    <mergeCell ref="AW280:AW285"/>
    <mergeCell ref="AX280:AX285"/>
    <mergeCell ref="C286:C291"/>
    <mergeCell ref="AG286:AG291"/>
    <mergeCell ref="AH286:AH291"/>
    <mergeCell ref="AI286:AI291"/>
    <mergeCell ref="AJ286:AJ291"/>
    <mergeCell ref="AK286:AK291"/>
    <mergeCell ref="AL286:AL291"/>
    <mergeCell ref="AM286:AM291"/>
    <mergeCell ref="AQ280:AQ285"/>
    <mergeCell ref="AR280:AR285"/>
    <mergeCell ref="AS280:AS285"/>
    <mergeCell ref="AT280:AT285"/>
    <mergeCell ref="AU280:AU285"/>
    <mergeCell ref="AV280:AV285"/>
    <mergeCell ref="AW292:AW297"/>
    <mergeCell ref="AX292:AX297"/>
    <mergeCell ref="A298:A657"/>
    <mergeCell ref="B298:B657"/>
    <mergeCell ref="C298:C303"/>
    <mergeCell ref="S298:S303"/>
    <mergeCell ref="AF298:AF303"/>
    <mergeCell ref="AG298:AG303"/>
    <mergeCell ref="AH298:AH303"/>
    <mergeCell ref="AI298:AI303"/>
    <mergeCell ref="AQ292:AQ297"/>
    <mergeCell ref="AR292:AR297"/>
    <mergeCell ref="AS292:AS297"/>
    <mergeCell ref="AT292:AT297"/>
    <mergeCell ref="AU292:AU297"/>
    <mergeCell ref="AV292:AV297"/>
    <mergeCell ref="AK292:AK297"/>
    <mergeCell ref="AL292:AL297"/>
    <mergeCell ref="AM292:AM297"/>
    <mergeCell ref="AN292:AN297"/>
    <mergeCell ref="AO292:AO297"/>
    <mergeCell ref="AP292:AP297"/>
    <mergeCell ref="AL304:AL309"/>
    <mergeCell ref="AM304:AM309"/>
    <mergeCell ref="AY298:AY375"/>
    <mergeCell ref="C304:C309"/>
    <mergeCell ref="AG304:AG309"/>
    <mergeCell ref="AH304:AH309"/>
    <mergeCell ref="AI304:AI309"/>
    <mergeCell ref="AJ304:AJ309"/>
    <mergeCell ref="AK304:AK309"/>
    <mergeCell ref="AP298:AP303"/>
    <mergeCell ref="AQ298:AQ303"/>
    <mergeCell ref="AR298:AR303"/>
    <mergeCell ref="AS298:AS303"/>
    <mergeCell ref="AT298:AT303"/>
    <mergeCell ref="AU298:AU303"/>
    <mergeCell ref="AJ298:AJ303"/>
    <mergeCell ref="AK298:AK303"/>
    <mergeCell ref="AL298:AL303"/>
    <mergeCell ref="AM298:AM303"/>
    <mergeCell ref="AN298:AN303"/>
    <mergeCell ref="AO298:AO303"/>
    <mergeCell ref="AT352:AT357"/>
    <mergeCell ref="AU352:AU357"/>
    <mergeCell ref="AM346:AM351"/>
    <mergeCell ref="AN346:AN351"/>
    <mergeCell ref="AO346:AO351"/>
    <mergeCell ref="AP346:AP351"/>
    <mergeCell ref="AQ346:AQ351"/>
    <mergeCell ref="AR346:AR351"/>
    <mergeCell ref="AS346:AS351"/>
    <mergeCell ref="AT346:AT351"/>
    <mergeCell ref="AU346:AU351"/>
    <mergeCell ref="AV346:AV351"/>
    <mergeCell ref="AN352:AN357"/>
    <mergeCell ref="AL346:AL351"/>
    <mergeCell ref="AJ322:AJ327"/>
    <mergeCell ref="AK322:AK327"/>
    <mergeCell ref="AL322:AL327"/>
    <mergeCell ref="AM322:AM327"/>
    <mergeCell ref="AN322:AN327"/>
    <mergeCell ref="AX358:AX363"/>
    <mergeCell ref="AV358:AV363"/>
    <mergeCell ref="AW358:AW363"/>
    <mergeCell ref="AN304:AN309"/>
    <mergeCell ref="AO304:AO309"/>
    <mergeCell ref="AP304:AP309"/>
    <mergeCell ref="AQ304:AQ309"/>
    <mergeCell ref="AV298:AV303"/>
    <mergeCell ref="AW298:AW303"/>
    <mergeCell ref="AX298:AX303"/>
    <mergeCell ref="AQ352:AQ357"/>
    <mergeCell ref="AO352:AO357"/>
    <mergeCell ref="AP352:AP357"/>
    <mergeCell ref="AR352:AR357"/>
    <mergeCell ref="AS352:AS357"/>
    <mergeCell ref="C370:C375"/>
    <mergeCell ref="AF370:AF375"/>
    <mergeCell ref="AG370:AG375"/>
    <mergeCell ref="AH370:AH375"/>
    <mergeCell ref="AI370:AI375"/>
    <mergeCell ref="AJ370:AJ375"/>
    <mergeCell ref="AX304:AX309"/>
    <mergeCell ref="C352:C357"/>
    <mergeCell ref="AF352:AF357"/>
    <mergeCell ref="AG352:AG357"/>
    <mergeCell ref="AH352:AH357"/>
    <mergeCell ref="AI352:AI357"/>
    <mergeCell ref="AJ352:AJ357"/>
    <mergeCell ref="AK352:AK357"/>
    <mergeCell ref="AL352:AL357"/>
    <mergeCell ref="AM352:AM357"/>
    <mergeCell ref="AR304:AR309"/>
    <mergeCell ref="AS304:AS309"/>
    <mergeCell ref="AT304:AT309"/>
    <mergeCell ref="AU304:AU309"/>
    <mergeCell ref="AV304:AV309"/>
    <mergeCell ref="AW304:AW309"/>
    <mergeCell ref="AV352:AV357"/>
    <mergeCell ref="AW352:AW357"/>
    <mergeCell ref="AX352:AX357"/>
    <mergeCell ref="C346:C351"/>
    <mergeCell ref="AF346:AF351"/>
    <mergeCell ref="AG346:AG351"/>
    <mergeCell ref="AH346:AH351"/>
    <mergeCell ref="AI346:AI351"/>
    <mergeCell ref="AJ346:AJ351"/>
    <mergeCell ref="AK346:AK351"/>
    <mergeCell ref="C364:C369"/>
    <mergeCell ref="AF364:AF369"/>
    <mergeCell ref="AG364:AG369"/>
    <mergeCell ref="AH364:AH369"/>
    <mergeCell ref="AI364:AI369"/>
    <mergeCell ref="AJ364:AJ369"/>
    <mergeCell ref="AK364:AK369"/>
    <mergeCell ref="AP358:AP363"/>
    <mergeCell ref="AQ358:AQ363"/>
    <mergeCell ref="AR358:AR363"/>
    <mergeCell ref="AS358:AS363"/>
    <mergeCell ref="AT358:AT363"/>
    <mergeCell ref="AU358:AU363"/>
    <mergeCell ref="AJ358:AJ363"/>
    <mergeCell ref="AK358:AK363"/>
    <mergeCell ref="AL358:AL363"/>
    <mergeCell ref="AM358:AM363"/>
    <mergeCell ref="AN358:AN363"/>
    <mergeCell ref="AO358:AO363"/>
    <mergeCell ref="C358:C363"/>
    <mergeCell ref="AF358:AF363"/>
    <mergeCell ref="AG358:AG363"/>
    <mergeCell ref="AH358:AH363"/>
    <mergeCell ref="AI358:AI363"/>
    <mergeCell ref="AQ394:AQ399"/>
    <mergeCell ref="AX364:AX369"/>
    <mergeCell ref="AR364:AR369"/>
    <mergeCell ref="AS364:AS369"/>
    <mergeCell ref="AT364:AT369"/>
    <mergeCell ref="AU364:AU369"/>
    <mergeCell ref="AV364:AV369"/>
    <mergeCell ref="AW364:AW369"/>
    <mergeCell ref="AL364:AL369"/>
    <mergeCell ref="AM364:AM369"/>
    <mergeCell ref="AN364:AN369"/>
    <mergeCell ref="AO364:AO369"/>
    <mergeCell ref="AP364:AP369"/>
    <mergeCell ref="AQ364:AQ369"/>
    <mergeCell ref="AT370:AT375"/>
    <mergeCell ref="AU370:AU375"/>
    <mergeCell ref="AV370:AV375"/>
    <mergeCell ref="AW370:AW375"/>
    <mergeCell ref="AR370:AR375"/>
    <mergeCell ref="AS370:AS375"/>
    <mergeCell ref="AX370:AX375"/>
    <mergeCell ref="AN370:AN375"/>
    <mergeCell ref="AO370:AO375"/>
    <mergeCell ref="AP370:AP375"/>
    <mergeCell ref="AQ370:AQ375"/>
    <mergeCell ref="AX388:AX393"/>
    <mergeCell ref="C448:C453"/>
    <mergeCell ref="AF448:AF453"/>
    <mergeCell ref="AG448:AG453"/>
    <mergeCell ref="AQ406:AQ411"/>
    <mergeCell ref="C400:C405"/>
    <mergeCell ref="AF400:AF405"/>
    <mergeCell ref="AG400:AG405"/>
    <mergeCell ref="AH400:AH405"/>
    <mergeCell ref="AI400:AI405"/>
    <mergeCell ref="AJ400:AJ405"/>
    <mergeCell ref="AK400:AK405"/>
    <mergeCell ref="AL400:AL405"/>
    <mergeCell ref="AM400:AM405"/>
    <mergeCell ref="AN400:AN405"/>
    <mergeCell ref="AO400:AO405"/>
    <mergeCell ref="AP400:AP405"/>
    <mergeCell ref="AQ400:AQ405"/>
    <mergeCell ref="AJ406:AJ411"/>
    <mergeCell ref="AK406:AK411"/>
    <mergeCell ref="AL406:AL411"/>
    <mergeCell ref="AM406:AM411"/>
    <mergeCell ref="AP418:AP423"/>
    <mergeCell ref="AQ418:AQ423"/>
    <mergeCell ref="AF436:AF441"/>
    <mergeCell ref="AF418:AF423"/>
    <mergeCell ref="AG418:AG423"/>
    <mergeCell ref="AH418:AH423"/>
    <mergeCell ref="AH442:AH447"/>
    <mergeCell ref="AI442:AI447"/>
    <mergeCell ref="AJ442:AJ447"/>
    <mergeCell ref="AQ436:AQ441"/>
    <mergeCell ref="AG436:AG441"/>
    <mergeCell ref="AH406:AH411"/>
    <mergeCell ref="AF424:AF429"/>
    <mergeCell ref="AG424:AG429"/>
    <mergeCell ref="AH424:AH429"/>
    <mergeCell ref="AI424:AI429"/>
    <mergeCell ref="AJ424:AJ429"/>
    <mergeCell ref="AK424:AK429"/>
    <mergeCell ref="AL424:AL429"/>
    <mergeCell ref="AM424:AM429"/>
    <mergeCell ref="AN394:AN399"/>
    <mergeCell ref="AO394:AO399"/>
    <mergeCell ref="AN412:AN417"/>
    <mergeCell ref="AO412:AO417"/>
    <mergeCell ref="C382:C387"/>
    <mergeCell ref="AI406:AI411"/>
    <mergeCell ref="C394:C399"/>
    <mergeCell ref="AI418:AI423"/>
    <mergeCell ref="AJ418:AJ423"/>
    <mergeCell ref="AK418:AK423"/>
    <mergeCell ref="AL418:AL423"/>
    <mergeCell ref="AM418:AM423"/>
    <mergeCell ref="AN418:AN423"/>
    <mergeCell ref="AO418:AO423"/>
    <mergeCell ref="C412:C417"/>
    <mergeCell ref="AF412:AF417"/>
    <mergeCell ref="AG412:AG417"/>
    <mergeCell ref="AF394:AF399"/>
    <mergeCell ref="AG394:AG399"/>
    <mergeCell ref="AH394:AH399"/>
    <mergeCell ref="AI394:AI399"/>
    <mergeCell ref="AJ394:AJ399"/>
    <mergeCell ref="AV478:AV483"/>
    <mergeCell ref="AW478:AW483"/>
    <mergeCell ref="AX478:AX483"/>
    <mergeCell ref="C484:C489"/>
    <mergeCell ref="AG484:AG489"/>
    <mergeCell ref="AH484:AH489"/>
    <mergeCell ref="AI484:AI489"/>
    <mergeCell ref="AJ484:AJ489"/>
    <mergeCell ref="AK484:AK489"/>
    <mergeCell ref="AL484:AL489"/>
    <mergeCell ref="AP478:AP483"/>
    <mergeCell ref="AQ478:AQ483"/>
    <mergeCell ref="AR478:AR483"/>
    <mergeCell ref="AS478:AS483"/>
    <mergeCell ref="AT478:AT483"/>
    <mergeCell ref="AU478:AU483"/>
    <mergeCell ref="AU484:AU489"/>
    <mergeCell ref="AV484:AV489"/>
    <mergeCell ref="AW484:AW489"/>
    <mergeCell ref="AF478:AF483"/>
    <mergeCell ref="AG478:AG483"/>
    <mergeCell ref="AJ478:AJ483"/>
    <mergeCell ref="AK478:AK483"/>
    <mergeCell ref="AL478:AL483"/>
    <mergeCell ref="AM478:AM483"/>
    <mergeCell ref="AN478:AN483"/>
    <mergeCell ref="AO478:AO483"/>
    <mergeCell ref="AS484:AS489"/>
    <mergeCell ref="AT484:AT489"/>
    <mergeCell ref="AX490:AX495"/>
    <mergeCell ref="C496:C501"/>
    <mergeCell ref="AG496:AG501"/>
    <mergeCell ref="AH496:AH501"/>
    <mergeCell ref="AI496:AI501"/>
    <mergeCell ref="AJ496:AJ501"/>
    <mergeCell ref="AK496:AK501"/>
    <mergeCell ref="AL496:AL501"/>
    <mergeCell ref="AM496:AM501"/>
    <mergeCell ref="AN496:AN501"/>
    <mergeCell ref="AR490:AR495"/>
    <mergeCell ref="AS490:AS495"/>
    <mergeCell ref="AT490:AT495"/>
    <mergeCell ref="AU490:AU495"/>
    <mergeCell ref="AV490:AV495"/>
    <mergeCell ref="AW490:AW495"/>
    <mergeCell ref="AX484:AX489"/>
    <mergeCell ref="AM484:AM489"/>
    <mergeCell ref="AN484:AN489"/>
    <mergeCell ref="AO484:AO489"/>
    <mergeCell ref="AP484:AP489"/>
    <mergeCell ref="AQ484:AQ489"/>
    <mergeCell ref="AR484:AR489"/>
    <mergeCell ref="AL490:AL495"/>
    <mergeCell ref="AM490:AM495"/>
    <mergeCell ref="AN490:AN495"/>
    <mergeCell ref="AX508:AX513"/>
    <mergeCell ref="AO508:AO513"/>
    <mergeCell ref="AP508:AP513"/>
    <mergeCell ref="AQ508:AQ513"/>
    <mergeCell ref="AT508:AT513"/>
    <mergeCell ref="AR508:AR513"/>
    <mergeCell ref="AU496:AU501"/>
    <mergeCell ref="AV496:AV501"/>
    <mergeCell ref="AW496:AW501"/>
    <mergeCell ref="AX496:AX501"/>
    <mergeCell ref="C502:C507"/>
    <mergeCell ref="AG502:AG507"/>
    <mergeCell ref="AH502:AH507"/>
    <mergeCell ref="AI502:AI507"/>
    <mergeCell ref="AJ502:AJ507"/>
    <mergeCell ref="AK502:AK507"/>
    <mergeCell ref="AO496:AO501"/>
    <mergeCell ref="AP496:AP501"/>
    <mergeCell ref="AQ496:AQ501"/>
    <mergeCell ref="AR496:AR501"/>
    <mergeCell ref="AS496:AS501"/>
    <mergeCell ref="AT496:AT501"/>
    <mergeCell ref="AX514:AX519"/>
    <mergeCell ref="AO514:AO519"/>
    <mergeCell ref="AP514:AP519"/>
    <mergeCell ref="AQ514:AQ519"/>
    <mergeCell ref="AR514:AR519"/>
    <mergeCell ref="AS514:AS519"/>
    <mergeCell ref="AT514:AT519"/>
    <mergeCell ref="AU514:AU519"/>
    <mergeCell ref="AV514:AV519"/>
    <mergeCell ref="AX502:AX507"/>
    <mergeCell ref="C508:C513"/>
    <mergeCell ref="AG508:AG513"/>
    <mergeCell ref="AH508:AH513"/>
    <mergeCell ref="AI508:AI513"/>
    <mergeCell ref="AJ508:AJ513"/>
    <mergeCell ref="AK508:AK513"/>
    <mergeCell ref="AL508:AL513"/>
    <mergeCell ref="AM508:AM513"/>
    <mergeCell ref="AN508:AN513"/>
    <mergeCell ref="AR502:AR507"/>
    <mergeCell ref="AS502:AS507"/>
    <mergeCell ref="AT502:AT507"/>
    <mergeCell ref="AU502:AU507"/>
    <mergeCell ref="AV502:AV507"/>
    <mergeCell ref="AW502:AW507"/>
    <mergeCell ref="AL502:AL507"/>
    <mergeCell ref="AM502:AM507"/>
    <mergeCell ref="AN502:AN507"/>
    <mergeCell ref="AO502:AO507"/>
    <mergeCell ref="AP502:AP507"/>
    <mergeCell ref="AQ502:AQ507"/>
    <mergeCell ref="AF508:AF513"/>
    <mergeCell ref="AX526:AX531"/>
    <mergeCell ref="C532:C537"/>
    <mergeCell ref="AG532:AG537"/>
    <mergeCell ref="AH532:AH537"/>
    <mergeCell ref="AR526:AR531"/>
    <mergeCell ref="AS526:AS531"/>
    <mergeCell ref="AT526:AT531"/>
    <mergeCell ref="AU526:AU531"/>
    <mergeCell ref="AV526:AV531"/>
    <mergeCell ref="AK526:AK531"/>
    <mergeCell ref="AL526:AL531"/>
    <mergeCell ref="AM526:AM531"/>
    <mergeCell ref="AN526:AN531"/>
    <mergeCell ref="AO526:AO531"/>
    <mergeCell ref="AL538:AL543"/>
    <mergeCell ref="AM538:AM543"/>
    <mergeCell ref="AN538:AN543"/>
    <mergeCell ref="AO538:AO543"/>
    <mergeCell ref="AP538:AP543"/>
    <mergeCell ref="AI532:AI537"/>
    <mergeCell ref="AJ532:AJ537"/>
    <mergeCell ref="AK532:AK537"/>
    <mergeCell ref="AL532:AL537"/>
    <mergeCell ref="AM532:AM537"/>
    <mergeCell ref="AQ526:AQ531"/>
    <mergeCell ref="AK538:AK543"/>
    <mergeCell ref="AT550:AT555"/>
    <mergeCell ref="AU550:AU555"/>
    <mergeCell ref="AV550:AV555"/>
    <mergeCell ref="AW550:AW555"/>
    <mergeCell ref="AW538:AW543"/>
    <mergeCell ref="AS508:AS513"/>
    <mergeCell ref="C538:C543"/>
    <mergeCell ref="AG538:AG543"/>
    <mergeCell ref="AH538:AH543"/>
    <mergeCell ref="AI538:AI543"/>
    <mergeCell ref="AJ538:AJ543"/>
    <mergeCell ref="AN532:AN537"/>
    <mergeCell ref="AO532:AO537"/>
    <mergeCell ref="AP532:AP537"/>
    <mergeCell ref="AQ532:AQ537"/>
    <mergeCell ref="AR532:AR537"/>
    <mergeCell ref="AS532:AS537"/>
    <mergeCell ref="AW526:AW531"/>
    <mergeCell ref="C514:C519"/>
    <mergeCell ref="AF514:AF519"/>
    <mergeCell ref="AG514:AG519"/>
    <mergeCell ref="AH514:AH519"/>
    <mergeCell ref="AI514:AI519"/>
    <mergeCell ref="AJ514:AJ519"/>
    <mergeCell ref="AK514:AK519"/>
    <mergeCell ref="AL514:AL519"/>
    <mergeCell ref="AM514:AM519"/>
    <mergeCell ref="AN514:AN519"/>
    <mergeCell ref="AW514:AW519"/>
    <mergeCell ref="AU508:AU513"/>
    <mergeCell ref="AV508:AV513"/>
    <mergeCell ref="AW508:AW513"/>
    <mergeCell ref="AW556:AW561"/>
    <mergeCell ref="AV568:AV573"/>
    <mergeCell ref="AW568:AW573"/>
    <mergeCell ref="AR568:AR573"/>
    <mergeCell ref="AS568:AS573"/>
    <mergeCell ref="AX550:AX555"/>
    <mergeCell ref="AN550:AN555"/>
    <mergeCell ref="AO550:AO555"/>
    <mergeCell ref="AP550:AP555"/>
    <mergeCell ref="AQ550:AQ555"/>
    <mergeCell ref="AR550:AR555"/>
    <mergeCell ref="AT532:AT537"/>
    <mergeCell ref="AU532:AU537"/>
    <mergeCell ref="AV532:AV537"/>
    <mergeCell ref="AW532:AW537"/>
    <mergeCell ref="AX532:AX537"/>
    <mergeCell ref="AW544:AW549"/>
    <mergeCell ref="AX544:AX549"/>
    <mergeCell ref="AQ538:AQ543"/>
    <mergeCell ref="AR538:AR543"/>
    <mergeCell ref="AS538:AS543"/>
    <mergeCell ref="AT538:AT543"/>
    <mergeCell ref="AU538:AU543"/>
    <mergeCell ref="AV538:AV543"/>
    <mergeCell ref="AO544:AO549"/>
    <mergeCell ref="AP544:AP549"/>
    <mergeCell ref="AQ544:AQ549"/>
    <mergeCell ref="AR544:AR549"/>
    <mergeCell ref="AS544:AS549"/>
    <mergeCell ref="AT544:AT549"/>
    <mergeCell ref="AU544:AU549"/>
    <mergeCell ref="AV544:AV549"/>
    <mergeCell ref="AX598:AX603"/>
    <mergeCell ref="AX580:AX585"/>
    <mergeCell ref="C586:C591"/>
    <mergeCell ref="AF586:AF591"/>
    <mergeCell ref="AG586:AG591"/>
    <mergeCell ref="AH586:AH591"/>
    <mergeCell ref="AI586:AI591"/>
    <mergeCell ref="AJ586:AJ591"/>
    <mergeCell ref="AK586:AK591"/>
    <mergeCell ref="AP580:AP585"/>
    <mergeCell ref="AQ580:AQ585"/>
    <mergeCell ref="AR580:AR585"/>
    <mergeCell ref="AS580:AS585"/>
    <mergeCell ref="AT580:AT585"/>
    <mergeCell ref="AU580:AU585"/>
    <mergeCell ref="AJ580:AJ585"/>
    <mergeCell ref="AK580:AK585"/>
    <mergeCell ref="AL580:AL585"/>
    <mergeCell ref="AM580:AM585"/>
    <mergeCell ref="AN580:AN585"/>
    <mergeCell ref="AO580:AO585"/>
    <mergeCell ref="AX586:AX591"/>
    <mergeCell ref="C580:C585"/>
    <mergeCell ref="AF580:AF585"/>
    <mergeCell ref="AG580:AG585"/>
    <mergeCell ref="AH580:AH585"/>
    <mergeCell ref="AU598:AU603"/>
    <mergeCell ref="AV598:AV603"/>
    <mergeCell ref="AW598:AW603"/>
    <mergeCell ref="AL598:AL603"/>
    <mergeCell ref="AM598:AM603"/>
    <mergeCell ref="AN598:AN603"/>
    <mergeCell ref="AU592:AU597"/>
    <mergeCell ref="AV592:AV597"/>
    <mergeCell ref="AW592:AW597"/>
    <mergeCell ref="AX592:AX597"/>
    <mergeCell ref="AI580:AI585"/>
    <mergeCell ref="AR586:AR591"/>
    <mergeCell ref="AS586:AS591"/>
    <mergeCell ref="AT586:AT591"/>
    <mergeCell ref="AU586:AU591"/>
    <mergeCell ref="AV586:AV591"/>
    <mergeCell ref="AW586:AW591"/>
    <mergeCell ref="AL586:AL591"/>
    <mergeCell ref="AM586:AM591"/>
    <mergeCell ref="AN586:AN591"/>
    <mergeCell ref="AO586:AO591"/>
    <mergeCell ref="AP586:AP591"/>
    <mergeCell ref="AQ586:AQ591"/>
    <mergeCell ref="AV580:AV585"/>
    <mergeCell ref="AW580:AW585"/>
    <mergeCell ref="AJ592:AJ597"/>
    <mergeCell ref="AK592:AK597"/>
    <mergeCell ref="AL592:AL597"/>
    <mergeCell ref="AM592:AM597"/>
    <mergeCell ref="C598:C603"/>
    <mergeCell ref="AG598:AG603"/>
    <mergeCell ref="AH598:AH603"/>
    <mergeCell ref="AI598:AI603"/>
    <mergeCell ref="AJ598:AJ603"/>
    <mergeCell ref="AK598:AK603"/>
    <mergeCell ref="AO592:AO597"/>
    <mergeCell ref="AP592:AP597"/>
    <mergeCell ref="AQ592:AQ597"/>
    <mergeCell ref="AR592:AR597"/>
    <mergeCell ref="AS592:AS597"/>
    <mergeCell ref="AT592:AT597"/>
    <mergeCell ref="C592:C597"/>
    <mergeCell ref="AG592:AG597"/>
    <mergeCell ref="AH592:AH597"/>
    <mergeCell ref="AI592:AI597"/>
    <mergeCell ref="AO616:AO621"/>
    <mergeCell ref="AP616:AP621"/>
    <mergeCell ref="AQ616:AQ621"/>
    <mergeCell ref="AR616:AR621"/>
    <mergeCell ref="AS616:AS621"/>
    <mergeCell ref="AT616:AT621"/>
    <mergeCell ref="AR598:AR603"/>
    <mergeCell ref="AS598:AS603"/>
    <mergeCell ref="AT598:AT603"/>
    <mergeCell ref="AN592:AN597"/>
    <mergeCell ref="AF592:AF597"/>
    <mergeCell ref="AO598:AO603"/>
    <mergeCell ref="AP598:AP603"/>
    <mergeCell ref="AQ598:AQ603"/>
    <mergeCell ref="AU604:AU609"/>
    <mergeCell ref="AV604:AV609"/>
    <mergeCell ref="AW604:AW609"/>
    <mergeCell ref="AX604:AX609"/>
    <mergeCell ref="C610:C615"/>
    <mergeCell ref="AG610:AG615"/>
    <mergeCell ref="AH610:AH615"/>
    <mergeCell ref="AI610:AI615"/>
    <mergeCell ref="AJ610:AJ615"/>
    <mergeCell ref="AK610:AK615"/>
    <mergeCell ref="AO604:AO609"/>
    <mergeCell ref="AP604:AP609"/>
    <mergeCell ref="AQ604:AQ609"/>
    <mergeCell ref="AR604:AR609"/>
    <mergeCell ref="AS604:AS609"/>
    <mergeCell ref="AT604:AT609"/>
    <mergeCell ref="C604:C609"/>
    <mergeCell ref="AG604:AG609"/>
    <mergeCell ref="AH604:AH609"/>
    <mergeCell ref="AI604:AI609"/>
    <mergeCell ref="AJ604:AJ609"/>
    <mergeCell ref="AK604:AK609"/>
    <mergeCell ref="AL604:AL609"/>
    <mergeCell ref="AM604:AM609"/>
    <mergeCell ref="AN604:AN609"/>
    <mergeCell ref="AJ628:AJ633"/>
    <mergeCell ref="AK628:AK633"/>
    <mergeCell ref="AL628:AL633"/>
    <mergeCell ref="AM628:AM633"/>
    <mergeCell ref="AN628:AN633"/>
    <mergeCell ref="AX634:AX639"/>
    <mergeCell ref="AX610:AX615"/>
    <mergeCell ref="C616:C621"/>
    <mergeCell ref="AG616:AG621"/>
    <mergeCell ref="AH616:AH621"/>
    <mergeCell ref="AI616:AI621"/>
    <mergeCell ref="AJ616:AJ621"/>
    <mergeCell ref="AK616:AK621"/>
    <mergeCell ref="AL616:AL621"/>
    <mergeCell ref="AM616:AM621"/>
    <mergeCell ref="AN616:AN621"/>
    <mergeCell ref="AR610:AR615"/>
    <mergeCell ref="AS610:AS615"/>
    <mergeCell ref="AT610:AT615"/>
    <mergeCell ref="AU610:AU615"/>
    <mergeCell ref="AV610:AV615"/>
    <mergeCell ref="AW610:AW615"/>
    <mergeCell ref="AL610:AL615"/>
    <mergeCell ref="AM610:AM615"/>
    <mergeCell ref="AN610:AN615"/>
    <mergeCell ref="AO610:AO615"/>
    <mergeCell ref="AP610:AP615"/>
    <mergeCell ref="AQ610:AQ615"/>
    <mergeCell ref="AU616:AU621"/>
    <mergeCell ref="AV616:AV621"/>
    <mergeCell ref="AW616:AW621"/>
    <mergeCell ref="AX616:AX621"/>
    <mergeCell ref="AR634:AR639"/>
    <mergeCell ref="AS634:AS639"/>
    <mergeCell ref="AT634:AT639"/>
    <mergeCell ref="AU634:AU639"/>
    <mergeCell ref="AV634:AV639"/>
    <mergeCell ref="AW634:AW639"/>
    <mergeCell ref="AL634:AL639"/>
    <mergeCell ref="AM634:AM639"/>
    <mergeCell ref="AN634:AN639"/>
    <mergeCell ref="AO634:AO639"/>
    <mergeCell ref="AP634:AP639"/>
    <mergeCell ref="AQ634:AQ639"/>
    <mergeCell ref="AU628:AU633"/>
    <mergeCell ref="AV628:AV633"/>
    <mergeCell ref="AW628:AW633"/>
    <mergeCell ref="AX628:AX633"/>
    <mergeCell ref="C634:C639"/>
    <mergeCell ref="AG634:AG639"/>
    <mergeCell ref="AH634:AH639"/>
    <mergeCell ref="AI634:AI639"/>
    <mergeCell ref="AJ634:AJ639"/>
    <mergeCell ref="AK634:AK639"/>
    <mergeCell ref="AO628:AO633"/>
    <mergeCell ref="AP628:AP633"/>
    <mergeCell ref="AQ628:AQ633"/>
    <mergeCell ref="AR628:AR633"/>
    <mergeCell ref="AS628:AS633"/>
    <mergeCell ref="AT628:AT633"/>
    <mergeCell ref="C628:C633"/>
    <mergeCell ref="AG628:AG633"/>
    <mergeCell ref="AH628:AH633"/>
    <mergeCell ref="AI628:AI633"/>
    <mergeCell ref="AL646:AL651"/>
    <mergeCell ref="AM646:AM651"/>
    <mergeCell ref="AN646:AN651"/>
    <mergeCell ref="AO646:AO651"/>
    <mergeCell ref="AP646:AP651"/>
    <mergeCell ref="AQ646:AQ651"/>
    <mergeCell ref="AU640:AU645"/>
    <mergeCell ref="AV640:AV645"/>
    <mergeCell ref="AW640:AW645"/>
    <mergeCell ref="AX640:AX645"/>
    <mergeCell ref="C646:C651"/>
    <mergeCell ref="AG646:AG651"/>
    <mergeCell ref="AH646:AH651"/>
    <mergeCell ref="AI646:AI651"/>
    <mergeCell ref="AJ646:AJ651"/>
    <mergeCell ref="AK646:AK651"/>
    <mergeCell ref="AO640:AO645"/>
    <mergeCell ref="AP640:AP645"/>
    <mergeCell ref="AQ640:AQ645"/>
    <mergeCell ref="AR640:AR645"/>
    <mergeCell ref="AS640:AS645"/>
    <mergeCell ref="AT640:AT645"/>
    <mergeCell ref="C640:C645"/>
    <mergeCell ref="AG640:AG645"/>
    <mergeCell ref="AH640:AH645"/>
    <mergeCell ref="AI640:AI645"/>
    <mergeCell ref="AJ640:AJ645"/>
    <mergeCell ref="AK640:AK645"/>
    <mergeCell ref="AL640:AL645"/>
    <mergeCell ref="AM640:AM645"/>
    <mergeCell ref="AN640:AN645"/>
    <mergeCell ref="AU652:AU657"/>
    <mergeCell ref="AV652:AV657"/>
    <mergeCell ref="AW652:AW657"/>
    <mergeCell ref="AX652:AX657"/>
    <mergeCell ref="A658:A669"/>
    <mergeCell ref="B658:B669"/>
    <mergeCell ref="C658:C663"/>
    <mergeCell ref="AF658:AF669"/>
    <mergeCell ref="AG658:AG663"/>
    <mergeCell ref="AH658:AH663"/>
    <mergeCell ref="AO652:AO657"/>
    <mergeCell ref="AP652:AP657"/>
    <mergeCell ref="AQ652:AQ657"/>
    <mergeCell ref="AR652:AR657"/>
    <mergeCell ref="AS652:AS657"/>
    <mergeCell ref="AT652:AT657"/>
    <mergeCell ref="AX646:AX651"/>
    <mergeCell ref="C652:C657"/>
    <mergeCell ref="AG652:AG657"/>
    <mergeCell ref="AH652:AH657"/>
    <mergeCell ref="AI652:AI657"/>
    <mergeCell ref="AJ652:AJ657"/>
    <mergeCell ref="AK652:AK657"/>
    <mergeCell ref="AL652:AL657"/>
    <mergeCell ref="AM652:AM657"/>
    <mergeCell ref="AN652:AN657"/>
    <mergeCell ref="AR646:AR651"/>
    <mergeCell ref="AS646:AS651"/>
    <mergeCell ref="AT646:AT651"/>
    <mergeCell ref="AU646:AU651"/>
    <mergeCell ref="AV646:AV651"/>
    <mergeCell ref="AW646:AW651"/>
    <mergeCell ref="AU658:AU663"/>
    <mergeCell ref="AV658:AV663"/>
    <mergeCell ref="AW658:AW663"/>
    <mergeCell ref="AX658:AX663"/>
    <mergeCell ref="AY658:AY663"/>
    <mergeCell ref="C664:C669"/>
    <mergeCell ref="AG664:AG669"/>
    <mergeCell ref="AH664:AH669"/>
    <mergeCell ref="AI664:AI669"/>
    <mergeCell ref="AJ664:AJ669"/>
    <mergeCell ref="AO658:AO663"/>
    <mergeCell ref="AP658:AP663"/>
    <mergeCell ref="AQ658:AQ663"/>
    <mergeCell ref="AR658:AR663"/>
    <mergeCell ref="AS658:AS663"/>
    <mergeCell ref="AT658:AT663"/>
    <mergeCell ref="AI658:AI663"/>
    <mergeCell ref="AJ658:AJ663"/>
    <mergeCell ref="AK658:AK663"/>
    <mergeCell ref="AL658:AL663"/>
    <mergeCell ref="AM658:AM663"/>
    <mergeCell ref="AN658:AN663"/>
    <mergeCell ref="AW664:AW669"/>
    <mergeCell ref="AX664:AX669"/>
    <mergeCell ref="S658:S663"/>
    <mergeCell ref="A670:A801"/>
    <mergeCell ref="B670:B801"/>
    <mergeCell ref="C670:C675"/>
    <mergeCell ref="AF670:AF675"/>
    <mergeCell ref="AG670:AG675"/>
    <mergeCell ref="AH670:AH675"/>
    <mergeCell ref="AI670:AI675"/>
    <mergeCell ref="AJ670:AJ675"/>
    <mergeCell ref="AQ664:AQ669"/>
    <mergeCell ref="AR664:AR669"/>
    <mergeCell ref="AS664:AS669"/>
    <mergeCell ref="AT664:AT669"/>
    <mergeCell ref="AU664:AU669"/>
    <mergeCell ref="AV664:AV669"/>
    <mergeCell ref="AK664:AK669"/>
    <mergeCell ref="AL664:AL669"/>
    <mergeCell ref="AM664:AM669"/>
    <mergeCell ref="AN664:AN669"/>
    <mergeCell ref="AO664:AO669"/>
    <mergeCell ref="AP664:AP669"/>
    <mergeCell ref="AQ676:AQ681"/>
    <mergeCell ref="AR676:AR681"/>
    <mergeCell ref="AT682:AT687"/>
    <mergeCell ref="AU682:AU687"/>
    <mergeCell ref="AV682:AV687"/>
    <mergeCell ref="AF694:AF699"/>
    <mergeCell ref="AS676:AS681"/>
    <mergeCell ref="AN676:AN681"/>
    <mergeCell ref="AO676:AO681"/>
    <mergeCell ref="AP676:AP681"/>
    <mergeCell ref="AK688:AK693"/>
    <mergeCell ref="AL688:AL693"/>
    <mergeCell ref="AW670:AW675"/>
    <mergeCell ref="AX670:AX675"/>
    <mergeCell ref="AY670:AY675"/>
    <mergeCell ref="C676:C681"/>
    <mergeCell ref="AG676:AG681"/>
    <mergeCell ref="AH676:AH681"/>
    <mergeCell ref="AI676:AI681"/>
    <mergeCell ref="AJ676:AJ681"/>
    <mergeCell ref="AK676:AK681"/>
    <mergeCell ref="AL676:AL681"/>
    <mergeCell ref="AQ670:AQ675"/>
    <mergeCell ref="AR670:AR675"/>
    <mergeCell ref="AS670:AS675"/>
    <mergeCell ref="AT670:AT675"/>
    <mergeCell ref="AU670:AU675"/>
    <mergeCell ref="AV670:AV675"/>
    <mergeCell ref="AK670:AK675"/>
    <mergeCell ref="AL670:AL675"/>
    <mergeCell ref="AM670:AM675"/>
    <mergeCell ref="AN670:AN675"/>
    <mergeCell ref="AO670:AO675"/>
    <mergeCell ref="AP670:AP675"/>
    <mergeCell ref="AF676:AF681"/>
    <mergeCell ref="AY676:AY681"/>
    <mergeCell ref="AT676:AT681"/>
    <mergeCell ref="AU676:AU681"/>
    <mergeCell ref="AV676:AV681"/>
    <mergeCell ref="AW676:AW681"/>
    <mergeCell ref="AX676:AX681"/>
    <mergeCell ref="AM676:AM681"/>
    <mergeCell ref="C688:C693"/>
    <mergeCell ref="AF688:AF693"/>
    <mergeCell ref="AG688:AG693"/>
    <mergeCell ref="AH688:AH693"/>
    <mergeCell ref="AI688:AI693"/>
    <mergeCell ref="AJ688:AJ693"/>
    <mergeCell ref="AW682:AW687"/>
    <mergeCell ref="AX682:AX687"/>
    <mergeCell ref="AY682:AY687"/>
    <mergeCell ref="AN682:AN687"/>
    <mergeCell ref="AO682:AO687"/>
    <mergeCell ref="AP682:AP687"/>
    <mergeCell ref="AQ682:AQ687"/>
    <mergeCell ref="AR682:AR687"/>
    <mergeCell ref="AS682:AS687"/>
    <mergeCell ref="C682:C687"/>
    <mergeCell ref="AF682:AF687"/>
    <mergeCell ref="AG682:AG687"/>
    <mergeCell ref="AH682:AH687"/>
    <mergeCell ref="AI682:AI687"/>
    <mergeCell ref="AJ682:AJ687"/>
    <mergeCell ref="AK682:AK687"/>
    <mergeCell ref="AL682:AL687"/>
    <mergeCell ref="AM682:AM687"/>
    <mergeCell ref="AU694:AU699"/>
    <mergeCell ref="AV694:AV699"/>
    <mergeCell ref="AW694:AW699"/>
    <mergeCell ref="AX694:AX699"/>
    <mergeCell ref="AM694:AM699"/>
    <mergeCell ref="AN694:AN699"/>
    <mergeCell ref="AO694:AO699"/>
    <mergeCell ref="AP694:AP699"/>
    <mergeCell ref="AQ694:AQ699"/>
    <mergeCell ref="AR694:AR699"/>
    <mergeCell ref="AW688:AW693"/>
    <mergeCell ref="AX688:AX693"/>
    <mergeCell ref="AY688:AY693"/>
    <mergeCell ref="AQ688:AQ693"/>
    <mergeCell ref="AR688:AR693"/>
    <mergeCell ref="AS688:AS693"/>
    <mergeCell ref="AT688:AT693"/>
    <mergeCell ref="AU688:AU693"/>
    <mergeCell ref="AV688:AV693"/>
    <mergeCell ref="AY694:AY699"/>
    <mergeCell ref="AM688:AM693"/>
    <mergeCell ref="AN688:AN693"/>
    <mergeCell ref="AO688:AO693"/>
    <mergeCell ref="AP688:AP693"/>
    <mergeCell ref="AY700:AY705"/>
    <mergeCell ref="C706:C711"/>
    <mergeCell ref="AF706:AF711"/>
    <mergeCell ref="AG706:AG711"/>
    <mergeCell ref="AH706:AH711"/>
    <mergeCell ref="AI706:AI711"/>
    <mergeCell ref="AJ706:AJ711"/>
    <mergeCell ref="AK706:AK711"/>
    <mergeCell ref="AL706:AL711"/>
    <mergeCell ref="AR700:AR705"/>
    <mergeCell ref="AS700:AS705"/>
    <mergeCell ref="AT700:AT705"/>
    <mergeCell ref="AU700:AU705"/>
    <mergeCell ref="AV700:AV705"/>
    <mergeCell ref="AW700:AW705"/>
    <mergeCell ref="AL700:AL705"/>
    <mergeCell ref="AM700:AM705"/>
    <mergeCell ref="AN700:AN705"/>
    <mergeCell ref="AO700:AO705"/>
    <mergeCell ref="AP700:AP705"/>
    <mergeCell ref="AQ700:AQ705"/>
    <mergeCell ref="C700:C705"/>
    <mergeCell ref="AG700:AG705"/>
    <mergeCell ref="AH700:AH705"/>
    <mergeCell ref="AI700:AI705"/>
    <mergeCell ref="AJ700:AJ705"/>
    <mergeCell ref="AK700:AK705"/>
    <mergeCell ref="AY706:AY711"/>
    <mergeCell ref="AK712:AK717"/>
    <mergeCell ref="AL712:AL717"/>
    <mergeCell ref="AM712:AM717"/>
    <mergeCell ref="AN712:AN717"/>
    <mergeCell ref="AS706:AS711"/>
    <mergeCell ref="AT706:AT711"/>
    <mergeCell ref="AU706:AU711"/>
    <mergeCell ref="AV706:AV711"/>
    <mergeCell ref="AW706:AW711"/>
    <mergeCell ref="AX706:AX711"/>
    <mergeCell ref="AM706:AM711"/>
    <mergeCell ref="AN706:AN711"/>
    <mergeCell ref="AO706:AO711"/>
    <mergeCell ref="AP706:AP711"/>
    <mergeCell ref="AQ706:AQ711"/>
    <mergeCell ref="AR706:AR711"/>
    <mergeCell ref="AX700:AX705"/>
    <mergeCell ref="AU712:AU717"/>
    <mergeCell ref="AV712:AV717"/>
    <mergeCell ref="AW712:AW717"/>
    <mergeCell ref="AX712:AX717"/>
    <mergeCell ref="AY712:AY717"/>
    <mergeCell ref="C718:C723"/>
    <mergeCell ref="AF718:AF723"/>
    <mergeCell ref="AG718:AG723"/>
    <mergeCell ref="AH718:AH723"/>
    <mergeCell ref="AI718:AI723"/>
    <mergeCell ref="AO712:AO717"/>
    <mergeCell ref="AP712:AP717"/>
    <mergeCell ref="AQ712:AQ717"/>
    <mergeCell ref="AR712:AR717"/>
    <mergeCell ref="AS712:AS717"/>
    <mergeCell ref="AT712:AT717"/>
    <mergeCell ref="AQ724:AQ729"/>
    <mergeCell ref="AR724:AR729"/>
    <mergeCell ref="AS724:AS729"/>
    <mergeCell ref="AT724:AT729"/>
    <mergeCell ref="AU724:AU729"/>
    <mergeCell ref="AV724:AV729"/>
    <mergeCell ref="AK724:AK729"/>
    <mergeCell ref="AL724:AL729"/>
    <mergeCell ref="AM724:AM729"/>
    <mergeCell ref="AN724:AN729"/>
    <mergeCell ref="AO724:AO729"/>
    <mergeCell ref="C712:C717"/>
    <mergeCell ref="AG712:AG717"/>
    <mergeCell ref="AH712:AH717"/>
    <mergeCell ref="AI712:AI717"/>
    <mergeCell ref="AJ712:AJ717"/>
    <mergeCell ref="AP724:AP729"/>
    <mergeCell ref="AV718:AV723"/>
    <mergeCell ref="AW718:AW723"/>
    <mergeCell ref="AX718:AX723"/>
    <mergeCell ref="AY718:AY723"/>
    <mergeCell ref="C724:C729"/>
    <mergeCell ref="AF724:AF729"/>
    <mergeCell ref="AG724:AG729"/>
    <mergeCell ref="AH724:AH729"/>
    <mergeCell ref="AI724:AI729"/>
    <mergeCell ref="AJ724:AJ729"/>
    <mergeCell ref="AP718:AP723"/>
    <mergeCell ref="AQ718:AQ723"/>
    <mergeCell ref="AR718:AR723"/>
    <mergeCell ref="AS718:AS723"/>
    <mergeCell ref="AT718:AT723"/>
    <mergeCell ref="AU718:AU723"/>
    <mergeCell ref="AJ718:AJ723"/>
    <mergeCell ref="AK718:AK723"/>
    <mergeCell ref="AL718:AL723"/>
    <mergeCell ref="AM718:AM723"/>
    <mergeCell ref="AN718:AN723"/>
    <mergeCell ref="AO718:AO723"/>
    <mergeCell ref="AW724:AW729"/>
    <mergeCell ref="AX724:AX729"/>
    <mergeCell ref="AY724:AY729"/>
    <mergeCell ref="AQ736:AQ741"/>
    <mergeCell ref="AR736:AR741"/>
    <mergeCell ref="AX730:AX735"/>
    <mergeCell ref="AY730:AY735"/>
    <mergeCell ref="C736:C741"/>
    <mergeCell ref="AF736:AF741"/>
    <mergeCell ref="AG736:AG741"/>
    <mergeCell ref="AH736:AH741"/>
    <mergeCell ref="AI736:AI741"/>
    <mergeCell ref="AJ736:AJ741"/>
    <mergeCell ref="AK736:AK741"/>
    <mergeCell ref="AL736:AL741"/>
    <mergeCell ref="AR730:AR735"/>
    <mergeCell ref="AS730:AS735"/>
    <mergeCell ref="AT730:AT735"/>
    <mergeCell ref="AU730:AU735"/>
    <mergeCell ref="AV730:AV735"/>
    <mergeCell ref="AW730:AW735"/>
    <mergeCell ref="AL730:AL735"/>
    <mergeCell ref="AM730:AM735"/>
    <mergeCell ref="AN730:AN735"/>
    <mergeCell ref="AO730:AO735"/>
    <mergeCell ref="AP730:AP735"/>
    <mergeCell ref="AQ730:AQ735"/>
    <mergeCell ref="C730:C735"/>
    <mergeCell ref="AF730:AF735"/>
    <mergeCell ref="AG730:AG735"/>
    <mergeCell ref="AH730:AH735"/>
    <mergeCell ref="AI730:AI735"/>
    <mergeCell ref="AJ730:AJ735"/>
    <mergeCell ref="AK730:AK735"/>
    <mergeCell ref="AT742:AT747"/>
    <mergeCell ref="AU742:AU747"/>
    <mergeCell ref="AV742:AV747"/>
    <mergeCell ref="AW742:AW747"/>
    <mergeCell ref="AX742:AX747"/>
    <mergeCell ref="AY742:AY747"/>
    <mergeCell ref="AN742:AN747"/>
    <mergeCell ref="AO742:AO747"/>
    <mergeCell ref="AP742:AP747"/>
    <mergeCell ref="AQ742:AQ747"/>
    <mergeCell ref="AR742:AR747"/>
    <mergeCell ref="AS742:AS747"/>
    <mergeCell ref="AY736:AY741"/>
    <mergeCell ref="C742:C747"/>
    <mergeCell ref="AF742:AF747"/>
    <mergeCell ref="AG742:AG747"/>
    <mergeCell ref="AH742:AH747"/>
    <mergeCell ref="AI742:AI747"/>
    <mergeCell ref="AJ742:AJ747"/>
    <mergeCell ref="AK742:AK747"/>
    <mergeCell ref="AL742:AL747"/>
    <mergeCell ref="AM742:AM747"/>
    <mergeCell ref="AS736:AS741"/>
    <mergeCell ref="AT736:AT741"/>
    <mergeCell ref="AU736:AU741"/>
    <mergeCell ref="AV736:AV741"/>
    <mergeCell ref="AW736:AW741"/>
    <mergeCell ref="AX736:AX741"/>
    <mergeCell ref="AM736:AM741"/>
    <mergeCell ref="AN736:AN741"/>
    <mergeCell ref="AO736:AO741"/>
    <mergeCell ref="AP736:AP741"/>
    <mergeCell ref="AP754:AP759"/>
    <mergeCell ref="AQ754:AQ759"/>
    <mergeCell ref="AW748:AW753"/>
    <mergeCell ref="AX748:AX753"/>
    <mergeCell ref="AY748:AY753"/>
    <mergeCell ref="C754:C759"/>
    <mergeCell ref="AF754:AF759"/>
    <mergeCell ref="AG754:AG759"/>
    <mergeCell ref="AH754:AH759"/>
    <mergeCell ref="AI754:AI759"/>
    <mergeCell ref="AJ754:AJ759"/>
    <mergeCell ref="AK754:AK759"/>
    <mergeCell ref="AQ748:AQ753"/>
    <mergeCell ref="AR748:AR753"/>
    <mergeCell ref="AS748:AS753"/>
    <mergeCell ref="AT748:AT753"/>
    <mergeCell ref="AU748:AU753"/>
    <mergeCell ref="AV748:AV753"/>
    <mergeCell ref="AK748:AK753"/>
    <mergeCell ref="AL748:AL753"/>
    <mergeCell ref="AM748:AM753"/>
    <mergeCell ref="AN748:AN753"/>
    <mergeCell ref="AO748:AO753"/>
    <mergeCell ref="AP748:AP753"/>
    <mergeCell ref="C748:C753"/>
    <mergeCell ref="AF748:AF753"/>
    <mergeCell ref="AG748:AG753"/>
    <mergeCell ref="AH748:AH753"/>
    <mergeCell ref="AI748:AI753"/>
    <mergeCell ref="AJ748:AJ753"/>
    <mergeCell ref="AT760:AT765"/>
    <mergeCell ref="AU760:AU765"/>
    <mergeCell ref="AV760:AV765"/>
    <mergeCell ref="AW760:AW765"/>
    <mergeCell ref="AX760:AX765"/>
    <mergeCell ref="AY760:AY765"/>
    <mergeCell ref="AN760:AN765"/>
    <mergeCell ref="AO760:AO765"/>
    <mergeCell ref="AP760:AP765"/>
    <mergeCell ref="AQ760:AQ765"/>
    <mergeCell ref="AR760:AR765"/>
    <mergeCell ref="AS760:AS765"/>
    <mergeCell ref="AX754:AX759"/>
    <mergeCell ref="AY754:AY759"/>
    <mergeCell ref="C760:C765"/>
    <mergeCell ref="AG760:AG765"/>
    <mergeCell ref="AH760:AH765"/>
    <mergeCell ref="AI760:AI765"/>
    <mergeCell ref="AJ760:AJ765"/>
    <mergeCell ref="AK760:AK765"/>
    <mergeCell ref="AL760:AL765"/>
    <mergeCell ref="AM760:AM765"/>
    <mergeCell ref="AR754:AR759"/>
    <mergeCell ref="AS754:AS759"/>
    <mergeCell ref="AT754:AT759"/>
    <mergeCell ref="AU754:AU759"/>
    <mergeCell ref="AV754:AV759"/>
    <mergeCell ref="AW754:AW759"/>
    <mergeCell ref="AL754:AL759"/>
    <mergeCell ref="AM754:AM759"/>
    <mergeCell ref="AN754:AN759"/>
    <mergeCell ref="AO754:AO759"/>
    <mergeCell ref="C772:C777"/>
    <mergeCell ref="AG772:AG777"/>
    <mergeCell ref="AH772:AH777"/>
    <mergeCell ref="AI772:AI777"/>
    <mergeCell ref="AJ772:AJ777"/>
    <mergeCell ref="AK772:AK777"/>
    <mergeCell ref="AL772:AL777"/>
    <mergeCell ref="AQ766:AQ771"/>
    <mergeCell ref="AR766:AR771"/>
    <mergeCell ref="AS766:AS771"/>
    <mergeCell ref="AT766:AT771"/>
    <mergeCell ref="AU766:AU771"/>
    <mergeCell ref="AV766:AV771"/>
    <mergeCell ref="AK766:AK771"/>
    <mergeCell ref="AL766:AL771"/>
    <mergeCell ref="AM766:AM771"/>
    <mergeCell ref="AN766:AN771"/>
    <mergeCell ref="AO766:AO771"/>
    <mergeCell ref="AP766:AP771"/>
    <mergeCell ref="C766:C771"/>
    <mergeCell ref="AF766:AF771"/>
    <mergeCell ref="AG766:AG771"/>
    <mergeCell ref="AH766:AH771"/>
    <mergeCell ref="AI766:AI771"/>
    <mergeCell ref="AJ766:AJ771"/>
    <mergeCell ref="AF772:AF777"/>
    <mergeCell ref="AO772:AO777"/>
    <mergeCell ref="AP772:AP777"/>
    <mergeCell ref="AI778:AI783"/>
    <mergeCell ref="AJ778:AJ783"/>
    <mergeCell ref="AK778:AK783"/>
    <mergeCell ref="AT772:AT777"/>
    <mergeCell ref="AU772:AU777"/>
    <mergeCell ref="AV772:AV777"/>
    <mergeCell ref="AW772:AW777"/>
    <mergeCell ref="AX772:AX777"/>
    <mergeCell ref="AY772:AY777"/>
    <mergeCell ref="AM772:AM777"/>
    <mergeCell ref="AN772:AN777"/>
    <mergeCell ref="AQ772:AQ777"/>
    <mergeCell ref="AR772:AR777"/>
    <mergeCell ref="AS772:AS777"/>
    <mergeCell ref="AW766:AW771"/>
    <mergeCell ref="AX766:AX771"/>
    <mergeCell ref="AY766:AY771"/>
    <mergeCell ref="AY784:AY789"/>
    <mergeCell ref="AN784:AN789"/>
    <mergeCell ref="AO784:AO789"/>
    <mergeCell ref="AP784:AP789"/>
    <mergeCell ref="AQ784:AQ789"/>
    <mergeCell ref="AR784:AR789"/>
    <mergeCell ref="AS784:AS789"/>
    <mergeCell ref="AY778:AY783"/>
    <mergeCell ref="C784:C789"/>
    <mergeCell ref="AF784:AF789"/>
    <mergeCell ref="AG784:AG789"/>
    <mergeCell ref="AH784:AH789"/>
    <mergeCell ref="AI784:AI789"/>
    <mergeCell ref="AJ784:AJ789"/>
    <mergeCell ref="AK784:AK789"/>
    <mergeCell ref="AL784:AL789"/>
    <mergeCell ref="AM784:AM789"/>
    <mergeCell ref="AS778:AS783"/>
    <mergeCell ref="AT778:AT783"/>
    <mergeCell ref="AU778:AU783"/>
    <mergeCell ref="AV778:AV783"/>
    <mergeCell ref="AW778:AW783"/>
    <mergeCell ref="AX778:AX783"/>
    <mergeCell ref="AL778:AL783"/>
    <mergeCell ref="AM778:AM783"/>
    <mergeCell ref="AN778:AN783"/>
    <mergeCell ref="AO778:AP783"/>
    <mergeCell ref="AQ778:AQ783"/>
    <mergeCell ref="AR778:AR783"/>
    <mergeCell ref="C778:C783"/>
    <mergeCell ref="AG778:AG783"/>
    <mergeCell ref="AH778:AH783"/>
    <mergeCell ref="AL790:AL795"/>
    <mergeCell ref="AM790:AM795"/>
    <mergeCell ref="AN790:AN795"/>
    <mergeCell ref="AO790:AO795"/>
    <mergeCell ref="AP790:AP795"/>
    <mergeCell ref="AQ790:AQ795"/>
    <mergeCell ref="C790:C795"/>
    <mergeCell ref="AG790:AG795"/>
    <mergeCell ref="AH790:AH795"/>
    <mergeCell ref="AI790:AI795"/>
    <mergeCell ref="AJ790:AJ795"/>
    <mergeCell ref="AK790:AK795"/>
    <mergeCell ref="AT784:AT789"/>
    <mergeCell ref="AU784:AU789"/>
    <mergeCell ref="AV784:AV789"/>
    <mergeCell ref="AW784:AW789"/>
    <mergeCell ref="AX784:AX789"/>
    <mergeCell ref="AU796:AU801"/>
    <mergeCell ref="AV796:AV801"/>
    <mergeCell ref="AW796:AW801"/>
    <mergeCell ref="AX796:AX801"/>
    <mergeCell ref="A802:A879"/>
    <mergeCell ref="B802:B879"/>
    <mergeCell ref="C802:C807"/>
    <mergeCell ref="AG802:AG807"/>
    <mergeCell ref="AH802:AH807"/>
    <mergeCell ref="AI802:AI807"/>
    <mergeCell ref="AO796:AO801"/>
    <mergeCell ref="AP796:AP801"/>
    <mergeCell ref="AQ796:AQ801"/>
    <mergeCell ref="AR796:AR801"/>
    <mergeCell ref="AS796:AS801"/>
    <mergeCell ref="AT796:AT801"/>
    <mergeCell ref="AX790:AX795"/>
    <mergeCell ref="C796:C801"/>
    <mergeCell ref="AG796:AG801"/>
    <mergeCell ref="AH796:AH801"/>
    <mergeCell ref="AI796:AI801"/>
    <mergeCell ref="AJ796:AJ801"/>
    <mergeCell ref="AK796:AK801"/>
    <mergeCell ref="AL796:AL801"/>
    <mergeCell ref="AM796:AM801"/>
    <mergeCell ref="AN796:AN801"/>
    <mergeCell ref="AR790:AR795"/>
    <mergeCell ref="AS790:AS795"/>
    <mergeCell ref="AT790:AT795"/>
    <mergeCell ref="AU790:AU795"/>
    <mergeCell ref="AV790:AV795"/>
    <mergeCell ref="AW790:AW795"/>
    <mergeCell ref="C808:C813"/>
    <mergeCell ref="AG808:AG813"/>
    <mergeCell ref="AH808:AH813"/>
    <mergeCell ref="AI808:AI813"/>
    <mergeCell ref="AJ808:AJ813"/>
    <mergeCell ref="AP802:AP807"/>
    <mergeCell ref="AQ802:AQ807"/>
    <mergeCell ref="AR802:AR807"/>
    <mergeCell ref="AS802:AS807"/>
    <mergeCell ref="AT802:AT807"/>
    <mergeCell ref="AU802:AU807"/>
    <mergeCell ref="AJ802:AJ807"/>
    <mergeCell ref="AK802:AK807"/>
    <mergeCell ref="AL802:AL807"/>
    <mergeCell ref="AM802:AM807"/>
    <mergeCell ref="AN802:AN807"/>
    <mergeCell ref="AO802:AO807"/>
    <mergeCell ref="AQ808:AQ813"/>
    <mergeCell ref="AR808:AR813"/>
    <mergeCell ref="AS808:AS813"/>
    <mergeCell ref="AT808:AT813"/>
    <mergeCell ref="AU808:AU813"/>
    <mergeCell ref="AV808:AV813"/>
    <mergeCell ref="AK808:AK813"/>
    <mergeCell ref="AL808:AL813"/>
    <mergeCell ref="AM808:AM813"/>
    <mergeCell ref="AN808:AN813"/>
    <mergeCell ref="AO808:AO813"/>
    <mergeCell ref="AP808:AP813"/>
    <mergeCell ref="AV802:AV807"/>
    <mergeCell ref="AW802:AW807"/>
    <mergeCell ref="AX802:AX807"/>
    <mergeCell ref="AY802:AY807"/>
    <mergeCell ref="AF803:AF807"/>
    <mergeCell ref="AW808:AW813"/>
    <mergeCell ref="AX808:AX813"/>
    <mergeCell ref="AY808:AY813"/>
    <mergeCell ref="AX814:AX819"/>
    <mergeCell ref="AY814:AY819"/>
    <mergeCell ref="AR814:AR819"/>
    <mergeCell ref="AS814:AS819"/>
    <mergeCell ref="AT814:AT819"/>
    <mergeCell ref="AU814:AU819"/>
    <mergeCell ref="AV814:AV819"/>
    <mergeCell ref="AW814:AW819"/>
    <mergeCell ref="AL814:AL819"/>
    <mergeCell ref="AM814:AM819"/>
    <mergeCell ref="AN814:AN819"/>
    <mergeCell ref="AO814:AO819"/>
    <mergeCell ref="AP814:AP819"/>
    <mergeCell ref="AQ814:AQ819"/>
    <mergeCell ref="C814:C819"/>
    <mergeCell ref="AG814:AG819"/>
    <mergeCell ref="AH814:AH819"/>
    <mergeCell ref="AI814:AI819"/>
    <mergeCell ref="AJ814:AJ819"/>
    <mergeCell ref="AK814:AK819"/>
    <mergeCell ref="C826:C831"/>
    <mergeCell ref="AG826:AG831"/>
    <mergeCell ref="AH826:AH831"/>
    <mergeCell ref="AI826:AI831"/>
    <mergeCell ref="AJ826:AJ831"/>
    <mergeCell ref="AX832:AX837"/>
    <mergeCell ref="AY832:AY837"/>
    <mergeCell ref="AT820:AT825"/>
    <mergeCell ref="AU820:AU825"/>
    <mergeCell ref="AV820:AV825"/>
    <mergeCell ref="AW820:AW825"/>
    <mergeCell ref="AX820:AX825"/>
    <mergeCell ref="AY820:AY825"/>
    <mergeCell ref="AN820:AN825"/>
    <mergeCell ref="AO820:AO825"/>
    <mergeCell ref="AP820:AP825"/>
    <mergeCell ref="AQ820:AQ825"/>
    <mergeCell ref="AR820:AR825"/>
    <mergeCell ref="AS820:AS825"/>
    <mergeCell ref="AW832:AW837"/>
    <mergeCell ref="AL832:AL837"/>
    <mergeCell ref="AM832:AM837"/>
    <mergeCell ref="AN832:AN837"/>
    <mergeCell ref="AO832:AO837"/>
    <mergeCell ref="AP832:AP837"/>
    <mergeCell ref="AQ832:AQ837"/>
    <mergeCell ref="AH820:AH825"/>
    <mergeCell ref="AI820:AI825"/>
    <mergeCell ref="AJ820:AJ825"/>
    <mergeCell ref="AK820:AK825"/>
    <mergeCell ref="AU868:AU873"/>
    <mergeCell ref="AV868:AV873"/>
    <mergeCell ref="AW868:AW873"/>
    <mergeCell ref="AX868:AX873"/>
    <mergeCell ref="AY868:AY873"/>
    <mergeCell ref="C874:C879"/>
    <mergeCell ref="AG874:AG879"/>
    <mergeCell ref="AH874:AH879"/>
    <mergeCell ref="AI874:AI879"/>
    <mergeCell ref="AJ874:AJ879"/>
    <mergeCell ref="AO868:AO873"/>
    <mergeCell ref="AP868:AP873"/>
    <mergeCell ref="AQ868:AQ873"/>
    <mergeCell ref="AR868:AR873"/>
    <mergeCell ref="AS868:AS873"/>
    <mergeCell ref="AT868:AT873"/>
    <mergeCell ref="AY844:AY849"/>
    <mergeCell ref="C868:C873"/>
    <mergeCell ref="AG868:AG873"/>
    <mergeCell ref="AH868:AH873"/>
    <mergeCell ref="AI868:AI873"/>
    <mergeCell ref="AJ868:AJ873"/>
    <mergeCell ref="AK868:AK873"/>
    <mergeCell ref="AL868:AL873"/>
    <mergeCell ref="AM868:AM873"/>
    <mergeCell ref="AN868:AN873"/>
    <mergeCell ref="AU856:AU861"/>
    <mergeCell ref="AV856:AV861"/>
    <mergeCell ref="AW874:AW879"/>
    <mergeCell ref="AX874:AX879"/>
    <mergeCell ref="AY874:AY879"/>
    <mergeCell ref="A880:A891"/>
    <mergeCell ref="B880:B891"/>
    <mergeCell ref="C880:C885"/>
    <mergeCell ref="S880:S891"/>
    <mergeCell ref="AF880:AF891"/>
    <mergeCell ref="AG880:AG885"/>
    <mergeCell ref="AH880:AH885"/>
    <mergeCell ref="AQ874:AQ879"/>
    <mergeCell ref="AR874:AR879"/>
    <mergeCell ref="AS874:AS879"/>
    <mergeCell ref="AT874:AT879"/>
    <mergeCell ref="AU874:AU879"/>
    <mergeCell ref="AV874:AV879"/>
    <mergeCell ref="AK874:AK879"/>
    <mergeCell ref="AL874:AL879"/>
    <mergeCell ref="AM874:AM879"/>
    <mergeCell ref="AN874:AN879"/>
    <mergeCell ref="AO874:AO879"/>
    <mergeCell ref="AP874:AP879"/>
    <mergeCell ref="AU880:AU885"/>
    <mergeCell ref="AV880:AV885"/>
    <mergeCell ref="AW880:AW885"/>
    <mergeCell ref="AX880:AX885"/>
    <mergeCell ref="AY880:AY885"/>
    <mergeCell ref="C886:C891"/>
    <mergeCell ref="AG886:AG891"/>
    <mergeCell ref="AH886:AH891"/>
    <mergeCell ref="AI886:AI891"/>
    <mergeCell ref="AJ886:AJ891"/>
    <mergeCell ref="AO880:AO885"/>
    <mergeCell ref="AP880:AP885"/>
    <mergeCell ref="AQ880:AQ885"/>
    <mergeCell ref="AR880:AR885"/>
    <mergeCell ref="AS880:AS885"/>
    <mergeCell ref="AT880:AT885"/>
    <mergeCell ref="AI880:AI885"/>
    <mergeCell ref="AJ880:AJ885"/>
    <mergeCell ref="AK880:AK885"/>
    <mergeCell ref="AL880:AL885"/>
    <mergeCell ref="AM880:AM885"/>
    <mergeCell ref="AN880:AN885"/>
    <mergeCell ref="AW886:AW891"/>
    <mergeCell ref="AX886:AX891"/>
    <mergeCell ref="AY886:AY891"/>
    <mergeCell ref="A892:A963"/>
    <mergeCell ref="B892:B963"/>
    <mergeCell ref="C892:C897"/>
    <mergeCell ref="AG892:AG897"/>
    <mergeCell ref="AH892:AH897"/>
    <mergeCell ref="AQ886:AQ891"/>
    <mergeCell ref="AR886:AR891"/>
    <mergeCell ref="AS886:AS891"/>
    <mergeCell ref="AT886:AT891"/>
    <mergeCell ref="AU886:AU891"/>
    <mergeCell ref="AV886:AV891"/>
    <mergeCell ref="AK886:AK891"/>
    <mergeCell ref="AL886:AL891"/>
    <mergeCell ref="AM886:AM891"/>
    <mergeCell ref="AN886:AN891"/>
    <mergeCell ref="AO886:AO891"/>
    <mergeCell ref="AP886:AP891"/>
    <mergeCell ref="AU892:AU897"/>
    <mergeCell ref="AV892:AV897"/>
    <mergeCell ref="AU904:AU909"/>
    <mergeCell ref="AV904:AV909"/>
    <mergeCell ref="C916:C921"/>
    <mergeCell ref="AG916:AG921"/>
    <mergeCell ref="AH916:AH921"/>
    <mergeCell ref="AI916:AI921"/>
    <mergeCell ref="AJ916:AJ921"/>
    <mergeCell ref="AW892:AW897"/>
    <mergeCell ref="AX892:AX897"/>
    <mergeCell ref="C898:C903"/>
    <mergeCell ref="AG898:AG903"/>
    <mergeCell ref="AH898:AH903"/>
    <mergeCell ref="AI898:AI903"/>
    <mergeCell ref="AJ898:AJ903"/>
    <mergeCell ref="AK898:AK903"/>
    <mergeCell ref="AO892:AO897"/>
    <mergeCell ref="AP892:AP897"/>
    <mergeCell ref="AQ892:AQ897"/>
    <mergeCell ref="AR892:AR897"/>
    <mergeCell ref="AS892:AS897"/>
    <mergeCell ref="AT892:AT897"/>
    <mergeCell ref="AI892:AI897"/>
    <mergeCell ref="AJ892:AJ897"/>
    <mergeCell ref="AK892:AK897"/>
    <mergeCell ref="AL892:AL897"/>
    <mergeCell ref="AM892:AM897"/>
    <mergeCell ref="AN892:AN897"/>
    <mergeCell ref="AW904:AW909"/>
    <mergeCell ref="AX904:AX909"/>
    <mergeCell ref="C910:C915"/>
    <mergeCell ref="AG910:AG915"/>
    <mergeCell ref="AH910:AH915"/>
    <mergeCell ref="AI910:AI915"/>
    <mergeCell ref="AJ910:AJ915"/>
    <mergeCell ref="AK910:AK915"/>
    <mergeCell ref="AO904:AO909"/>
    <mergeCell ref="AP904:AP909"/>
    <mergeCell ref="AQ904:AQ909"/>
    <mergeCell ref="AR904:AR909"/>
    <mergeCell ref="AS904:AS909"/>
    <mergeCell ref="AT904:AT909"/>
    <mergeCell ref="AX898:AX903"/>
    <mergeCell ref="C904:C909"/>
    <mergeCell ref="AG904:AG909"/>
    <mergeCell ref="AH904:AH909"/>
    <mergeCell ref="AI904:AI909"/>
    <mergeCell ref="AJ904:AJ909"/>
    <mergeCell ref="AK904:AK909"/>
    <mergeCell ref="AL904:AL909"/>
    <mergeCell ref="AM904:AM909"/>
    <mergeCell ref="AN904:AN909"/>
    <mergeCell ref="AR898:AR903"/>
    <mergeCell ref="AS898:AS903"/>
    <mergeCell ref="AT898:AT903"/>
    <mergeCell ref="AU898:AU903"/>
    <mergeCell ref="AV898:AV903"/>
    <mergeCell ref="AW898:AW903"/>
    <mergeCell ref="AX910:AX915"/>
    <mergeCell ref="AR910:AR915"/>
    <mergeCell ref="AS910:AS915"/>
    <mergeCell ref="AT910:AT915"/>
    <mergeCell ref="AU910:AU915"/>
    <mergeCell ref="AV910:AV915"/>
    <mergeCell ref="AW910:AW915"/>
    <mergeCell ref="AL910:AL915"/>
    <mergeCell ref="AM910:AM915"/>
    <mergeCell ref="AN910:AN915"/>
    <mergeCell ref="AO910:AO915"/>
    <mergeCell ref="AP910:AP915"/>
    <mergeCell ref="AQ910:AQ915"/>
    <mergeCell ref="AL922:AL927"/>
    <mergeCell ref="AM922:AM927"/>
    <mergeCell ref="AN922:AN927"/>
    <mergeCell ref="AO922:AO927"/>
    <mergeCell ref="AP922:AP927"/>
    <mergeCell ref="AQ922:AQ927"/>
    <mergeCell ref="AU916:AU921"/>
    <mergeCell ref="AV916:AV921"/>
    <mergeCell ref="AW916:AW921"/>
    <mergeCell ref="AL898:AL903"/>
    <mergeCell ref="AM898:AM903"/>
    <mergeCell ref="AN898:AN903"/>
    <mergeCell ref="AO898:AO903"/>
    <mergeCell ref="AP898:AP903"/>
    <mergeCell ref="AQ898:AQ903"/>
    <mergeCell ref="AX934:AX939"/>
    <mergeCell ref="AX916:AX921"/>
    <mergeCell ref="C922:C927"/>
    <mergeCell ref="AG922:AG927"/>
    <mergeCell ref="AH922:AH927"/>
    <mergeCell ref="AI922:AI927"/>
    <mergeCell ref="AJ922:AJ927"/>
    <mergeCell ref="AK922:AK927"/>
    <mergeCell ref="AO916:AO921"/>
    <mergeCell ref="AP916:AP921"/>
    <mergeCell ref="AQ916:AQ921"/>
    <mergeCell ref="AR916:AR921"/>
    <mergeCell ref="AS916:AS921"/>
    <mergeCell ref="AT916:AT921"/>
    <mergeCell ref="AU928:AU933"/>
    <mergeCell ref="AV928:AV933"/>
    <mergeCell ref="AW928:AW933"/>
    <mergeCell ref="AX928:AX933"/>
    <mergeCell ref="AK916:AK921"/>
    <mergeCell ref="AL916:AL921"/>
    <mergeCell ref="AM916:AM921"/>
    <mergeCell ref="AN916:AN921"/>
    <mergeCell ref="AO928:AO933"/>
    <mergeCell ref="AP928:AP933"/>
    <mergeCell ref="AQ928:AQ933"/>
    <mergeCell ref="AR928:AR933"/>
    <mergeCell ref="AS928:AS933"/>
    <mergeCell ref="AT928:AT933"/>
    <mergeCell ref="AX922:AX927"/>
    <mergeCell ref="C928:C933"/>
    <mergeCell ref="AG928:AG933"/>
    <mergeCell ref="AH928:AH933"/>
    <mergeCell ref="AN928:AN933"/>
    <mergeCell ref="AR922:AR927"/>
    <mergeCell ref="AS922:AS927"/>
    <mergeCell ref="AT922:AT927"/>
    <mergeCell ref="AU922:AU927"/>
    <mergeCell ref="AV922:AV927"/>
    <mergeCell ref="AW922:AW927"/>
    <mergeCell ref="AR934:AR939"/>
    <mergeCell ref="AS934:AS939"/>
    <mergeCell ref="AT934:AT939"/>
    <mergeCell ref="AU934:AU939"/>
    <mergeCell ref="AV934:AV939"/>
    <mergeCell ref="AW934:AW939"/>
    <mergeCell ref="AL934:AL939"/>
    <mergeCell ref="AM934:AM939"/>
    <mergeCell ref="AN934:AN939"/>
    <mergeCell ref="AO934:AO939"/>
    <mergeCell ref="AP934:AP939"/>
    <mergeCell ref="AQ934:AQ939"/>
    <mergeCell ref="AX940:AX945"/>
    <mergeCell ref="C946:C951"/>
    <mergeCell ref="AG946:AG951"/>
    <mergeCell ref="AH946:AH951"/>
    <mergeCell ref="AI946:AI951"/>
    <mergeCell ref="AJ946:AJ951"/>
    <mergeCell ref="AK946:AK951"/>
    <mergeCell ref="AO940:AO945"/>
    <mergeCell ref="AP940:AP945"/>
    <mergeCell ref="AQ940:AQ945"/>
    <mergeCell ref="AR940:AR945"/>
    <mergeCell ref="AS940:AS945"/>
    <mergeCell ref="AT940:AT945"/>
    <mergeCell ref="C940:C945"/>
    <mergeCell ref="AG940:AG945"/>
    <mergeCell ref="AH940:AH945"/>
    <mergeCell ref="AI940:AI945"/>
    <mergeCell ref="AX952:AX957"/>
    <mergeCell ref="C958:C963"/>
    <mergeCell ref="AG958:AG963"/>
    <mergeCell ref="AH958:AH963"/>
    <mergeCell ref="AI958:AI963"/>
    <mergeCell ref="AJ958:AJ963"/>
    <mergeCell ref="AK958:AK963"/>
    <mergeCell ref="AO952:AO957"/>
    <mergeCell ref="AP952:AP957"/>
    <mergeCell ref="AQ952:AQ957"/>
    <mergeCell ref="AR952:AR957"/>
    <mergeCell ref="AS952:AS957"/>
    <mergeCell ref="AT952:AT957"/>
    <mergeCell ref="AX946:AX951"/>
    <mergeCell ref="C952:C957"/>
    <mergeCell ref="AG952:AG957"/>
    <mergeCell ref="AH952:AH957"/>
    <mergeCell ref="AI952:AI957"/>
    <mergeCell ref="AJ952:AJ957"/>
    <mergeCell ref="AK952:AK957"/>
    <mergeCell ref="AL952:AL957"/>
    <mergeCell ref="AM952:AM957"/>
    <mergeCell ref="AN952:AN957"/>
    <mergeCell ref="AR946:AR951"/>
    <mergeCell ref="AL946:AL951"/>
    <mergeCell ref="AM946:AM951"/>
    <mergeCell ref="AN946:AN951"/>
    <mergeCell ref="AO946:AO951"/>
    <mergeCell ref="AP946:AP951"/>
    <mergeCell ref="AQ946:AQ951"/>
    <mergeCell ref="AW946:AW951"/>
    <mergeCell ref="AR958:AR963"/>
    <mergeCell ref="AS958:AS963"/>
    <mergeCell ref="AT958:AT963"/>
    <mergeCell ref="AU958:AU963"/>
    <mergeCell ref="AV958:AV963"/>
    <mergeCell ref="AW958:AW963"/>
    <mergeCell ref="AL958:AL963"/>
    <mergeCell ref="AM958:AM963"/>
    <mergeCell ref="AN958:AN963"/>
    <mergeCell ref="AO958:AO963"/>
    <mergeCell ref="AP958:AP963"/>
    <mergeCell ref="AQ958:AQ963"/>
    <mergeCell ref="AJ940:AJ945"/>
    <mergeCell ref="AK940:AK945"/>
    <mergeCell ref="AL940:AL945"/>
    <mergeCell ref="AM940:AM945"/>
    <mergeCell ref="AN940:AN945"/>
    <mergeCell ref="AU952:AU957"/>
    <mergeCell ref="AV952:AV957"/>
    <mergeCell ref="AW952:AW957"/>
    <mergeCell ref="AU940:AU945"/>
    <mergeCell ref="AV940:AV945"/>
    <mergeCell ref="AW940:AW945"/>
    <mergeCell ref="AX964:AX969"/>
    <mergeCell ref="C970:C975"/>
    <mergeCell ref="AG970:AG975"/>
    <mergeCell ref="AN970:AN975"/>
    <mergeCell ref="AR964:AR969"/>
    <mergeCell ref="AS964:AS969"/>
    <mergeCell ref="AT964:AT969"/>
    <mergeCell ref="AU964:AU969"/>
    <mergeCell ref="AV964:AV969"/>
    <mergeCell ref="AW964:AW969"/>
    <mergeCell ref="AW970:AW975"/>
    <mergeCell ref="AX970:AX975"/>
    <mergeCell ref="AR970:AR975"/>
    <mergeCell ref="AS970:AS975"/>
    <mergeCell ref="AT970:AT975"/>
    <mergeCell ref="AH970:AH975"/>
    <mergeCell ref="AI970:AI975"/>
    <mergeCell ref="AJ970:AJ975"/>
    <mergeCell ref="AK970:AK975"/>
    <mergeCell ref="AL970:AL975"/>
    <mergeCell ref="AX976:AX981"/>
    <mergeCell ref="AL964:AL969"/>
    <mergeCell ref="AM964:AM969"/>
    <mergeCell ref="AN964:AN969"/>
    <mergeCell ref="AO964:AO969"/>
    <mergeCell ref="AP964:AP969"/>
    <mergeCell ref="AQ964:AQ969"/>
    <mergeCell ref="S952:S957"/>
    <mergeCell ref="AF952:AF957"/>
    <mergeCell ref="S958:S963"/>
    <mergeCell ref="AF958:AF963"/>
    <mergeCell ref="AK982:AK987"/>
    <mergeCell ref="AO976:AO981"/>
    <mergeCell ref="AP976:AP981"/>
    <mergeCell ref="AQ976:AQ981"/>
    <mergeCell ref="AR976:AR981"/>
    <mergeCell ref="AS976:AS981"/>
    <mergeCell ref="AT976:AT981"/>
    <mergeCell ref="AI976:AI981"/>
    <mergeCell ref="AJ976:AJ981"/>
    <mergeCell ref="AK976:AK981"/>
    <mergeCell ref="AL976:AL981"/>
    <mergeCell ref="AM976:AM981"/>
    <mergeCell ref="AN976:AN981"/>
    <mergeCell ref="AF976:AF987"/>
    <mergeCell ref="AG976:AG981"/>
    <mergeCell ref="AH976:AH981"/>
    <mergeCell ref="AO970:AO975"/>
    <mergeCell ref="AX958:AX963"/>
    <mergeCell ref="AF964:AF975"/>
    <mergeCell ref="AP970:AP975"/>
    <mergeCell ref="AQ970:AQ975"/>
    <mergeCell ref="AW976:AW981"/>
    <mergeCell ref="AM970:AM975"/>
    <mergeCell ref="A988:C990"/>
    <mergeCell ref="AR982:AR987"/>
    <mergeCell ref="AS982:AS987"/>
    <mergeCell ref="AT982:AT987"/>
    <mergeCell ref="AU982:AU987"/>
    <mergeCell ref="AV982:AV987"/>
    <mergeCell ref="AU970:AU975"/>
    <mergeCell ref="AV970:AV975"/>
    <mergeCell ref="A964:A975"/>
    <mergeCell ref="B964:B975"/>
    <mergeCell ref="C964:C969"/>
    <mergeCell ref="AG964:AG969"/>
    <mergeCell ref="AH964:AH969"/>
    <mergeCell ref="AI964:AI969"/>
    <mergeCell ref="AJ964:AJ969"/>
    <mergeCell ref="AK964:AK969"/>
    <mergeCell ref="C982:C987"/>
    <mergeCell ref="AN982:AN987"/>
    <mergeCell ref="AO982:AO987"/>
    <mergeCell ref="AP982:AP987"/>
    <mergeCell ref="AQ982:AQ987"/>
    <mergeCell ref="C844:C849"/>
    <mergeCell ref="AS844:AS849"/>
    <mergeCell ref="AT844:AT849"/>
    <mergeCell ref="AU844:AU849"/>
    <mergeCell ref="AF850:AF855"/>
    <mergeCell ref="AP844:AP849"/>
    <mergeCell ref="AQ844:AQ849"/>
    <mergeCell ref="AR844:AR849"/>
    <mergeCell ref="AG982:AG987"/>
    <mergeCell ref="AH982:AH987"/>
    <mergeCell ref="AI982:AI987"/>
    <mergeCell ref="AJ982:AJ987"/>
    <mergeCell ref="A976:A987"/>
    <mergeCell ref="B976:B987"/>
    <mergeCell ref="C976:C981"/>
    <mergeCell ref="AU976:AU981"/>
    <mergeCell ref="AV976:AV981"/>
    <mergeCell ref="AS946:AS951"/>
    <mergeCell ref="AT946:AT951"/>
    <mergeCell ref="AU946:AU951"/>
    <mergeCell ref="AV946:AV951"/>
    <mergeCell ref="C934:C939"/>
    <mergeCell ref="AG934:AG939"/>
    <mergeCell ref="AH934:AH939"/>
    <mergeCell ref="AI934:AI939"/>
    <mergeCell ref="AJ934:AJ939"/>
    <mergeCell ref="AK934:AK939"/>
    <mergeCell ref="AI928:AI933"/>
    <mergeCell ref="AJ928:AJ933"/>
    <mergeCell ref="AK928:AK933"/>
    <mergeCell ref="AL928:AL933"/>
    <mergeCell ref="AM928:AM933"/>
    <mergeCell ref="AG850:AG855"/>
    <mergeCell ref="AH850:AH855"/>
    <mergeCell ref="AI850:AI855"/>
    <mergeCell ref="AJ850:AJ855"/>
    <mergeCell ref="AK850:AK855"/>
    <mergeCell ref="AL850:AL855"/>
    <mergeCell ref="AM850:AM855"/>
    <mergeCell ref="AN850:AN855"/>
    <mergeCell ref="AO850:AO855"/>
    <mergeCell ref="AP850:AP855"/>
    <mergeCell ref="AQ850:AQ855"/>
    <mergeCell ref="AR850:AR855"/>
    <mergeCell ref="AS850:AS855"/>
    <mergeCell ref="AT850:AT855"/>
    <mergeCell ref="AU850:AU855"/>
    <mergeCell ref="AG844:AG849"/>
    <mergeCell ref="AH844:AH849"/>
    <mergeCell ref="AI844:AI849"/>
    <mergeCell ref="AJ844:AJ849"/>
    <mergeCell ref="AK844:AK849"/>
    <mergeCell ref="AL844:AL849"/>
    <mergeCell ref="AV454:AV459"/>
    <mergeCell ref="AW454:AW459"/>
    <mergeCell ref="AX454:AX459"/>
    <mergeCell ref="C832:C837"/>
    <mergeCell ref="AU322:AU327"/>
    <mergeCell ref="AV322:AV327"/>
    <mergeCell ref="AW322:AW327"/>
    <mergeCell ref="AX322:AX327"/>
    <mergeCell ref="C316:C321"/>
    <mergeCell ref="AF316:AF321"/>
    <mergeCell ref="AG316:AG321"/>
    <mergeCell ref="AH316:AH321"/>
    <mergeCell ref="AI316:AI321"/>
    <mergeCell ref="AJ316:AJ321"/>
    <mergeCell ref="AK316:AK321"/>
    <mergeCell ref="AL316:AL321"/>
    <mergeCell ref="AM316:AM321"/>
    <mergeCell ref="AN316:AN321"/>
    <mergeCell ref="AO316:AO321"/>
    <mergeCell ref="AP316:AP321"/>
    <mergeCell ref="AQ316:AQ321"/>
    <mergeCell ref="AR316:AR321"/>
    <mergeCell ref="AS316:AS321"/>
    <mergeCell ref="AT316:AT321"/>
    <mergeCell ref="AU316:AU321"/>
    <mergeCell ref="AV316:AV321"/>
    <mergeCell ref="AW316:AW321"/>
    <mergeCell ref="AX442:AX447"/>
    <mergeCell ref="AT448:AT453"/>
    <mergeCell ref="AU448:AU453"/>
    <mergeCell ref="AV448:AV453"/>
    <mergeCell ref="AV424:AV429"/>
    <mergeCell ref="C556:C561"/>
    <mergeCell ref="AF556:AF561"/>
    <mergeCell ref="AM550:AM555"/>
    <mergeCell ref="AV844:AV849"/>
    <mergeCell ref="AW844:AW849"/>
    <mergeCell ref="AX844:AX849"/>
    <mergeCell ref="C820:C825"/>
    <mergeCell ref="AG820:AG825"/>
    <mergeCell ref="AX316:AX321"/>
    <mergeCell ref="C322:C327"/>
    <mergeCell ref="AF322:AF327"/>
    <mergeCell ref="AG322:AG327"/>
    <mergeCell ref="AH322:AH327"/>
    <mergeCell ref="AI322:AI327"/>
    <mergeCell ref="AX406:AX411"/>
    <mergeCell ref="C454:C459"/>
    <mergeCell ref="AF454:AF459"/>
    <mergeCell ref="AG454:AG459"/>
    <mergeCell ref="AH454:AH459"/>
    <mergeCell ref="AI454:AI459"/>
    <mergeCell ref="AJ454:AJ459"/>
    <mergeCell ref="AK454:AK459"/>
    <mergeCell ref="AL454:AL459"/>
    <mergeCell ref="AM454:AM459"/>
    <mergeCell ref="AN454:AN459"/>
    <mergeCell ref="AO454:AO459"/>
    <mergeCell ref="AP454:AP459"/>
    <mergeCell ref="AQ454:AQ459"/>
    <mergeCell ref="AR454:AR459"/>
    <mergeCell ref="AS454:AS459"/>
    <mergeCell ref="AT454:AT459"/>
    <mergeCell ref="AU454:AU459"/>
    <mergeCell ref="AI556:AI561"/>
    <mergeCell ref="AJ556:AJ561"/>
    <mergeCell ref="AK556:AK561"/>
    <mergeCell ref="AL556:AL561"/>
    <mergeCell ref="AM556:AM561"/>
    <mergeCell ref="AN556:AN561"/>
    <mergeCell ref="AO556:AO561"/>
    <mergeCell ref="AP556:AP561"/>
    <mergeCell ref="AQ556:AQ561"/>
    <mergeCell ref="AR556:AR561"/>
    <mergeCell ref="AX556:AX561"/>
    <mergeCell ref="AW850:AW855"/>
    <mergeCell ref="AX850:AX855"/>
    <mergeCell ref="AW982:AW987"/>
    <mergeCell ref="AL982:AL987"/>
    <mergeCell ref="AM982:AM987"/>
    <mergeCell ref="C550:C555"/>
    <mergeCell ref="AG550:AG555"/>
    <mergeCell ref="AH550:AH555"/>
    <mergeCell ref="AI550:AI555"/>
    <mergeCell ref="AJ550:AJ555"/>
    <mergeCell ref="AK550:AK555"/>
    <mergeCell ref="AL550:AL555"/>
    <mergeCell ref="AG562:AG567"/>
    <mergeCell ref="AH562:AH567"/>
    <mergeCell ref="AI562:AI567"/>
    <mergeCell ref="AJ562:AJ567"/>
    <mergeCell ref="AK562:AK567"/>
    <mergeCell ref="AL562:AL567"/>
    <mergeCell ref="AM562:AM567"/>
    <mergeCell ref="AN562:AN567"/>
    <mergeCell ref="AO562:AO567"/>
    <mergeCell ref="C993:H993"/>
    <mergeCell ref="I993:Q993"/>
    <mergeCell ref="C994:H994"/>
    <mergeCell ref="I994:Q994"/>
    <mergeCell ref="W994:BE994"/>
    <mergeCell ref="C995:H995"/>
    <mergeCell ref="I995:Q995"/>
    <mergeCell ref="AW574:AW579"/>
    <mergeCell ref="AX574:AX579"/>
    <mergeCell ref="C562:C567"/>
    <mergeCell ref="C574:C579"/>
    <mergeCell ref="AF574:AF579"/>
    <mergeCell ref="AG574:AG579"/>
    <mergeCell ref="AH574:AH579"/>
    <mergeCell ref="AI574:AI579"/>
    <mergeCell ref="AJ574:AJ579"/>
    <mergeCell ref="AK574:AK579"/>
    <mergeCell ref="AL574:AL579"/>
    <mergeCell ref="AM574:AM579"/>
    <mergeCell ref="AN574:AN579"/>
    <mergeCell ref="AO574:AO579"/>
    <mergeCell ref="AP574:AP579"/>
    <mergeCell ref="AQ574:AQ579"/>
    <mergeCell ref="AX982:AX987"/>
    <mergeCell ref="S796:S801"/>
    <mergeCell ref="S892:S897"/>
    <mergeCell ref="AF892:AF897"/>
    <mergeCell ref="S898:S903"/>
    <mergeCell ref="AF898:AF903"/>
    <mergeCell ref="AV574:AV579"/>
    <mergeCell ref="AP562:AP567"/>
    <mergeCell ref="C850:C855"/>
    <mergeCell ref="AF244:AF249"/>
    <mergeCell ref="C472:C477"/>
    <mergeCell ref="AF472:AF477"/>
    <mergeCell ref="AG472:AG477"/>
    <mergeCell ref="AH472:AH477"/>
    <mergeCell ref="AI472:AI477"/>
    <mergeCell ref="AJ472:AJ477"/>
    <mergeCell ref="AK472:AK477"/>
    <mergeCell ref="AL472:AL477"/>
    <mergeCell ref="AM472:AM477"/>
    <mergeCell ref="AN472:AN477"/>
    <mergeCell ref="AO472:AO477"/>
    <mergeCell ref="AP472:AP477"/>
    <mergeCell ref="AQ472:AQ477"/>
    <mergeCell ref="AR472:AR477"/>
    <mergeCell ref="AV862:AV867"/>
    <mergeCell ref="AW862:AW867"/>
    <mergeCell ref="C340:C345"/>
    <mergeCell ref="AF340:AF345"/>
    <mergeCell ref="AG340:AG345"/>
    <mergeCell ref="AH340:AH345"/>
    <mergeCell ref="AI340:AI345"/>
    <mergeCell ref="AJ340:AJ345"/>
    <mergeCell ref="AK340:AK345"/>
    <mergeCell ref="AV418:AV423"/>
    <mergeCell ref="AW418:AW423"/>
    <mergeCell ref="AS556:AS561"/>
    <mergeCell ref="AT556:AT561"/>
    <mergeCell ref="AU556:AU561"/>
    <mergeCell ref="AV556:AV561"/>
    <mergeCell ref="AG556:AG561"/>
    <mergeCell ref="AH556:AH561"/>
    <mergeCell ref="AS472:AS477"/>
    <mergeCell ref="AT472:AT477"/>
    <mergeCell ref="AG442:AG447"/>
    <mergeCell ref="AO322:AO327"/>
    <mergeCell ref="AP322:AP327"/>
    <mergeCell ref="AQ322:AQ327"/>
    <mergeCell ref="AR322:AR327"/>
    <mergeCell ref="AS322:AS327"/>
    <mergeCell ref="AT322:AT327"/>
    <mergeCell ref="C442:C447"/>
    <mergeCell ref="AF442:AF447"/>
    <mergeCell ref="AP436:AP441"/>
    <mergeCell ref="AR424:AR429"/>
    <mergeCell ref="AS424:AS429"/>
    <mergeCell ref="C406:C411"/>
    <mergeCell ref="AF406:AF411"/>
    <mergeCell ref="AG406:AG411"/>
    <mergeCell ref="AN340:AN345"/>
    <mergeCell ref="AO340:AO345"/>
    <mergeCell ref="AP340:AP345"/>
    <mergeCell ref="AQ340:AQ345"/>
    <mergeCell ref="AR340:AR345"/>
    <mergeCell ref="AS340:AS345"/>
    <mergeCell ref="AT340:AT345"/>
    <mergeCell ref="AL340:AL345"/>
    <mergeCell ref="AM340:AM345"/>
    <mergeCell ref="C418:C423"/>
    <mergeCell ref="AK370:AK375"/>
    <mergeCell ref="AL370:AL375"/>
    <mergeCell ref="AM370:AM375"/>
    <mergeCell ref="AO406:AO411"/>
    <mergeCell ref="C436:C441"/>
    <mergeCell ref="AU340:AU345"/>
    <mergeCell ref="AV340:AV345"/>
    <mergeCell ref="AW340:AW345"/>
    <mergeCell ref="AX340:AX345"/>
    <mergeCell ref="C430:C435"/>
    <mergeCell ref="AF430:AF435"/>
    <mergeCell ref="AG430:AG435"/>
    <mergeCell ref="AH430:AH435"/>
    <mergeCell ref="AI430:AI435"/>
    <mergeCell ref="AJ430:AJ435"/>
    <mergeCell ref="AK430:AK435"/>
    <mergeCell ref="AL430:AL435"/>
    <mergeCell ref="AM430:AM435"/>
    <mergeCell ref="AN430:AN435"/>
    <mergeCell ref="AO430:AO435"/>
    <mergeCell ref="AP430:AP435"/>
    <mergeCell ref="AQ430:AQ435"/>
    <mergeCell ref="AR430:AR435"/>
    <mergeCell ref="AS430:AS435"/>
    <mergeCell ref="AT430:AT435"/>
    <mergeCell ref="AU430:AU435"/>
    <mergeCell ref="AV430:AV435"/>
    <mergeCell ref="AW430:AW435"/>
    <mergeCell ref="AX430:AX435"/>
    <mergeCell ref="C424:C429"/>
    <mergeCell ref="AX418:AX423"/>
    <mergeCell ref="AW424:AW429"/>
    <mergeCell ref="AX424:AX429"/>
    <mergeCell ref="AK394:AK399"/>
    <mergeCell ref="AL394:AL399"/>
    <mergeCell ref="AM394:AM399"/>
    <mergeCell ref="AP394:AP399"/>
    <mergeCell ref="AX862:AX867"/>
    <mergeCell ref="AV472:AV477"/>
    <mergeCell ref="AW472:AW477"/>
    <mergeCell ref="AX472:AX477"/>
    <mergeCell ref="AW448:AW453"/>
    <mergeCell ref="AX448:AX453"/>
    <mergeCell ref="AR574:AR579"/>
    <mergeCell ref="AS574:AS579"/>
    <mergeCell ref="AT574:AT579"/>
    <mergeCell ref="AU574:AU579"/>
    <mergeCell ref="AV850:AV855"/>
    <mergeCell ref="AM844:AM849"/>
    <mergeCell ref="AN844:AN849"/>
    <mergeCell ref="AS550:AS555"/>
    <mergeCell ref="AV832:AV837"/>
    <mergeCell ref="AW826:AW831"/>
    <mergeCell ref="AX826:AX831"/>
    <mergeCell ref="AQ826:AQ831"/>
    <mergeCell ref="AR826:AR831"/>
    <mergeCell ref="AS826:AS831"/>
    <mergeCell ref="AT826:AT831"/>
    <mergeCell ref="AU826:AU831"/>
    <mergeCell ref="AV826:AV831"/>
    <mergeCell ref="AM826:AM831"/>
    <mergeCell ref="AN826:AN831"/>
    <mergeCell ref="AO826:AO831"/>
    <mergeCell ref="AP826:AP831"/>
    <mergeCell ref="AR832:AR837"/>
    <mergeCell ref="AS832:AS837"/>
    <mergeCell ref="AT832:AT837"/>
    <mergeCell ref="AU832:AU837"/>
    <mergeCell ref="AO844:AO849"/>
    <mergeCell ref="AY862:AY867"/>
    <mergeCell ref="AU862:AU867"/>
    <mergeCell ref="AW856:AW861"/>
    <mergeCell ref="AX856:AX861"/>
    <mergeCell ref="AY856:AY861"/>
    <mergeCell ref="AX538:AX543"/>
    <mergeCell ref="AQ562:AQ567"/>
    <mergeCell ref="AR562:AR567"/>
    <mergeCell ref="AS562:AS567"/>
    <mergeCell ref="AT562:AT567"/>
    <mergeCell ref="AU562:AU567"/>
    <mergeCell ref="AV562:AV567"/>
    <mergeCell ref="AW562:AW567"/>
    <mergeCell ref="AX562:AX567"/>
    <mergeCell ref="AM544:AM549"/>
    <mergeCell ref="AN544:AN549"/>
    <mergeCell ref="AF856:AF861"/>
    <mergeCell ref="AY850:AY855"/>
    <mergeCell ref="AF808:AF813"/>
    <mergeCell ref="AY826:AY831"/>
    <mergeCell ref="AF832:AF837"/>
    <mergeCell ref="AG832:AG837"/>
    <mergeCell ref="AH832:AH837"/>
    <mergeCell ref="AI832:AI837"/>
    <mergeCell ref="AJ832:AJ837"/>
    <mergeCell ref="AK832:AK837"/>
    <mergeCell ref="AK826:AK831"/>
    <mergeCell ref="AL826:AL831"/>
    <mergeCell ref="AF826:AF831"/>
    <mergeCell ref="AF844:AF849"/>
    <mergeCell ref="AL820:AL825"/>
    <mergeCell ref="AM820:AM825"/>
    <mergeCell ref="C862:C867"/>
    <mergeCell ref="AF862:AF867"/>
    <mergeCell ref="AG862:AG867"/>
    <mergeCell ref="AH862:AH867"/>
    <mergeCell ref="AI862:AI867"/>
    <mergeCell ref="AJ862:AJ867"/>
    <mergeCell ref="AK862:AK867"/>
    <mergeCell ref="AL862:AL867"/>
    <mergeCell ref="AM862:AM867"/>
    <mergeCell ref="AN862:AN867"/>
    <mergeCell ref="AO862:AO867"/>
    <mergeCell ref="AP862:AP867"/>
    <mergeCell ref="AQ862:AQ867"/>
    <mergeCell ref="AR862:AR867"/>
    <mergeCell ref="AS862:AS867"/>
    <mergeCell ref="AT862:AT867"/>
    <mergeCell ref="C856:C861"/>
    <mergeCell ref="AG856:AG861"/>
    <mergeCell ref="AH856:AH861"/>
    <mergeCell ref="AI856:AI861"/>
    <mergeCell ref="AJ856:AJ861"/>
    <mergeCell ref="AK856:AK861"/>
    <mergeCell ref="AL856:AL861"/>
    <mergeCell ref="AM856:AM861"/>
    <mergeCell ref="AN856:AN861"/>
    <mergeCell ref="AO856:AO861"/>
    <mergeCell ref="AP856:AP861"/>
    <mergeCell ref="AQ856:AQ861"/>
    <mergeCell ref="AR856:AR861"/>
    <mergeCell ref="AS856:AS861"/>
    <mergeCell ref="AT856:AT861"/>
  </mergeCell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D478"/>
  <sheetViews>
    <sheetView showGridLines="0" zoomScale="33" zoomScaleNormal="33" zoomScalePageLayoutView="60" workbookViewId="0">
      <selection sqref="A1:B3"/>
    </sheetView>
  </sheetViews>
  <sheetFormatPr baseColWidth="10" defaultRowHeight="15" x14ac:dyDescent="0.25"/>
  <cols>
    <col min="1" max="1" width="16.42578125" customWidth="1"/>
    <col min="2" max="2" width="24.42578125" style="337" customWidth="1"/>
    <col min="3" max="3" width="25.140625" style="71" customWidth="1"/>
    <col min="4" max="4" width="32.140625" style="71" customWidth="1"/>
    <col min="5" max="5" width="29.42578125" customWidth="1"/>
    <col min="6" max="6" width="25" bestFit="1" customWidth="1"/>
    <col min="7" max="7" width="21.28515625" customWidth="1"/>
    <col min="8" max="8" width="43.140625" customWidth="1"/>
    <col min="9" max="9" width="18.42578125" customWidth="1"/>
    <col min="10" max="10" width="15.140625" style="342" customWidth="1"/>
    <col min="12" max="12" width="14.42578125" customWidth="1"/>
    <col min="13" max="13" width="14.140625" customWidth="1"/>
    <col min="14" max="14" width="64.42578125" style="71" customWidth="1"/>
  </cols>
  <sheetData>
    <row r="1" spans="1:49" ht="29.25" customHeight="1" x14ac:dyDescent="0.25">
      <c r="A1" s="888"/>
      <c r="B1" s="1000"/>
      <c r="C1" s="1004" t="s">
        <v>39</v>
      </c>
      <c r="D1" s="1005"/>
      <c r="E1" s="1005"/>
      <c r="F1" s="1005"/>
      <c r="G1" s="1005"/>
      <c r="H1" s="1005"/>
      <c r="I1" s="1005"/>
      <c r="J1" s="1005"/>
      <c r="K1" s="1005"/>
      <c r="L1" s="1005"/>
      <c r="M1" s="1005"/>
      <c r="N1" s="1006"/>
    </row>
    <row r="2" spans="1:49" ht="33.75" customHeight="1" thickBot="1" x14ac:dyDescent="0.3">
      <c r="A2" s="890"/>
      <c r="B2" s="1001"/>
      <c r="C2" s="1007" t="s">
        <v>116</v>
      </c>
      <c r="D2" s="1008"/>
      <c r="E2" s="1008"/>
      <c r="F2" s="1008"/>
      <c r="G2" s="1008"/>
      <c r="H2" s="1009"/>
      <c r="I2" s="1009"/>
      <c r="J2" s="1009"/>
      <c r="K2" s="1009"/>
      <c r="L2" s="1009"/>
      <c r="M2" s="1009"/>
      <c r="N2" s="1010"/>
    </row>
    <row r="3" spans="1:49" ht="27" thickBot="1" x14ac:dyDescent="0.45">
      <c r="A3" s="1002"/>
      <c r="B3" s="1003"/>
      <c r="C3" s="1011" t="s">
        <v>40</v>
      </c>
      <c r="D3" s="1012"/>
      <c r="E3" s="1012"/>
      <c r="F3" s="1012"/>
      <c r="G3" s="1012"/>
      <c r="H3" s="1013" t="s">
        <v>271</v>
      </c>
      <c r="I3" s="1014"/>
      <c r="J3" s="1014"/>
      <c r="K3" s="1014"/>
      <c r="L3" s="1014"/>
      <c r="M3" s="1014"/>
      <c r="N3" s="1015"/>
    </row>
    <row r="4" spans="1:49" ht="26.25" customHeight="1" thickBot="1" x14ac:dyDescent="0.3">
      <c r="A4" s="1016" t="s">
        <v>0</v>
      </c>
      <c r="B4" s="1017"/>
      <c r="C4" s="902" t="s">
        <v>300</v>
      </c>
      <c r="D4" s="902"/>
      <c r="E4" s="903"/>
      <c r="F4" s="903"/>
      <c r="G4" s="903"/>
      <c r="H4" s="903"/>
      <c r="I4" s="903"/>
      <c r="J4" s="903"/>
      <c r="K4" s="903"/>
      <c r="L4" s="903"/>
      <c r="M4" s="903"/>
      <c r="N4" s="903"/>
      <c r="O4" s="903"/>
      <c r="P4" s="903"/>
      <c r="Q4" s="903"/>
      <c r="R4" s="903"/>
      <c r="S4" s="903"/>
      <c r="T4" s="903"/>
      <c r="U4" s="903"/>
      <c r="V4" s="903"/>
      <c r="W4" s="903"/>
      <c r="X4" s="903"/>
      <c r="Y4" s="903"/>
      <c r="Z4" s="903"/>
      <c r="AA4" s="903"/>
      <c r="AB4" s="903"/>
      <c r="AC4" s="903"/>
      <c r="AD4" s="903"/>
      <c r="AE4" s="903"/>
      <c r="AF4" s="903"/>
      <c r="AG4" s="903"/>
      <c r="AH4" s="903"/>
      <c r="AI4" s="903"/>
      <c r="AJ4" s="903"/>
      <c r="AK4" s="903"/>
      <c r="AL4" s="903"/>
      <c r="AM4" s="903"/>
      <c r="AN4" s="903"/>
      <c r="AO4" s="903"/>
      <c r="AP4" s="903"/>
      <c r="AQ4" s="903"/>
      <c r="AR4" s="903"/>
      <c r="AS4" s="903"/>
      <c r="AT4" s="903"/>
      <c r="AU4" s="903"/>
      <c r="AV4" s="903"/>
      <c r="AW4" s="904"/>
    </row>
    <row r="5" spans="1:49" ht="29.25" customHeight="1" thickBot="1" x14ac:dyDescent="0.3">
      <c r="A5" s="1018" t="s">
        <v>2</v>
      </c>
      <c r="B5" s="1019"/>
      <c r="C5" s="917" t="s">
        <v>301</v>
      </c>
      <c r="D5" s="917"/>
      <c r="E5" s="918"/>
      <c r="F5" s="918"/>
      <c r="G5" s="918"/>
      <c r="H5" s="918"/>
      <c r="I5" s="918"/>
      <c r="J5" s="918"/>
      <c r="K5" s="918"/>
      <c r="L5" s="918"/>
      <c r="M5" s="918"/>
      <c r="N5" s="918"/>
      <c r="O5" s="918"/>
      <c r="P5" s="918"/>
      <c r="Q5" s="918"/>
      <c r="R5" s="918"/>
      <c r="S5" s="918"/>
      <c r="T5" s="918"/>
      <c r="U5" s="918"/>
      <c r="V5" s="918"/>
      <c r="W5" s="918"/>
      <c r="X5" s="918"/>
      <c r="Y5" s="918"/>
      <c r="Z5" s="918"/>
      <c r="AA5" s="918"/>
      <c r="AB5" s="918"/>
      <c r="AC5" s="918"/>
      <c r="AD5" s="918"/>
      <c r="AE5" s="918"/>
      <c r="AF5" s="918"/>
      <c r="AG5" s="918"/>
      <c r="AH5" s="918"/>
      <c r="AI5" s="918"/>
      <c r="AJ5" s="918"/>
      <c r="AK5" s="918"/>
      <c r="AL5" s="918"/>
      <c r="AM5" s="918"/>
      <c r="AN5" s="918"/>
      <c r="AO5" s="918"/>
      <c r="AP5" s="918"/>
      <c r="AQ5" s="918"/>
      <c r="AR5" s="918"/>
      <c r="AS5" s="918"/>
      <c r="AT5" s="918"/>
      <c r="AU5" s="918"/>
      <c r="AV5" s="918"/>
      <c r="AW5" s="919"/>
    </row>
    <row r="7" spans="1:49" ht="28.5" hidden="1" customHeight="1" x14ac:dyDescent="0.25">
      <c r="A7" s="997" t="s">
        <v>117</v>
      </c>
      <c r="B7" s="998"/>
      <c r="C7" s="998"/>
      <c r="D7" s="998"/>
      <c r="E7" s="998"/>
      <c r="F7" s="998"/>
      <c r="G7" s="998"/>
      <c r="H7" s="999"/>
    </row>
    <row r="8" spans="1:49" ht="35.25" hidden="1" customHeight="1" x14ac:dyDescent="0.25">
      <c r="A8" s="38" t="s">
        <v>49</v>
      </c>
      <c r="B8" s="39" t="s">
        <v>118</v>
      </c>
      <c r="C8" s="39" t="s">
        <v>119</v>
      </c>
      <c r="D8" s="39" t="s">
        <v>120</v>
      </c>
      <c r="E8" s="39" t="s">
        <v>121</v>
      </c>
      <c r="F8" s="39" t="s">
        <v>122</v>
      </c>
      <c r="G8" s="39" t="s">
        <v>123</v>
      </c>
      <c r="H8" s="40" t="s">
        <v>124</v>
      </c>
    </row>
    <row r="9" spans="1:49" ht="16.5" hidden="1" customHeight="1" x14ac:dyDescent="0.25">
      <c r="A9" s="41" t="s">
        <v>125</v>
      </c>
      <c r="B9" s="343"/>
      <c r="C9" s="344"/>
      <c r="D9" s="344"/>
      <c r="E9" s="42"/>
      <c r="F9" s="42"/>
      <c r="G9" s="42"/>
      <c r="H9" s="43" t="e">
        <f t="shared" ref="H9:H14" si="0">G9/E9</f>
        <v>#DIV/0!</v>
      </c>
    </row>
    <row r="10" spans="1:49" ht="16.5" hidden="1" customHeight="1" x14ac:dyDescent="0.25">
      <c r="A10" s="41" t="s">
        <v>126</v>
      </c>
      <c r="B10" s="343"/>
      <c r="C10" s="344"/>
      <c r="D10" s="344"/>
      <c r="E10" s="42"/>
      <c r="F10" s="42"/>
      <c r="G10" s="42"/>
      <c r="H10" s="43" t="e">
        <f t="shared" si="0"/>
        <v>#DIV/0!</v>
      </c>
    </row>
    <row r="11" spans="1:49" ht="16.5" hidden="1" customHeight="1" x14ac:dyDescent="0.25">
      <c r="A11" s="41" t="s">
        <v>127</v>
      </c>
      <c r="B11" s="343"/>
      <c r="C11" s="344"/>
      <c r="D11" s="344"/>
      <c r="E11" s="42"/>
      <c r="F11" s="42"/>
      <c r="G11" s="42"/>
      <c r="H11" s="43" t="e">
        <f t="shared" si="0"/>
        <v>#DIV/0!</v>
      </c>
    </row>
    <row r="12" spans="1:49" ht="16.5" hidden="1" customHeight="1" x14ac:dyDescent="0.25">
      <c r="A12" s="41" t="s">
        <v>128</v>
      </c>
      <c r="B12" s="343" t="s">
        <v>205</v>
      </c>
      <c r="C12" s="345">
        <v>2520913490</v>
      </c>
      <c r="D12" s="345">
        <v>2520913490</v>
      </c>
      <c r="E12" s="346">
        <v>1755277922</v>
      </c>
      <c r="F12" s="346">
        <v>368710252</v>
      </c>
      <c r="G12" s="346">
        <v>368710252</v>
      </c>
      <c r="H12" s="347">
        <f t="shared" si="0"/>
        <v>0.21005804686467194</v>
      </c>
    </row>
    <row r="13" spans="1:49" ht="16.5" hidden="1" customHeight="1" x14ac:dyDescent="0.25">
      <c r="A13" s="41" t="s">
        <v>129</v>
      </c>
      <c r="B13" s="343" t="s">
        <v>205</v>
      </c>
      <c r="C13" s="345">
        <v>2520913490</v>
      </c>
      <c r="D13" s="345">
        <v>2520913490</v>
      </c>
      <c r="E13" s="346">
        <v>1926726271</v>
      </c>
      <c r="F13" s="346">
        <v>774456097</v>
      </c>
      <c r="G13" s="346">
        <v>774456097</v>
      </c>
      <c r="H13" s="347">
        <f t="shared" si="0"/>
        <v>0.40195439728864318</v>
      </c>
    </row>
    <row r="14" spans="1:49" ht="16.5" hidden="1" customHeight="1" thickBot="1" x14ac:dyDescent="0.3">
      <c r="A14" s="348" t="s">
        <v>130</v>
      </c>
      <c r="B14" s="343" t="s">
        <v>205</v>
      </c>
      <c r="C14" s="345">
        <v>2520913490</v>
      </c>
      <c r="D14" s="345">
        <v>2520913490</v>
      </c>
      <c r="E14" s="346">
        <v>2444467440</v>
      </c>
      <c r="F14" s="346">
        <v>1650914867</v>
      </c>
      <c r="G14" s="346">
        <v>1650914867</v>
      </c>
      <c r="H14" s="347">
        <f t="shared" si="0"/>
        <v>0.67536791040260291</v>
      </c>
    </row>
    <row r="15" spans="1:49" ht="16.5" customHeight="1" thickBot="1" x14ac:dyDescent="0.3"/>
    <row r="16" spans="1:49" ht="26.25" customHeight="1" x14ac:dyDescent="0.25">
      <c r="A16" s="997" t="s">
        <v>131</v>
      </c>
      <c r="B16" s="998"/>
      <c r="C16" s="998"/>
      <c r="D16" s="998"/>
      <c r="E16" s="998"/>
      <c r="F16" s="998"/>
      <c r="G16" s="998"/>
      <c r="H16" s="999"/>
    </row>
    <row r="17" spans="1:8" ht="25.5" customHeight="1" x14ac:dyDescent="0.25">
      <c r="A17" s="38" t="s">
        <v>50</v>
      </c>
      <c r="B17" s="39" t="s">
        <v>118</v>
      </c>
      <c r="C17" s="39" t="s">
        <v>119</v>
      </c>
      <c r="D17" s="39" t="s">
        <v>120</v>
      </c>
      <c r="E17" s="39" t="s">
        <v>121</v>
      </c>
      <c r="F17" s="39" t="s">
        <v>122</v>
      </c>
      <c r="G17" s="39" t="s">
        <v>123</v>
      </c>
      <c r="H17" s="40" t="s">
        <v>124</v>
      </c>
    </row>
    <row r="18" spans="1:8" ht="16.5" customHeight="1" x14ac:dyDescent="0.25">
      <c r="A18" s="45" t="s">
        <v>132</v>
      </c>
      <c r="B18" s="343" t="s">
        <v>205</v>
      </c>
      <c r="C18" s="349">
        <v>3459505000</v>
      </c>
      <c r="D18" s="349">
        <v>3459505000</v>
      </c>
      <c r="E18" s="350">
        <v>0</v>
      </c>
      <c r="F18" s="350">
        <v>0</v>
      </c>
      <c r="G18" s="350">
        <v>0</v>
      </c>
      <c r="H18" s="43" t="e">
        <f>G18/E18</f>
        <v>#DIV/0!</v>
      </c>
    </row>
    <row r="19" spans="1:8" ht="16.5" customHeight="1" x14ac:dyDescent="0.25">
      <c r="A19" s="45" t="s">
        <v>133</v>
      </c>
      <c r="B19" s="343" t="s">
        <v>205</v>
      </c>
      <c r="C19" s="349">
        <v>3459505000</v>
      </c>
      <c r="D19" s="349">
        <v>3459505000</v>
      </c>
      <c r="E19" s="350">
        <v>1382696694</v>
      </c>
      <c r="F19" s="350">
        <v>5482052</v>
      </c>
      <c r="G19" s="350">
        <v>5482052</v>
      </c>
      <c r="H19" s="351">
        <f t="shared" ref="H19:H29" si="1">G19/E19</f>
        <v>3.9647538204065453E-3</v>
      </c>
    </row>
    <row r="20" spans="1:8" ht="16.5" customHeight="1" x14ac:dyDescent="0.25">
      <c r="A20" s="45" t="s">
        <v>134</v>
      </c>
      <c r="B20" s="343" t="s">
        <v>205</v>
      </c>
      <c r="C20" s="349">
        <v>3459505000</v>
      </c>
      <c r="D20" s="349">
        <v>3459505000</v>
      </c>
      <c r="E20" s="350">
        <v>2485583694</v>
      </c>
      <c r="F20" s="350">
        <v>75353695</v>
      </c>
      <c r="G20" s="350">
        <v>75353695</v>
      </c>
      <c r="H20" s="351">
        <f t="shared" si="1"/>
        <v>3.03162976092488E-2</v>
      </c>
    </row>
    <row r="21" spans="1:8" ht="16.5" customHeight="1" x14ac:dyDescent="0.25">
      <c r="A21" s="45" t="s">
        <v>135</v>
      </c>
      <c r="B21" s="343" t="s">
        <v>205</v>
      </c>
      <c r="C21" s="349">
        <v>2933065449</v>
      </c>
      <c r="D21" s="349">
        <v>2933065449</v>
      </c>
      <c r="E21" s="350">
        <v>2693464694</v>
      </c>
      <c r="F21" s="350">
        <v>266041894</v>
      </c>
      <c r="G21" s="350">
        <v>266041894</v>
      </c>
      <c r="H21" s="351">
        <f t="shared" si="1"/>
        <v>9.8773113526469711E-2</v>
      </c>
    </row>
    <row r="22" spans="1:8" ht="16.5" customHeight="1" x14ac:dyDescent="0.25">
      <c r="A22" s="45" t="s">
        <v>136</v>
      </c>
      <c r="B22" s="343" t="s">
        <v>205</v>
      </c>
      <c r="C22" s="349">
        <v>2933065449</v>
      </c>
      <c r="D22" s="349">
        <v>2933065449</v>
      </c>
      <c r="E22" s="350">
        <v>2693464694</v>
      </c>
      <c r="F22" s="350">
        <v>567682495</v>
      </c>
      <c r="G22" s="350">
        <v>567682495</v>
      </c>
      <c r="H22" s="351">
        <f t="shared" si="1"/>
        <v>0.21076292414917394</v>
      </c>
    </row>
    <row r="23" spans="1:8" ht="16.5" customHeight="1" x14ac:dyDescent="0.25">
      <c r="A23" s="45" t="s">
        <v>137</v>
      </c>
      <c r="B23" s="343" t="s">
        <v>205</v>
      </c>
      <c r="C23" s="349">
        <v>2933065449</v>
      </c>
      <c r="D23" s="349">
        <v>2933065449</v>
      </c>
      <c r="E23" s="350">
        <v>2822093894</v>
      </c>
      <c r="F23" s="350">
        <v>883801395</v>
      </c>
      <c r="G23" s="350">
        <v>883801395</v>
      </c>
      <c r="H23" s="351">
        <f t="shared" si="1"/>
        <v>0.31317221474417745</v>
      </c>
    </row>
    <row r="24" spans="1:8" ht="16.5" customHeight="1" x14ac:dyDescent="0.25">
      <c r="A24" s="45" t="s">
        <v>125</v>
      </c>
      <c r="B24" s="343" t="s">
        <v>205</v>
      </c>
      <c r="C24" s="349">
        <v>2933065449</v>
      </c>
      <c r="D24" s="349">
        <v>2933065449</v>
      </c>
      <c r="E24" s="350">
        <v>2822872804</v>
      </c>
      <c r="F24" s="350">
        <v>1202397838</v>
      </c>
      <c r="G24" s="350">
        <v>1202397838</v>
      </c>
      <c r="H24" s="468">
        <f t="shared" si="1"/>
        <v>0.42594828796260564</v>
      </c>
    </row>
    <row r="25" spans="1:8" ht="16.5" customHeight="1" x14ac:dyDescent="0.25">
      <c r="A25" s="45" t="s">
        <v>126</v>
      </c>
      <c r="B25" s="343" t="s">
        <v>205</v>
      </c>
      <c r="C25" s="349">
        <v>3454840816</v>
      </c>
      <c r="D25" s="349">
        <v>3454840816</v>
      </c>
      <c r="E25" s="350">
        <v>2866414804</v>
      </c>
      <c r="F25" s="350">
        <v>1512926698</v>
      </c>
      <c r="G25" s="350">
        <v>1512926698</v>
      </c>
      <c r="H25" s="468">
        <f t="shared" si="1"/>
        <v>0.52781150023672563</v>
      </c>
    </row>
    <row r="26" spans="1:8" ht="16.5" customHeight="1" x14ac:dyDescent="0.25">
      <c r="A26" s="45" t="s">
        <v>127</v>
      </c>
      <c r="B26" s="343" t="s">
        <v>205</v>
      </c>
      <c r="C26" s="349">
        <v>3454840816</v>
      </c>
      <c r="D26" s="349">
        <v>3454840816</v>
      </c>
      <c r="E26" s="350">
        <v>3132235804</v>
      </c>
      <c r="F26" s="350">
        <v>1807136965</v>
      </c>
      <c r="G26" s="350">
        <v>1807136965</v>
      </c>
      <c r="H26" s="468">
        <f t="shared" si="1"/>
        <v>0.5769479305141102</v>
      </c>
    </row>
    <row r="27" spans="1:8" ht="16.5" customHeight="1" x14ac:dyDescent="0.25">
      <c r="A27" s="45" t="s">
        <v>128</v>
      </c>
      <c r="B27" s="343" t="s">
        <v>205</v>
      </c>
      <c r="C27" s="349">
        <v>3454840816</v>
      </c>
      <c r="D27" s="349">
        <v>3454840816</v>
      </c>
      <c r="E27" s="350">
        <v>3169950704</v>
      </c>
      <c r="F27" s="487">
        <v>2131892495</v>
      </c>
      <c r="G27" s="487">
        <v>2131892495</v>
      </c>
      <c r="H27" s="468">
        <f t="shared" si="1"/>
        <v>0.67253175019721068</v>
      </c>
    </row>
    <row r="28" spans="1:8" ht="16.5" customHeight="1" x14ac:dyDescent="0.25">
      <c r="A28" s="45" t="s">
        <v>129</v>
      </c>
      <c r="B28" s="343" t="s">
        <v>205</v>
      </c>
      <c r="C28" s="349">
        <v>3454840816</v>
      </c>
      <c r="D28" s="349">
        <v>3454840816</v>
      </c>
      <c r="E28" s="350">
        <v>3286319931</v>
      </c>
      <c r="F28" s="487">
        <v>2513857523</v>
      </c>
      <c r="G28" s="487">
        <v>2513857523</v>
      </c>
      <c r="H28" s="468">
        <f t="shared" si="1"/>
        <v>0.7649460721357868</v>
      </c>
    </row>
    <row r="29" spans="1:8" ht="16.5" customHeight="1" thickBot="1" x14ac:dyDescent="0.3">
      <c r="A29" s="46" t="s">
        <v>130</v>
      </c>
      <c r="B29" s="343" t="s">
        <v>205</v>
      </c>
      <c r="C29" s="349">
        <v>3454840816</v>
      </c>
      <c r="D29" s="349">
        <v>3454840816</v>
      </c>
      <c r="E29" s="350">
        <v>3342341664</v>
      </c>
      <c r="F29" s="487">
        <v>2973631264</v>
      </c>
      <c r="G29" s="487">
        <v>2973631264</v>
      </c>
      <c r="H29" s="468">
        <f t="shared" si="1"/>
        <v>0.88968500618253965</v>
      </c>
    </row>
    <row r="30" spans="1:8" ht="16.5" customHeight="1" x14ac:dyDescent="0.25"/>
    <row r="31" spans="1:8" ht="24.75" hidden="1" customHeight="1" x14ac:dyDescent="0.25">
      <c r="A31" s="997" t="s">
        <v>138</v>
      </c>
      <c r="B31" s="998"/>
      <c r="C31" s="998"/>
      <c r="D31" s="998"/>
      <c r="E31" s="998"/>
      <c r="F31" s="998"/>
      <c r="G31" s="998"/>
      <c r="H31" s="999"/>
    </row>
    <row r="32" spans="1:8" ht="25.5" hidden="1" customHeight="1" x14ac:dyDescent="0.25">
      <c r="A32" s="38" t="s">
        <v>62</v>
      </c>
      <c r="B32" s="39" t="s">
        <v>118</v>
      </c>
      <c r="C32" s="39" t="s">
        <v>119</v>
      </c>
      <c r="D32" s="39" t="s">
        <v>120</v>
      </c>
      <c r="E32" s="39" t="s">
        <v>121</v>
      </c>
      <c r="F32" s="39" t="s">
        <v>122</v>
      </c>
      <c r="G32" s="39" t="s">
        <v>123</v>
      </c>
      <c r="H32" s="40" t="s">
        <v>124</v>
      </c>
    </row>
    <row r="33" spans="1:8" ht="16.5" hidden="1" customHeight="1" x14ac:dyDescent="0.25">
      <c r="A33" s="45" t="s">
        <v>132</v>
      </c>
      <c r="B33" s="343"/>
      <c r="C33" s="344"/>
      <c r="D33" s="344"/>
      <c r="E33" s="42"/>
      <c r="F33" s="42"/>
      <c r="G33" s="42"/>
      <c r="H33" s="43" t="e">
        <f>G33/E33</f>
        <v>#DIV/0!</v>
      </c>
    </row>
    <row r="34" spans="1:8" ht="16.5" hidden="1" customHeight="1" x14ac:dyDescent="0.25">
      <c r="A34" s="45" t="s">
        <v>133</v>
      </c>
      <c r="B34" s="343"/>
      <c r="C34" s="344"/>
      <c r="D34" s="344"/>
      <c r="E34" s="42"/>
      <c r="F34" s="42"/>
      <c r="G34" s="42"/>
      <c r="H34" s="43" t="e">
        <f t="shared" ref="H34:H44" si="2">G34/E34</f>
        <v>#DIV/0!</v>
      </c>
    </row>
    <row r="35" spans="1:8" ht="16.5" hidden="1" customHeight="1" x14ac:dyDescent="0.25">
      <c r="A35" s="45" t="s">
        <v>134</v>
      </c>
      <c r="B35" s="343"/>
      <c r="C35" s="344"/>
      <c r="D35" s="344"/>
      <c r="E35" s="42"/>
      <c r="F35" s="42"/>
      <c r="G35" s="42"/>
      <c r="H35" s="43" t="e">
        <f t="shared" si="2"/>
        <v>#DIV/0!</v>
      </c>
    </row>
    <row r="36" spans="1:8" ht="16.5" hidden="1" customHeight="1" x14ac:dyDescent="0.25">
      <c r="A36" s="45" t="s">
        <v>135</v>
      </c>
      <c r="B36" s="343"/>
      <c r="C36" s="344"/>
      <c r="D36" s="344"/>
      <c r="E36" s="42"/>
      <c r="F36" s="42"/>
      <c r="G36" s="42"/>
      <c r="H36" s="43" t="e">
        <f t="shared" si="2"/>
        <v>#DIV/0!</v>
      </c>
    </row>
    <row r="37" spans="1:8" ht="16.5" hidden="1" customHeight="1" x14ac:dyDescent="0.25">
      <c r="A37" s="45" t="s">
        <v>136</v>
      </c>
      <c r="B37" s="343"/>
      <c r="C37" s="344"/>
      <c r="D37" s="344"/>
      <c r="E37" s="42"/>
      <c r="F37" s="42"/>
      <c r="G37" s="42"/>
      <c r="H37" s="43" t="e">
        <f t="shared" si="2"/>
        <v>#DIV/0!</v>
      </c>
    </row>
    <row r="38" spans="1:8" ht="16.5" hidden="1" customHeight="1" x14ac:dyDescent="0.25">
      <c r="A38" s="45" t="s">
        <v>137</v>
      </c>
      <c r="B38" s="343"/>
      <c r="C38" s="344"/>
      <c r="D38" s="344"/>
      <c r="E38" s="42"/>
      <c r="F38" s="42"/>
      <c r="G38" s="42"/>
      <c r="H38" s="43" t="e">
        <f t="shared" si="2"/>
        <v>#DIV/0!</v>
      </c>
    </row>
    <row r="39" spans="1:8" ht="16.5" hidden="1" customHeight="1" x14ac:dyDescent="0.25">
      <c r="A39" s="45" t="s">
        <v>125</v>
      </c>
      <c r="B39" s="343"/>
      <c r="C39" s="344"/>
      <c r="D39" s="344"/>
      <c r="E39" s="42"/>
      <c r="F39" s="42"/>
      <c r="G39" s="42"/>
      <c r="H39" s="43" t="e">
        <f t="shared" si="2"/>
        <v>#DIV/0!</v>
      </c>
    </row>
    <row r="40" spans="1:8" ht="16.5" hidden="1" customHeight="1" x14ac:dyDescent="0.25">
      <c r="A40" s="45" t="s">
        <v>126</v>
      </c>
      <c r="B40" s="343"/>
      <c r="C40" s="344"/>
      <c r="D40" s="344"/>
      <c r="E40" s="42"/>
      <c r="F40" s="42"/>
      <c r="G40" s="42"/>
      <c r="H40" s="43" t="e">
        <f t="shared" si="2"/>
        <v>#DIV/0!</v>
      </c>
    </row>
    <row r="41" spans="1:8" ht="16.5" hidden="1" customHeight="1" x14ac:dyDescent="0.25">
      <c r="A41" s="45" t="s">
        <v>127</v>
      </c>
      <c r="B41" s="343"/>
      <c r="C41" s="344"/>
      <c r="D41" s="344"/>
      <c r="E41" s="42"/>
      <c r="F41" s="42"/>
      <c r="G41" s="42"/>
      <c r="H41" s="43" t="e">
        <f t="shared" si="2"/>
        <v>#DIV/0!</v>
      </c>
    </row>
    <row r="42" spans="1:8" ht="16.5" hidden="1" customHeight="1" x14ac:dyDescent="0.25">
      <c r="A42" s="45" t="s">
        <v>128</v>
      </c>
      <c r="B42" s="343"/>
      <c r="C42" s="344"/>
      <c r="D42" s="344"/>
      <c r="E42" s="42"/>
      <c r="F42" s="42"/>
      <c r="G42" s="42"/>
      <c r="H42" s="43" t="e">
        <f t="shared" si="2"/>
        <v>#DIV/0!</v>
      </c>
    </row>
    <row r="43" spans="1:8" ht="16.5" hidden="1" customHeight="1" x14ac:dyDescent="0.25">
      <c r="A43" s="45" t="s">
        <v>129</v>
      </c>
      <c r="B43" s="343"/>
      <c r="C43" s="344"/>
      <c r="D43" s="344"/>
      <c r="E43" s="42"/>
      <c r="F43" s="42"/>
      <c r="G43" s="42"/>
      <c r="H43" s="43" t="e">
        <f t="shared" si="2"/>
        <v>#DIV/0!</v>
      </c>
    </row>
    <row r="44" spans="1:8" ht="16.5" hidden="1" customHeight="1" thickBot="1" x14ac:dyDescent="0.3">
      <c r="A44" s="46" t="s">
        <v>130</v>
      </c>
      <c r="B44" s="353"/>
      <c r="C44" s="352"/>
      <c r="D44" s="352"/>
      <c r="E44" s="44"/>
      <c r="F44" s="44"/>
      <c r="G44" s="44"/>
      <c r="H44" s="43" t="e">
        <f t="shared" si="2"/>
        <v>#DIV/0!</v>
      </c>
    </row>
    <row r="45" spans="1:8" ht="16.5" hidden="1" customHeight="1" thickBot="1" x14ac:dyDescent="0.3"/>
    <row r="46" spans="1:8" ht="27.75" hidden="1" customHeight="1" x14ac:dyDescent="0.25">
      <c r="A46" s="997" t="s">
        <v>139</v>
      </c>
      <c r="B46" s="998"/>
      <c r="C46" s="998"/>
      <c r="D46" s="998"/>
      <c r="E46" s="998"/>
      <c r="F46" s="998"/>
      <c r="G46" s="998"/>
      <c r="H46" s="999"/>
    </row>
    <row r="47" spans="1:8" ht="25.5" hidden="1" customHeight="1" x14ac:dyDescent="0.25">
      <c r="A47" s="38" t="s">
        <v>63</v>
      </c>
      <c r="B47" s="39" t="s">
        <v>118</v>
      </c>
      <c r="C47" s="39" t="s">
        <v>119</v>
      </c>
      <c r="D47" s="39" t="s">
        <v>120</v>
      </c>
      <c r="E47" s="39" t="s">
        <v>121</v>
      </c>
      <c r="F47" s="39" t="s">
        <v>122</v>
      </c>
      <c r="G47" s="39" t="s">
        <v>123</v>
      </c>
      <c r="H47" s="40" t="s">
        <v>124</v>
      </c>
    </row>
    <row r="48" spans="1:8" ht="16.5" hidden="1" customHeight="1" x14ac:dyDescent="0.25">
      <c r="A48" s="45" t="s">
        <v>132</v>
      </c>
      <c r="B48" s="343"/>
      <c r="C48" s="344"/>
      <c r="D48" s="344"/>
      <c r="E48" s="42"/>
      <c r="F48" s="42"/>
      <c r="G48" s="42"/>
      <c r="H48" s="43" t="e">
        <f>G48/E48</f>
        <v>#DIV/0!</v>
      </c>
    </row>
    <row r="49" spans="1:8" ht="16.5" hidden="1" customHeight="1" x14ac:dyDescent="0.25">
      <c r="A49" s="45" t="s">
        <v>133</v>
      </c>
      <c r="B49" s="343"/>
      <c r="C49" s="344"/>
      <c r="D49" s="344"/>
      <c r="E49" s="42"/>
      <c r="F49" s="42"/>
      <c r="G49" s="42"/>
      <c r="H49" s="43" t="e">
        <f t="shared" ref="H49:H59" si="3">G49/E49</f>
        <v>#DIV/0!</v>
      </c>
    </row>
    <row r="50" spans="1:8" ht="16.5" hidden="1" customHeight="1" x14ac:dyDescent="0.25">
      <c r="A50" s="45" t="s">
        <v>134</v>
      </c>
      <c r="B50" s="343"/>
      <c r="C50" s="344"/>
      <c r="D50" s="344"/>
      <c r="E50" s="42"/>
      <c r="F50" s="42"/>
      <c r="G50" s="42"/>
      <c r="H50" s="43" t="e">
        <f t="shared" si="3"/>
        <v>#DIV/0!</v>
      </c>
    </row>
    <row r="51" spans="1:8" ht="16.5" hidden="1" customHeight="1" x14ac:dyDescent="0.25">
      <c r="A51" s="45" t="s">
        <v>135</v>
      </c>
      <c r="B51" s="343"/>
      <c r="C51" s="344"/>
      <c r="D51" s="344"/>
      <c r="E51" s="42"/>
      <c r="F51" s="42"/>
      <c r="G51" s="42"/>
      <c r="H51" s="43" t="e">
        <f t="shared" si="3"/>
        <v>#DIV/0!</v>
      </c>
    </row>
    <row r="52" spans="1:8" ht="16.5" hidden="1" customHeight="1" x14ac:dyDescent="0.25">
      <c r="A52" s="45" t="s">
        <v>136</v>
      </c>
      <c r="B52" s="343"/>
      <c r="C52" s="344"/>
      <c r="D52" s="344"/>
      <c r="E52" s="42"/>
      <c r="F52" s="42"/>
      <c r="G52" s="42"/>
      <c r="H52" s="43" t="e">
        <f t="shared" si="3"/>
        <v>#DIV/0!</v>
      </c>
    </row>
    <row r="53" spans="1:8" ht="16.5" hidden="1" customHeight="1" x14ac:dyDescent="0.25">
      <c r="A53" s="45" t="s">
        <v>137</v>
      </c>
      <c r="B53" s="343"/>
      <c r="C53" s="344"/>
      <c r="D53" s="344"/>
      <c r="E53" s="42"/>
      <c r="F53" s="42"/>
      <c r="G53" s="42"/>
      <c r="H53" s="43" t="e">
        <f t="shared" si="3"/>
        <v>#DIV/0!</v>
      </c>
    </row>
    <row r="54" spans="1:8" ht="16.5" hidden="1" customHeight="1" x14ac:dyDescent="0.25">
      <c r="A54" s="45" t="s">
        <v>125</v>
      </c>
      <c r="B54" s="343"/>
      <c r="C54" s="344"/>
      <c r="D54" s="344"/>
      <c r="E54" s="42"/>
      <c r="F54" s="42"/>
      <c r="G54" s="42"/>
      <c r="H54" s="43" t="e">
        <f t="shared" si="3"/>
        <v>#DIV/0!</v>
      </c>
    </row>
    <row r="55" spans="1:8" ht="16.5" hidden="1" customHeight="1" x14ac:dyDescent="0.25">
      <c r="A55" s="45" t="s">
        <v>126</v>
      </c>
      <c r="B55" s="343"/>
      <c r="C55" s="344"/>
      <c r="D55" s="344"/>
      <c r="E55" s="42"/>
      <c r="F55" s="42"/>
      <c r="G55" s="42"/>
      <c r="H55" s="43" t="e">
        <f t="shared" si="3"/>
        <v>#DIV/0!</v>
      </c>
    </row>
    <row r="56" spans="1:8" ht="16.5" hidden="1" customHeight="1" x14ac:dyDescent="0.25">
      <c r="A56" s="45" t="s">
        <v>127</v>
      </c>
      <c r="B56" s="343"/>
      <c r="C56" s="344"/>
      <c r="D56" s="344"/>
      <c r="E56" s="42"/>
      <c r="F56" s="42"/>
      <c r="G56" s="42"/>
      <c r="H56" s="43" t="e">
        <f t="shared" si="3"/>
        <v>#DIV/0!</v>
      </c>
    </row>
    <row r="57" spans="1:8" ht="16.5" hidden="1" customHeight="1" x14ac:dyDescent="0.25">
      <c r="A57" s="45" t="s">
        <v>128</v>
      </c>
      <c r="B57" s="343"/>
      <c r="C57" s="344"/>
      <c r="D57" s="344"/>
      <c r="E57" s="42"/>
      <c r="F57" s="42"/>
      <c r="G57" s="42"/>
      <c r="H57" s="43" t="e">
        <f t="shared" si="3"/>
        <v>#DIV/0!</v>
      </c>
    </row>
    <row r="58" spans="1:8" ht="16.5" hidden="1" customHeight="1" x14ac:dyDescent="0.25">
      <c r="A58" s="45" t="s">
        <v>129</v>
      </c>
      <c r="B58" s="343"/>
      <c r="C58" s="344"/>
      <c r="D58" s="344"/>
      <c r="E58" s="42"/>
      <c r="F58" s="42"/>
      <c r="G58" s="42"/>
      <c r="H58" s="43" t="e">
        <f t="shared" si="3"/>
        <v>#DIV/0!</v>
      </c>
    </row>
    <row r="59" spans="1:8" ht="16.5" hidden="1" customHeight="1" thickBot="1" x14ac:dyDescent="0.3">
      <c r="A59" s="46" t="s">
        <v>130</v>
      </c>
      <c r="B59" s="353"/>
      <c r="C59" s="352"/>
      <c r="D59" s="352"/>
      <c r="E59" s="44"/>
      <c r="F59" s="44"/>
      <c r="G59" s="44"/>
      <c r="H59" s="43" t="e">
        <f t="shared" si="3"/>
        <v>#DIV/0!</v>
      </c>
    </row>
    <row r="60" spans="1:8" ht="16.5" hidden="1" customHeight="1" thickBot="1" x14ac:dyDescent="0.3"/>
    <row r="61" spans="1:8" ht="23.25" hidden="1" customHeight="1" x14ac:dyDescent="0.25">
      <c r="A61" s="997" t="s">
        <v>140</v>
      </c>
      <c r="B61" s="998"/>
      <c r="C61" s="998"/>
      <c r="D61" s="998"/>
      <c r="E61" s="998"/>
      <c r="F61" s="998"/>
      <c r="G61" s="998"/>
      <c r="H61" s="999"/>
    </row>
    <row r="62" spans="1:8" ht="25.5" hidden="1" customHeight="1" x14ac:dyDescent="0.25">
      <c r="A62" s="38" t="s">
        <v>64</v>
      </c>
      <c r="B62" s="39" t="s">
        <v>118</v>
      </c>
      <c r="C62" s="39" t="s">
        <v>119</v>
      </c>
      <c r="D62" s="39" t="s">
        <v>120</v>
      </c>
      <c r="E62" s="39" t="s">
        <v>121</v>
      </c>
      <c r="F62" s="39" t="s">
        <v>122</v>
      </c>
      <c r="G62" s="39" t="s">
        <v>123</v>
      </c>
      <c r="H62" s="40" t="s">
        <v>124</v>
      </c>
    </row>
    <row r="63" spans="1:8" ht="16.5" hidden="1" customHeight="1" x14ac:dyDescent="0.25">
      <c r="A63" s="45" t="s">
        <v>132</v>
      </c>
      <c r="B63" s="343"/>
      <c r="C63" s="344"/>
      <c r="D63" s="344"/>
      <c r="E63" s="42"/>
      <c r="F63" s="42"/>
      <c r="G63" s="42"/>
      <c r="H63" s="43" t="e">
        <f>G63/E63</f>
        <v>#DIV/0!</v>
      </c>
    </row>
    <row r="64" spans="1:8" ht="16.5" hidden="1" customHeight="1" x14ac:dyDescent="0.25">
      <c r="A64" s="45" t="s">
        <v>133</v>
      </c>
      <c r="B64" s="343"/>
      <c r="C64" s="344"/>
      <c r="D64" s="344"/>
      <c r="E64" s="42"/>
      <c r="F64" s="42"/>
      <c r="G64" s="42"/>
      <c r="H64" s="43" t="e">
        <f t="shared" ref="H64:H74" si="4">G64/E64</f>
        <v>#DIV/0!</v>
      </c>
    </row>
    <row r="65" spans="1:14" ht="16.5" hidden="1" customHeight="1" x14ac:dyDescent="0.25">
      <c r="A65" s="45" t="s">
        <v>134</v>
      </c>
      <c r="B65" s="343"/>
      <c r="C65" s="344"/>
      <c r="D65" s="344"/>
      <c r="E65" s="42"/>
      <c r="F65" s="42"/>
      <c r="G65" s="42"/>
      <c r="H65" s="43" t="e">
        <f t="shared" si="4"/>
        <v>#DIV/0!</v>
      </c>
    </row>
    <row r="66" spans="1:14" ht="16.5" hidden="1" customHeight="1" x14ac:dyDescent="0.25">
      <c r="A66" s="45" t="s">
        <v>135</v>
      </c>
      <c r="B66" s="343"/>
      <c r="C66" s="344"/>
      <c r="D66" s="344"/>
      <c r="E66" s="42"/>
      <c r="F66" s="42"/>
      <c r="G66" s="42"/>
      <c r="H66" s="43" t="e">
        <f t="shared" si="4"/>
        <v>#DIV/0!</v>
      </c>
    </row>
    <row r="67" spans="1:14" ht="16.5" hidden="1" customHeight="1" x14ac:dyDescent="0.25">
      <c r="A67" s="45" t="s">
        <v>136</v>
      </c>
      <c r="B67" s="343"/>
      <c r="C67" s="344"/>
      <c r="D67" s="344"/>
      <c r="E67" s="42"/>
      <c r="F67" s="42"/>
      <c r="G67" s="42"/>
      <c r="H67" s="43" t="e">
        <f t="shared" si="4"/>
        <v>#DIV/0!</v>
      </c>
    </row>
    <row r="68" spans="1:14" ht="16.5" hidden="1" customHeight="1" x14ac:dyDescent="0.25">
      <c r="A68" s="45" t="s">
        <v>137</v>
      </c>
      <c r="B68" s="343"/>
      <c r="C68" s="344"/>
      <c r="D68" s="344"/>
      <c r="E68" s="42"/>
      <c r="F68" s="42"/>
      <c r="G68" s="42"/>
      <c r="H68" s="43" t="e">
        <f t="shared" si="4"/>
        <v>#DIV/0!</v>
      </c>
    </row>
    <row r="69" spans="1:14" ht="16.5" hidden="1" customHeight="1" x14ac:dyDescent="0.25">
      <c r="A69" s="45" t="s">
        <v>125</v>
      </c>
      <c r="B69" s="343"/>
      <c r="C69" s="344"/>
      <c r="D69" s="344"/>
      <c r="E69" s="42"/>
      <c r="F69" s="42"/>
      <c r="G69" s="42"/>
      <c r="H69" s="43" t="e">
        <f t="shared" si="4"/>
        <v>#DIV/0!</v>
      </c>
    </row>
    <row r="70" spans="1:14" ht="16.5" hidden="1" customHeight="1" x14ac:dyDescent="0.25">
      <c r="A70" s="45" t="s">
        <v>126</v>
      </c>
      <c r="B70" s="343"/>
      <c r="C70" s="344"/>
      <c r="D70" s="344"/>
      <c r="E70" s="42"/>
      <c r="F70" s="42"/>
      <c r="G70" s="42"/>
      <c r="H70" s="43" t="e">
        <f t="shared" si="4"/>
        <v>#DIV/0!</v>
      </c>
    </row>
    <row r="71" spans="1:14" ht="16.5" hidden="1" customHeight="1" x14ac:dyDescent="0.25">
      <c r="A71" s="45" t="s">
        <v>127</v>
      </c>
      <c r="B71" s="343"/>
      <c r="C71" s="344"/>
      <c r="D71" s="344"/>
      <c r="E71" s="42"/>
      <c r="F71" s="42"/>
      <c r="G71" s="42"/>
      <c r="H71" s="43" t="e">
        <f t="shared" si="4"/>
        <v>#DIV/0!</v>
      </c>
    </row>
    <row r="72" spans="1:14" ht="16.5" hidden="1" customHeight="1" x14ac:dyDescent="0.25">
      <c r="A72" s="45" t="s">
        <v>128</v>
      </c>
      <c r="B72" s="343"/>
      <c r="C72" s="344"/>
      <c r="D72" s="344"/>
      <c r="E72" s="42"/>
      <c r="F72" s="42"/>
      <c r="G72" s="42"/>
      <c r="H72" s="43" t="e">
        <f t="shared" si="4"/>
        <v>#DIV/0!</v>
      </c>
    </row>
    <row r="73" spans="1:14" ht="16.5" hidden="1" customHeight="1" x14ac:dyDescent="0.25">
      <c r="A73" s="45" t="s">
        <v>129</v>
      </c>
      <c r="B73" s="343"/>
      <c r="C73" s="344"/>
      <c r="D73" s="344"/>
      <c r="E73" s="42"/>
      <c r="F73" s="42"/>
      <c r="G73" s="42"/>
      <c r="H73" s="43" t="e">
        <f t="shared" si="4"/>
        <v>#DIV/0!</v>
      </c>
    </row>
    <row r="74" spans="1:14" ht="16.5" hidden="1" customHeight="1" thickBot="1" x14ac:dyDescent="0.3">
      <c r="A74" s="46" t="s">
        <v>130</v>
      </c>
      <c r="B74" s="353"/>
      <c r="C74" s="352"/>
      <c r="D74" s="352"/>
      <c r="E74" s="44"/>
      <c r="F74" s="44"/>
      <c r="G74" s="44"/>
      <c r="H74" s="43" t="e">
        <f t="shared" si="4"/>
        <v>#DIV/0!</v>
      </c>
    </row>
    <row r="75" spans="1:14" ht="16.5" customHeight="1" x14ac:dyDescent="0.25"/>
    <row r="76" spans="1:14" ht="23.25" hidden="1" customHeight="1" x14ac:dyDescent="0.25">
      <c r="A76" s="994" t="s">
        <v>141</v>
      </c>
      <c r="B76" s="995"/>
      <c r="C76" s="995"/>
      <c r="D76" s="995"/>
      <c r="E76" s="995"/>
      <c r="F76" s="995"/>
      <c r="G76" s="995"/>
      <c r="H76" s="995"/>
      <c r="I76" s="995"/>
      <c r="J76" s="995"/>
      <c r="K76" s="995"/>
      <c r="L76" s="995"/>
      <c r="M76" s="995"/>
      <c r="N76" s="996"/>
    </row>
    <row r="77" spans="1:14" ht="44.25" hidden="1" customHeight="1" thickBot="1" x14ac:dyDescent="0.3">
      <c r="A77" s="38" t="s">
        <v>49</v>
      </c>
      <c r="B77" s="39" t="s">
        <v>142</v>
      </c>
      <c r="C77" s="39" t="s">
        <v>143</v>
      </c>
      <c r="D77" s="39" t="s">
        <v>144</v>
      </c>
      <c r="E77" s="39" t="s">
        <v>145</v>
      </c>
      <c r="F77" s="39" t="s">
        <v>146</v>
      </c>
      <c r="G77" s="39" t="s">
        <v>147</v>
      </c>
      <c r="H77" s="39" t="s">
        <v>148</v>
      </c>
      <c r="I77" s="39" t="s">
        <v>149</v>
      </c>
      <c r="J77" s="354" t="s">
        <v>150</v>
      </c>
      <c r="K77" s="39" t="s">
        <v>151</v>
      </c>
      <c r="L77" s="39" t="s">
        <v>152</v>
      </c>
      <c r="M77" s="39" t="s">
        <v>153</v>
      </c>
      <c r="N77" s="40" t="s">
        <v>154</v>
      </c>
    </row>
    <row r="78" spans="1:14" hidden="1" x14ac:dyDescent="0.25">
      <c r="A78" s="41" t="s">
        <v>125</v>
      </c>
      <c r="B78" s="343"/>
      <c r="C78" s="344"/>
      <c r="D78" s="344"/>
      <c r="E78" s="42"/>
      <c r="F78" s="42"/>
      <c r="G78" s="42"/>
      <c r="H78" s="42"/>
      <c r="I78" s="42"/>
      <c r="J78" s="355" t="e">
        <f>I78/H78</f>
        <v>#DIV/0!</v>
      </c>
      <c r="K78" s="42"/>
      <c r="L78" s="42"/>
      <c r="M78" s="42" t="e">
        <f>L78/K78</f>
        <v>#DIV/0!</v>
      </c>
      <c r="N78" s="356"/>
    </row>
    <row r="79" spans="1:14" hidden="1" x14ac:dyDescent="0.25">
      <c r="A79" s="41" t="s">
        <v>126</v>
      </c>
      <c r="B79" s="343"/>
      <c r="C79" s="344"/>
      <c r="D79" s="344"/>
      <c r="E79" s="42"/>
      <c r="F79" s="42"/>
      <c r="G79" s="42"/>
      <c r="H79" s="42"/>
      <c r="I79" s="42"/>
      <c r="J79" s="355" t="e">
        <f t="shared" ref="J79:J92" si="5">I79/H79</f>
        <v>#DIV/0!</v>
      </c>
      <c r="K79" s="42"/>
      <c r="L79" s="42"/>
      <c r="M79" s="42" t="e">
        <f t="shared" ref="M79:M92" si="6">L79/K79</f>
        <v>#DIV/0!</v>
      </c>
      <c r="N79" s="356"/>
    </row>
    <row r="80" spans="1:14" hidden="1" x14ac:dyDescent="0.25">
      <c r="A80" s="357" t="s">
        <v>127</v>
      </c>
      <c r="B80" s="358"/>
      <c r="C80" s="359"/>
      <c r="D80" s="359"/>
      <c r="E80" s="360"/>
      <c r="F80" s="360"/>
      <c r="G80" s="360"/>
      <c r="H80" s="360"/>
      <c r="I80" s="360"/>
      <c r="J80" s="361" t="e">
        <f t="shared" si="5"/>
        <v>#DIV/0!</v>
      </c>
      <c r="K80" s="360"/>
      <c r="L80" s="360"/>
      <c r="M80" s="360" t="e">
        <f t="shared" si="6"/>
        <v>#DIV/0!</v>
      </c>
      <c r="N80" s="362"/>
    </row>
    <row r="81" spans="1:14" s="60" customFormat="1" ht="143.25" hidden="1" customHeight="1" x14ac:dyDescent="0.25">
      <c r="A81" s="1020" t="s">
        <v>128</v>
      </c>
      <c r="B81" s="363" t="s">
        <v>741</v>
      </c>
      <c r="C81" s="364" t="s">
        <v>742</v>
      </c>
      <c r="D81" s="364" t="s">
        <v>743</v>
      </c>
      <c r="E81" s="365" t="s">
        <v>275</v>
      </c>
      <c r="F81" s="365">
        <v>25</v>
      </c>
      <c r="G81" s="365">
        <v>1000</v>
      </c>
      <c r="H81" s="365">
        <v>86</v>
      </c>
      <c r="I81" s="365">
        <v>50</v>
      </c>
      <c r="J81" s="366">
        <f>I81/H81</f>
        <v>0.58139534883720934</v>
      </c>
      <c r="K81" s="365">
        <v>0</v>
      </c>
      <c r="L81" s="365">
        <v>0</v>
      </c>
      <c r="M81" s="365" t="e">
        <f>L81/K81</f>
        <v>#DIV/0!</v>
      </c>
      <c r="N81" s="367" t="s">
        <v>744</v>
      </c>
    </row>
    <row r="82" spans="1:14" s="60" customFormat="1" ht="143.25" hidden="1" customHeight="1" x14ac:dyDescent="0.25">
      <c r="A82" s="988"/>
      <c r="B82" s="338" t="s">
        <v>745</v>
      </c>
      <c r="C82" s="368" t="s">
        <v>746</v>
      </c>
      <c r="D82" s="368" t="s">
        <v>747</v>
      </c>
      <c r="E82" s="369" t="s">
        <v>275</v>
      </c>
      <c r="F82" s="369">
        <v>25</v>
      </c>
      <c r="G82" s="369">
        <v>100</v>
      </c>
      <c r="H82" s="369">
        <v>10</v>
      </c>
      <c r="I82" s="369">
        <v>8</v>
      </c>
      <c r="J82" s="370">
        <f t="shared" si="5"/>
        <v>0.8</v>
      </c>
      <c r="K82" s="369">
        <v>0</v>
      </c>
      <c r="L82" s="369">
        <v>0</v>
      </c>
      <c r="M82" s="369" t="e">
        <f t="shared" si="6"/>
        <v>#DIV/0!</v>
      </c>
      <c r="N82" s="371" t="s">
        <v>748</v>
      </c>
    </row>
    <row r="83" spans="1:14" s="60" customFormat="1" ht="143.25" hidden="1" customHeight="1" x14ac:dyDescent="0.25">
      <c r="A83" s="988"/>
      <c r="B83" s="338" t="s">
        <v>749</v>
      </c>
      <c r="C83" s="368" t="s">
        <v>750</v>
      </c>
      <c r="D83" s="368" t="s">
        <v>751</v>
      </c>
      <c r="E83" s="369" t="s">
        <v>275</v>
      </c>
      <c r="F83" s="369">
        <v>25</v>
      </c>
      <c r="G83" s="369">
        <v>9</v>
      </c>
      <c r="H83" s="369">
        <v>0.5</v>
      </c>
      <c r="I83" s="369">
        <v>0.17</v>
      </c>
      <c r="J83" s="370">
        <f t="shared" si="5"/>
        <v>0.34</v>
      </c>
      <c r="K83" s="369">
        <v>0</v>
      </c>
      <c r="L83" s="369">
        <v>0</v>
      </c>
      <c r="M83" s="369" t="e">
        <f t="shared" si="6"/>
        <v>#DIV/0!</v>
      </c>
      <c r="N83" s="371" t="s">
        <v>752</v>
      </c>
    </row>
    <row r="84" spans="1:14" s="60" customFormat="1" ht="143.25" hidden="1" customHeight="1" thickBot="1" x14ac:dyDescent="0.3">
      <c r="A84" s="1021"/>
      <c r="B84" s="339" t="s">
        <v>753</v>
      </c>
      <c r="C84" s="372" t="s">
        <v>754</v>
      </c>
      <c r="D84" s="372" t="s">
        <v>755</v>
      </c>
      <c r="E84" s="373" t="s">
        <v>275</v>
      </c>
      <c r="F84" s="373">
        <v>25</v>
      </c>
      <c r="G84" s="373">
        <v>1</v>
      </c>
      <c r="H84" s="373">
        <v>0.5</v>
      </c>
      <c r="I84" s="373">
        <v>0.33</v>
      </c>
      <c r="J84" s="374">
        <f t="shared" si="5"/>
        <v>0.66</v>
      </c>
      <c r="K84" s="373">
        <v>0</v>
      </c>
      <c r="L84" s="373">
        <v>0</v>
      </c>
      <c r="M84" s="373" t="e">
        <f t="shared" si="6"/>
        <v>#DIV/0!</v>
      </c>
      <c r="N84" s="375" t="s">
        <v>756</v>
      </c>
    </row>
    <row r="85" spans="1:14" ht="90" hidden="1" customHeight="1" x14ac:dyDescent="0.25">
      <c r="A85" s="1020" t="s">
        <v>129</v>
      </c>
      <c r="B85" s="363" t="s">
        <v>741</v>
      </c>
      <c r="C85" s="364" t="s">
        <v>742</v>
      </c>
      <c r="D85" s="364" t="s">
        <v>743</v>
      </c>
      <c r="E85" s="365" t="s">
        <v>275</v>
      </c>
      <c r="F85" s="365">
        <v>25</v>
      </c>
      <c r="G85" s="365">
        <v>1000</v>
      </c>
      <c r="H85" s="365">
        <v>86</v>
      </c>
      <c r="I85" s="376">
        <v>67</v>
      </c>
      <c r="J85" s="377">
        <f t="shared" si="5"/>
        <v>0.77906976744186052</v>
      </c>
      <c r="K85" s="376">
        <v>0</v>
      </c>
      <c r="L85" s="376">
        <v>0</v>
      </c>
      <c r="M85" s="376" t="e">
        <f t="shared" si="6"/>
        <v>#DIV/0!</v>
      </c>
      <c r="N85" s="378" t="s">
        <v>757</v>
      </c>
    </row>
    <row r="86" spans="1:14" ht="150" hidden="1" x14ac:dyDescent="0.25">
      <c r="A86" s="988"/>
      <c r="B86" s="338" t="s">
        <v>745</v>
      </c>
      <c r="C86" s="368" t="s">
        <v>746</v>
      </c>
      <c r="D86" s="368" t="s">
        <v>747</v>
      </c>
      <c r="E86" s="369" t="s">
        <v>275</v>
      </c>
      <c r="F86" s="369">
        <v>25</v>
      </c>
      <c r="G86" s="369">
        <v>100</v>
      </c>
      <c r="H86" s="369">
        <v>10</v>
      </c>
      <c r="I86" s="379">
        <v>9</v>
      </c>
      <c r="J86" s="380">
        <f t="shared" si="5"/>
        <v>0.9</v>
      </c>
      <c r="K86" s="379">
        <v>0</v>
      </c>
      <c r="L86" s="379">
        <v>0</v>
      </c>
      <c r="M86" s="379" t="e">
        <f t="shared" si="6"/>
        <v>#DIV/0!</v>
      </c>
      <c r="N86" s="381" t="s">
        <v>758</v>
      </c>
    </row>
    <row r="87" spans="1:14" ht="135" hidden="1" x14ac:dyDescent="0.25">
      <c r="A87" s="988"/>
      <c r="B87" s="338" t="s">
        <v>749</v>
      </c>
      <c r="C87" s="368" t="s">
        <v>750</v>
      </c>
      <c r="D87" s="368" t="s">
        <v>751</v>
      </c>
      <c r="E87" s="369" t="s">
        <v>275</v>
      </c>
      <c r="F87" s="369">
        <v>25</v>
      </c>
      <c r="G87" s="369">
        <v>9</v>
      </c>
      <c r="H87" s="369">
        <v>0.5</v>
      </c>
      <c r="I87" s="379">
        <v>0.34</v>
      </c>
      <c r="J87" s="380">
        <f t="shared" si="5"/>
        <v>0.68</v>
      </c>
      <c r="K87" s="379">
        <v>0</v>
      </c>
      <c r="L87" s="379">
        <v>0</v>
      </c>
      <c r="M87" s="379" t="e">
        <f t="shared" si="6"/>
        <v>#DIV/0!</v>
      </c>
      <c r="N87" s="381" t="s">
        <v>759</v>
      </c>
    </row>
    <row r="88" spans="1:14" ht="120.75" hidden="1" thickBot="1" x14ac:dyDescent="0.3">
      <c r="A88" s="1021"/>
      <c r="B88" s="339" t="s">
        <v>753</v>
      </c>
      <c r="C88" s="372" t="s">
        <v>754</v>
      </c>
      <c r="D88" s="372" t="s">
        <v>755</v>
      </c>
      <c r="E88" s="373" t="s">
        <v>275</v>
      </c>
      <c r="F88" s="373">
        <v>25</v>
      </c>
      <c r="G88" s="373">
        <v>1</v>
      </c>
      <c r="H88" s="373">
        <v>0.5</v>
      </c>
      <c r="I88" s="382">
        <v>0.42</v>
      </c>
      <c r="J88" s="383">
        <f t="shared" si="5"/>
        <v>0.84</v>
      </c>
      <c r="K88" s="382">
        <v>0</v>
      </c>
      <c r="L88" s="382">
        <v>0</v>
      </c>
      <c r="M88" s="382" t="e">
        <f t="shared" si="6"/>
        <v>#DIV/0!</v>
      </c>
      <c r="N88" s="384" t="s">
        <v>760</v>
      </c>
    </row>
    <row r="89" spans="1:14" ht="75" hidden="1" x14ac:dyDescent="0.25">
      <c r="A89" s="1022" t="s">
        <v>130</v>
      </c>
      <c r="B89" s="363" t="s">
        <v>741</v>
      </c>
      <c r="C89" s="364" t="s">
        <v>742</v>
      </c>
      <c r="D89" s="364" t="s">
        <v>743</v>
      </c>
      <c r="E89" s="365" t="s">
        <v>275</v>
      </c>
      <c r="F89" s="365">
        <v>25</v>
      </c>
      <c r="G89" s="365">
        <v>1000</v>
      </c>
      <c r="H89" s="365">
        <v>86</v>
      </c>
      <c r="I89" s="376">
        <v>86</v>
      </c>
      <c r="J89" s="377">
        <f t="shared" si="5"/>
        <v>1</v>
      </c>
      <c r="K89" s="376">
        <v>0</v>
      </c>
      <c r="L89" s="376">
        <v>0</v>
      </c>
      <c r="M89" s="376" t="e">
        <f t="shared" si="6"/>
        <v>#DIV/0!</v>
      </c>
      <c r="N89" s="378" t="s">
        <v>761</v>
      </c>
    </row>
    <row r="90" spans="1:14" ht="150" hidden="1" x14ac:dyDescent="0.25">
      <c r="A90" s="1023"/>
      <c r="B90" s="338" t="s">
        <v>745</v>
      </c>
      <c r="C90" s="368" t="s">
        <v>746</v>
      </c>
      <c r="D90" s="368" t="s">
        <v>747</v>
      </c>
      <c r="E90" s="369" t="s">
        <v>275</v>
      </c>
      <c r="F90" s="369">
        <v>25</v>
      </c>
      <c r="G90" s="369">
        <v>100</v>
      </c>
      <c r="H90" s="369">
        <v>10</v>
      </c>
      <c r="I90" s="379">
        <v>10</v>
      </c>
      <c r="J90" s="380">
        <f t="shared" si="5"/>
        <v>1</v>
      </c>
      <c r="K90" s="379">
        <v>0</v>
      </c>
      <c r="L90" s="379">
        <v>0</v>
      </c>
      <c r="M90" s="379" t="e">
        <f t="shared" si="6"/>
        <v>#DIV/0!</v>
      </c>
      <c r="N90" s="381" t="s">
        <v>762</v>
      </c>
    </row>
    <row r="91" spans="1:14" ht="150" hidden="1" x14ac:dyDescent="0.25">
      <c r="A91" s="1023"/>
      <c r="B91" s="338" t="s">
        <v>749</v>
      </c>
      <c r="C91" s="368" t="s">
        <v>750</v>
      </c>
      <c r="D91" s="368" t="s">
        <v>751</v>
      </c>
      <c r="E91" s="369" t="s">
        <v>275</v>
      </c>
      <c r="F91" s="369">
        <v>25</v>
      </c>
      <c r="G91" s="369">
        <v>9</v>
      </c>
      <c r="H91" s="369">
        <v>0.5</v>
      </c>
      <c r="I91" s="379">
        <v>0.5</v>
      </c>
      <c r="J91" s="380">
        <f t="shared" si="5"/>
        <v>1</v>
      </c>
      <c r="K91" s="379">
        <v>0</v>
      </c>
      <c r="L91" s="379">
        <v>0</v>
      </c>
      <c r="M91" s="379" t="e">
        <f t="shared" si="6"/>
        <v>#DIV/0!</v>
      </c>
      <c r="N91" s="381" t="s">
        <v>763</v>
      </c>
    </row>
    <row r="92" spans="1:14" ht="120.75" hidden="1" thickBot="1" x14ac:dyDescent="0.3">
      <c r="A92" s="1023"/>
      <c r="B92" s="339" t="s">
        <v>753</v>
      </c>
      <c r="C92" s="372" t="s">
        <v>754</v>
      </c>
      <c r="D92" s="372" t="s">
        <v>755</v>
      </c>
      <c r="E92" s="373" t="s">
        <v>275</v>
      </c>
      <c r="F92" s="373">
        <v>25</v>
      </c>
      <c r="G92" s="373">
        <v>1</v>
      </c>
      <c r="H92" s="373">
        <v>0.5</v>
      </c>
      <c r="I92" s="382">
        <v>0.5</v>
      </c>
      <c r="J92" s="383">
        <f t="shared" si="5"/>
        <v>1</v>
      </c>
      <c r="K92" s="382">
        <v>0</v>
      </c>
      <c r="L92" s="382">
        <v>0</v>
      </c>
      <c r="M92" s="382" t="e">
        <f t="shared" si="6"/>
        <v>#DIV/0!</v>
      </c>
      <c r="N92" s="384" t="s">
        <v>764</v>
      </c>
    </row>
    <row r="93" spans="1:14" ht="15.75" customHeight="1" x14ac:dyDescent="0.25">
      <c r="A93" s="385"/>
      <c r="I93" s="3"/>
      <c r="J93" s="386"/>
      <c r="K93" s="3"/>
      <c r="L93" s="3"/>
      <c r="M93" s="3"/>
      <c r="N93" s="387"/>
    </row>
    <row r="94" spans="1:14" ht="15.75" customHeight="1" x14ac:dyDescent="0.25">
      <c r="A94" s="385"/>
      <c r="I94" s="3"/>
      <c r="J94" s="386"/>
      <c r="K94" s="3"/>
      <c r="L94" s="3"/>
      <c r="M94" s="3"/>
      <c r="N94" s="387"/>
    </row>
    <row r="96" spans="1:14" ht="20.25" x14ac:dyDescent="0.25">
      <c r="A96" s="994" t="s">
        <v>208</v>
      </c>
      <c r="B96" s="995"/>
      <c r="C96" s="995"/>
      <c r="D96" s="995"/>
      <c r="E96" s="995"/>
      <c r="F96" s="995"/>
      <c r="G96" s="995"/>
      <c r="H96" s="995"/>
      <c r="I96" s="995"/>
      <c r="J96" s="995"/>
      <c r="K96" s="995"/>
      <c r="L96" s="995"/>
      <c r="M96" s="995"/>
      <c r="N96" s="996"/>
    </row>
    <row r="97" spans="1:14" ht="44.25" customHeight="1" thickBot="1" x14ac:dyDescent="0.3">
      <c r="A97" s="38" t="s">
        <v>50</v>
      </c>
      <c r="B97" s="39" t="s">
        <v>142</v>
      </c>
      <c r="C97" s="39" t="s">
        <v>143</v>
      </c>
      <c r="D97" s="39" t="s">
        <v>144</v>
      </c>
      <c r="E97" s="39" t="s">
        <v>145</v>
      </c>
      <c r="F97" s="39" t="s">
        <v>155</v>
      </c>
      <c r="G97" s="39" t="s">
        <v>147</v>
      </c>
      <c r="H97" s="39" t="s">
        <v>156</v>
      </c>
      <c r="I97" s="39" t="s">
        <v>157</v>
      </c>
      <c r="J97" s="354" t="s">
        <v>158</v>
      </c>
      <c r="K97" s="39" t="s">
        <v>151</v>
      </c>
      <c r="L97" s="39" t="s">
        <v>152</v>
      </c>
      <c r="M97" s="39" t="s">
        <v>153</v>
      </c>
      <c r="N97" s="40" t="s">
        <v>154</v>
      </c>
    </row>
    <row r="98" spans="1:14" ht="75.75" hidden="1" customHeight="1" x14ac:dyDescent="0.25">
      <c r="A98" s="981" t="s">
        <v>132</v>
      </c>
      <c r="B98" s="363" t="s">
        <v>741</v>
      </c>
      <c r="C98" s="364" t="s">
        <v>742</v>
      </c>
      <c r="D98" s="364" t="s">
        <v>743</v>
      </c>
      <c r="E98" s="365" t="s">
        <v>275</v>
      </c>
      <c r="F98" s="365">
        <v>25</v>
      </c>
      <c r="G98" s="365">
        <v>1000</v>
      </c>
      <c r="H98" s="42">
        <v>186</v>
      </c>
      <c r="I98" s="42">
        <v>10</v>
      </c>
      <c r="J98" s="355">
        <f t="shared" ref="J98:J113" si="7">I98/H98</f>
        <v>5.3763440860215055E-2</v>
      </c>
      <c r="K98" s="42">
        <v>0</v>
      </c>
      <c r="L98" s="42">
        <v>0</v>
      </c>
      <c r="M98" s="42" t="e">
        <f t="shared" ref="M98:M109" si="8">L98/K98</f>
        <v>#DIV/0!</v>
      </c>
      <c r="N98" s="356" t="s">
        <v>765</v>
      </c>
    </row>
    <row r="99" spans="1:14" ht="75.75" hidden="1" customHeight="1" x14ac:dyDescent="0.25">
      <c r="A99" s="982"/>
      <c r="B99" s="338" t="s">
        <v>745</v>
      </c>
      <c r="C99" s="368" t="s">
        <v>746</v>
      </c>
      <c r="D99" s="368" t="s">
        <v>747</v>
      </c>
      <c r="E99" s="369" t="s">
        <v>275</v>
      </c>
      <c r="F99" s="369">
        <v>25</v>
      </c>
      <c r="G99" s="369">
        <v>100</v>
      </c>
      <c r="H99" s="42">
        <v>20</v>
      </c>
      <c r="I99" s="42">
        <v>1</v>
      </c>
      <c r="J99" s="355">
        <f t="shared" si="7"/>
        <v>0.05</v>
      </c>
      <c r="K99" s="42">
        <v>0</v>
      </c>
      <c r="L99" s="42">
        <v>0</v>
      </c>
      <c r="M99" s="42" t="e">
        <f t="shared" si="8"/>
        <v>#DIV/0!</v>
      </c>
      <c r="N99" s="356" t="s">
        <v>766</v>
      </c>
    </row>
    <row r="100" spans="1:14" ht="75.75" hidden="1" customHeight="1" x14ac:dyDescent="0.25">
      <c r="A100" s="982"/>
      <c r="B100" s="338" t="s">
        <v>749</v>
      </c>
      <c r="C100" s="368" t="s">
        <v>750</v>
      </c>
      <c r="D100" s="368" t="s">
        <v>751</v>
      </c>
      <c r="E100" s="369" t="s">
        <v>275</v>
      </c>
      <c r="F100" s="369">
        <v>25</v>
      </c>
      <c r="G100" s="369">
        <v>9</v>
      </c>
      <c r="H100" s="42">
        <v>1.4</v>
      </c>
      <c r="I100" s="42">
        <v>0</v>
      </c>
      <c r="J100" s="355">
        <f t="shared" si="7"/>
        <v>0</v>
      </c>
      <c r="K100" s="42">
        <v>0</v>
      </c>
      <c r="L100" s="42">
        <v>0</v>
      </c>
      <c r="M100" s="42" t="e">
        <f t="shared" si="8"/>
        <v>#DIV/0!</v>
      </c>
      <c r="N100" s="388" t="s">
        <v>767</v>
      </c>
    </row>
    <row r="101" spans="1:14" ht="75.75" hidden="1" customHeight="1" thickBot="1" x14ac:dyDescent="0.3">
      <c r="A101" s="983"/>
      <c r="B101" s="339" t="s">
        <v>753</v>
      </c>
      <c r="C101" s="372" t="s">
        <v>754</v>
      </c>
      <c r="D101" s="372" t="s">
        <v>755</v>
      </c>
      <c r="E101" s="373" t="s">
        <v>275</v>
      </c>
      <c r="F101" s="373">
        <v>25</v>
      </c>
      <c r="G101" s="373">
        <v>1</v>
      </c>
      <c r="H101" s="42">
        <v>0.1</v>
      </c>
      <c r="I101" s="42">
        <v>0.01</v>
      </c>
      <c r="J101" s="355">
        <f t="shared" si="7"/>
        <v>9.9999999999999992E-2</v>
      </c>
      <c r="K101" s="42">
        <v>0</v>
      </c>
      <c r="L101" s="42">
        <v>0</v>
      </c>
      <c r="M101" s="42" t="e">
        <f t="shared" si="8"/>
        <v>#DIV/0!</v>
      </c>
      <c r="N101" s="389" t="s">
        <v>768</v>
      </c>
    </row>
    <row r="102" spans="1:14" ht="63" hidden="1" customHeight="1" thickBot="1" x14ac:dyDescent="0.3">
      <c r="A102" s="981" t="s">
        <v>133</v>
      </c>
      <c r="B102" s="363" t="s">
        <v>741</v>
      </c>
      <c r="C102" s="364" t="s">
        <v>742</v>
      </c>
      <c r="D102" s="364" t="s">
        <v>743</v>
      </c>
      <c r="E102" s="373" t="s">
        <v>275</v>
      </c>
      <c r="F102" s="365">
        <v>25</v>
      </c>
      <c r="G102" s="365">
        <v>1000</v>
      </c>
      <c r="H102" s="42">
        <v>186</v>
      </c>
      <c r="I102" s="42">
        <v>24</v>
      </c>
      <c r="J102" s="355">
        <f t="shared" si="7"/>
        <v>0.12903225806451613</v>
      </c>
      <c r="K102" s="42">
        <v>0</v>
      </c>
      <c r="L102" s="42">
        <v>0</v>
      </c>
      <c r="M102" s="42" t="e">
        <f t="shared" si="8"/>
        <v>#DIV/0!</v>
      </c>
      <c r="N102" s="390" t="s">
        <v>769</v>
      </c>
    </row>
    <row r="103" spans="1:14" ht="85.5" hidden="1" customHeight="1" thickBot="1" x14ac:dyDescent="0.3">
      <c r="A103" s="982"/>
      <c r="B103" s="338" t="s">
        <v>745</v>
      </c>
      <c r="C103" s="368" t="s">
        <v>746</v>
      </c>
      <c r="D103" s="368" t="s">
        <v>747</v>
      </c>
      <c r="E103" s="373" t="s">
        <v>275</v>
      </c>
      <c r="F103" s="369">
        <v>25</v>
      </c>
      <c r="G103" s="369">
        <v>100</v>
      </c>
      <c r="H103" s="42">
        <v>20</v>
      </c>
      <c r="I103" s="42">
        <v>2</v>
      </c>
      <c r="J103" s="355">
        <f t="shared" si="7"/>
        <v>0.1</v>
      </c>
      <c r="K103" s="42">
        <v>0</v>
      </c>
      <c r="L103" s="42">
        <v>0</v>
      </c>
      <c r="M103" s="42" t="e">
        <f t="shared" si="8"/>
        <v>#DIV/0!</v>
      </c>
      <c r="N103" s="356" t="s">
        <v>770</v>
      </c>
    </row>
    <row r="104" spans="1:14" ht="120.75" hidden="1" thickBot="1" x14ac:dyDescent="0.3">
      <c r="A104" s="982"/>
      <c r="B104" s="338" t="s">
        <v>749</v>
      </c>
      <c r="C104" s="368" t="s">
        <v>750</v>
      </c>
      <c r="D104" s="368" t="s">
        <v>751</v>
      </c>
      <c r="E104" s="373" t="s">
        <v>275</v>
      </c>
      <c r="F104" s="369">
        <v>25</v>
      </c>
      <c r="G104" s="369">
        <v>9</v>
      </c>
      <c r="H104" s="42">
        <v>1.4</v>
      </c>
      <c r="I104" s="42">
        <v>0.126</v>
      </c>
      <c r="J104" s="355">
        <f t="shared" si="7"/>
        <v>9.0000000000000011E-2</v>
      </c>
      <c r="K104" s="42">
        <v>0</v>
      </c>
      <c r="L104" s="42">
        <v>0</v>
      </c>
      <c r="M104" s="42" t="e">
        <f t="shared" si="8"/>
        <v>#DIV/0!</v>
      </c>
      <c r="N104" s="356" t="s">
        <v>771</v>
      </c>
    </row>
    <row r="105" spans="1:14" ht="120.75" hidden="1" thickBot="1" x14ac:dyDescent="0.3">
      <c r="A105" s="983"/>
      <c r="B105" s="339" t="s">
        <v>772</v>
      </c>
      <c r="C105" s="372" t="s">
        <v>754</v>
      </c>
      <c r="D105" s="372" t="s">
        <v>755</v>
      </c>
      <c r="E105" s="373" t="s">
        <v>275</v>
      </c>
      <c r="F105" s="373">
        <v>25</v>
      </c>
      <c r="G105" s="373">
        <v>1</v>
      </c>
      <c r="H105" s="42">
        <v>0.1</v>
      </c>
      <c r="I105" s="42">
        <v>0.02</v>
      </c>
      <c r="J105" s="355">
        <f t="shared" si="7"/>
        <v>0.19999999999999998</v>
      </c>
      <c r="K105" s="42">
        <v>0</v>
      </c>
      <c r="L105" s="42">
        <v>0</v>
      </c>
      <c r="M105" s="42" t="e">
        <f t="shared" si="8"/>
        <v>#DIV/0!</v>
      </c>
      <c r="N105" s="356" t="s">
        <v>768</v>
      </c>
    </row>
    <row r="106" spans="1:14" ht="75.75" hidden="1" thickBot="1" x14ac:dyDescent="0.3">
      <c r="A106" s="981" t="s">
        <v>134</v>
      </c>
      <c r="B106" s="363" t="s">
        <v>741</v>
      </c>
      <c r="C106" s="364" t="s">
        <v>742</v>
      </c>
      <c r="D106" s="364" t="s">
        <v>743</v>
      </c>
      <c r="E106" s="373" t="s">
        <v>275</v>
      </c>
      <c r="F106" s="365">
        <v>25</v>
      </c>
      <c r="G106" s="365">
        <v>1000</v>
      </c>
      <c r="H106" s="42">
        <v>186</v>
      </c>
      <c r="I106" s="42">
        <v>41</v>
      </c>
      <c r="J106" s="355">
        <f t="shared" si="7"/>
        <v>0.22043010752688172</v>
      </c>
      <c r="K106" s="42">
        <v>0</v>
      </c>
      <c r="L106" s="42">
        <v>0</v>
      </c>
      <c r="M106" s="42" t="e">
        <f t="shared" si="8"/>
        <v>#DIV/0!</v>
      </c>
      <c r="N106" s="390" t="s">
        <v>773</v>
      </c>
    </row>
    <row r="107" spans="1:14" ht="150.75" hidden="1" thickBot="1" x14ac:dyDescent="0.3">
      <c r="A107" s="982"/>
      <c r="B107" s="338" t="s">
        <v>745</v>
      </c>
      <c r="C107" s="368" t="s">
        <v>746</v>
      </c>
      <c r="D107" s="368" t="s">
        <v>747</v>
      </c>
      <c r="E107" s="373" t="s">
        <v>275</v>
      </c>
      <c r="F107" s="369">
        <v>25</v>
      </c>
      <c r="G107" s="369">
        <v>100</v>
      </c>
      <c r="H107" s="42">
        <v>20</v>
      </c>
      <c r="I107" s="42">
        <v>1</v>
      </c>
      <c r="J107" s="355">
        <f t="shared" si="7"/>
        <v>0.05</v>
      </c>
      <c r="K107" s="42">
        <v>0</v>
      </c>
      <c r="L107" s="42">
        <v>0</v>
      </c>
      <c r="M107" s="42" t="e">
        <f t="shared" si="8"/>
        <v>#DIV/0!</v>
      </c>
      <c r="N107" s="356" t="s">
        <v>774</v>
      </c>
    </row>
    <row r="108" spans="1:14" ht="135.75" hidden="1" thickBot="1" x14ac:dyDescent="0.3">
      <c r="A108" s="982"/>
      <c r="B108" s="338" t="s">
        <v>749</v>
      </c>
      <c r="C108" s="368" t="s">
        <v>750</v>
      </c>
      <c r="D108" s="368" t="s">
        <v>751</v>
      </c>
      <c r="E108" s="373" t="s">
        <v>275</v>
      </c>
      <c r="F108" s="369">
        <v>25</v>
      </c>
      <c r="G108" s="369">
        <v>9</v>
      </c>
      <c r="H108" s="42">
        <v>1.4</v>
      </c>
      <c r="I108" s="391">
        <v>0.252</v>
      </c>
      <c r="J108" s="355">
        <f t="shared" si="7"/>
        <v>0.18000000000000002</v>
      </c>
      <c r="K108" s="42">
        <v>0</v>
      </c>
      <c r="L108" s="42">
        <v>0</v>
      </c>
      <c r="M108" s="42" t="e">
        <f t="shared" si="8"/>
        <v>#DIV/0!</v>
      </c>
      <c r="N108" s="392" t="s">
        <v>775</v>
      </c>
    </row>
    <row r="109" spans="1:14" ht="120.75" hidden="1" thickBot="1" x14ac:dyDescent="0.3">
      <c r="A109" s="983"/>
      <c r="B109" s="339" t="s">
        <v>772</v>
      </c>
      <c r="C109" s="372" t="s">
        <v>754</v>
      </c>
      <c r="D109" s="372" t="s">
        <v>755</v>
      </c>
      <c r="E109" s="373" t="s">
        <v>275</v>
      </c>
      <c r="F109" s="373">
        <v>25</v>
      </c>
      <c r="G109" s="373">
        <v>1</v>
      </c>
      <c r="H109" s="42">
        <v>0.1</v>
      </c>
      <c r="I109" s="42">
        <v>2.8000000000000001E-2</v>
      </c>
      <c r="J109" s="355">
        <f t="shared" si="7"/>
        <v>0.27999999999999997</v>
      </c>
      <c r="K109" s="42">
        <v>0</v>
      </c>
      <c r="L109" s="42">
        <v>0</v>
      </c>
      <c r="M109" s="42" t="e">
        <f t="shared" si="8"/>
        <v>#DIV/0!</v>
      </c>
      <c r="N109" s="356" t="s">
        <v>776</v>
      </c>
    </row>
    <row r="110" spans="1:14" ht="75.75" hidden="1" thickBot="1" x14ac:dyDescent="0.3">
      <c r="A110" s="981" t="s">
        <v>135</v>
      </c>
      <c r="B110" s="363" t="s">
        <v>741</v>
      </c>
      <c r="C110" s="364" t="s">
        <v>742</v>
      </c>
      <c r="D110" s="364" t="s">
        <v>743</v>
      </c>
      <c r="E110" s="373" t="s">
        <v>275</v>
      </c>
      <c r="F110" s="365">
        <v>25</v>
      </c>
      <c r="G110" s="365">
        <v>1000</v>
      </c>
      <c r="H110" s="42">
        <v>186</v>
      </c>
      <c r="I110" s="393">
        <v>58</v>
      </c>
      <c r="J110" s="355">
        <f t="shared" si="7"/>
        <v>0.31182795698924731</v>
      </c>
      <c r="K110" s="42">
        <v>0</v>
      </c>
      <c r="L110" s="42">
        <v>0</v>
      </c>
      <c r="M110" s="42" t="e">
        <f>L110/K110</f>
        <v>#DIV/0!</v>
      </c>
      <c r="N110" s="390" t="s">
        <v>777</v>
      </c>
    </row>
    <row r="111" spans="1:14" ht="150.75" hidden="1" thickBot="1" x14ac:dyDescent="0.3">
      <c r="A111" s="982"/>
      <c r="B111" s="338" t="s">
        <v>745</v>
      </c>
      <c r="C111" s="368" t="s">
        <v>746</v>
      </c>
      <c r="D111" s="368" t="s">
        <v>747</v>
      </c>
      <c r="E111" s="373" t="s">
        <v>275</v>
      </c>
      <c r="F111" s="369">
        <v>25</v>
      </c>
      <c r="G111" s="369">
        <v>100</v>
      </c>
      <c r="H111" s="42">
        <v>20</v>
      </c>
      <c r="I111" s="393">
        <v>5</v>
      </c>
      <c r="J111" s="355">
        <f t="shared" si="7"/>
        <v>0.25</v>
      </c>
      <c r="K111" s="42">
        <v>0</v>
      </c>
      <c r="L111" s="42">
        <v>0</v>
      </c>
      <c r="M111" s="42" t="e">
        <f t="shared" ref="M111:M113" si="9">L111/K111</f>
        <v>#DIV/0!</v>
      </c>
      <c r="N111" s="356" t="s">
        <v>778</v>
      </c>
    </row>
    <row r="112" spans="1:14" ht="75.75" hidden="1" thickBot="1" x14ac:dyDescent="0.3">
      <c r="A112" s="982"/>
      <c r="B112" s="338" t="s">
        <v>749</v>
      </c>
      <c r="C112" s="368" t="s">
        <v>750</v>
      </c>
      <c r="D112" s="368" t="s">
        <v>751</v>
      </c>
      <c r="E112" s="373" t="s">
        <v>275</v>
      </c>
      <c r="F112" s="369">
        <v>25</v>
      </c>
      <c r="G112" s="369">
        <v>9</v>
      </c>
      <c r="H112" s="42">
        <v>1.4</v>
      </c>
      <c r="I112" s="394">
        <v>0.378</v>
      </c>
      <c r="J112" s="355">
        <f t="shared" si="7"/>
        <v>0.27</v>
      </c>
      <c r="K112" s="42">
        <v>0</v>
      </c>
      <c r="L112" s="42">
        <v>0</v>
      </c>
      <c r="M112" s="42" t="e">
        <f t="shared" si="9"/>
        <v>#DIV/0!</v>
      </c>
      <c r="N112" s="392" t="s">
        <v>779</v>
      </c>
    </row>
    <row r="113" spans="1:14" ht="120.75" hidden="1" thickBot="1" x14ac:dyDescent="0.3">
      <c r="A113" s="983"/>
      <c r="B113" s="339" t="s">
        <v>772</v>
      </c>
      <c r="C113" s="372" t="s">
        <v>754</v>
      </c>
      <c r="D113" s="372" t="s">
        <v>755</v>
      </c>
      <c r="E113" s="373" t="s">
        <v>275</v>
      </c>
      <c r="F113" s="373">
        <v>25</v>
      </c>
      <c r="G113" s="373">
        <v>1</v>
      </c>
      <c r="H113" s="42">
        <v>0.1</v>
      </c>
      <c r="I113" s="42">
        <v>3.5999999999999997E-2</v>
      </c>
      <c r="J113" s="355">
        <f t="shared" si="7"/>
        <v>0.35999999999999993</v>
      </c>
      <c r="K113" s="42">
        <v>0</v>
      </c>
      <c r="L113" s="42">
        <v>0</v>
      </c>
      <c r="M113" s="42" t="e">
        <f t="shared" si="9"/>
        <v>#DIV/0!</v>
      </c>
      <c r="N113" s="356" t="s">
        <v>780</v>
      </c>
    </row>
    <row r="114" spans="1:14" ht="75.75" hidden="1" thickBot="1" x14ac:dyDescent="0.3">
      <c r="A114" s="981" t="s">
        <v>136</v>
      </c>
      <c r="B114" s="363" t="s">
        <v>741</v>
      </c>
      <c r="C114" s="364" t="s">
        <v>742</v>
      </c>
      <c r="D114" s="364" t="s">
        <v>743</v>
      </c>
      <c r="E114" s="373" t="s">
        <v>275</v>
      </c>
      <c r="F114" s="365">
        <v>25</v>
      </c>
      <c r="G114" s="365">
        <v>1000</v>
      </c>
      <c r="H114" s="42">
        <v>186</v>
      </c>
      <c r="I114" s="393">
        <v>75</v>
      </c>
      <c r="J114" s="355">
        <f t="shared" ref="J114:J117" si="10">I114/H114</f>
        <v>0.40322580645161288</v>
      </c>
      <c r="K114" s="42">
        <v>0</v>
      </c>
      <c r="L114" s="42">
        <v>0</v>
      </c>
      <c r="M114" s="42" t="e">
        <f>L114/K114</f>
        <v>#DIV/0!</v>
      </c>
      <c r="N114" s="390" t="s">
        <v>812</v>
      </c>
    </row>
    <row r="115" spans="1:14" ht="150.75" hidden="1" thickBot="1" x14ac:dyDescent="0.3">
      <c r="A115" s="982"/>
      <c r="B115" s="338" t="s">
        <v>745</v>
      </c>
      <c r="C115" s="368" t="s">
        <v>746</v>
      </c>
      <c r="D115" s="368" t="s">
        <v>747</v>
      </c>
      <c r="E115" s="373" t="s">
        <v>275</v>
      </c>
      <c r="F115" s="369">
        <v>25</v>
      </c>
      <c r="G115" s="369">
        <v>100</v>
      </c>
      <c r="H115" s="42">
        <v>20</v>
      </c>
      <c r="I115" s="393">
        <v>7</v>
      </c>
      <c r="J115" s="355">
        <f t="shared" si="10"/>
        <v>0.35</v>
      </c>
      <c r="K115" s="42">
        <v>0</v>
      </c>
      <c r="L115" s="42">
        <v>0</v>
      </c>
      <c r="M115" s="42" t="e">
        <f t="shared" ref="M115:M117" si="11">L115/K115</f>
        <v>#DIV/0!</v>
      </c>
      <c r="N115" s="356" t="s">
        <v>813</v>
      </c>
    </row>
    <row r="116" spans="1:14" ht="75.75" hidden="1" thickBot="1" x14ac:dyDescent="0.3">
      <c r="A116" s="982"/>
      <c r="B116" s="338" t="s">
        <v>749</v>
      </c>
      <c r="C116" s="368" t="s">
        <v>750</v>
      </c>
      <c r="D116" s="368" t="s">
        <v>751</v>
      </c>
      <c r="E116" s="373" t="s">
        <v>275</v>
      </c>
      <c r="F116" s="369">
        <v>25</v>
      </c>
      <c r="G116" s="369">
        <v>9</v>
      </c>
      <c r="H116" s="42">
        <v>1.4</v>
      </c>
      <c r="I116" s="394">
        <v>0.504</v>
      </c>
      <c r="J116" s="355">
        <f t="shared" si="10"/>
        <v>0.36000000000000004</v>
      </c>
      <c r="K116" s="42">
        <v>0</v>
      </c>
      <c r="L116" s="42">
        <v>0</v>
      </c>
      <c r="M116" s="42" t="e">
        <f t="shared" si="11"/>
        <v>#DIV/0!</v>
      </c>
      <c r="N116" s="392" t="s">
        <v>814</v>
      </c>
    </row>
    <row r="117" spans="1:14" ht="120.75" hidden="1" thickBot="1" x14ac:dyDescent="0.3">
      <c r="A117" s="983"/>
      <c r="B117" s="339" t="s">
        <v>772</v>
      </c>
      <c r="C117" s="372" t="s">
        <v>754</v>
      </c>
      <c r="D117" s="372" t="s">
        <v>755</v>
      </c>
      <c r="E117" s="373" t="s">
        <v>275</v>
      </c>
      <c r="F117" s="373">
        <v>25</v>
      </c>
      <c r="G117" s="373">
        <v>1</v>
      </c>
      <c r="H117" s="42">
        <v>0.1</v>
      </c>
      <c r="I117" s="42">
        <v>4.3999999999999997E-2</v>
      </c>
      <c r="J117" s="355">
        <f t="shared" si="10"/>
        <v>0.43999999999999995</v>
      </c>
      <c r="K117" s="42">
        <v>0</v>
      </c>
      <c r="L117" s="42">
        <v>0</v>
      </c>
      <c r="M117" s="42" t="e">
        <f t="shared" si="11"/>
        <v>#DIV/0!</v>
      </c>
      <c r="N117" s="356" t="s">
        <v>815</v>
      </c>
    </row>
    <row r="118" spans="1:14" ht="75.75" hidden="1" thickBot="1" x14ac:dyDescent="0.3">
      <c r="A118" s="981" t="s">
        <v>137</v>
      </c>
      <c r="B118" s="363" t="s">
        <v>741</v>
      </c>
      <c r="C118" s="364" t="s">
        <v>742</v>
      </c>
      <c r="D118" s="364" t="s">
        <v>743</v>
      </c>
      <c r="E118" s="373" t="s">
        <v>275</v>
      </c>
      <c r="F118" s="365">
        <v>25</v>
      </c>
      <c r="G118" s="365">
        <v>1000</v>
      </c>
      <c r="H118" s="42">
        <v>186</v>
      </c>
      <c r="I118" s="393">
        <v>92</v>
      </c>
      <c r="J118" s="355">
        <f t="shared" ref="J118:J121" si="12">I118/H118</f>
        <v>0.4946236559139785</v>
      </c>
      <c r="K118" s="42">
        <v>0</v>
      </c>
      <c r="L118" s="42">
        <v>0</v>
      </c>
      <c r="M118" s="42" t="e">
        <f>L118/K118</f>
        <v>#DIV/0!</v>
      </c>
      <c r="N118" s="390" t="s">
        <v>826</v>
      </c>
    </row>
    <row r="119" spans="1:14" ht="150.75" hidden="1" thickBot="1" x14ac:dyDescent="0.3">
      <c r="A119" s="982"/>
      <c r="B119" s="338" t="s">
        <v>745</v>
      </c>
      <c r="C119" s="368" t="s">
        <v>746</v>
      </c>
      <c r="D119" s="368" t="s">
        <v>747</v>
      </c>
      <c r="E119" s="373" t="s">
        <v>275</v>
      </c>
      <c r="F119" s="369">
        <v>25</v>
      </c>
      <c r="G119" s="369">
        <v>100</v>
      </c>
      <c r="H119" s="42">
        <v>20</v>
      </c>
      <c r="I119" s="393">
        <v>9</v>
      </c>
      <c r="J119" s="355">
        <f t="shared" si="12"/>
        <v>0.45</v>
      </c>
      <c r="K119" s="42">
        <v>0</v>
      </c>
      <c r="L119" s="42">
        <v>0</v>
      </c>
      <c r="M119" s="42" t="e">
        <f t="shared" ref="M119:M121" si="13">L119/K119</f>
        <v>#DIV/0!</v>
      </c>
      <c r="N119" s="356" t="s">
        <v>827</v>
      </c>
    </row>
    <row r="120" spans="1:14" ht="75.75" hidden="1" thickBot="1" x14ac:dyDescent="0.3">
      <c r="A120" s="982"/>
      <c r="B120" s="338" t="s">
        <v>749</v>
      </c>
      <c r="C120" s="368" t="s">
        <v>750</v>
      </c>
      <c r="D120" s="368" t="s">
        <v>751</v>
      </c>
      <c r="E120" s="373" t="s">
        <v>275</v>
      </c>
      <c r="F120" s="369">
        <v>25</v>
      </c>
      <c r="G120" s="369">
        <v>9</v>
      </c>
      <c r="H120" s="42">
        <v>1.4</v>
      </c>
      <c r="I120" s="394">
        <v>0.7</v>
      </c>
      <c r="J120" s="355">
        <f t="shared" si="12"/>
        <v>0.5</v>
      </c>
      <c r="K120" s="42">
        <v>0</v>
      </c>
      <c r="L120" s="42">
        <v>0</v>
      </c>
      <c r="M120" s="42" t="e">
        <f t="shared" si="13"/>
        <v>#DIV/0!</v>
      </c>
      <c r="N120" s="392" t="s">
        <v>828</v>
      </c>
    </row>
    <row r="121" spans="1:14" ht="120.75" hidden="1" thickBot="1" x14ac:dyDescent="0.3">
      <c r="A121" s="983"/>
      <c r="B121" s="339" t="s">
        <v>772</v>
      </c>
      <c r="C121" s="372" t="s">
        <v>754</v>
      </c>
      <c r="D121" s="372" t="s">
        <v>755</v>
      </c>
      <c r="E121" s="373" t="s">
        <v>275</v>
      </c>
      <c r="F121" s="373">
        <v>25</v>
      </c>
      <c r="G121" s="373">
        <v>1</v>
      </c>
      <c r="H121" s="42">
        <v>0.1</v>
      </c>
      <c r="I121" s="42">
        <v>0.05</v>
      </c>
      <c r="J121" s="355">
        <f t="shared" si="12"/>
        <v>0.5</v>
      </c>
      <c r="K121" s="42">
        <v>0</v>
      </c>
      <c r="L121" s="42">
        <v>0</v>
      </c>
      <c r="M121" s="42" t="e">
        <f t="shared" si="13"/>
        <v>#DIV/0!</v>
      </c>
      <c r="N121" s="356" t="s">
        <v>829</v>
      </c>
    </row>
    <row r="122" spans="1:14" ht="75.75" hidden="1" thickBot="1" x14ac:dyDescent="0.3">
      <c r="A122" s="981" t="s">
        <v>125</v>
      </c>
      <c r="B122" s="363" t="s">
        <v>741</v>
      </c>
      <c r="C122" s="364" t="s">
        <v>742</v>
      </c>
      <c r="D122" s="364" t="s">
        <v>743</v>
      </c>
      <c r="E122" s="471" t="s">
        <v>275</v>
      </c>
      <c r="F122" s="472">
        <v>25</v>
      </c>
      <c r="G122" s="472">
        <v>1000</v>
      </c>
      <c r="H122" s="59">
        <v>186</v>
      </c>
      <c r="I122" s="473">
        <v>109</v>
      </c>
      <c r="J122" s="474">
        <f>I122/H122</f>
        <v>0.58602150537634412</v>
      </c>
      <c r="K122" s="466">
        <v>0</v>
      </c>
      <c r="L122" s="466">
        <v>0</v>
      </c>
      <c r="M122" s="466" t="e">
        <f>L122/K122</f>
        <v>#DIV/0!</v>
      </c>
      <c r="N122" s="390" t="s">
        <v>866</v>
      </c>
    </row>
    <row r="123" spans="1:14" ht="150.75" hidden="1" thickBot="1" x14ac:dyDescent="0.3">
      <c r="A123" s="982"/>
      <c r="B123" s="338" t="s">
        <v>745</v>
      </c>
      <c r="C123" s="368" t="s">
        <v>746</v>
      </c>
      <c r="D123" s="368" t="s">
        <v>747</v>
      </c>
      <c r="E123" s="471" t="s">
        <v>275</v>
      </c>
      <c r="F123" s="59">
        <v>25</v>
      </c>
      <c r="G123" s="59">
        <v>100</v>
      </c>
      <c r="H123" s="59">
        <v>20</v>
      </c>
      <c r="I123" s="473">
        <v>11</v>
      </c>
      <c r="J123" s="474">
        <f t="shared" ref="J123:J125" si="14">I123/H123</f>
        <v>0.55000000000000004</v>
      </c>
      <c r="K123" s="466">
        <v>0</v>
      </c>
      <c r="L123" s="466">
        <v>0</v>
      </c>
      <c r="M123" s="466" t="e">
        <f t="shared" ref="M123:M125" si="15">L123/K123</f>
        <v>#DIV/0!</v>
      </c>
      <c r="N123" s="381" t="s">
        <v>869</v>
      </c>
    </row>
    <row r="124" spans="1:14" ht="75.75" hidden="1" thickBot="1" x14ac:dyDescent="0.3">
      <c r="A124" s="982"/>
      <c r="B124" s="338" t="s">
        <v>749</v>
      </c>
      <c r="C124" s="368" t="s">
        <v>750</v>
      </c>
      <c r="D124" s="368" t="s">
        <v>751</v>
      </c>
      <c r="E124" s="471" t="s">
        <v>275</v>
      </c>
      <c r="F124" s="59">
        <v>25</v>
      </c>
      <c r="G124" s="59">
        <v>9</v>
      </c>
      <c r="H124" s="59">
        <v>1.4</v>
      </c>
      <c r="I124" s="473">
        <v>0.8</v>
      </c>
      <c r="J124" s="474">
        <f t="shared" si="14"/>
        <v>0.57142857142857151</v>
      </c>
      <c r="K124" s="466">
        <v>0</v>
      </c>
      <c r="L124" s="466">
        <v>0</v>
      </c>
      <c r="M124" s="466" t="e">
        <f t="shared" si="15"/>
        <v>#DIV/0!</v>
      </c>
      <c r="N124" s="381" t="s">
        <v>870</v>
      </c>
    </row>
    <row r="125" spans="1:14" ht="120.75" hidden="1" thickBot="1" x14ac:dyDescent="0.3">
      <c r="A125" s="983"/>
      <c r="B125" s="339" t="s">
        <v>772</v>
      </c>
      <c r="C125" s="372" t="s">
        <v>754</v>
      </c>
      <c r="D125" s="372" t="s">
        <v>755</v>
      </c>
      <c r="E125" s="471" t="s">
        <v>275</v>
      </c>
      <c r="F125" s="471">
        <v>25</v>
      </c>
      <c r="G125" s="471">
        <v>1</v>
      </c>
      <c r="H125" s="59">
        <v>0.1</v>
      </c>
      <c r="I125" s="466">
        <v>0.06</v>
      </c>
      <c r="J125" s="474">
        <f t="shared" si="14"/>
        <v>0.6</v>
      </c>
      <c r="K125" s="466">
        <v>0</v>
      </c>
      <c r="L125" s="466">
        <v>0</v>
      </c>
      <c r="M125" s="466" t="e">
        <f t="shared" si="15"/>
        <v>#DIV/0!</v>
      </c>
      <c r="N125" s="381" t="s">
        <v>871</v>
      </c>
    </row>
    <row r="126" spans="1:14" ht="75.75" hidden="1" thickBot="1" x14ac:dyDescent="0.3">
      <c r="A126" s="981" t="s">
        <v>126</v>
      </c>
      <c r="B126" s="363" t="s">
        <v>741</v>
      </c>
      <c r="C126" s="364" t="s">
        <v>742</v>
      </c>
      <c r="D126" s="364" t="s">
        <v>743</v>
      </c>
      <c r="E126" s="471" t="s">
        <v>275</v>
      </c>
      <c r="F126" s="472">
        <v>25</v>
      </c>
      <c r="G126" s="472">
        <v>1000</v>
      </c>
      <c r="H126" s="59">
        <v>186</v>
      </c>
      <c r="I126" s="473">
        <v>126</v>
      </c>
      <c r="J126" s="474">
        <f>I126/H126</f>
        <v>0.67741935483870963</v>
      </c>
      <c r="K126" s="466">
        <v>0</v>
      </c>
      <c r="L126" s="466">
        <v>0</v>
      </c>
      <c r="M126" s="466" t="e">
        <f>L126/K126</f>
        <v>#DIV/0!</v>
      </c>
      <c r="N126" s="390" t="s">
        <v>888</v>
      </c>
    </row>
    <row r="127" spans="1:14" ht="150.75" hidden="1" thickBot="1" x14ac:dyDescent="0.3">
      <c r="A127" s="982"/>
      <c r="B127" s="338" t="s">
        <v>745</v>
      </c>
      <c r="C127" s="368" t="s">
        <v>746</v>
      </c>
      <c r="D127" s="368" t="s">
        <v>747</v>
      </c>
      <c r="E127" s="471" t="s">
        <v>275</v>
      </c>
      <c r="F127" s="59">
        <v>25</v>
      </c>
      <c r="G127" s="59">
        <v>100</v>
      </c>
      <c r="H127" s="59">
        <v>20</v>
      </c>
      <c r="I127" s="473">
        <v>13</v>
      </c>
      <c r="J127" s="474">
        <f t="shared" ref="J127:J129" si="16">I127/H127</f>
        <v>0.65</v>
      </c>
      <c r="K127" s="466">
        <v>0</v>
      </c>
      <c r="L127" s="466">
        <v>0</v>
      </c>
      <c r="M127" s="466" t="e">
        <f t="shared" ref="M127:M129" si="17">L127/K127</f>
        <v>#DIV/0!</v>
      </c>
      <c r="N127" s="381" t="s">
        <v>889</v>
      </c>
    </row>
    <row r="128" spans="1:14" ht="75.75" hidden="1" thickBot="1" x14ac:dyDescent="0.3">
      <c r="A128" s="982"/>
      <c r="B128" s="338" t="s">
        <v>749</v>
      </c>
      <c r="C128" s="368" t="s">
        <v>750</v>
      </c>
      <c r="D128" s="368" t="s">
        <v>751</v>
      </c>
      <c r="E128" s="471" t="s">
        <v>275</v>
      </c>
      <c r="F128" s="59">
        <v>25</v>
      </c>
      <c r="G128" s="59">
        <v>9</v>
      </c>
      <c r="H128" s="59">
        <v>1.4</v>
      </c>
      <c r="I128" s="473">
        <v>0.95199999999999996</v>
      </c>
      <c r="J128" s="474">
        <f t="shared" si="16"/>
        <v>0.68</v>
      </c>
      <c r="K128" s="466">
        <v>0</v>
      </c>
      <c r="L128" s="466">
        <v>0</v>
      </c>
      <c r="M128" s="466" t="e">
        <f t="shared" si="17"/>
        <v>#DIV/0!</v>
      </c>
      <c r="N128" s="381" t="s">
        <v>903</v>
      </c>
    </row>
    <row r="129" spans="1:14" ht="120.75" hidden="1" thickBot="1" x14ac:dyDescent="0.3">
      <c r="A129" s="983"/>
      <c r="B129" s="339" t="s">
        <v>772</v>
      </c>
      <c r="C129" s="372" t="s">
        <v>754</v>
      </c>
      <c r="D129" s="372" t="s">
        <v>755</v>
      </c>
      <c r="E129" s="471" t="s">
        <v>275</v>
      </c>
      <c r="F129" s="471">
        <v>25</v>
      </c>
      <c r="G129" s="471">
        <v>1</v>
      </c>
      <c r="H129" s="59">
        <v>0.1</v>
      </c>
      <c r="I129" s="466">
        <v>0.08</v>
      </c>
      <c r="J129" s="474">
        <f t="shared" si="16"/>
        <v>0.79999999999999993</v>
      </c>
      <c r="K129" s="466">
        <v>0</v>
      </c>
      <c r="L129" s="466">
        <v>0</v>
      </c>
      <c r="M129" s="466" t="e">
        <f t="shared" si="17"/>
        <v>#DIV/0!</v>
      </c>
      <c r="N129" s="381" t="s">
        <v>904</v>
      </c>
    </row>
    <row r="130" spans="1:14" ht="75.75" hidden="1" thickBot="1" x14ac:dyDescent="0.3">
      <c r="A130" s="981" t="s">
        <v>127</v>
      </c>
      <c r="B130" s="363" t="s">
        <v>741</v>
      </c>
      <c r="C130" s="364" t="s">
        <v>742</v>
      </c>
      <c r="D130" s="364" t="s">
        <v>743</v>
      </c>
      <c r="E130" s="471" t="s">
        <v>275</v>
      </c>
      <c r="F130" s="472">
        <v>25</v>
      </c>
      <c r="G130" s="472">
        <v>1000</v>
      </c>
      <c r="H130" s="59">
        <v>186</v>
      </c>
      <c r="I130" s="473">
        <v>143</v>
      </c>
      <c r="J130" s="474">
        <f>I130/H130</f>
        <v>0.76881720430107525</v>
      </c>
      <c r="K130" s="466">
        <v>0</v>
      </c>
      <c r="L130" s="466">
        <v>0</v>
      </c>
      <c r="M130" s="466" t="e">
        <f>L130/K130</f>
        <v>#DIV/0!</v>
      </c>
      <c r="N130" s="390" t="s">
        <v>925</v>
      </c>
    </row>
    <row r="131" spans="1:14" ht="150.75" hidden="1" thickBot="1" x14ac:dyDescent="0.3">
      <c r="A131" s="982"/>
      <c r="B131" s="338" t="s">
        <v>745</v>
      </c>
      <c r="C131" s="368" t="s">
        <v>746</v>
      </c>
      <c r="D131" s="368" t="s">
        <v>747</v>
      </c>
      <c r="E131" s="471" t="s">
        <v>275</v>
      </c>
      <c r="F131" s="59">
        <v>25</v>
      </c>
      <c r="G131" s="59">
        <v>100</v>
      </c>
      <c r="H131" s="59">
        <v>20</v>
      </c>
      <c r="I131" s="473">
        <v>15</v>
      </c>
      <c r="J131" s="474">
        <f t="shared" ref="J131:J133" si="18">I131/H131</f>
        <v>0.75</v>
      </c>
      <c r="K131" s="466">
        <v>0</v>
      </c>
      <c r="L131" s="466">
        <v>0</v>
      </c>
      <c r="M131" s="466" t="e">
        <f t="shared" ref="M131:M133" si="19">L131/K131</f>
        <v>#DIV/0!</v>
      </c>
      <c r="N131" s="381" t="s">
        <v>926</v>
      </c>
    </row>
    <row r="132" spans="1:14" ht="75.75" hidden="1" thickBot="1" x14ac:dyDescent="0.3">
      <c r="A132" s="982"/>
      <c r="B132" s="338" t="s">
        <v>749</v>
      </c>
      <c r="C132" s="368" t="s">
        <v>750</v>
      </c>
      <c r="D132" s="368" t="s">
        <v>751</v>
      </c>
      <c r="E132" s="471" t="s">
        <v>275</v>
      </c>
      <c r="F132" s="59">
        <v>25</v>
      </c>
      <c r="G132" s="59">
        <v>9</v>
      </c>
      <c r="H132" s="59">
        <v>1.4</v>
      </c>
      <c r="I132" s="473">
        <v>1.0780000000000001</v>
      </c>
      <c r="J132" s="474">
        <f t="shared" si="18"/>
        <v>0.77000000000000013</v>
      </c>
      <c r="K132" s="466">
        <v>0</v>
      </c>
      <c r="L132" s="466">
        <v>0</v>
      </c>
      <c r="M132" s="466" t="e">
        <f t="shared" si="19"/>
        <v>#DIV/0!</v>
      </c>
      <c r="N132" s="381" t="s">
        <v>927</v>
      </c>
    </row>
    <row r="133" spans="1:14" ht="120.75" hidden="1" thickBot="1" x14ac:dyDescent="0.3">
      <c r="A133" s="983"/>
      <c r="B133" s="339" t="s">
        <v>772</v>
      </c>
      <c r="C133" s="372" t="s">
        <v>754</v>
      </c>
      <c r="D133" s="372" t="s">
        <v>755</v>
      </c>
      <c r="E133" s="471" t="s">
        <v>275</v>
      </c>
      <c r="F133" s="471">
        <v>25</v>
      </c>
      <c r="G133" s="471">
        <v>1</v>
      </c>
      <c r="H133" s="59">
        <v>0.1</v>
      </c>
      <c r="I133" s="466">
        <v>8.5000000000000006E-2</v>
      </c>
      <c r="J133" s="474">
        <f t="shared" si="18"/>
        <v>0.85</v>
      </c>
      <c r="K133" s="466">
        <v>0</v>
      </c>
      <c r="L133" s="466">
        <v>0</v>
      </c>
      <c r="M133" s="466" t="e">
        <f t="shared" si="19"/>
        <v>#DIV/0!</v>
      </c>
      <c r="N133" s="381" t="s">
        <v>928</v>
      </c>
    </row>
    <row r="134" spans="1:14" ht="75.75" hidden="1" thickBot="1" x14ac:dyDescent="0.3">
      <c r="A134" s="981" t="s">
        <v>128</v>
      </c>
      <c r="B134" s="363" t="s">
        <v>741</v>
      </c>
      <c r="C134" s="364" t="s">
        <v>742</v>
      </c>
      <c r="D134" s="364" t="s">
        <v>743</v>
      </c>
      <c r="E134" s="471" t="s">
        <v>275</v>
      </c>
      <c r="F134" s="472">
        <v>25</v>
      </c>
      <c r="G134" s="472">
        <v>1000</v>
      </c>
      <c r="H134" s="59">
        <v>186</v>
      </c>
      <c r="I134" s="490">
        <v>160</v>
      </c>
      <c r="J134" s="491">
        <f>I134/H134</f>
        <v>0.86021505376344087</v>
      </c>
      <c r="K134" s="17">
        <v>0</v>
      </c>
      <c r="L134" s="17">
        <v>0</v>
      </c>
      <c r="M134" s="17" t="e">
        <f>L134/K134</f>
        <v>#DIV/0!</v>
      </c>
      <c r="N134" s="492" t="s">
        <v>984</v>
      </c>
    </row>
    <row r="135" spans="1:14" ht="150.75" hidden="1" thickBot="1" x14ac:dyDescent="0.3">
      <c r="A135" s="982"/>
      <c r="B135" s="338" t="s">
        <v>745</v>
      </c>
      <c r="C135" s="368" t="s">
        <v>746</v>
      </c>
      <c r="D135" s="368" t="s">
        <v>747</v>
      </c>
      <c r="E135" s="471" t="s">
        <v>275</v>
      </c>
      <c r="F135" s="59">
        <v>25</v>
      </c>
      <c r="G135" s="59">
        <v>100</v>
      </c>
      <c r="H135" s="59">
        <v>20</v>
      </c>
      <c r="I135" s="490">
        <v>17</v>
      </c>
      <c r="J135" s="491">
        <f t="shared" ref="J135:J137" si="20">I135/H135</f>
        <v>0.85</v>
      </c>
      <c r="K135" s="17">
        <v>0</v>
      </c>
      <c r="L135" s="17">
        <v>0</v>
      </c>
      <c r="M135" s="17" t="e">
        <f t="shared" ref="M135:M137" si="21">L135/K135</f>
        <v>#DIV/0!</v>
      </c>
      <c r="N135" s="493" t="s">
        <v>978</v>
      </c>
    </row>
    <row r="136" spans="1:14" ht="75.75" hidden="1" thickBot="1" x14ac:dyDescent="0.3">
      <c r="A136" s="982"/>
      <c r="B136" s="338" t="s">
        <v>749</v>
      </c>
      <c r="C136" s="368" t="s">
        <v>750</v>
      </c>
      <c r="D136" s="368" t="s">
        <v>751</v>
      </c>
      <c r="E136" s="471" t="s">
        <v>275</v>
      </c>
      <c r="F136" s="59">
        <v>25</v>
      </c>
      <c r="G136" s="59">
        <v>9</v>
      </c>
      <c r="H136" s="59">
        <v>1.4</v>
      </c>
      <c r="I136" s="490">
        <v>1.204</v>
      </c>
      <c r="J136" s="491">
        <f t="shared" si="20"/>
        <v>0.86</v>
      </c>
      <c r="K136" s="17">
        <v>0</v>
      </c>
      <c r="L136" s="17">
        <v>0</v>
      </c>
      <c r="M136" s="17" t="e">
        <f t="shared" si="21"/>
        <v>#DIV/0!</v>
      </c>
      <c r="N136" s="493" t="s">
        <v>980</v>
      </c>
    </row>
    <row r="137" spans="1:14" ht="120.75" hidden="1" thickBot="1" x14ac:dyDescent="0.3">
      <c r="A137" s="983"/>
      <c r="B137" s="339" t="s">
        <v>772</v>
      </c>
      <c r="C137" s="372" t="s">
        <v>754</v>
      </c>
      <c r="D137" s="372" t="s">
        <v>755</v>
      </c>
      <c r="E137" s="471" t="s">
        <v>275</v>
      </c>
      <c r="F137" s="471">
        <v>25</v>
      </c>
      <c r="G137" s="471">
        <v>1</v>
      </c>
      <c r="H137" s="59">
        <v>0.1</v>
      </c>
      <c r="I137" s="17">
        <v>0.09</v>
      </c>
      <c r="J137" s="491">
        <f t="shared" si="20"/>
        <v>0.89999999999999991</v>
      </c>
      <c r="K137" s="17">
        <v>0</v>
      </c>
      <c r="L137" s="17">
        <v>0</v>
      </c>
      <c r="M137" s="17" t="e">
        <f t="shared" si="21"/>
        <v>#DIV/0!</v>
      </c>
      <c r="N137" s="494" t="s">
        <v>981</v>
      </c>
    </row>
    <row r="138" spans="1:14" ht="75.75" hidden="1" thickBot="1" x14ac:dyDescent="0.3">
      <c r="A138" s="981" t="s">
        <v>129</v>
      </c>
      <c r="B138" s="363" t="s">
        <v>741</v>
      </c>
      <c r="C138" s="364" t="s">
        <v>742</v>
      </c>
      <c r="D138" s="364" t="s">
        <v>743</v>
      </c>
      <c r="E138" s="471" t="s">
        <v>275</v>
      </c>
      <c r="F138" s="472">
        <v>25</v>
      </c>
      <c r="G138" s="472">
        <v>1000</v>
      </c>
      <c r="H138" s="59">
        <v>186</v>
      </c>
      <c r="I138" s="490">
        <v>175</v>
      </c>
      <c r="J138" s="491">
        <f>I138/H138</f>
        <v>0.94086021505376349</v>
      </c>
      <c r="K138" s="17">
        <v>0</v>
      </c>
      <c r="L138" s="17">
        <v>0</v>
      </c>
      <c r="M138" s="17" t="e">
        <f>L138/K138</f>
        <v>#DIV/0!</v>
      </c>
      <c r="N138" s="492" t="s">
        <v>1068</v>
      </c>
    </row>
    <row r="139" spans="1:14" ht="150.75" hidden="1" thickBot="1" x14ac:dyDescent="0.3">
      <c r="A139" s="982"/>
      <c r="B139" s="338" t="s">
        <v>745</v>
      </c>
      <c r="C139" s="368" t="s">
        <v>746</v>
      </c>
      <c r="D139" s="368" t="s">
        <v>747</v>
      </c>
      <c r="E139" s="471" t="s">
        <v>275</v>
      </c>
      <c r="F139" s="59">
        <v>25</v>
      </c>
      <c r="G139" s="59">
        <v>100</v>
      </c>
      <c r="H139" s="59">
        <v>20</v>
      </c>
      <c r="I139" s="490">
        <v>19</v>
      </c>
      <c r="J139" s="491">
        <f t="shared" ref="J139:J141" si="22">I139/H139</f>
        <v>0.95</v>
      </c>
      <c r="K139" s="17">
        <v>0</v>
      </c>
      <c r="L139" s="17">
        <v>0</v>
      </c>
      <c r="M139" s="17" t="e">
        <f t="shared" ref="M139:M141" si="23">L139/K139</f>
        <v>#DIV/0!</v>
      </c>
      <c r="N139" s="493" t="s">
        <v>1069</v>
      </c>
    </row>
    <row r="140" spans="1:14" ht="75.75" hidden="1" thickBot="1" x14ac:dyDescent="0.3">
      <c r="A140" s="982"/>
      <c r="B140" s="338" t="s">
        <v>749</v>
      </c>
      <c r="C140" s="368" t="s">
        <v>750</v>
      </c>
      <c r="D140" s="368" t="s">
        <v>751</v>
      </c>
      <c r="E140" s="471" t="s">
        <v>275</v>
      </c>
      <c r="F140" s="59">
        <v>25</v>
      </c>
      <c r="G140" s="59">
        <v>9</v>
      </c>
      <c r="H140" s="59">
        <v>1.4</v>
      </c>
      <c r="I140" s="490">
        <v>1.33</v>
      </c>
      <c r="J140" s="491">
        <f t="shared" si="22"/>
        <v>0.95000000000000007</v>
      </c>
      <c r="K140" s="17">
        <v>0</v>
      </c>
      <c r="L140" s="17">
        <v>0</v>
      </c>
      <c r="M140" s="17" t="e">
        <f t="shared" si="23"/>
        <v>#DIV/0!</v>
      </c>
      <c r="N140" s="493" t="s">
        <v>1070</v>
      </c>
    </row>
    <row r="141" spans="1:14" ht="120.75" hidden="1" thickBot="1" x14ac:dyDescent="0.3">
      <c r="A141" s="983"/>
      <c r="B141" s="339" t="s">
        <v>772</v>
      </c>
      <c r="C141" s="372" t="s">
        <v>754</v>
      </c>
      <c r="D141" s="372" t="s">
        <v>755</v>
      </c>
      <c r="E141" s="471" t="s">
        <v>275</v>
      </c>
      <c r="F141" s="471">
        <v>25</v>
      </c>
      <c r="G141" s="471">
        <v>1</v>
      </c>
      <c r="H141" s="59">
        <v>0.1</v>
      </c>
      <c r="I141" s="17">
        <v>9.5000000000000001E-2</v>
      </c>
      <c r="J141" s="491">
        <f t="shared" si="22"/>
        <v>0.95</v>
      </c>
      <c r="K141" s="17">
        <v>0</v>
      </c>
      <c r="L141" s="17">
        <v>0</v>
      </c>
      <c r="M141" s="17" t="e">
        <f t="shared" si="23"/>
        <v>#DIV/0!</v>
      </c>
      <c r="N141" s="494" t="s">
        <v>1071</v>
      </c>
    </row>
    <row r="142" spans="1:14" ht="75.75" thickBot="1" x14ac:dyDescent="0.3">
      <c r="A142" s="981" t="s">
        <v>130</v>
      </c>
      <c r="B142" s="363" t="s">
        <v>741</v>
      </c>
      <c r="C142" s="364" t="s">
        <v>742</v>
      </c>
      <c r="D142" s="364" t="s">
        <v>743</v>
      </c>
      <c r="E142" s="471" t="s">
        <v>275</v>
      </c>
      <c r="F142" s="472">
        <v>25</v>
      </c>
      <c r="G142" s="472">
        <v>1000</v>
      </c>
      <c r="H142" s="59">
        <v>186</v>
      </c>
      <c r="I142" s="490">
        <v>191</v>
      </c>
      <c r="J142" s="491">
        <f>I142/H142</f>
        <v>1.0268817204301075</v>
      </c>
      <c r="K142" s="17">
        <v>0</v>
      </c>
      <c r="L142" s="17">
        <v>0</v>
      </c>
      <c r="M142" s="17" t="e">
        <f>L142/K142</f>
        <v>#DIV/0!</v>
      </c>
      <c r="N142" s="492" t="s">
        <v>1202</v>
      </c>
    </row>
    <row r="143" spans="1:14" ht="120.75" thickBot="1" x14ac:dyDescent="0.3">
      <c r="A143" s="982"/>
      <c r="B143" s="338" t="s">
        <v>745</v>
      </c>
      <c r="C143" s="368" t="s">
        <v>746</v>
      </c>
      <c r="D143" s="368" t="s">
        <v>747</v>
      </c>
      <c r="E143" s="471" t="s">
        <v>275</v>
      </c>
      <c r="F143" s="59">
        <v>25</v>
      </c>
      <c r="G143" s="59">
        <v>100</v>
      </c>
      <c r="H143" s="59">
        <v>20</v>
      </c>
      <c r="I143" s="490">
        <v>20</v>
      </c>
      <c r="J143" s="491">
        <f t="shared" ref="J143:J145" si="24">I143/H143</f>
        <v>1</v>
      </c>
      <c r="K143" s="17">
        <v>0</v>
      </c>
      <c r="L143" s="17">
        <v>0</v>
      </c>
      <c r="M143" s="17" t="e">
        <f t="shared" ref="M143:M145" si="25">L143/K143</f>
        <v>#DIV/0!</v>
      </c>
      <c r="N143" s="493" t="s">
        <v>1203</v>
      </c>
    </row>
    <row r="144" spans="1:14" ht="75.75" thickBot="1" x14ac:dyDescent="0.3">
      <c r="A144" s="982"/>
      <c r="B144" s="338" t="s">
        <v>749</v>
      </c>
      <c r="C144" s="368" t="s">
        <v>750</v>
      </c>
      <c r="D144" s="368" t="s">
        <v>751</v>
      </c>
      <c r="E144" s="471" t="s">
        <v>275</v>
      </c>
      <c r="F144" s="59">
        <v>25</v>
      </c>
      <c r="G144" s="59">
        <v>9</v>
      </c>
      <c r="H144" s="59">
        <v>1.4</v>
      </c>
      <c r="I144" s="490">
        <v>1.4</v>
      </c>
      <c r="J144" s="491">
        <f t="shared" si="24"/>
        <v>1</v>
      </c>
      <c r="K144" s="17">
        <v>0</v>
      </c>
      <c r="L144" s="17">
        <v>0</v>
      </c>
      <c r="M144" s="17" t="e">
        <f t="shared" si="25"/>
        <v>#DIV/0!</v>
      </c>
      <c r="N144" s="493" t="s">
        <v>1204</v>
      </c>
    </row>
    <row r="145" spans="1:14" ht="120.75" thickBot="1" x14ac:dyDescent="0.3">
      <c r="A145" s="983"/>
      <c r="B145" s="339" t="s">
        <v>772</v>
      </c>
      <c r="C145" s="372" t="s">
        <v>754</v>
      </c>
      <c r="D145" s="372" t="s">
        <v>755</v>
      </c>
      <c r="E145" s="471" t="s">
        <v>275</v>
      </c>
      <c r="F145" s="471">
        <v>25</v>
      </c>
      <c r="G145" s="471">
        <v>1</v>
      </c>
      <c r="H145" s="59">
        <v>0.1</v>
      </c>
      <c r="I145" s="17">
        <v>0.1</v>
      </c>
      <c r="J145" s="491">
        <f t="shared" si="24"/>
        <v>1</v>
      </c>
      <c r="K145" s="17">
        <v>0</v>
      </c>
      <c r="L145" s="17">
        <v>0</v>
      </c>
      <c r="M145" s="17" t="e">
        <f t="shared" si="25"/>
        <v>#DIV/0!</v>
      </c>
      <c r="N145" s="494" t="s">
        <v>1205</v>
      </c>
    </row>
    <row r="147" spans="1:14" ht="20.25" hidden="1" x14ac:dyDescent="0.25">
      <c r="A147" s="994" t="s">
        <v>159</v>
      </c>
      <c r="B147" s="995"/>
      <c r="C147" s="995"/>
      <c r="D147" s="995"/>
      <c r="E147" s="995"/>
      <c r="F147" s="995"/>
      <c r="G147" s="995"/>
      <c r="H147" s="995"/>
      <c r="I147" s="995"/>
      <c r="J147" s="995"/>
      <c r="K147" s="995"/>
      <c r="L147" s="995"/>
      <c r="M147" s="995"/>
      <c r="N147" s="996"/>
    </row>
    <row r="148" spans="1:14" ht="44.25" hidden="1" customHeight="1" x14ac:dyDescent="0.25">
      <c r="A148" s="38" t="s">
        <v>62</v>
      </c>
      <c r="B148" s="39" t="s">
        <v>142</v>
      </c>
      <c r="C148" s="39" t="s">
        <v>143</v>
      </c>
      <c r="D148" s="39" t="s">
        <v>144</v>
      </c>
      <c r="E148" s="39" t="s">
        <v>145</v>
      </c>
      <c r="F148" s="39" t="s">
        <v>160</v>
      </c>
      <c r="G148" s="39" t="s">
        <v>147</v>
      </c>
      <c r="H148" s="39" t="s">
        <v>161</v>
      </c>
      <c r="I148" s="39" t="s">
        <v>162</v>
      </c>
      <c r="J148" s="354" t="s">
        <v>163</v>
      </c>
      <c r="K148" s="39" t="s">
        <v>151</v>
      </c>
      <c r="L148" s="39" t="s">
        <v>152</v>
      </c>
      <c r="M148" s="39" t="s">
        <v>153</v>
      </c>
      <c r="N148" s="40" t="s">
        <v>154</v>
      </c>
    </row>
    <row r="149" spans="1:14" ht="16.5" hidden="1" customHeight="1" x14ac:dyDescent="0.25">
      <c r="A149" s="45" t="s">
        <v>132</v>
      </c>
      <c r="B149" s="343"/>
      <c r="C149" s="344"/>
      <c r="D149" s="344"/>
      <c r="E149" s="42"/>
      <c r="F149" s="42"/>
      <c r="G149" s="42"/>
      <c r="H149" s="42"/>
      <c r="I149" s="42"/>
      <c r="J149" s="355" t="e">
        <f t="shared" ref="J149:J160" si="26">I149/H149</f>
        <v>#DIV/0!</v>
      </c>
      <c r="K149" s="42"/>
      <c r="L149" s="42"/>
      <c r="M149" s="42" t="e">
        <f t="shared" ref="M149:M160" si="27">L149/K149</f>
        <v>#DIV/0!</v>
      </c>
      <c r="N149" s="356"/>
    </row>
    <row r="150" spans="1:14" ht="16.5" hidden="1" customHeight="1" x14ac:dyDescent="0.25">
      <c r="A150" s="45" t="s">
        <v>133</v>
      </c>
      <c r="B150" s="343"/>
      <c r="C150" s="344"/>
      <c r="D150" s="344"/>
      <c r="E150" s="42"/>
      <c r="F150" s="42"/>
      <c r="G150" s="42"/>
      <c r="H150" s="42"/>
      <c r="I150" s="42"/>
      <c r="J150" s="355" t="e">
        <f t="shared" si="26"/>
        <v>#DIV/0!</v>
      </c>
      <c r="K150" s="42"/>
      <c r="L150" s="42"/>
      <c r="M150" s="42" t="e">
        <f t="shared" si="27"/>
        <v>#DIV/0!</v>
      </c>
      <c r="N150" s="356"/>
    </row>
    <row r="151" spans="1:14" ht="16.5" hidden="1" customHeight="1" x14ac:dyDescent="0.25">
      <c r="A151" s="45" t="s">
        <v>134</v>
      </c>
      <c r="B151" s="343"/>
      <c r="C151" s="344"/>
      <c r="D151" s="344"/>
      <c r="E151" s="42"/>
      <c r="F151" s="42"/>
      <c r="G151" s="42"/>
      <c r="H151" s="42"/>
      <c r="I151" s="42"/>
      <c r="J151" s="355" t="e">
        <f t="shared" si="26"/>
        <v>#DIV/0!</v>
      </c>
      <c r="K151" s="42"/>
      <c r="L151" s="42"/>
      <c r="M151" s="42" t="e">
        <f t="shared" si="27"/>
        <v>#DIV/0!</v>
      </c>
      <c r="N151" s="356"/>
    </row>
    <row r="152" spans="1:14" ht="16.5" hidden="1" customHeight="1" x14ac:dyDescent="0.25">
      <c r="A152" s="45" t="s">
        <v>135</v>
      </c>
      <c r="B152" s="343"/>
      <c r="C152" s="344"/>
      <c r="D152" s="344"/>
      <c r="E152" s="42"/>
      <c r="F152" s="42"/>
      <c r="G152" s="42"/>
      <c r="H152" s="42"/>
      <c r="I152" s="42"/>
      <c r="J152" s="355" t="e">
        <f t="shared" si="26"/>
        <v>#DIV/0!</v>
      </c>
      <c r="K152" s="42"/>
      <c r="L152" s="42"/>
      <c r="M152" s="42" t="e">
        <f t="shared" si="27"/>
        <v>#DIV/0!</v>
      </c>
      <c r="N152" s="356"/>
    </row>
    <row r="153" spans="1:14" ht="16.5" hidden="1" customHeight="1" x14ac:dyDescent="0.25">
      <c r="A153" s="45" t="s">
        <v>136</v>
      </c>
      <c r="B153" s="343"/>
      <c r="C153" s="344"/>
      <c r="D153" s="344"/>
      <c r="E153" s="42"/>
      <c r="F153" s="42"/>
      <c r="G153" s="42"/>
      <c r="H153" s="42"/>
      <c r="I153" s="42"/>
      <c r="J153" s="355" t="e">
        <f t="shared" si="26"/>
        <v>#DIV/0!</v>
      </c>
      <c r="K153" s="42"/>
      <c r="L153" s="42"/>
      <c r="M153" s="42" t="e">
        <f t="shared" si="27"/>
        <v>#DIV/0!</v>
      </c>
      <c r="N153" s="356"/>
    </row>
    <row r="154" spans="1:14" ht="16.5" hidden="1" customHeight="1" x14ac:dyDescent="0.25">
      <c r="A154" s="45" t="s">
        <v>137</v>
      </c>
      <c r="B154" s="343"/>
      <c r="C154" s="344"/>
      <c r="D154" s="344"/>
      <c r="E154" s="42"/>
      <c r="F154" s="42"/>
      <c r="G154" s="42"/>
      <c r="H154" s="42"/>
      <c r="I154" s="42"/>
      <c r="J154" s="355" t="e">
        <f t="shared" si="26"/>
        <v>#DIV/0!</v>
      </c>
      <c r="K154" s="42"/>
      <c r="L154" s="42"/>
      <c r="M154" s="42" t="e">
        <f t="shared" si="27"/>
        <v>#DIV/0!</v>
      </c>
      <c r="N154" s="356"/>
    </row>
    <row r="155" spans="1:14" hidden="1" x14ac:dyDescent="0.25">
      <c r="A155" s="45" t="s">
        <v>125</v>
      </c>
      <c r="B155" s="343"/>
      <c r="C155" s="344"/>
      <c r="D155" s="344"/>
      <c r="E155" s="42"/>
      <c r="F155" s="42"/>
      <c r="G155" s="42"/>
      <c r="H155" s="42"/>
      <c r="I155" s="42"/>
      <c r="J155" s="355" t="e">
        <f t="shared" si="26"/>
        <v>#DIV/0!</v>
      </c>
      <c r="K155" s="42"/>
      <c r="L155" s="42"/>
      <c r="M155" s="42" t="e">
        <f t="shared" si="27"/>
        <v>#DIV/0!</v>
      </c>
      <c r="N155" s="356"/>
    </row>
    <row r="156" spans="1:14" hidden="1" x14ac:dyDescent="0.25">
      <c r="A156" s="45" t="s">
        <v>126</v>
      </c>
      <c r="B156" s="343"/>
      <c r="C156" s="344"/>
      <c r="D156" s="344"/>
      <c r="E156" s="42"/>
      <c r="F156" s="42"/>
      <c r="G156" s="42"/>
      <c r="H156" s="42"/>
      <c r="I156" s="42"/>
      <c r="J156" s="355" t="e">
        <f t="shared" si="26"/>
        <v>#DIV/0!</v>
      </c>
      <c r="K156" s="42"/>
      <c r="L156" s="42"/>
      <c r="M156" s="42" t="e">
        <f t="shared" si="27"/>
        <v>#DIV/0!</v>
      </c>
      <c r="N156" s="356"/>
    </row>
    <row r="157" spans="1:14" hidden="1" x14ac:dyDescent="0.25">
      <c r="A157" s="45" t="s">
        <v>127</v>
      </c>
      <c r="B157" s="343"/>
      <c r="C157" s="344"/>
      <c r="D157" s="344"/>
      <c r="E157" s="42"/>
      <c r="F157" s="42"/>
      <c r="G157" s="42"/>
      <c r="H157" s="42"/>
      <c r="I157" s="42"/>
      <c r="J157" s="355" t="e">
        <f t="shared" si="26"/>
        <v>#DIV/0!</v>
      </c>
      <c r="K157" s="42"/>
      <c r="L157" s="42"/>
      <c r="M157" s="42" t="e">
        <f t="shared" si="27"/>
        <v>#DIV/0!</v>
      </c>
      <c r="N157" s="356"/>
    </row>
    <row r="158" spans="1:14" hidden="1" x14ac:dyDescent="0.25">
      <c r="A158" s="45" t="s">
        <v>128</v>
      </c>
      <c r="B158" s="343"/>
      <c r="C158" s="344"/>
      <c r="D158" s="344"/>
      <c r="E158" s="42"/>
      <c r="F158" s="42"/>
      <c r="G158" s="42"/>
      <c r="H158" s="42"/>
      <c r="I158" s="42"/>
      <c r="J158" s="355" t="e">
        <f t="shared" si="26"/>
        <v>#DIV/0!</v>
      </c>
      <c r="K158" s="42"/>
      <c r="L158" s="42"/>
      <c r="M158" s="42" t="e">
        <f t="shared" si="27"/>
        <v>#DIV/0!</v>
      </c>
      <c r="N158" s="356"/>
    </row>
    <row r="159" spans="1:14" hidden="1" x14ac:dyDescent="0.25">
      <c r="A159" s="45" t="s">
        <v>129</v>
      </c>
      <c r="B159" s="343"/>
      <c r="C159" s="344"/>
      <c r="D159" s="344"/>
      <c r="E159" s="42"/>
      <c r="F159" s="42"/>
      <c r="G159" s="42"/>
      <c r="H159" s="42"/>
      <c r="I159" s="42"/>
      <c r="J159" s="355" t="e">
        <f t="shared" si="26"/>
        <v>#DIV/0!</v>
      </c>
      <c r="K159" s="42"/>
      <c r="L159" s="42"/>
      <c r="M159" s="42" t="e">
        <f t="shared" si="27"/>
        <v>#DIV/0!</v>
      </c>
      <c r="N159" s="356"/>
    </row>
    <row r="160" spans="1:14" ht="15.75" hidden="1" thickBot="1" x14ac:dyDescent="0.3">
      <c r="A160" s="46" t="s">
        <v>130</v>
      </c>
      <c r="B160" s="353"/>
      <c r="C160" s="352"/>
      <c r="D160" s="352"/>
      <c r="E160" s="44"/>
      <c r="F160" s="44"/>
      <c r="G160" s="44"/>
      <c r="H160" s="44"/>
      <c r="I160" s="44"/>
      <c r="J160" s="395" t="e">
        <f t="shared" si="26"/>
        <v>#DIV/0!</v>
      </c>
      <c r="K160" s="44"/>
      <c r="L160" s="44"/>
      <c r="M160" s="44" t="e">
        <f t="shared" si="27"/>
        <v>#DIV/0!</v>
      </c>
      <c r="N160" s="396"/>
    </row>
    <row r="161" spans="1:14" hidden="1" x14ac:dyDescent="0.25"/>
    <row r="162" spans="1:14" ht="20.25" hidden="1" x14ac:dyDescent="0.25">
      <c r="A162" s="994" t="s">
        <v>164</v>
      </c>
      <c r="B162" s="995"/>
      <c r="C162" s="995"/>
      <c r="D162" s="995"/>
      <c r="E162" s="995"/>
      <c r="F162" s="995"/>
      <c r="G162" s="995"/>
      <c r="H162" s="995"/>
      <c r="I162" s="995"/>
      <c r="J162" s="995"/>
      <c r="K162" s="995"/>
      <c r="L162" s="995"/>
      <c r="M162" s="995"/>
      <c r="N162" s="996"/>
    </row>
    <row r="163" spans="1:14" ht="44.25" hidden="1" customHeight="1" x14ac:dyDescent="0.25">
      <c r="A163" s="38" t="s">
        <v>63</v>
      </c>
      <c r="B163" s="39" t="s">
        <v>142</v>
      </c>
      <c r="C163" s="39" t="s">
        <v>143</v>
      </c>
      <c r="D163" s="39" t="s">
        <v>144</v>
      </c>
      <c r="E163" s="39" t="s">
        <v>145</v>
      </c>
      <c r="F163" s="39" t="s">
        <v>165</v>
      </c>
      <c r="G163" s="39" t="s">
        <v>147</v>
      </c>
      <c r="H163" s="39" t="s">
        <v>166</v>
      </c>
      <c r="I163" s="39" t="s">
        <v>167</v>
      </c>
      <c r="J163" s="354" t="s">
        <v>168</v>
      </c>
      <c r="K163" s="39" t="s">
        <v>151</v>
      </c>
      <c r="L163" s="39" t="s">
        <v>152</v>
      </c>
      <c r="M163" s="39" t="s">
        <v>153</v>
      </c>
      <c r="N163" s="40" t="s">
        <v>154</v>
      </c>
    </row>
    <row r="164" spans="1:14" ht="16.5" hidden="1" customHeight="1" x14ac:dyDescent="0.25">
      <c r="A164" s="45" t="s">
        <v>132</v>
      </c>
      <c r="B164" s="343"/>
      <c r="C164" s="344"/>
      <c r="D164" s="344"/>
      <c r="E164" s="42"/>
      <c r="F164" s="42"/>
      <c r="G164" s="42"/>
      <c r="H164" s="42"/>
      <c r="I164" s="42"/>
      <c r="J164" s="355" t="e">
        <f t="shared" ref="J164:J175" si="28">I164/H164</f>
        <v>#DIV/0!</v>
      </c>
      <c r="K164" s="42"/>
      <c r="L164" s="42"/>
      <c r="M164" s="42" t="e">
        <f t="shared" ref="M164:M175" si="29">L164/K164</f>
        <v>#DIV/0!</v>
      </c>
      <c r="N164" s="356"/>
    </row>
    <row r="165" spans="1:14" ht="16.5" hidden="1" customHeight="1" x14ac:dyDescent="0.25">
      <c r="A165" s="45" t="s">
        <v>133</v>
      </c>
      <c r="B165" s="343"/>
      <c r="C165" s="344"/>
      <c r="D165" s="344"/>
      <c r="E165" s="42"/>
      <c r="F165" s="42"/>
      <c r="G165" s="42"/>
      <c r="H165" s="42"/>
      <c r="I165" s="42"/>
      <c r="J165" s="355" t="e">
        <f t="shared" si="28"/>
        <v>#DIV/0!</v>
      </c>
      <c r="K165" s="42"/>
      <c r="L165" s="42"/>
      <c r="M165" s="42" t="e">
        <f t="shared" si="29"/>
        <v>#DIV/0!</v>
      </c>
      <c r="N165" s="356"/>
    </row>
    <row r="166" spans="1:14" ht="16.5" hidden="1" customHeight="1" x14ac:dyDescent="0.25">
      <c r="A166" s="45" t="s">
        <v>134</v>
      </c>
      <c r="B166" s="343"/>
      <c r="C166" s="344"/>
      <c r="D166" s="344"/>
      <c r="E166" s="42"/>
      <c r="F166" s="42"/>
      <c r="G166" s="42"/>
      <c r="H166" s="42"/>
      <c r="I166" s="42"/>
      <c r="J166" s="355" t="e">
        <f t="shared" si="28"/>
        <v>#DIV/0!</v>
      </c>
      <c r="K166" s="42"/>
      <c r="L166" s="42"/>
      <c r="M166" s="42" t="e">
        <f t="shared" si="29"/>
        <v>#DIV/0!</v>
      </c>
      <c r="N166" s="356"/>
    </row>
    <row r="167" spans="1:14" ht="16.5" hidden="1" customHeight="1" x14ac:dyDescent="0.25">
      <c r="A167" s="45" t="s">
        <v>135</v>
      </c>
      <c r="B167" s="343"/>
      <c r="C167" s="344"/>
      <c r="D167" s="344"/>
      <c r="E167" s="42"/>
      <c r="F167" s="42"/>
      <c r="G167" s="42"/>
      <c r="H167" s="42"/>
      <c r="I167" s="42"/>
      <c r="J167" s="355" t="e">
        <f t="shared" si="28"/>
        <v>#DIV/0!</v>
      </c>
      <c r="K167" s="42"/>
      <c r="L167" s="42"/>
      <c r="M167" s="42" t="e">
        <f t="shared" si="29"/>
        <v>#DIV/0!</v>
      </c>
      <c r="N167" s="356"/>
    </row>
    <row r="168" spans="1:14" ht="16.5" hidden="1" customHeight="1" x14ac:dyDescent="0.25">
      <c r="A168" s="45" t="s">
        <v>136</v>
      </c>
      <c r="B168" s="343"/>
      <c r="C168" s="344"/>
      <c r="D168" s="344"/>
      <c r="E168" s="42"/>
      <c r="F168" s="42"/>
      <c r="G168" s="42"/>
      <c r="H168" s="42"/>
      <c r="I168" s="42"/>
      <c r="J168" s="355" t="e">
        <f t="shared" si="28"/>
        <v>#DIV/0!</v>
      </c>
      <c r="K168" s="42"/>
      <c r="L168" s="42"/>
      <c r="M168" s="42" t="e">
        <f t="shared" si="29"/>
        <v>#DIV/0!</v>
      </c>
      <c r="N168" s="356"/>
    </row>
    <row r="169" spans="1:14" ht="16.5" hidden="1" customHeight="1" x14ac:dyDescent="0.25">
      <c r="A169" s="45" t="s">
        <v>137</v>
      </c>
      <c r="B169" s="343"/>
      <c r="C169" s="344"/>
      <c r="D169" s="344"/>
      <c r="E169" s="42"/>
      <c r="F169" s="42"/>
      <c r="G169" s="42"/>
      <c r="H169" s="42"/>
      <c r="I169" s="42"/>
      <c r="J169" s="355" t="e">
        <f t="shared" si="28"/>
        <v>#DIV/0!</v>
      </c>
      <c r="K169" s="42"/>
      <c r="L169" s="42"/>
      <c r="M169" s="42" t="e">
        <f t="shared" si="29"/>
        <v>#DIV/0!</v>
      </c>
      <c r="N169" s="356"/>
    </row>
    <row r="170" spans="1:14" hidden="1" x14ac:dyDescent="0.25">
      <c r="A170" s="45" t="s">
        <v>125</v>
      </c>
      <c r="B170" s="343"/>
      <c r="C170" s="344"/>
      <c r="D170" s="344"/>
      <c r="E170" s="42"/>
      <c r="F170" s="42"/>
      <c r="G170" s="42"/>
      <c r="H170" s="42"/>
      <c r="I170" s="42"/>
      <c r="J170" s="355" t="e">
        <f t="shared" si="28"/>
        <v>#DIV/0!</v>
      </c>
      <c r="K170" s="42"/>
      <c r="L170" s="42"/>
      <c r="M170" s="42" t="e">
        <f t="shared" si="29"/>
        <v>#DIV/0!</v>
      </c>
      <c r="N170" s="356"/>
    </row>
    <row r="171" spans="1:14" hidden="1" x14ac:dyDescent="0.25">
      <c r="A171" s="45" t="s">
        <v>126</v>
      </c>
      <c r="B171" s="343"/>
      <c r="C171" s="344"/>
      <c r="D171" s="344"/>
      <c r="E171" s="42"/>
      <c r="F171" s="42"/>
      <c r="G171" s="42"/>
      <c r="H171" s="42"/>
      <c r="I171" s="42"/>
      <c r="J171" s="355" t="e">
        <f t="shared" si="28"/>
        <v>#DIV/0!</v>
      </c>
      <c r="K171" s="42"/>
      <c r="L171" s="42"/>
      <c r="M171" s="42" t="e">
        <f t="shared" si="29"/>
        <v>#DIV/0!</v>
      </c>
      <c r="N171" s="356"/>
    </row>
    <row r="172" spans="1:14" hidden="1" x14ac:dyDescent="0.25">
      <c r="A172" s="45" t="s">
        <v>127</v>
      </c>
      <c r="B172" s="343"/>
      <c r="C172" s="344"/>
      <c r="D172" s="344"/>
      <c r="E172" s="42"/>
      <c r="F172" s="42"/>
      <c r="G172" s="42"/>
      <c r="H172" s="42"/>
      <c r="I172" s="42"/>
      <c r="J172" s="355" t="e">
        <f t="shared" si="28"/>
        <v>#DIV/0!</v>
      </c>
      <c r="K172" s="42"/>
      <c r="L172" s="42"/>
      <c r="M172" s="42" t="e">
        <f t="shared" si="29"/>
        <v>#DIV/0!</v>
      </c>
      <c r="N172" s="356"/>
    </row>
    <row r="173" spans="1:14" hidden="1" x14ac:dyDescent="0.25">
      <c r="A173" s="45" t="s">
        <v>128</v>
      </c>
      <c r="B173" s="343"/>
      <c r="C173" s="344"/>
      <c r="D173" s="344"/>
      <c r="E173" s="42"/>
      <c r="F173" s="42"/>
      <c r="G173" s="42"/>
      <c r="H173" s="42"/>
      <c r="I173" s="42"/>
      <c r="J173" s="355" t="e">
        <f t="shared" si="28"/>
        <v>#DIV/0!</v>
      </c>
      <c r="K173" s="42"/>
      <c r="L173" s="42"/>
      <c r="M173" s="42" t="e">
        <f t="shared" si="29"/>
        <v>#DIV/0!</v>
      </c>
      <c r="N173" s="356"/>
    </row>
    <row r="174" spans="1:14" hidden="1" x14ac:dyDescent="0.25">
      <c r="A174" s="45" t="s">
        <v>129</v>
      </c>
      <c r="B174" s="343"/>
      <c r="C174" s="344"/>
      <c r="D174" s="344"/>
      <c r="E174" s="42"/>
      <c r="F174" s="42"/>
      <c r="G174" s="42"/>
      <c r="H174" s="42"/>
      <c r="I174" s="42"/>
      <c r="J174" s="355" t="e">
        <f t="shared" si="28"/>
        <v>#DIV/0!</v>
      </c>
      <c r="K174" s="42"/>
      <c r="L174" s="42"/>
      <c r="M174" s="42" t="e">
        <f t="shared" si="29"/>
        <v>#DIV/0!</v>
      </c>
      <c r="N174" s="356"/>
    </row>
    <row r="175" spans="1:14" ht="15.75" hidden="1" thickBot="1" x14ac:dyDescent="0.3">
      <c r="A175" s="46" t="s">
        <v>130</v>
      </c>
      <c r="B175" s="353"/>
      <c r="C175" s="352"/>
      <c r="D175" s="352"/>
      <c r="E175" s="44"/>
      <c r="F175" s="44"/>
      <c r="G175" s="44"/>
      <c r="H175" s="44"/>
      <c r="I175" s="44"/>
      <c r="J175" s="395" t="e">
        <f t="shared" si="28"/>
        <v>#DIV/0!</v>
      </c>
      <c r="K175" s="44"/>
      <c r="L175" s="44"/>
      <c r="M175" s="44" t="e">
        <f t="shared" si="29"/>
        <v>#DIV/0!</v>
      </c>
      <c r="N175" s="396"/>
    </row>
    <row r="176" spans="1:14" hidden="1" x14ac:dyDescent="0.25"/>
    <row r="177" spans="1:14" ht="20.25" hidden="1" x14ac:dyDescent="0.25">
      <c r="A177" s="994" t="s">
        <v>169</v>
      </c>
      <c r="B177" s="995"/>
      <c r="C177" s="995"/>
      <c r="D177" s="995"/>
      <c r="E177" s="995"/>
      <c r="F177" s="995"/>
      <c r="G177" s="995"/>
      <c r="H177" s="995"/>
      <c r="I177" s="995"/>
      <c r="J177" s="995"/>
      <c r="K177" s="995"/>
      <c r="L177" s="995"/>
      <c r="M177" s="995"/>
      <c r="N177" s="996"/>
    </row>
    <row r="178" spans="1:14" ht="44.25" hidden="1" customHeight="1" x14ac:dyDescent="0.25">
      <c r="A178" s="38" t="s">
        <v>64</v>
      </c>
      <c r="B178" s="39" t="s">
        <v>142</v>
      </c>
      <c r="C178" s="39" t="s">
        <v>143</v>
      </c>
      <c r="D178" s="39" t="s">
        <v>144</v>
      </c>
      <c r="E178" s="39" t="s">
        <v>145</v>
      </c>
      <c r="F178" s="39" t="s">
        <v>170</v>
      </c>
      <c r="G178" s="39" t="s">
        <v>147</v>
      </c>
      <c r="H178" s="39" t="s">
        <v>171</v>
      </c>
      <c r="I178" s="39" t="s">
        <v>172</v>
      </c>
      <c r="J178" s="354" t="s">
        <v>173</v>
      </c>
      <c r="K178" s="39" t="s">
        <v>151</v>
      </c>
      <c r="L178" s="39" t="s">
        <v>152</v>
      </c>
      <c r="M178" s="39" t="s">
        <v>153</v>
      </c>
      <c r="N178" s="40" t="s">
        <v>154</v>
      </c>
    </row>
    <row r="179" spans="1:14" ht="16.5" hidden="1" customHeight="1" x14ac:dyDescent="0.25">
      <c r="A179" s="45" t="s">
        <v>132</v>
      </c>
      <c r="B179" s="343"/>
      <c r="C179" s="344"/>
      <c r="D179" s="344"/>
      <c r="E179" s="42"/>
      <c r="F179" s="42"/>
      <c r="G179" s="42"/>
      <c r="H179" s="42"/>
      <c r="I179" s="42"/>
      <c r="J179" s="355" t="e">
        <f t="shared" ref="J179:J190" si="30">I179/H179</f>
        <v>#DIV/0!</v>
      </c>
      <c r="K179" s="42"/>
      <c r="L179" s="42"/>
      <c r="M179" s="42" t="e">
        <f t="shared" ref="M179:M190" si="31">L179/K179</f>
        <v>#DIV/0!</v>
      </c>
      <c r="N179" s="356"/>
    </row>
    <row r="180" spans="1:14" ht="16.5" hidden="1" customHeight="1" x14ac:dyDescent="0.25">
      <c r="A180" s="45" t="s">
        <v>133</v>
      </c>
      <c r="B180" s="343"/>
      <c r="C180" s="344"/>
      <c r="D180" s="344"/>
      <c r="E180" s="42"/>
      <c r="F180" s="42"/>
      <c r="G180" s="42"/>
      <c r="H180" s="42"/>
      <c r="I180" s="42"/>
      <c r="J180" s="355" t="e">
        <f t="shared" si="30"/>
        <v>#DIV/0!</v>
      </c>
      <c r="K180" s="42"/>
      <c r="L180" s="42"/>
      <c r="M180" s="42" t="e">
        <f t="shared" si="31"/>
        <v>#DIV/0!</v>
      </c>
      <c r="N180" s="356"/>
    </row>
    <row r="181" spans="1:14" ht="16.5" hidden="1" customHeight="1" x14ac:dyDescent="0.25">
      <c r="A181" s="45" t="s">
        <v>134</v>
      </c>
      <c r="B181" s="343"/>
      <c r="C181" s="344"/>
      <c r="D181" s="344"/>
      <c r="E181" s="42"/>
      <c r="F181" s="42"/>
      <c r="G181" s="42"/>
      <c r="H181" s="42"/>
      <c r="I181" s="42"/>
      <c r="J181" s="355" t="e">
        <f t="shared" si="30"/>
        <v>#DIV/0!</v>
      </c>
      <c r="K181" s="42"/>
      <c r="L181" s="42"/>
      <c r="M181" s="42" t="e">
        <f t="shared" si="31"/>
        <v>#DIV/0!</v>
      </c>
      <c r="N181" s="356"/>
    </row>
    <row r="182" spans="1:14" ht="16.5" hidden="1" customHeight="1" x14ac:dyDescent="0.25">
      <c r="A182" s="45" t="s">
        <v>135</v>
      </c>
      <c r="B182" s="343"/>
      <c r="C182" s="344"/>
      <c r="D182" s="344"/>
      <c r="E182" s="42"/>
      <c r="F182" s="42"/>
      <c r="G182" s="42"/>
      <c r="H182" s="42"/>
      <c r="I182" s="42"/>
      <c r="J182" s="355" t="e">
        <f t="shared" si="30"/>
        <v>#DIV/0!</v>
      </c>
      <c r="K182" s="42"/>
      <c r="L182" s="42"/>
      <c r="M182" s="42" t="e">
        <f t="shared" si="31"/>
        <v>#DIV/0!</v>
      </c>
      <c r="N182" s="356"/>
    </row>
    <row r="183" spans="1:14" ht="16.5" hidden="1" customHeight="1" x14ac:dyDescent="0.25">
      <c r="A183" s="45" t="s">
        <v>136</v>
      </c>
      <c r="B183" s="343"/>
      <c r="C183" s="344"/>
      <c r="D183" s="344"/>
      <c r="E183" s="42"/>
      <c r="F183" s="42"/>
      <c r="G183" s="42"/>
      <c r="H183" s="42"/>
      <c r="I183" s="42"/>
      <c r="J183" s="355" t="e">
        <f t="shared" si="30"/>
        <v>#DIV/0!</v>
      </c>
      <c r="K183" s="42"/>
      <c r="L183" s="42"/>
      <c r="M183" s="42" t="e">
        <f t="shared" si="31"/>
        <v>#DIV/0!</v>
      </c>
      <c r="N183" s="356"/>
    </row>
    <row r="184" spans="1:14" ht="16.5" hidden="1" customHeight="1" x14ac:dyDescent="0.25">
      <c r="A184" s="45" t="s">
        <v>137</v>
      </c>
      <c r="B184" s="343"/>
      <c r="C184" s="344"/>
      <c r="D184" s="344"/>
      <c r="E184" s="42"/>
      <c r="F184" s="42"/>
      <c r="G184" s="42"/>
      <c r="H184" s="42"/>
      <c r="I184" s="42"/>
      <c r="J184" s="355" t="e">
        <f t="shared" si="30"/>
        <v>#DIV/0!</v>
      </c>
      <c r="K184" s="42"/>
      <c r="L184" s="42"/>
      <c r="M184" s="42" t="e">
        <f t="shared" si="31"/>
        <v>#DIV/0!</v>
      </c>
      <c r="N184" s="356"/>
    </row>
    <row r="185" spans="1:14" hidden="1" x14ac:dyDescent="0.25">
      <c r="A185" s="45" t="s">
        <v>125</v>
      </c>
      <c r="B185" s="343"/>
      <c r="C185" s="344"/>
      <c r="D185" s="344"/>
      <c r="E185" s="42"/>
      <c r="F185" s="42"/>
      <c r="G185" s="42"/>
      <c r="H185" s="42"/>
      <c r="I185" s="42"/>
      <c r="J185" s="355" t="e">
        <f t="shared" si="30"/>
        <v>#DIV/0!</v>
      </c>
      <c r="K185" s="42"/>
      <c r="L185" s="42"/>
      <c r="M185" s="42" t="e">
        <f t="shared" si="31"/>
        <v>#DIV/0!</v>
      </c>
      <c r="N185" s="356"/>
    </row>
    <row r="186" spans="1:14" hidden="1" x14ac:dyDescent="0.25">
      <c r="A186" s="45" t="s">
        <v>126</v>
      </c>
      <c r="B186" s="343"/>
      <c r="C186" s="344"/>
      <c r="D186" s="344"/>
      <c r="E186" s="42"/>
      <c r="F186" s="42"/>
      <c r="G186" s="42"/>
      <c r="H186" s="42"/>
      <c r="I186" s="42"/>
      <c r="J186" s="355" t="e">
        <f t="shared" si="30"/>
        <v>#DIV/0!</v>
      </c>
      <c r="K186" s="42"/>
      <c r="L186" s="42"/>
      <c r="M186" s="42" t="e">
        <f t="shared" si="31"/>
        <v>#DIV/0!</v>
      </c>
      <c r="N186" s="356"/>
    </row>
    <row r="187" spans="1:14" hidden="1" x14ac:dyDescent="0.25">
      <c r="A187" s="45" t="s">
        <v>127</v>
      </c>
      <c r="B187" s="343"/>
      <c r="C187" s="344"/>
      <c r="D187" s="344"/>
      <c r="E187" s="42"/>
      <c r="F187" s="42"/>
      <c r="G187" s="42"/>
      <c r="H187" s="42"/>
      <c r="I187" s="42"/>
      <c r="J187" s="355" t="e">
        <f t="shared" si="30"/>
        <v>#DIV/0!</v>
      </c>
      <c r="K187" s="42"/>
      <c r="L187" s="42"/>
      <c r="M187" s="42" t="e">
        <f t="shared" si="31"/>
        <v>#DIV/0!</v>
      </c>
      <c r="N187" s="356"/>
    </row>
    <row r="188" spans="1:14" hidden="1" x14ac:dyDescent="0.25">
      <c r="A188" s="45" t="s">
        <v>128</v>
      </c>
      <c r="B188" s="343"/>
      <c r="C188" s="344"/>
      <c r="D188" s="344"/>
      <c r="E188" s="42"/>
      <c r="F188" s="42"/>
      <c r="G188" s="42"/>
      <c r="H188" s="42"/>
      <c r="I188" s="42"/>
      <c r="J188" s="355" t="e">
        <f t="shared" si="30"/>
        <v>#DIV/0!</v>
      </c>
      <c r="K188" s="42"/>
      <c r="L188" s="42"/>
      <c r="M188" s="42" t="e">
        <f t="shared" si="31"/>
        <v>#DIV/0!</v>
      </c>
      <c r="N188" s="356"/>
    </row>
    <row r="189" spans="1:14" hidden="1" x14ac:dyDescent="0.25">
      <c r="A189" s="45" t="s">
        <v>129</v>
      </c>
      <c r="B189" s="343"/>
      <c r="C189" s="344"/>
      <c r="D189" s="344"/>
      <c r="E189" s="42"/>
      <c r="F189" s="42"/>
      <c r="G189" s="42"/>
      <c r="H189" s="42"/>
      <c r="I189" s="42"/>
      <c r="J189" s="355" t="e">
        <f t="shared" si="30"/>
        <v>#DIV/0!</v>
      </c>
      <c r="K189" s="42"/>
      <c r="L189" s="42"/>
      <c r="M189" s="42" t="e">
        <f t="shared" si="31"/>
        <v>#DIV/0!</v>
      </c>
      <c r="N189" s="356"/>
    </row>
    <row r="190" spans="1:14" ht="15.75" hidden="1" thickBot="1" x14ac:dyDescent="0.3">
      <c r="A190" s="46" t="s">
        <v>130</v>
      </c>
      <c r="B190" s="353"/>
      <c r="C190" s="352"/>
      <c r="D190" s="352"/>
      <c r="E190" s="44"/>
      <c r="F190" s="44"/>
      <c r="G190" s="44"/>
      <c r="H190" s="44"/>
      <c r="I190" s="44"/>
      <c r="J190" s="395" t="e">
        <f t="shared" si="30"/>
        <v>#DIV/0!</v>
      </c>
      <c r="K190" s="44"/>
      <c r="L190" s="44"/>
      <c r="M190" s="44" t="e">
        <f t="shared" si="31"/>
        <v>#DIV/0!</v>
      </c>
      <c r="N190" s="396"/>
    </row>
    <row r="193" spans="1:7" ht="26.25" hidden="1" customHeight="1" x14ac:dyDescent="0.3">
      <c r="A193" s="984" t="s">
        <v>174</v>
      </c>
      <c r="B193" s="985"/>
      <c r="C193" s="985"/>
      <c r="D193" s="985"/>
      <c r="E193" s="985"/>
      <c r="F193" s="985"/>
      <c r="G193" s="986"/>
    </row>
    <row r="194" spans="1:7" ht="39" hidden="1" thickBot="1" x14ac:dyDescent="0.3">
      <c r="A194" s="38" t="s">
        <v>49</v>
      </c>
      <c r="B194" s="48" t="s">
        <v>142</v>
      </c>
      <c r="C194" s="48" t="s">
        <v>143</v>
      </c>
      <c r="D194" s="48" t="s">
        <v>175</v>
      </c>
      <c r="E194" s="48" t="s">
        <v>176</v>
      </c>
      <c r="F194" s="48" t="s">
        <v>177</v>
      </c>
      <c r="G194" s="49" t="s">
        <v>178</v>
      </c>
    </row>
    <row r="195" spans="1:7" ht="57.75" hidden="1" x14ac:dyDescent="0.25">
      <c r="A195" s="987" t="s">
        <v>128</v>
      </c>
      <c r="B195" s="990" t="s">
        <v>741</v>
      </c>
      <c r="C195" s="990" t="s">
        <v>742</v>
      </c>
      <c r="D195" s="397" t="s">
        <v>287</v>
      </c>
      <c r="E195" s="398">
        <v>384597000</v>
      </c>
      <c r="F195" s="398">
        <v>275950662</v>
      </c>
      <c r="G195" s="399"/>
    </row>
    <row r="196" spans="1:7" ht="72" hidden="1" x14ac:dyDescent="0.25">
      <c r="A196" s="988"/>
      <c r="B196" s="979"/>
      <c r="C196" s="979"/>
      <c r="D196" s="397" t="s">
        <v>288</v>
      </c>
      <c r="E196" s="398">
        <v>140462163</v>
      </c>
      <c r="F196" s="398">
        <v>96803829</v>
      </c>
      <c r="G196" s="399"/>
    </row>
    <row r="197" spans="1:7" ht="43.5" hidden="1" x14ac:dyDescent="0.25">
      <c r="A197" s="988"/>
      <c r="B197" s="980"/>
      <c r="C197" s="980"/>
      <c r="D197" s="397" t="s">
        <v>289</v>
      </c>
      <c r="E197" s="398">
        <v>13280000</v>
      </c>
      <c r="F197" s="398">
        <v>9561600</v>
      </c>
      <c r="G197" s="399"/>
    </row>
    <row r="198" spans="1:7" ht="165" hidden="1" customHeight="1" x14ac:dyDescent="0.25">
      <c r="A198" s="988"/>
      <c r="B198" s="978" t="s">
        <v>745</v>
      </c>
      <c r="C198" s="978" t="s">
        <v>746</v>
      </c>
      <c r="D198" s="400" t="s">
        <v>291</v>
      </c>
      <c r="E198" s="401">
        <v>95347000</v>
      </c>
      <c r="F198" s="401">
        <v>69916766</v>
      </c>
      <c r="G198" s="51"/>
    </row>
    <row r="199" spans="1:7" ht="72" hidden="1" x14ac:dyDescent="0.25">
      <c r="A199" s="988"/>
      <c r="B199" s="979"/>
      <c r="C199" s="979"/>
      <c r="D199" s="400" t="s">
        <v>781</v>
      </c>
      <c r="E199" s="401">
        <v>714428327</v>
      </c>
      <c r="F199" s="401">
        <v>457708649</v>
      </c>
      <c r="G199" s="51"/>
    </row>
    <row r="200" spans="1:7" ht="72" hidden="1" x14ac:dyDescent="0.25">
      <c r="A200" s="988"/>
      <c r="B200" s="979"/>
      <c r="C200" s="979"/>
      <c r="D200" s="400" t="s">
        <v>782</v>
      </c>
      <c r="E200" s="401">
        <v>109624000</v>
      </c>
      <c r="F200" s="401">
        <v>78749767</v>
      </c>
      <c r="G200" s="51"/>
    </row>
    <row r="201" spans="1:7" ht="43.5" hidden="1" x14ac:dyDescent="0.25">
      <c r="A201" s="988"/>
      <c r="B201" s="980"/>
      <c r="C201" s="980"/>
      <c r="D201" s="400" t="s">
        <v>295</v>
      </c>
      <c r="E201" s="401">
        <v>218352000</v>
      </c>
      <c r="F201" s="401">
        <v>155650933</v>
      </c>
      <c r="G201" s="51"/>
    </row>
    <row r="202" spans="1:7" ht="75" hidden="1" x14ac:dyDescent="0.25">
      <c r="A202" s="988"/>
      <c r="B202" s="338" t="s">
        <v>749</v>
      </c>
      <c r="C202" s="368" t="s">
        <v>750</v>
      </c>
      <c r="D202" s="400" t="s">
        <v>783</v>
      </c>
      <c r="E202" s="401">
        <v>156172000</v>
      </c>
      <c r="F202" s="401">
        <v>104387600</v>
      </c>
      <c r="G202" s="51"/>
    </row>
    <row r="203" spans="1:7" ht="150" hidden="1" customHeight="1" x14ac:dyDescent="0.25">
      <c r="A203" s="988"/>
      <c r="B203" s="978" t="s">
        <v>753</v>
      </c>
      <c r="C203" s="978" t="s">
        <v>754</v>
      </c>
      <c r="D203" s="400" t="s">
        <v>613</v>
      </c>
      <c r="E203" s="401">
        <v>463576000</v>
      </c>
      <c r="F203" s="401">
        <v>264216147</v>
      </c>
      <c r="G203" s="51"/>
    </row>
    <row r="204" spans="1:7" ht="57.75" hidden="1" x14ac:dyDescent="0.25">
      <c r="A204" s="989"/>
      <c r="B204" s="980"/>
      <c r="C204" s="980"/>
      <c r="D204" s="400" t="s">
        <v>299</v>
      </c>
      <c r="E204" s="401">
        <v>225075000</v>
      </c>
      <c r="F204" s="401">
        <v>137968914</v>
      </c>
      <c r="G204" s="51"/>
    </row>
    <row r="205" spans="1:7" ht="15.75" hidden="1" thickBot="1" x14ac:dyDescent="0.3">
      <c r="A205" s="348" t="s">
        <v>129</v>
      </c>
      <c r="B205" s="341"/>
      <c r="C205" s="402"/>
      <c r="D205" s="402"/>
      <c r="E205" s="52"/>
      <c r="F205" s="52"/>
      <c r="G205" s="403"/>
    </row>
    <row r="206" spans="1:7" ht="15.75" thickBot="1" x14ac:dyDescent="0.3"/>
    <row r="207" spans="1:7" ht="20.25" x14ac:dyDescent="0.3">
      <c r="A207" s="984" t="s">
        <v>179</v>
      </c>
      <c r="B207" s="985"/>
      <c r="C207" s="985"/>
      <c r="D207" s="985"/>
      <c r="E207" s="985"/>
      <c r="F207" s="985"/>
      <c r="G207" s="986"/>
    </row>
    <row r="208" spans="1:7" ht="66" customHeight="1" thickBot="1" x14ac:dyDescent="0.3">
      <c r="A208" s="38" t="s">
        <v>50</v>
      </c>
      <c r="B208" s="48" t="s">
        <v>142</v>
      </c>
      <c r="C208" s="48" t="s">
        <v>143</v>
      </c>
      <c r="D208" s="48" t="s">
        <v>175</v>
      </c>
      <c r="E208" s="48" t="s">
        <v>180</v>
      </c>
      <c r="F208" s="48" t="s">
        <v>181</v>
      </c>
      <c r="G208" s="49" t="s">
        <v>178</v>
      </c>
    </row>
    <row r="209" spans="1:14" s="61" customFormat="1" ht="69.75" hidden="1" customHeight="1" x14ac:dyDescent="0.25">
      <c r="A209" s="981" t="s">
        <v>132</v>
      </c>
      <c r="B209" s="990" t="s">
        <v>741</v>
      </c>
      <c r="C209" s="990" t="s">
        <v>742</v>
      </c>
      <c r="D209" s="404" t="s">
        <v>287</v>
      </c>
      <c r="E209" s="405">
        <v>574654000</v>
      </c>
      <c r="F209" s="59">
        <v>0</v>
      </c>
      <c r="G209" s="406"/>
      <c r="J209" s="407"/>
      <c r="N209" s="408"/>
    </row>
    <row r="210" spans="1:14" s="61" customFormat="1" ht="69.75" hidden="1" customHeight="1" x14ac:dyDescent="0.25">
      <c r="A210" s="982"/>
      <c r="B210" s="979"/>
      <c r="C210" s="979"/>
      <c r="D210" s="404" t="s">
        <v>288</v>
      </c>
      <c r="E210" s="405">
        <v>198130000</v>
      </c>
      <c r="F210" s="59">
        <v>0</v>
      </c>
      <c r="G210" s="406"/>
      <c r="J210" s="407"/>
      <c r="N210" s="408"/>
    </row>
    <row r="211" spans="1:14" s="61" customFormat="1" ht="69.75" hidden="1" customHeight="1" x14ac:dyDescent="0.25">
      <c r="A211" s="982"/>
      <c r="B211" s="980"/>
      <c r="C211" s="980"/>
      <c r="D211" s="404" t="s">
        <v>289</v>
      </c>
      <c r="E211" s="405">
        <v>34285000</v>
      </c>
      <c r="F211" s="59">
        <v>0</v>
      </c>
      <c r="G211" s="406"/>
      <c r="J211" s="407"/>
      <c r="N211" s="408"/>
    </row>
    <row r="212" spans="1:14" s="61" customFormat="1" ht="69.75" hidden="1" customHeight="1" x14ac:dyDescent="0.25">
      <c r="A212" s="982"/>
      <c r="B212" s="978" t="s">
        <v>745</v>
      </c>
      <c r="C212" s="978" t="s">
        <v>746</v>
      </c>
      <c r="D212" s="409" t="s">
        <v>291</v>
      </c>
      <c r="E212" s="405">
        <v>68299000</v>
      </c>
      <c r="F212" s="59">
        <v>0</v>
      </c>
      <c r="G212" s="406"/>
      <c r="J212" s="407"/>
      <c r="N212" s="408"/>
    </row>
    <row r="213" spans="1:14" s="61" customFormat="1" ht="69.75" hidden="1" customHeight="1" x14ac:dyDescent="0.25">
      <c r="A213" s="982"/>
      <c r="B213" s="979"/>
      <c r="C213" s="979"/>
      <c r="D213" s="409" t="s">
        <v>781</v>
      </c>
      <c r="E213" s="405">
        <v>699388000</v>
      </c>
      <c r="F213" s="59">
        <v>0</v>
      </c>
      <c r="G213" s="406"/>
      <c r="J213" s="407"/>
      <c r="N213" s="408"/>
    </row>
    <row r="214" spans="1:14" s="61" customFormat="1" ht="69.75" hidden="1" customHeight="1" x14ac:dyDescent="0.25">
      <c r="A214" s="982"/>
      <c r="B214" s="979"/>
      <c r="C214" s="979"/>
      <c r="D214" s="409" t="s">
        <v>782</v>
      </c>
      <c r="E214" s="405">
        <v>349839000</v>
      </c>
      <c r="F214" s="59">
        <v>0</v>
      </c>
      <c r="G214" s="406"/>
      <c r="J214" s="407"/>
      <c r="N214" s="408"/>
    </row>
    <row r="215" spans="1:14" s="61" customFormat="1" ht="69.75" hidden="1" customHeight="1" x14ac:dyDescent="0.25">
      <c r="A215" s="982"/>
      <c r="B215" s="980"/>
      <c r="C215" s="980"/>
      <c r="D215" s="409" t="s">
        <v>295</v>
      </c>
      <c r="E215" s="410">
        <v>482999000</v>
      </c>
      <c r="F215" s="411">
        <v>0</v>
      </c>
      <c r="G215" s="412"/>
      <c r="J215" s="407"/>
      <c r="N215" s="408"/>
    </row>
    <row r="216" spans="1:14" s="61" customFormat="1" ht="69.75" hidden="1" customHeight="1" x14ac:dyDescent="0.25">
      <c r="A216" s="982"/>
      <c r="B216" s="338" t="s">
        <v>749</v>
      </c>
      <c r="C216" s="338" t="s">
        <v>750</v>
      </c>
      <c r="D216" s="409" t="s">
        <v>783</v>
      </c>
      <c r="E216" s="405">
        <v>250350000</v>
      </c>
      <c r="F216" s="59">
        <v>0</v>
      </c>
      <c r="G216" s="406"/>
      <c r="J216" s="407"/>
      <c r="N216" s="408"/>
    </row>
    <row r="217" spans="1:14" s="61" customFormat="1" ht="69.75" hidden="1" customHeight="1" thickBot="1" x14ac:dyDescent="0.3">
      <c r="A217" s="983"/>
      <c r="B217" s="338" t="s">
        <v>753</v>
      </c>
      <c r="C217" s="338" t="s">
        <v>754</v>
      </c>
      <c r="D217" s="409" t="s">
        <v>299</v>
      </c>
      <c r="E217" s="405">
        <v>801561000</v>
      </c>
      <c r="F217" s="59">
        <v>0</v>
      </c>
      <c r="G217" s="406"/>
      <c r="J217" s="407"/>
      <c r="N217" s="408"/>
    </row>
    <row r="218" spans="1:14" s="61" customFormat="1" ht="69.75" hidden="1" customHeight="1" x14ac:dyDescent="0.25">
      <c r="A218" s="981" t="s">
        <v>133</v>
      </c>
      <c r="B218" s="990" t="s">
        <v>741</v>
      </c>
      <c r="C218" s="990" t="s">
        <v>742</v>
      </c>
      <c r="D218" s="404" t="s">
        <v>287</v>
      </c>
      <c r="E218" s="405">
        <v>574654000</v>
      </c>
      <c r="F218" s="59">
        <v>0</v>
      </c>
      <c r="G218" s="406"/>
      <c r="J218" s="407"/>
      <c r="N218" s="408"/>
    </row>
    <row r="219" spans="1:14" s="61" customFormat="1" ht="69.75" hidden="1" customHeight="1" x14ac:dyDescent="0.25">
      <c r="A219" s="982"/>
      <c r="B219" s="979"/>
      <c r="C219" s="979"/>
      <c r="D219" s="404" t="s">
        <v>288</v>
      </c>
      <c r="E219" s="405">
        <v>198130000</v>
      </c>
      <c r="F219" s="59">
        <v>0</v>
      </c>
      <c r="G219" s="406"/>
      <c r="J219" s="407"/>
      <c r="N219" s="408"/>
    </row>
    <row r="220" spans="1:14" s="61" customFormat="1" ht="69.75" hidden="1" customHeight="1" x14ac:dyDescent="0.25">
      <c r="A220" s="982"/>
      <c r="B220" s="980"/>
      <c r="C220" s="980"/>
      <c r="D220" s="404" t="s">
        <v>289</v>
      </c>
      <c r="E220" s="405">
        <v>34285000</v>
      </c>
      <c r="F220" s="59">
        <v>0</v>
      </c>
      <c r="G220" s="406"/>
      <c r="J220" s="407"/>
      <c r="N220" s="408"/>
    </row>
    <row r="221" spans="1:14" s="61" customFormat="1" ht="69.75" hidden="1" customHeight="1" x14ac:dyDescent="0.25">
      <c r="A221" s="982"/>
      <c r="B221" s="978" t="s">
        <v>745</v>
      </c>
      <c r="C221" s="978" t="s">
        <v>746</v>
      </c>
      <c r="D221" s="409" t="s">
        <v>291</v>
      </c>
      <c r="E221" s="405">
        <v>68299000</v>
      </c>
      <c r="F221" s="59">
        <v>0</v>
      </c>
      <c r="G221" s="406"/>
      <c r="J221" s="407"/>
      <c r="N221" s="408"/>
    </row>
    <row r="222" spans="1:14" s="61" customFormat="1" ht="69.75" hidden="1" customHeight="1" x14ac:dyDescent="0.25">
      <c r="A222" s="982"/>
      <c r="B222" s="979"/>
      <c r="C222" s="979"/>
      <c r="D222" s="409" t="s">
        <v>781</v>
      </c>
      <c r="E222" s="405">
        <v>699388000</v>
      </c>
      <c r="F222" s="59">
        <v>0</v>
      </c>
      <c r="G222" s="406"/>
      <c r="J222" s="407"/>
      <c r="N222" s="408"/>
    </row>
    <row r="223" spans="1:14" s="61" customFormat="1" ht="69.75" hidden="1" customHeight="1" x14ac:dyDescent="0.25">
      <c r="A223" s="982"/>
      <c r="B223" s="979"/>
      <c r="C223" s="979"/>
      <c r="D223" s="409" t="s">
        <v>782</v>
      </c>
      <c r="E223" s="405">
        <v>349839000</v>
      </c>
      <c r="F223" s="59">
        <v>0</v>
      </c>
      <c r="G223" s="406"/>
      <c r="J223" s="407"/>
      <c r="N223" s="408"/>
    </row>
    <row r="224" spans="1:14" s="61" customFormat="1" ht="69.75" hidden="1" customHeight="1" x14ac:dyDescent="0.25">
      <c r="A224" s="982"/>
      <c r="B224" s="980"/>
      <c r="C224" s="980"/>
      <c r="D224" s="409" t="s">
        <v>295</v>
      </c>
      <c r="E224" s="410">
        <v>482999000</v>
      </c>
      <c r="F224" s="411">
        <v>0</v>
      </c>
      <c r="G224" s="412"/>
      <c r="J224" s="407"/>
      <c r="N224" s="408"/>
    </row>
    <row r="225" spans="1:14" s="61" customFormat="1" ht="69.75" hidden="1" customHeight="1" x14ac:dyDescent="0.25">
      <c r="A225" s="982"/>
      <c r="B225" s="338" t="s">
        <v>749</v>
      </c>
      <c r="C225" s="338" t="s">
        <v>750</v>
      </c>
      <c r="D225" s="409" t="s">
        <v>783</v>
      </c>
      <c r="E225" s="405">
        <v>250350000</v>
      </c>
      <c r="F225" s="59">
        <v>0</v>
      </c>
      <c r="G225" s="406"/>
      <c r="J225" s="407"/>
      <c r="N225" s="408"/>
    </row>
    <row r="226" spans="1:14" s="61" customFormat="1" ht="69.75" hidden="1" customHeight="1" thickBot="1" x14ac:dyDescent="0.3">
      <c r="A226" s="983"/>
      <c r="B226" s="338" t="s">
        <v>753</v>
      </c>
      <c r="C226" s="338" t="s">
        <v>754</v>
      </c>
      <c r="D226" s="409" t="s">
        <v>299</v>
      </c>
      <c r="E226" s="405">
        <v>801561000</v>
      </c>
      <c r="F226" s="405">
        <v>5482052</v>
      </c>
      <c r="G226" s="406"/>
      <c r="J226" s="407"/>
      <c r="N226" s="408"/>
    </row>
    <row r="227" spans="1:14" s="61" customFormat="1" ht="69.75" hidden="1" customHeight="1" x14ac:dyDescent="0.25">
      <c r="A227" s="981" t="s">
        <v>134</v>
      </c>
      <c r="B227" s="990" t="s">
        <v>741</v>
      </c>
      <c r="C227" s="990" t="s">
        <v>742</v>
      </c>
      <c r="D227" s="404" t="s">
        <v>287</v>
      </c>
      <c r="E227" s="405">
        <v>574654000</v>
      </c>
      <c r="F227" s="405">
        <v>12993393</v>
      </c>
      <c r="J227" s="407"/>
      <c r="N227" s="408"/>
    </row>
    <row r="228" spans="1:14" s="61" customFormat="1" ht="69.75" hidden="1" customHeight="1" x14ac:dyDescent="0.25">
      <c r="A228" s="982"/>
      <c r="B228" s="979"/>
      <c r="C228" s="979"/>
      <c r="D228" s="404" t="s">
        <v>288</v>
      </c>
      <c r="E228" s="405">
        <v>198130000</v>
      </c>
      <c r="F228" s="405">
        <v>7349100</v>
      </c>
      <c r="J228" s="407"/>
      <c r="N228" s="408"/>
    </row>
    <row r="229" spans="1:14" s="61" customFormat="1" ht="69.75" hidden="1" customHeight="1" x14ac:dyDescent="0.25">
      <c r="A229" s="982"/>
      <c r="B229" s="980"/>
      <c r="C229" s="980"/>
      <c r="D229" s="404" t="s">
        <v>289</v>
      </c>
      <c r="E229" s="405">
        <v>34285000</v>
      </c>
      <c r="F229" s="405">
        <v>2085333</v>
      </c>
      <c r="J229" s="407"/>
      <c r="N229" s="408"/>
    </row>
    <row r="230" spans="1:14" s="61" customFormat="1" ht="69.75" hidden="1" customHeight="1" x14ac:dyDescent="0.25">
      <c r="A230" s="982"/>
      <c r="B230" s="978" t="s">
        <v>745</v>
      </c>
      <c r="C230" s="978" t="s">
        <v>746</v>
      </c>
      <c r="D230" s="409" t="s">
        <v>291</v>
      </c>
      <c r="E230" s="405">
        <v>68299000</v>
      </c>
      <c r="F230" s="405">
        <v>0</v>
      </c>
      <c r="J230" s="407"/>
      <c r="N230" s="408"/>
    </row>
    <row r="231" spans="1:14" s="61" customFormat="1" ht="69.75" hidden="1" customHeight="1" x14ac:dyDescent="0.25">
      <c r="A231" s="982"/>
      <c r="B231" s="979"/>
      <c r="C231" s="979"/>
      <c r="D231" s="409" t="s">
        <v>781</v>
      </c>
      <c r="E231" s="405">
        <v>699388000</v>
      </c>
      <c r="F231" s="405">
        <v>0</v>
      </c>
      <c r="J231" s="407"/>
      <c r="N231" s="408"/>
    </row>
    <row r="232" spans="1:14" s="61" customFormat="1" ht="69.75" hidden="1" customHeight="1" x14ac:dyDescent="0.25">
      <c r="A232" s="982"/>
      <c r="B232" s="979"/>
      <c r="C232" s="979"/>
      <c r="D232" s="409" t="s">
        <v>782</v>
      </c>
      <c r="E232" s="405">
        <v>349839000</v>
      </c>
      <c r="F232" s="405">
        <v>14248600</v>
      </c>
      <c r="J232" s="407"/>
      <c r="N232" s="408"/>
    </row>
    <row r="233" spans="1:14" s="61" customFormat="1" ht="69.75" hidden="1" customHeight="1" x14ac:dyDescent="0.25">
      <c r="A233" s="982"/>
      <c r="B233" s="980"/>
      <c r="C233" s="980"/>
      <c r="D233" s="409" t="s">
        <v>295</v>
      </c>
      <c r="E233" s="410">
        <v>482999000</v>
      </c>
      <c r="F233" s="410">
        <v>13621034</v>
      </c>
      <c r="J233" s="407"/>
      <c r="N233" s="408"/>
    </row>
    <row r="234" spans="1:14" s="61" customFormat="1" ht="69.75" hidden="1" customHeight="1" x14ac:dyDescent="0.25">
      <c r="A234" s="982"/>
      <c r="B234" s="338" t="s">
        <v>749</v>
      </c>
      <c r="C234" s="338" t="s">
        <v>750</v>
      </c>
      <c r="D234" s="409" t="s">
        <v>783</v>
      </c>
      <c r="E234" s="405">
        <v>250350000</v>
      </c>
      <c r="F234" s="405">
        <v>5581534</v>
      </c>
      <c r="J234" s="407"/>
      <c r="N234" s="408"/>
    </row>
    <row r="235" spans="1:14" s="61" customFormat="1" ht="69.75" hidden="1" customHeight="1" thickBot="1" x14ac:dyDescent="0.3">
      <c r="A235" s="983"/>
      <c r="B235" s="338" t="s">
        <v>753</v>
      </c>
      <c r="C235" s="338" t="s">
        <v>754</v>
      </c>
      <c r="D235" s="409" t="s">
        <v>299</v>
      </c>
      <c r="E235" s="405">
        <v>801561000</v>
      </c>
      <c r="F235" s="405">
        <v>19474701</v>
      </c>
      <c r="J235" s="407"/>
      <c r="N235" s="408"/>
    </row>
    <row r="236" spans="1:14" ht="15.75" hidden="1" thickBot="1" x14ac:dyDescent="0.3">
      <c r="A236" s="45" t="s">
        <v>129</v>
      </c>
      <c r="B236" s="343"/>
      <c r="C236" s="344"/>
      <c r="D236" s="344"/>
      <c r="E236" s="42"/>
      <c r="F236" s="42"/>
      <c r="G236" s="43"/>
    </row>
    <row r="237" spans="1:14" ht="15.75" hidden="1" thickBot="1" x14ac:dyDescent="0.3">
      <c r="A237" s="46" t="s">
        <v>130</v>
      </c>
      <c r="B237" s="353"/>
      <c r="C237" s="352"/>
      <c r="D237" s="352"/>
      <c r="E237" s="44"/>
      <c r="F237" s="44"/>
      <c r="G237" s="47"/>
    </row>
    <row r="238" spans="1:14" s="61" customFormat="1" ht="69.75" hidden="1" customHeight="1" x14ac:dyDescent="0.25">
      <c r="A238" s="981" t="s">
        <v>135</v>
      </c>
      <c r="B238" s="990" t="s">
        <v>741</v>
      </c>
      <c r="C238" s="990" t="s">
        <v>742</v>
      </c>
      <c r="D238" s="404" t="s">
        <v>287</v>
      </c>
      <c r="E238" s="405">
        <v>556207000</v>
      </c>
      <c r="F238" s="405">
        <v>53643627</v>
      </c>
      <c r="G238" s="406"/>
      <c r="J238" s="407"/>
      <c r="N238" s="408"/>
    </row>
    <row r="239" spans="1:14" s="61" customFormat="1" ht="69.75" hidden="1" customHeight="1" x14ac:dyDescent="0.25">
      <c r="A239" s="982"/>
      <c r="B239" s="979"/>
      <c r="C239" s="979"/>
      <c r="D239" s="404" t="s">
        <v>288</v>
      </c>
      <c r="E239" s="405">
        <v>172920000</v>
      </c>
      <c r="F239" s="405">
        <v>22047300</v>
      </c>
      <c r="G239" s="406"/>
      <c r="J239" s="407"/>
      <c r="N239" s="408"/>
    </row>
    <row r="240" spans="1:14" s="61" customFormat="1" ht="69.75" hidden="1" customHeight="1" x14ac:dyDescent="0.25">
      <c r="A240" s="982"/>
      <c r="B240" s="980"/>
      <c r="C240" s="980"/>
      <c r="D240" s="404" t="s">
        <v>289</v>
      </c>
      <c r="E240" s="405">
        <v>27200000</v>
      </c>
      <c r="F240" s="405">
        <v>4805333</v>
      </c>
      <c r="G240" s="406"/>
      <c r="J240" s="407"/>
      <c r="N240" s="408"/>
    </row>
    <row r="241" spans="1:14" s="61" customFormat="1" ht="69.75" hidden="1" customHeight="1" x14ac:dyDescent="0.25">
      <c r="A241" s="982"/>
      <c r="B241" s="978" t="s">
        <v>745</v>
      </c>
      <c r="C241" s="978" t="s">
        <v>746</v>
      </c>
      <c r="D241" s="409" t="s">
        <v>291</v>
      </c>
      <c r="E241" s="405">
        <v>67897116</v>
      </c>
      <c r="F241" s="405">
        <v>4041500</v>
      </c>
      <c r="G241" s="406"/>
      <c r="J241" s="407"/>
      <c r="N241" s="408"/>
    </row>
    <row r="242" spans="1:14" s="61" customFormat="1" ht="69.75" hidden="1" customHeight="1" x14ac:dyDescent="0.25">
      <c r="A242" s="982"/>
      <c r="B242" s="979"/>
      <c r="C242" s="979"/>
      <c r="D242" s="409" t="s">
        <v>781</v>
      </c>
      <c r="E242" s="405">
        <v>375068706</v>
      </c>
      <c r="F242" s="405">
        <v>25354666</v>
      </c>
      <c r="G242" s="406"/>
      <c r="J242" s="407"/>
      <c r="N242" s="408"/>
    </row>
    <row r="243" spans="1:14" s="61" customFormat="1" ht="69.75" hidden="1" customHeight="1" x14ac:dyDescent="0.25">
      <c r="A243" s="982"/>
      <c r="B243" s="979"/>
      <c r="C243" s="979"/>
      <c r="D243" s="409" t="s">
        <v>782</v>
      </c>
      <c r="E243" s="405">
        <v>313790000</v>
      </c>
      <c r="F243" s="405">
        <v>45283800</v>
      </c>
      <c r="G243" s="406"/>
      <c r="J243" s="407"/>
      <c r="N243" s="408"/>
    </row>
    <row r="244" spans="1:14" s="61" customFormat="1" ht="69.75" hidden="1" customHeight="1" x14ac:dyDescent="0.25">
      <c r="A244" s="982"/>
      <c r="B244" s="980"/>
      <c r="C244" s="980"/>
      <c r="D244" s="409" t="s">
        <v>295</v>
      </c>
      <c r="E244" s="410">
        <v>443325000</v>
      </c>
      <c r="F244" s="410">
        <v>50942234</v>
      </c>
      <c r="G244" s="412"/>
      <c r="J244" s="407"/>
      <c r="N244" s="408"/>
    </row>
    <row r="245" spans="1:14" s="61" customFormat="1" ht="69.75" hidden="1" customHeight="1" x14ac:dyDescent="0.25">
      <c r="A245" s="982"/>
      <c r="B245" s="338" t="s">
        <v>749</v>
      </c>
      <c r="C245" s="338" t="s">
        <v>750</v>
      </c>
      <c r="D245" s="409" t="s">
        <v>783</v>
      </c>
      <c r="E245" s="405">
        <v>222016000</v>
      </c>
      <c r="F245" s="405">
        <v>22792600</v>
      </c>
      <c r="G245" s="406"/>
      <c r="J245" s="407"/>
      <c r="N245" s="408"/>
    </row>
    <row r="246" spans="1:14" s="61" customFormat="1" ht="69.75" hidden="1" customHeight="1" thickBot="1" x14ac:dyDescent="0.3">
      <c r="A246" s="983"/>
      <c r="B246" s="338" t="s">
        <v>753</v>
      </c>
      <c r="C246" s="338" t="s">
        <v>754</v>
      </c>
      <c r="D246" s="409" t="s">
        <v>299</v>
      </c>
      <c r="E246" s="405">
        <v>754641627</v>
      </c>
      <c r="F246" s="405">
        <v>37130834</v>
      </c>
      <c r="G246" s="406"/>
      <c r="J246" s="407"/>
      <c r="N246" s="408"/>
    </row>
    <row r="247" spans="1:14" s="61" customFormat="1" ht="69.75" hidden="1" customHeight="1" x14ac:dyDescent="0.25">
      <c r="A247" s="981" t="s">
        <v>137</v>
      </c>
      <c r="B247" s="990" t="s">
        <v>741</v>
      </c>
      <c r="C247" s="990" t="s">
        <v>742</v>
      </c>
      <c r="D247" s="404" t="s">
        <v>287</v>
      </c>
      <c r="E247" s="405">
        <v>556207000</v>
      </c>
      <c r="F247" s="405">
        <v>173791767</v>
      </c>
      <c r="G247" s="406"/>
      <c r="J247" s="407"/>
      <c r="N247" s="408"/>
    </row>
    <row r="248" spans="1:14" s="61" customFormat="1" ht="69.75" hidden="1" customHeight="1" x14ac:dyDescent="0.25">
      <c r="A248" s="982"/>
      <c r="B248" s="979"/>
      <c r="C248" s="979"/>
      <c r="D248" s="404" t="s">
        <v>288</v>
      </c>
      <c r="E248" s="405">
        <v>172920000</v>
      </c>
      <c r="F248" s="405">
        <v>56631300</v>
      </c>
      <c r="G248" s="406"/>
      <c r="J248" s="407"/>
      <c r="N248" s="408"/>
    </row>
    <row r="249" spans="1:14" s="61" customFormat="1" ht="69.75" hidden="1" customHeight="1" x14ac:dyDescent="0.25">
      <c r="A249" s="982"/>
      <c r="B249" s="980"/>
      <c r="C249" s="980"/>
      <c r="D249" s="404" t="s">
        <v>289</v>
      </c>
      <c r="E249" s="405">
        <v>27200000</v>
      </c>
      <c r="F249" s="405">
        <v>10245333</v>
      </c>
      <c r="G249" s="406"/>
      <c r="J249" s="407"/>
      <c r="N249" s="408"/>
    </row>
    <row r="250" spans="1:14" s="61" customFormat="1" ht="69.75" hidden="1" customHeight="1" x14ac:dyDescent="0.25">
      <c r="A250" s="982"/>
      <c r="B250" s="978" t="s">
        <v>745</v>
      </c>
      <c r="C250" s="978" t="s">
        <v>746</v>
      </c>
      <c r="D250" s="409" t="s">
        <v>291</v>
      </c>
      <c r="E250" s="405">
        <v>67897116</v>
      </c>
      <c r="F250" s="405">
        <v>20207500</v>
      </c>
      <c r="G250" s="406"/>
      <c r="J250" s="407"/>
      <c r="N250" s="408"/>
    </row>
    <row r="251" spans="1:14" s="61" customFormat="1" ht="69.75" hidden="1" customHeight="1" x14ac:dyDescent="0.25">
      <c r="A251" s="982"/>
      <c r="B251" s="979"/>
      <c r="C251" s="979"/>
      <c r="D251" s="409" t="s">
        <v>781</v>
      </c>
      <c r="E251" s="405">
        <v>375068706</v>
      </c>
      <c r="F251" s="405">
        <v>112050666</v>
      </c>
      <c r="G251" s="406"/>
      <c r="J251" s="407"/>
      <c r="N251" s="408"/>
    </row>
    <row r="252" spans="1:14" s="61" customFormat="1" ht="69.75" hidden="1" customHeight="1" x14ac:dyDescent="0.25">
      <c r="A252" s="982"/>
      <c r="B252" s="979"/>
      <c r="C252" s="979"/>
      <c r="D252" s="409" t="s">
        <v>782</v>
      </c>
      <c r="E252" s="405">
        <v>313790000</v>
      </c>
      <c r="F252" s="405">
        <v>108041800</v>
      </c>
      <c r="G252" s="406"/>
      <c r="J252" s="407"/>
      <c r="N252" s="408"/>
    </row>
    <row r="253" spans="1:14" s="61" customFormat="1" ht="69.75" hidden="1" customHeight="1" x14ac:dyDescent="0.25">
      <c r="A253" s="982"/>
      <c r="B253" s="980"/>
      <c r="C253" s="980"/>
      <c r="D253" s="409" t="s">
        <v>295</v>
      </c>
      <c r="E253" s="410">
        <v>443325000</v>
      </c>
      <c r="F253" s="410">
        <v>146091734</v>
      </c>
      <c r="G253" s="412"/>
      <c r="J253" s="407"/>
      <c r="N253" s="408"/>
    </row>
    <row r="254" spans="1:14" s="61" customFormat="1" ht="69.75" hidden="1" customHeight="1" x14ac:dyDescent="0.25">
      <c r="A254" s="982"/>
      <c r="B254" s="338" t="s">
        <v>749</v>
      </c>
      <c r="C254" s="338" t="s">
        <v>750</v>
      </c>
      <c r="D254" s="409" t="s">
        <v>783</v>
      </c>
      <c r="E254" s="405">
        <v>222016000</v>
      </c>
      <c r="F254" s="405">
        <v>64739434</v>
      </c>
      <c r="G254" s="406"/>
      <c r="J254" s="407"/>
      <c r="N254" s="408"/>
    </row>
    <row r="255" spans="1:14" s="61" customFormat="1" ht="69.75" hidden="1" customHeight="1" thickBot="1" x14ac:dyDescent="0.3">
      <c r="A255" s="983"/>
      <c r="B255" s="338" t="s">
        <v>753</v>
      </c>
      <c r="C255" s="338" t="s">
        <v>754</v>
      </c>
      <c r="D255" s="409" t="s">
        <v>299</v>
      </c>
      <c r="E255" s="405">
        <v>754641627</v>
      </c>
      <c r="F255" s="405">
        <v>192001861</v>
      </c>
      <c r="G255" s="406"/>
      <c r="J255" s="407"/>
      <c r="N255" s="408"/>
    </row>
    <row r="256" spans="1:14" ht="20.25" hidden="1" x14ac:dyDescent="0.3">
      <c r="A256" s="984" t="s">
        <v>784</v>
      </c>
      <c r="B256" s="985"/>
      <c r="C256" s="985"/>
      <c r="D256" s="985"/>
      <c r="E256" s="985"/>
      <c r="F256" s="985"/>
      <c r="G256" s="986"/>
    </row>
    <row r="257" spans="1:7" ht="39" hidden="1" thickBot="1" x14ac:dyDescent="0.3">
      <c r="A257" s="38" t="s">
        <v>62</v>
      </c>
      <c r="B257" s="48" t="s">
        <v>142</v>
      </c>
      <c r="C257" s="48" t="s">
        <v>143</v>
      </c>
      <c r="D257" s="48" t="s">
        <v>175</v>
      </c>
      <c r="E257" s="48" t="s">
        <v>785</v>
      </c>
      <c r="F257" s="48" t="s">
        <v>786</v>
      </c>
      <c r="G257" s="49" t="s">
        <v>178</v>
      </c>
    </row>
    <row r="258" spans="1:7" ht="16.5" hidden="1" customHeight="1" x14ac:dyDescent="0.25">
      <c r="A258" s="45" t="s">
        <v>132</v>
      </c>
      <c r="B258" s="343"/>
      <c r="C258" s="344"/>
      <c r="D258" s="344"/>
      <c r="E258" s="42"/>
      <c r="F258" s="42"/>
      <c r="G258" s="43"/>
    </row>
    <row r="259" spans="1:7" ht="16.5" hidden="1" customHeight="1" x14ac:dyDescent="0.25">
      <c r="A259" s="45" t="s">
        <v>133</v>
      </c>
      <c r="B259" s="343"/>
      <c r="C259" s="344"/>
      <c r="D259" s="344"/>
      <c r="E259" s="42"/>
      <c r="F259" s="42"/>
      <c r="G259" s="43"/>
    </row>
    <row r="260" spans="1:7" ht="16.5" hidden="1" customHeight="1" x14ac:dyDescent="0.25">
      <c r="A260" s="45" t="s">
        <v>134</v>
      </c>
      <c r="B260" s="343"/>
      <c r="C260" s="344"/>
      <c r="D260" s="344"/>
      <c r="E260" s="42"/>
      <c r="F260" s="42"/>
      <c r="G260" s="43"/>
    </row>
    <row r="261" spans="1:7" ht="16.5" hidden="1" customHeight="1" x14ac:dyDescent="0.25">
      <c r="A261" s="45" t="s">
        <v>135</v>
      </c>
      <c r="B261" s="343"/>
      <c r="C261" s="344"/>
      <c r="D261" s="344"/>
      <c r="E261" s="42"/>
      <c r="F261" s="42"/>
      <c r="G261" s="43"/>
    </row>
    <row r="262" spans="1:7" ht="16.5" hidden="1" customHeight="1" x14ac:dyDescent="0.25">
      <c r="A262" s="45" t="s">
        <v>136</v>
      </c>
      <c r="B262" s="343"/>
      <c r="C262" s="344"/>
      <c r="D262" s="344"/>
      <c r="E262" s="42"/>
      <c r="F262" s="42"/>
      <c r="G262" s="43"/>
    </row>
    <row r="263" spans="1:7" ht="16.5" hidden="1" customHeight="1" x14ac:dyDescent="0.25">
      <c r="A263" s="45" t="s">
        <v>137</v>
      </c>
      <c r="B263" s="343"/>
      <c r="C263" s="344"/>
      <c r="D263" s="344"/>
      <c r="E263" s="42"/>
      <c r="F263" s="42"/>
      <c r="G263" s="43"/>
    </row>
    <row r="264" spans="1:7" hidden="1" x14ac:dyDescent="0.25">
      <c r="A264" s="53" t="s">
        <v>125</v>
      </c>
      <c r="B264" s="413"/>
      <c r="C264" s="414"/>
      <c r="D264" s="414"/>
      <c r="E264" s="54"/>
      <c r="F264" s="54"/>
      <c r="G264" s="55"/>
    </row>
    <row r="265" spans="1:7" hidden="1" x14ac:dyDescent="0.25">
      <c r="A265" s="45" t="s">
        <v>126</v>
      </c>
      <c r="B265" s="343"/>
      <c r="C265" s="344"/>
      <c r="D265" s="344"/>
      <c r="E265" s="42"/>
      <c r="F265" s="42"/>
      <c r="G265" s="43"/>
    </row>
    <row r="266" spans="1:7" hidden="1" x14ac:dyDescent="0.25">
      <c r="A266" s="45" t="s">
        <v>127</v>
      </c>
      <c r="B266" s="343"/>
      <c r="C266" s="344"/>
      <c r="D266" s="344"/>
      <c r="E266" s="42"/>
      <c r="F266" s="42"/>
      <c r="G266" s="43"/>
    </row>
    <row r="267" spans="1:7" hidden="1" x14ac:dyDescent="0.25">
      <c r="A267" s="45" t="s">
        <v>128</v>
      </c>
      <c r="B267" s="343"/>
      <c r="C267" s="344"/>
      <c r="D267" s="344"/>
      <c r="E267" s="42"/>
      <c r="F267" s="42"/>
      <c r="G267" s="43"/>
    </row>
    <row r="268" spans="1:7" hidden="1" x14ac:dyDescent="0.25">
      <c r="A268" s="45" t="s">
        <v>129</v>
      </c>
      <c r="B268" s="343"/>
      <c r="C268" s="344"/>
      <c r="D268" s="344"/>
      <c r="E268" s="42"/>
      <c r="F268" s="42"/>
      <c r="G268" s="43"/>
    </row>
    <row r="269" spans="1:7" ht="15.75" hidden="1" thickBot="1" x14ac:dyDescent="0.3">
      <c r="A269" s="46" t="s">
        <v>130</v>
      </c>
      <c r="B269" s="353"/>
      <c r="C269" s="352"/>
      <c r="D269" s="352"/>
      <c r="E269" s="44"/>
      <c r="F269" s="44"/>
      <c r="G269" s="47"/>
    </row>
    <row r="270" spans="1:7" ht="15.75" hidden="1" thickBot="1" x14ac:dyDescent="0.3">
      <c r="A270" s="56"/>
      <c r="G270" s="57"/>
    </row>
    <row r="271" spans="1:7" ht="30.75" hidden="1" customHeight="1" x14ac:dyDescent="0.3">
      <c r="A271" s="984" t="s">
        <v>182</v>
      </c>
      <c r="B271" s="985"/>
      <c r="C271" s="985"/>
      <c r="D271" s="985"/>
      <c r="E271" s="985"/>
      <c r="F271" s="985"/>
      <c r="G271" s="986"/>
    </row>
    <row r="272" spans="1:7" ht="39" hidden="1" thickBot="1" x14ac:dyDescent="0.3">
      <c r="A272" s="38" t="s">
        <v>63</v>
      </c>
      <c r="B272" s="48" t="s">
        <v>142</v>
      </c>
      <c r="C272" s="48" t="s">
        <v>143</v>
      </c>
      <c r="D272" s="48" t="s">
        <v>175</v>
      </c>
      <c r="E272" s="48" t="s">
        <v>183</v>
      </c>
      <c r="F272" s="48" t="s">
        <v>184</v>
      </c>
      <c r="G272" s="49" t="s">
        <v>178</v>
      </c>
    </row>
    <row r="273" spans="1:7" ht="16.5" hidden="1" customHeight="1" x14ac:dyDescent="0.25">
      <c r="A273" s="45" t="s">
        <v>132</v>
      </c>
      <c r="B273" s="343"/>
      <c r="C273" s="344"/>
      <c r="D273" s="344"/>
      <c r="E273" s="42"/>
      <c r="F273" s="42"/>
      <c r="G273" s="43"/>
    </row>
    <row r="274" spans="1:7" ht="16.5" hidden="1" customHeight="1" x14ac:dyDescent="0.25">
      <c r="A274" s="45" t="s">
        <v>133</v>
      </c>
      <c r="B274" s="343"/>
      <c r="C274" s="344"/>
      <c r="D274" s="344"/>
      <c r="E274" s="42"/>
      <c r="F274" s="42"/>
      <c r="G274" s="43"/>
    </row>
    <row r="275" spans="1:7" ht="16.5" hidden="1" customHeight="1" x14ac:dyDescent="0.25">
      <c r="A275" s="45" t="s">
        <v>134</v>
      </c>
      <c r="B275" s="343"/>
      <c r="C275" s="344"/>
      <c r="D275" s="344"/>
      <c r="E275" s="42"/>
      <c r="F275" s="42"/>
      <c r="G275" s="43"/>
    </row>
    <row r="276" spans="1:7" ht="16.5" hidden="1" customHeight="1" x14ac:dyDescent="0.25">
      <c r="A276" s="45" t="s">
        <v>135</v>
      </c>
      <c r="B276" s="343"/>
      <c r="C276" s="344"/>
      <c r="D276" s="344"/>
      <c r="E276" s="42"/>
      <c r="F276" s="42"/>
      <c r="G276" s="43"/>
    </row>
    <row r="277" spans="1:7" ht="16.5" hidden="1" customHeight="1" x14ac:dyDescent="0.25">
      <c r="A277" s="45" t="s">
        <v>136</v>
      </c>
      <c r="B277" s="343"/>
      <c r="C277" s="344"/>
      <c r="D277" s="344"/>
      <c r="E277" s="42"/>
      <c r="F277" s="42"/>
      <c r="G277" s="43"/>
    </row>
    <row r="278" spans="1:7" ht="16.5" hidden="1" customHeight="1" x14ac:dyDescent="0.25">
      <c r="A278" s="45" t="s">
        <v>137</v>
      </c>
      <c r="B278" s="343"/>
      <c r="C278" s="344"/>
      <c r="D278" s="344"/>
      <c r="E278" s="42"/>
      <c r="F278" s="42"/>
      <c r="G278" s="43"/>
    </row>
    <row r="279" spans="1:7" hidden="1" x14ac:dyDescent="0.25">
      <c r="A279" s="53" t="s">
        <v>125</v>
      </c>
      <c r="B279" s="413"/>
      <c r="C279" s="414"/>
      <c r="D279" s="414"/>
      <c r="E279" s="54"/>
      <c r="F279" s="54"/>
      <c r="G279" s="55"/>
    </row>
    <row r="280" spans="1:7" hidden="1" x14ac:dyDescent="0.25">
      <c r="A280" s="45" t="s">
        <v>126</v>
      </c>
      <c r="B280" s="343"/>
      <c r="C280" s="344"/>
      <c r="D280" s="344"/>
      <c r="E280" s="42"/>
      <c r="F280" s="42"/>
      <c r="G280" s="43"/>
    </row>
    <row r="281" spans="1:7" hidden="1" x14ac:dyDescent="0.25">
      <c r="A281" s="45" t="s">
        <v>127</v>
      </c>
      <c r="B281" s="343"/>
      <c r="C281" s="344"/>
      <c r="D281" s="344"/>
      <c r="E281" s="42"/>
      <c r="F281" s="42"/>
      <c r="G281" s="43"/>
    </row>
    <row r="282" spans="1:7" hidden="1" x14ac:dyDescent="0.25">
      <c r="A282" s="45" t="s">
        <v>128</v>
      </c>
      <c r="B282" s="343"/>
      <c r="C282" s="344"/>
      <c r="D282" s="344"/>
      <c r="E282" s="42"/>
      <c r="F282" s="42"/>
      <c r="G282" s="43"/>
    </row>
    <row r="283" spans="1:7" hidden="1" x14ac:dyDescent="0.25">
      <c r="A283" s="45" t="s">
        <v>129</v>
      </c>
      <c r="B283" s="343"/>
      <c r="C283" s="344"/>
      <c r="D283" s="344"/>
      <c r="E283" s="42"/>
      <c r="F283" s="42"/>
      <c r="G283" s="43"/>
    </row>
    <row r="284" spans="1:7" ht="15.75" hidden="1" thickBot="1" x14ac:dyDescent="0.3">
      <c r="A284" s="46" t="s">
        <v>130</v>
      </c>
      <c r="B284" s="353"/>
      <c r="C284" s="352"/>
      <c r="D284" s="352"/>
      <c r="E284" s="44"/>
      <c r="F284" s="44"/>
      <c r="G284" s="47"/>
    </row>
    <row r="285" spans="1:7" ht="15.75" hidden="1" thickBot="1" x14ac:dyDescent="0.3">
      <c r="A285" s="56"/>
      <c r="G285" s="57"/>
    </row>
    <row r="286" spans="1:7" ht="20.25" hidden="1" x14ac:dyDescent="0.3">
      <c r="A286" s="984" t="s">
        <v>185</v>
      </c>
      <c r="B286" s="985"/>
      <c r="C286" s="985"/>
      <c r="D286" s="985"/>
      <c r="E286" s="985"/>
      <c r="F286" s="985"/>
      <c r="G286" s="986"/>
    </row>
    <row r="287" spans="1:7" ht="39" hidden="1" thickBot="1" x14ac:dyDescent="0.3">
      <c r="A287" s="38" t="s">
        <v>64</v>
      </c>
      <c r="B287" s="48" t="s">
        <v>142</v>
      </c>
      <c r="C287" s="48" t="s">
        <v>143</v>
      </c>
      <c r="D287" s="48" t="s">
        <v>175</v>
      </c>
      <c r="E287" s="48" t="s">
        <v>186</v>
      </c>
      <c r="F287" s="48" t="s">
        <v>187</v>
      </c>
      <c r="G287" s="49" t="s">
        <v>178</v>
      </c>
    </row>
    <row r="288" spans="1:7" ht="16.5" hidden="1" customHeight="1" x14ac:dyDescent="0.25">
      <c r="A288" s="45" t="s">
        <v>132</v>
      </c>
      <c r="B288" s="343"/>
      <c r="C288" s="344"/>
      <c r="D288" s="344"/>
      <c r="E288" s="42"/>
      <c r="F288" s="42"/>
      <c r="G288" s="43"/>
    </row>
    <row r="289" spans="1:14" ht="16.5" hidden="1" customHeight="1" x14ac:dyDescent="0.25">
      <c r="A289" s="45" t="s">
        <v>133</v>
      </c>
      <c r="B289" s="343"/>
      <c r="C289" s="344"/>
      <c r="D289" s="344"/>
      <c r="E289" s="42"/>
      <c r="F289" s="42"/>
      <c r="G289" s="43"/>
    </row>
    <row r="290" spans="1:14" ht="16.5" hidden="1" customHeight="1" x14ac:dyDescent="0.25">
      <c r="A290" s="45" t="s">
        <v>134</v>
      </c>
      <c r="B290" s="343"/>
      <c r="C290" s="344"/>
      <c r="D290" s="344"/>
      <c r="E290" s="42"/>
      <c r="F290" s="42"/>
      <c r="G290" s="43"/>
    </row>
    <row r="291" spans="1:14" ht="16.5" hidden="1" customHeight="1" x14ac:dyDescent="0.25">
      <c r="A291" s="45" t="s">
        <v>135</v>
      </c>
      <c r="B291" s="343"/>
      <c r="C291" s="344"/>
      <c r="D291" s="344"/>
      <c r="E291" s="42"/>
      <c r="F291" s="42"/>
      <c r="G291" s="43"/>
    </row>
    <row r="292" spans="1:14" ht="16.5" hidden="1" customHeight="1" x14ac:dyDescent="0.25">
      <c r="A292" s="45" t="s">
        <v>136</v>
      </c>
      <c r="B292" s="343"/>
      <c r="C292" s="344"/>
      <c r="D292" s="344"/>
      <c r="E292" s="42"/>
      <c r="F292" s="42"/>
      <c r="G292" s="43"/>
    </row>
    <row r="293" spans="1:14" ht="16.5" hidden="1" customHeight="1" x14ac:dyDescent="0.25">
      <c r="A293" s="45" t="s">
        <v>137</v>
      </c>
      <c r="B293" s="343"/>
      <c r="C293" s="344"/>
      <c r="D293" s="344"/>
      <c r="E293" s="42"/>
      <c r="F293" s="42"/>
      <c r="G293" s="43"/>
    </row>
    <row r="294" spans="1:14" hidden="1" x14ac:dyDescent="0.25">
      <c r="A294" s="53" t="s">
        <v>125</v>
      </c>
      <c r="B294" s="413"/>
      <c r="C294" s="414"/>
      <c r="D294" s="414"/>
      <c r="E294" s="54"/>
      <c r="F294" s="54"/>
      <c r="G294" s="55"/>
    </row>
    <row r="295" spans="1:14" hidden="1" x14ac:dyDescent="0.25">
      <c r="A295" s="45" t="s">
        <v>126</v>
      </c>
      <c r="B295" s="343"/>
      <c r="C295" s="344"/>
      <c r="D295" s="344"/>
      <c r="E295" s="42"/>
      <c r="F295" s="42"/>
      <c r="G295" s="43"/>
    </row>
    <row r="296" spans="1:14" hidden="1" x14ac:dyDescent="0.25">
      <c r="A296" s="45" t="s">
        <v>127</v>
      </c>
      <c r="B296" s="343"/>
      <c r="C296" s="344"/>
      <c r="D296" s="344"/>
      <c r="E296" s="42"/>
      <c r="F296" s="42"/>
      <c r="G296" s="43"/>
    </row>
    <row r="297" spans="1:14" hidden="1" x14ac:dyDescent="0.25">
      <c r="A297" s="45" t="s">
        <v>128</v>
      </c>
      <c r="B297" s="343"/>
      <c r="C297" s="344"/>
      <c r="D297" s="344"/>
      <c r="E297" s="42"/>
      <c r="F297" s="42"/>
      <c r="G297" s="43"/>
    </row>
    <row r="298" spans="1:14" hidden="1" x14ac:dyDescent="0.25">
      <c r="A298" s="45" t="s">
        <v>129</v>
      </c>
      <c r="B298" s="343"/>
      <c r="C298" s="344"/>
      <c r="D298" s="344"/>
      <c r="E298" s="42"/>
      <c r="F298" s="42"/>
      <c r="G298" s="43"/>
    </row>
    <row r="299" spans="1:14" ht="15.75" hidden="1" thickBot="1" x14ac:dyDescent="0.3">
      <c r="A299" s="46" t="s">
        <v>130</v>
      </c>
      <c r="B299" s="353"/>
      <c r="C299" s="352"/>
      <c r="D299" s="352"/>
      <c r="E299" s="44"/>
      <c r="F299" s="44"/>
      <c r="G299" s="47"/>
    </row>
    <row r="300" spans="1:14" s="61" customFormat="1" ht="69.75" hidden="1" customHeight="1" x14ac:dyDescent="0.25">
      <c r="A300" s="981" t="s">
        <v>125</v>
      </c>
      <c r="B300" s="990" t="s">
        <v>741</v>
      </c>
      <c r="C300" s="990" t="s">
        <v>742</v>
      </c>
      <c r="D300" s="404" t="s">
        <v>287</v>
      </c>
      <c r="E300" s="405">
        <v>556207000</v>
      </c>
      <c r="F300" s="405">
        <v>225108767</v>
      </c>
      <c r="G300" s="406"/>
      <c r="J300" s="407"/>
      <c r="N300" s="408"/>
    </row>
    <row r="301" spans="1:14" s="61" customFormat="1" ht="69.75" hidden="1" customHeight="1" x14ac:dyDescent="0.25">
      <c r="A301" s="982"/>
      <c r="B301" s="979"/>
      <c r="C301" s="979"/>
      <c r="D301" s="404" t="s">
        <v>288</v>
      </c>
      <c r="E301" s="405">
        <v>172920000</v>
      </c>
      <c r="F301" s="405">
        <v>73923300</v>
      </c>
      <c r="G301" s="406"/>
      <c r="J301" s="407"/>
      <c r="N301" s="408"/>
    </row>
    <row r="302" spans="1:14" s="61" customFormat="1" ht="69.75" hidden="1" customHeight="1" x14ac:dyDescent="0.25">
      <c r="A302" s="982"/>
      <c r="B302" s="980"/>
      <c r="C302" s="980"/>
      <c r="D302" s="404" t="s">
        <v>289</v>
      </c>
      <c r="E302" s="405">
        <v>27200000</v>
      </c>
      <c r="F302" s="405">
        <v>12965333</v>
      </c>
      <c r="G302" s="406"/>
      <c r="J302" s="407"/>
      <c r="N302" s="408"/>
    </row>
    <row r="303" spans="1:14" s="61" customFormat="1" ht="69.75" hidden="1" customHeight="1" x14ac:dyDescent="0.25">
      <c r="A303" s="982"/>
      <c r="B303" s="978" t="s">
        <v>745</v>
      </c>
      <c r="C303" s="978" t="s">
        <v>746</v>
      </c>
      <c r="D303" s="409" t="s">
        <v>291</v>
      </c>
      <c r="E303" s="405">
        <v>67897116</v>
      </c>
      <c r="F303" s="405">
        <v>28290500</v>
      </c>
      <c r="G303" s="406"/>
      <c r="J303" s="407"/>
      <c r="N303" s="408"/>
    </row>
    <row r="304" spans="1:14" s="61" customFormat="1" ht="69.75" hidden="1" customHeight="1" x14ac:dyDescent="0.25">
      <c r="A304" s="982"/>
      <c r="B304" s="979"/>
      <c r="C304" s="979"/>
      <c r="D304" s="409" t="s">
        <v>781</v>
      </c>
      <c r="E304" s="405">
        <v>375068706</v>
      </c>
      <c r="F304" s="405">
        <v>155398666</v>
      </c>
      <c r="G304" s="406"/>
      <c r="J304" s="407"/>
      <c r="N304" s="408"/>
    </row>
    <row r="305" spans="1:14" s="61" customFormat="1" ht="69.75" hidden="1" customHeight="1" x14ac:dyDescent="0.25">
      <c r="A305" s="982"/>
      <c r="B305" s="979"/>
      <c r="C305" s="979"/>
      <c r="D305" s="409" t="s">
        <v>782</v>
      </c>
      <c r="E305" s="405">
        <v>313790000</v>
      </c>
      <c r="F305" s="405">
        <v>135982800</v>
      </c>
      <c r="G305" s="406"/>
      <c r="J305" s="407"/>
      <c r="N305" s="408"/>
    </row>
    <row r="306" spans="1:14" s="61" customFormat="1" ht="69.75" hidden="1" customHeight="1" x14ac:dyDescent="0.25">
      <c r="A306" s="982"/>
      <c r="B306" s="980"/>
      <c r="C306" s="980"/>
      <c r="D306" s="409" t="s">
        <v>295</v>
      </c>
      <c r="E306" s="410">
        <v>443325000</v>
      </c>
      <c r="F306" s="410">
        <v>192585734</v>
      </c>
      <c r="G306" s="412"/>
      <c r="J306" s="407"/>
      <c r="N306" s="408"/>
    </row>
    <row r="307" spans="1:14" s="61" customFormat="1" ht="69.75" hidden="1" customHeight="1" x14ac:dyDescent="0.25">
      <c r="A307" s="982"/>
      <c r="B307" s="338" t="s">
        <v>749</v>
      </c>
      <c r="C307" s="338" t="s">
        <v>750</v>
      </c>
      <c r="D307" s="409" t="s">
        <v>783</v>
      </c>
      <c r="E307" s="405">
        <v>222016000</v>
      </c>
      <c r="F307" s="405">
        <v>86883434</v>
      </c>
      <c r="G307" s="406"/>
      <c r="J307" s="407"/>
      <c r="N307" s="408"/>
    </row>
    <row r="308" spans="1:14" s="61" customFormat="1" ht="69.75" hidden="1" customHeight="1" thickBot="1" x14ac:dyDescent="0.3">
      <c r="A308" s="983"/>
      <c r="B308" s="338" t="s">
        <v>753</v>
      </c>
      <c r="C308" s="338" t="s">
        <v>754</v>
      </c>
      <c r="D308" s="409" t="s">
        <v>299</v>
      </c>
      <c r="E308" s="405">
        <v>754641627</v>
      </c>
      <c r="F308" s="405">
        <v>291259304</v>
      </c>
      <c r="G308" s="406"/>
      <c r="J308" s="407"/>
      <c r="N308" s="408"/>
    </row>
    <row r="309" spans="1:14" s="61" customFormat="1" ht="69.75" hidden="1" customHeight="1" x14ac:dyDescent="0.25">
      <c r="A309" s="981" t="s">
        <v>126</v>
      </c>
      <c r="B309" s="990" t="s">
        <v>741</v>
      </c>
      <c r="C309" s="990" t="s">
        <v>742</v>
      </c>
      <c r="D309" s="404" t="s">
        <v>287</v>
      </c>
      <c r="E309" s="405">
        <v>605339000</v>
      </c>
      <c r="F309" s="405">
        <v>276425767</v>
      </c>
      <c r="G309" s="406"/>
      <c r="J309" s="407"/>
      <c r="N309" s="408"/>
    </row>
    <row r="310" spans="1:14" s="61" customFormat="1" ht="69.75" hidden="1" customHeight="1" x14ac:dyDescent="0.25">
      <c r="A310" s="982"/>
      <c r="B310" s="979"/>
      <c r="C310" s="979"/>
      <c r="D310" s="404" t="s">
        <v>288</v>
      </c>
      <c r="E310" s="405">
        <v>172920000</v>
      </c>
      <c r="F310" s="405">
        <v>91215300</v>
      </c>
      <c r="G310" s="406"/>
      <c r="J310" s="407"/>
      <c r="N310" s="408"/>
    </row>
    <row r="311" spans="1:14" s="61" customFormat="1" ht="69.75" hidden="1" customHeight="1" x14ac:dyDescent="0.25">
      <c r="A311" s="982"/>
      <c r="B311" s="980"/>
      <c r="C311" s="980"/>
      <c r="D311" s="404" t="s">
        <v>289</v>
      </c>
      <c r="E311" s="405">
        <v>29920000</v>
      </c>
      <c r="F311" s="405">
        <v>15685333</v>
      </c>
      <c r="G311" s="406"/>
      <c r="J311" s="407"/>
      <c r="N311" s="408"/>
    </row>
    <row r="312" spans="1:14" s="61" customFormat="1" ht="69.75" hidden="1" customHeight="1" x14ac:dyDescent="0.25">
      <c r="A312" s="982"/>
      <c r="B312" s="978" t="s">
        <v>745</v>
      </c>
      <c r="C312" s="978" t="s">
        <v>746</v>
      </c>
      <c r="D312" s="409" t="s">
        <v>291</v>
      </c>
      <c r="E312" s="405">
        <v>76788500</v>
      </c>
      <c r="F312" s="405">
        <v>36373500</v>
      </c>
      <c r="G312" s="406"/>
      <c r="J312" s="407"/>
      <c r="N312" s="408"/>
    </row>
    <row r="313" spans="1:14" s="61" customFormat="1" ht="69.75" hidden="1" customHeight="1" x14ac:dyDescent="0.25">
      <c r="A313" s="982"/>
      <c r="B313" s="979"/>
      <c r="C313" s="979"/>
      <c r="D313" s="409" t="s">
        <v>781</v>
      </c>
      <c r="E313" s="405">
        <v>734844689</v>
      </c>
      <c r="F313" s="405">
        <v>198746666</v>
      </c>
      <c r="G313" s="406"/>
      <c r="J313" s="407"/>
      <c r="N313" s="408"/>
    </row>
    <row r="314" spans="1:14" s="61" customFormat="1" ht="69.75" hidden="1" customHeight="1" x14ac:dyDescent="0.25">
      <c r="A314" s="982"/>
      <c r="B314" s="979"/>
      <c r="C314" s="979"/>
      <c r="D314" s="409" t="s">
        <v>782</v>
      </c>
      <c r="E314" s="405">
        <v>333790000</v>
      </c>
      <c r="F314" s="405">
        <v>163923800</v>
      </c>
      <c r="G314" s="406"/>
      <c r="J314" s="407"/>
      <c r="N314" s="408"/>
    </row>
    <row r="315" spans="1:14" s="61" customFormat="1" ht="69.75" hidden="1" customHeight="1" x14ac:dyDescent="0.25">
      <c r="A315" s="982"/>
      <c r="B315" s="980"/>
      <c r="C315" s="980"/>
      <c r="D315" s="409" t="s">
        <v>295</v>
      </c>
      <c r="E315" s="410">
        <v>443888000</v>
      </c>
      <c r="F315" s="410">
        <v>239079734</v>
      </c>
      <c r="G315" s="412"/>
      <c r="J315" s="407"/>
      <c r="N315" s="408"/>
    </row>
    <row r="316" spans="1:14" s="61" customFormat="1" ht="69.75" hidden="1" customHeight="1" x14ac:dyDescent="0.25">
      <c r="A316" s="982"/>
      <c r="B316" s="338" t="s">
        <v>749</v>
      </c>
      <c r="C316" s="338" t="s">
        <v>750</v>
      </c>
      <c r="D316" s="409" t="s">
        <v>783</v>
      </c>
      <c r="E316" s="405">
        <v>277709000</v>
      </c>
      <c r="F316" s="405">
        <v>109027434</v>
      </c>
      <c r="G316" s="406"/>
      <c r="J316" s="407"/>
      <c r="N316" s="408"/>
    </row>
    <row r="317" spans="1:14" s="61" customFormat="1" ht="69.75" hidden="1" customHeight="1" thickBot="1" x14ac:dyDescent="0.3">
      <c r="A317" s="983"/>
      <c r="B317" s="338" t="s">
        <v>753</v>
      </c>
      <c r="C317" s="338" t="s">
        <v>754</v>
      </c>
      <c r="D317" s="409" t="s">
        <v>299</v>
      </c>
      <c r="E317" s="405">
        <v>779641627</v>
      </c>
      <c r="F317" s="405">
        <v>382449164</v>
      </c>
      <c r="G317" s="406"/>
      <c r="J317" s="407"/>
      <c r="N317" s="408"/>
    </row>
    <row r="318" spans="1:14" s="61" customFormat="1" ht="69.75" hidden="1" customHeight="1" x14ac:dyDescent="0.25">
      <c r="A318" s="981" t="s">
        <v>127</v>
      </c>
      <c r="B318" s="990" t="s">
        <v>741</v>
      </c>
      <c r="C318" s="990" t="s">
        <v>742</v>
      </c>
      <c r="D318" s="404" t="s">
        <v>287</v>
      </c>
      <c r="E318" s="405">
        <v>605339000</v>
      </c>
      <c r="F318" s="405">
        <v>327742767</v>
      </c>
      <c r="G318" s="406"/>
      <c r="J318" s="407"/>
      <c r="N318" s="408"/>
    </row>
    <row r="319" spans="1:14" s="61" customFormat="1" ht="69.75" hidden="1" customHeight="1" x14ac:dyDescent="0.25">
      <c r="A319" s="982"/>
      <c r="B319" s="979"/>
      <c r="C319" s="979"/>
      <c r="D319" s="404" t="s">
        <v>288</v>
      </c>
      <c r="E319" s="405">
        <v>172920000</v>
      </c>
      <c r="F319" s="405">
        <v>108507300</v>
      </c>
      <c r="G319" s="406"/>
      <c r="J319" s="407"/>
      <c r="N319" s="408"/>
    </row>
    <row r="320" spans="1:14" s="61" customFormat="1" ht="69.75" hidden="1" customHeight="1" x14ac:dyDescent="0.25">
      <c r="A320" s="982"/>
      <c r="B320" s="980"/>
      <c r="C320" s="980"/>
      <c r="D320" s="404" t="s">
        <v>289</v>
      </c>
      <c r="E320" s="405">
        <v>29920000</v>
      </c>
      <c r="F320" s="405">
        <v>18405333</v>
      </c>
      <c r="G320" s="406"/>
      <c r="J320" s="407"/>
      <c r="N320" s="408"/>
    </row>
    <row r="321" spans="1:14" s="61" customFormat="1" ht="69.75" hidden="1" customHeight="1" x14ac:dyDescent="0.25">
      <c r="A321" s="982"/>
      <c r="B321" s="978" t="s">
        <v>745</v>
      </c>
      <c r="C321" s="978" t="s">
        <v>746</v>
      </c>
      <c r="D321" s="409" t="s">
        <v>291</v>
      </c>
      <c r="E321" s="405">
        <v>76788500</v>
      </c>
      <c r="F321" s="405">
        <v>44456500</v>
      </c>
      <c r="G321" s="406"/>
      <c r="J321" s="407"/>
      <c r="N321" s="408"/>
    </row>
    <row r="322" spans="1:14" s="61" customFormat="1" ht="69.75" hidden="1" customHeight="1" x14ac:dyDescent="0.25">
      <c r="A322" s="982"/>
      <c r="B322" s="979"/>
      <c r="C322" s="979"/>
      <c r="D322" s="409" t="s">
        <v>781</v>
      </c>
      <c r="E322" s="405">
        <v>734844689</v>
      </c>
      <c r="F322" s="405">
        <v>242094666</v>
      </c>
      <c r="G322" s="406"/>
      <c r="J322" s="407"/>
      <c r="N322" s="408"/>
    </row>
    <row r="323" spans="1:14" s="61" customFormat="1" ht="69.75" hidden="1" customHeight="1" x14ac:dyDescent="0.25">
      <c r="A323" s="982"/>
      <c r="B323" s="979"/>
      <c r="C323" s="979"/>
      <c r="D323" s="409" t="s">
        <v>782</v>
      </c>
      <c r="E323" s="405">
        <v>333790000</v>
      </c>
      <c r="F323" s="405">
        <v>195302800</v>
      </c>
      <c r="G323" s="406"/>
      <c r="J323" s="407"/>
      <c r="N323" s="408"/>
    </row>
    <row r="324" spans="1:14" s="61" customFormat="1" ht="69.75" hidden="1" customHeight="1" x14ac:dyDescent="0.25">
      <c r="A324" s="982"/>
      <c r="B324" s="980"/>
      <c r="C324" s="980"/>
      <c r="D324" s="409" t="s">
        <v>295</v>
      </c>
      <c r="E324" s="410">
        <v>443888000</v>
      </c>
      <c r="F324" s="410">
        <v>281250734</v>
      </c>
      <c r="G324" s="412"/>
      <c r="J324" s="407"/>
      <c r="N324" s="408"/>
    </row>
    <row r="325" spans="1:14" s="61" customFormat="1" ht="69.75" hidden="1" customHeight="1" x14ac:dyDescent="0.25">
      <c r="A325" s="982"/>
      <c r="B325" s="338" t="s">
        <v>749</v>
      </c>
      <c r="C325" s="338" t="s">
        <v>750</v>
      </c>
      <c r="D325" s="409" t="s">
        <v>783</v>
      </c>
      <c r="E325" s="405">
        <v>277709000</v>
      </c>
      <c r="F325" s="405">
        <v>135160101</v>
      </c>
      <c r="G325" s="406"/>
      <c r="J325" s="407"/>
      <c r="N325" s="408"/>
    </row>
    <row r="326" spans="1:14" s="61" customFormat="1" ht="42.75" hidden="1" customHeight="1" thickBot="1" x14ac:dyDescent="0.3">
      <c r="A326" s="983"/>
      <c r="B326" s="338" t="s">
        <v>753</v>
      </c>
      <c r="C326" s="338" t="s">
        <v>754</v>
      </c>
      <c r="D326" s="409" t="s">
        <v>299</v>
      </c>
      <c r="E326" s="405">
        <v>779641627</v>
      </c>
      <c r="F326" s="405">
        <v>454216764</v>
      </c>
      <c r="G326" s="406"/>
      <c r="J326" s="407"/>
      <c r="N326" s="408"/>
    </row>
    <row r="327" spans="1:14" s="61" customFormat="1" ht="69.75" hidden="1" customHeight="1" x14ac:dyDescent="0.25">
      <c r="A327" s="981" t="s">
        <v>128</v>
      </c>
      <c r="B327" s="990" t="s">
        <v>741</v>
      </c>
      <c r="C327" s="990" t="s">
        <v>742</v>
      </c>
      <c r="D327" s="404" t="s">
        <v>287</v>
      </c>
      <c r="E327" s="405">
        <v>605339000</v>
      </c>
      <c r="F327" s="495">
        <v>379059767</v>
      </c>
      <c r="G327" s="406"/>
      <c r="J327" s="407"/>
      <c r="N327" s="408"/>
    </row>
    <row r="328" spans="1:14" s="61" customFormat="1" ht="69.75" hidden="1" customHeight="1" x14ac:dyDescent="0.25">
      <c r="A328" s="982"/>
      <c r="B328" s="979"/>
      <c r="C328" s="979"/>
      <c r="D328" s="404" t="s">
        <v>288</v>
      </c>
      <c r="E328" s="405">
        <v>172920000</v>
      </c>
      <c r="F328" s="495">
        <v>125799300</v>
      </c>
      <c r="G328" s="406"/>
      <c r="J328" s="407"/>
      <c r="N328" s="408"/>
    </row>
    <row r="329" spans="1:14" s="61" customFormat="1" ht="69.75" hidden="1" customHeight="1" x14ac:dyDescent="0.25">
      <c r="A329" s="982"/>
      <c r="B329" s="980"/>
      <c r="C329" s="980"/>
      <c r="D329" s="404" t="s">
        <v>289</v>
      </c>
      <c r="E329" s="405">
        <v>29920000</v>
      </c>
      <c r="F329" s="495">
        <v>21125333</v>
      </c>
      <c r="G329" s="406"/>
      <c r="J329" s="407"/>
      <c r="N329" s="408"/>
    </row>
    <row r="330" spans="1:14" s="61" customFormat="1" ht="69.75" hidden="1" customHeight="1" x14ac:dyDescent="0.25">
      <c r="A330" s="982"/>
      <c r="B330" s="978" t="s">
        <v>745</v>
      </c>
      <c r="C330" s="978" t="s">
        <v>746</v>
      </c>
      <c r="D330" s="409" t="s">
        <v>291</v>
      </c>
      <c r="E330" s="405">
        <v>76788500</v>
      </c>
      <c r="F330" s="495">
        <v>52539500</v>
      </c>
      <c r="G330" s="406"/>
      <c r="J330" s="407"/>
      <c r="N330" s="408"/>
    </row>
    <row r="331" spans="1:14" s="61" customFormat="1" ht="69.75" hidden="1" customHeight="1" x14ac:dyDescent="0.25">
      <c r="A331" s="982"/>
      <c r="B331" s="979"/>
      <c r="C331" s="979"/>
      <c r="D331" s="409" t="s">
        <v>781</v>
      </c>
      <c r="E331" s="405">
        <v>734844689</v>
      </c>
      <c r="F331" s="495">
        <v>310195333</v>
      </c>
      <c r="G331" s="406"/>
      <c r="J331" s="407"/>
      <c r="N331" s="408"/>
    </row>
    <row r="332" spans="1:14" s="61" customFormat="1" ht="69.75" hidden="1" customHeight="1" x14ac:dyDescent="0.25">
      <c r="A332" s="982"/>
      <c r="B332" s="979"/>
      <c r="C332" s="979"/>
      <c r="D332" s="409" t="s">
        <v>782</v>
      </c>
      <c r="E332" s="405">
        <v>333790000</v>
      </c>
      <c r="F332" s="495">
        <v>227025600</v>
      </c>
      <c r="G332" s="406"/>
      <c r="J332" s="407"/>
      <c r="N332" s="408"/>
    </row>
    <row r="333" spans="1:14" s="61" customFormat="1" ht="69.75" hidden="1" customHeight="1" x14ac:dyDescent="0.25">
      <c r="A333" s="982"/>
      <c r="B333" s="980"/>
      <c r="C333" s="980"/>
      <c r="D333" s="409" t="s">
        <v>295</v>
      </c>
      <c r="E333" s="410">
        <v>443888000</v>
      </c>
      <c r="F333" s="496">
        <v>326159634</v>
      </c>
      <c r="G333" s="412"/>
      <c r="J333" s="407"/>
      <c r="N333" s="408"/>
    </row>
    <row r="334" spans="1:14" s="61" customFormat="1" ht="69.75" hidden="1" customHeight="1" x14ac:dyDescent="0.25">
      <c r="A334" s="982"/>
      <c r="B334" s="338" t="s">
        <v>749</v>
      </c>
      <c r="C334" s="338" t="s">
        <v>750</v>
      </c>
      <c r="D334" s="409" t="s">
        <v>783</v>
      </c>
      <c r="E334" s="405">
        <v>277709000</v>
      </c>
      <c r="F334" s="495">
        <v>169864101</v>
      </c>
      <c r="G334" s="406"/>
      <c r="J334" s="407"/>
      <c r="N334" s="408"/>
    </row>
    <row r="335" spans="1:14" s="61" customFormat="1" ht="69.75" hidden="1" customHeight="1" thickBot="1" x14ac:dyDescent="0.3">
      <c r="A335" s="983"/>
      <c r="B335" s="338" t="s">
        <v>753</v>
      </c>
      <c r="C335" s="338" t="s">
        <v>754</v>
      </c>
      <c r="D335" s="409" t="s">
        <v>299</v>
      </c>
      <c r="E335" s="405">
        <v>779641627</v>
      </c>
      <c r="F335" s="495">
        <v>520123927</v>
      </c>
      <c r="G335" s="406"/>
      <c r="J335" s="407"/>
      <c r="N335" s="408"/>
    </row>
    <row r="336" spans="1:14" s="61" customFormat="1" ht="69.75" hidden="1" customHeight="1" x14ac:dyDescent="0.25">
      <c r="A336" s="981" t="s">
        <v>129</v>
      </c>
      <c r="B336" s="990" t="s">
        <v>741</v>
      </c>
      <c r="C336" s="990" t="s">
        <v>742</v>
      </c>
      <c r="D336" s="404" t="s">
        <v>287</v>
      </c>
      <c r="E336" s="405">
        <v>605339000</v>
      </c>
      <c r="F336" s="495">
        <v>430376767</v>
      </c>
      <c r="G336" s="406"/>
      <c r="J336" s="407"/>
      <c r="N336" s="408"/>
    </row>
    <row r="337" spans="1:14" s="61" customFormat="1" ht="69.75" hidden="1" customHeight="1" x14ac:dyDescent="0.25">
      <c r="A337" s="982"/>
      <c r="B337" s="979"/>
      <c r="C337" s="979"/>
      <c r="D337" s="404" t="s">
        <v>288</v>
      </c>
      <c r="E337" s="405">
        <v>172920000</v>
      </c>
      <c r="F337" s="495">
        <v>143091300</v>
      </c>
      <c r="G337" s="406"/>
      <c r="J337" s="407"/>
      <c r="N337" s="408"/>
    </row>
    <row r="338" spans="1:14" s="61" customFormat="1" ht="69.75" hidden="1" customHeight="1" x14ac:dyDescent="0.25">
      <c r="A338" s="982"/>
      <c r="B338" s="980"/>
      <c r="C338" s="980"/>
      <c r="D338" s="404" t="s">
        <v>289</v>
      </c>
      <c r="E338" s="405">
        <v>29920000</v>
      </c>
      <c r="F338" s="495">
        <v>23845333</v>
      </c>
      <c r="G338" s="406"/>
      <c r="J338" s="407"/>
      <c r="N338" s="408"/>
    </row>
    <row r="339" spans="1:14" s="61" customFormat="1" ht="69.75" hidden="1" customHeight="1" x14ac:dyDescent="0.25">
      <c r="A339" s="982"/>
      <c r="B339" s="978" t="s">
        <v>745</v>
      </c>
      <c r="C339" s="978" t="s">
        <v>746</v>
      </c>
      <c r="D339" s="409" t="s">
        <v>291</v>
      </c>
      <c r="E339" s="405">
        <v>76788500</v>
      </c>
      <c r="F339" s="495">
        <v>60622500</v>
      </c>
      <c r="G339" s="406"/>
      <c r="J339" s="407"/>
      <c r="N339" s="408"/>
    </row>
    <row r="340" spans="1:14" s="61" customFormat="1" ht="69.75" hidden="1" customHeight="1" x14ac:dyDescent="0.25">
      <c r="A340" s="982"/>
      <c r="B340" s="979"/>
      <c r="C340" s="979"/>
      <c r="D340" s="409" t="s">
        <v>781</v>
      </c>
      <c r="E340" s="405">
        <v>709813189</v>
      </c>
      <c r="F340" s="495">
        <v>420167333</v>
      </c>
      <c r="G340" s="406"/>
      <c r="J340" s="407"/>
      <c r="N340" s="408"/>
    </row>
    <row r="341" spans="1:14" s="61" customFormat="1" ht="69.75" hidden="1" customHeight="1" x14ac:dyDescent="0.25">
      <c r="A341" s="982"/>
      <c r="B341" s="979"/>
      <c r="C341" s="979"/>
      <c r="D341" s="409" t="s">
        <v>782</v>
      </c>
      <c r="E341" s="405">
        <v>333790000</v>
      </c>
      <c r="F341" s="495">
        <v>269177000</v>
      </c>
      <c r="G341" s="406"/>
      <c r="J341" s="407"/>
      <c r="N341" s="408"/>
    </row>
    <row r="342" spans="1:14" s="61" customFormat="1" ht="69.75" hidden="1" customHeight="1" x14ac:dyDescent="0.25">
      <c r="A342" s="982"/>
      <c r="B342" s="980"/>
      <c r="C342" s="980"/>
      <c r="D342" s="409" t="s">
        <v>295</v>
      </c>
      <c r="E342" s="410">
        <v>447929500</v>
      </c>
      <c r="F342" s="496">
        <v>372653634</v>
      </c>
      <c r="G342" s="412"/>
      <c r="J342" s="407"/>
      <c r="N342" s="408"/>
    </row>
    <row r="343" spans="1:14" s="61" customFormat="1" ht="69.75" hidden="1" customHeight="1" x14ac:dyDescent="0.25">
      <c r="A343" s="982"/>
      <c r="B343" s="338" t="s">
        <v>749</v>
      </c>
      <c r="C343" s="338" t="s">
        <v>750</v>
      </c>
      <c r="D343" s="409" t="s">
        <v>783</v>
      </c>
      <c r="E343" s="405">
        <v>277709000</v>
      </c>
      <c r="F343" s="495">
        <v>204568101</v>
      </c>
      <c r="G343" s="406"/>
      <c r="J343" s="407"/>
      <c r="N343" s="408"/>
    </row>
    <row r="344" spans="1:14" s="61" customFormat="1" ht="69.75" hidden="1" customHeight="1" thickBot="1" x14ac:dyDescent="0.3">
      <c r="A344" s="983"/>
      <c r="B344" s="338" t="s">
        <v>753</v>
      </c>
      <c r="C344" s="338" t="s">
        <v>754</v>
      </c>
      <c r="D344" s="409" t="s">
        <v>299</v>
      </c>
      <c r="E344" s="405">
        <v>800631627</v>
      </c>
      <c r="F344" s="495">
        <v>589355555</v>
      </c>
      <c r="G344" s="406"/>
      <c r="J344" s="407"/>
      <c r="N344" s="408"/>
    </row>
    <row r="345" spans="1:14" s="61" customFormat="1" ht="69.75" customHeight="1" x14ac:dyDescent="0.25">
      <c r="A345" s="981" t="s">
        <v>130</v>
      </c>
      <c r="B345" s="990" t="s">
        <v>741</v>
      </c>
      <c r="C345" s="990" t="s">
        <v>742</v>
      </c>
      <c r="D345" s="404" t="s">
        <v>287</v>
      </c>
      <c r="E345" s="405">
        <v>605339000</v>
      </c>
      <c r="F345" s="495">
        <v>527029767</v>
      </c>
      <c r="G345" s="406"/>
      <c r="J345" s="407"/>
      <c r="N345" s="408"/>
    </row>
    <row r="346" spans="1:14" s="61" customFormat="1" ht="69.75" customHeight="1" x14ac:dyDescent="0.25">
      <c r="A346" s="982"/>
      <c r="B346" s="979"/>
      <c r="C346" s="979"/>
      <c r="D346" s="404" t="s">
        <v>288</v>
      </c>
      <c r="E346" s="405">
        <v>172920000</v>
      </c>
      <c r="F346" s="495">
        <v>156060300</v>
      </c>
      <c r="G346" s="406"/>
      <c r="J346" s="407"/>
      <c r="N346" s="408"/>
    </row>
    <row r="347" spans="1:14" s="61" customFormat="1" ht="69.75" customHeight="1" x14ac:dyDescent="0.25">
      <c r="A347" s="982"/>
      <c r="B347" s="980"/>
      <c r="C347" s="980"/>
      <c r="D347" s="404" t="s">
        <v>289</v>
      </c>
      <c r="E347" s="405">
        <v>29920000</v>
      </c>
      <c r="F347" s="495">
        <v>26565333</v>
      </c>
      <c r="G347" s="406"/>
      <c r="J347" s="407"/>
      <c r="N347" s="408"/>
    </row>
    <row r="348" spans="1:14" s="61" customFormat="1" ht="69.75" customHeight="1" x14ac:dyDescent="0.25">
      <c r="A348" s="982"/>
      <c r="B348" s="978" t="s">
        <v>745</v>
      </c>
      <c r="C348" s="978" t="s">
        <v>746</v>
      </c>
      <c r="D348" s="409" t="s">
        <v>291</v>
      </c>
      <c r="E348" s="405">
        <v>76788500</v>
      </c>
      <c r="F348" s="495">
        <v>68705500</v>
      </c>
      <c r="G348" s="406"/>
      <c r="J348" s="407"/>
      <c r="N348" s="408"/>
    </row>
    <row r="349" spans="1:14" s="61" customFormat="1" ht="69.75" customHeight="1" x14ac:dyDescent="0.25">
      <c r="A349" s="982"/>
      <c r="B349" s="979"/>
      <c r="C349" s="979"/>
      <c r="D349" s="409" t="s">
        <v>781</v>
      </c>
      <c r="E349" s="405">
        <v>709813189</v>
      </c>
      <c r="F349" s="495">
        <v>519800933</v>
      </c>
      <c r="G349" s="406"/>
      <c r="J349" s="407"/>
      <c r="N349" s="408"/>
    </row>
    <row r="350" spans="1:14" s="61" customFormat="1" ht="69.75" customHeight="1" x14ac:dyDescent="0.25">
      <c r="A350" s="982"/>
      <c r="B350" s="979"/>
      <c r="C350" s="979"/>
      <c r="D350" s="409" t="s">
        <v>782</v>
      </c>
      <c r="E350" s="405">
        <v>333790000</v>
      </c>
      <c r="F350" s="495">
        <v>305272667</v>
      </c>
      <c r="G350" s="406"/>
      <c r="J350" s="407"/>
      <c r="N350" s="408"/>
    </row>
    <row r="351" spans="1:14" s="61" customFormat="1" ht="69.75" customHeight="1" x14ac:dyDescent="0.25">
      <c r="A351" s="982"/>
      <c r="B351" s="980"/>
      <c r="C351" s="980"/>
      <c r="D351" s="409" t="s">
        <v>295</v>
      </c>
      <c r="E351" s="410">
        <v>447929500</v>
      </c>
      <c r="F351" s="496">
        <v>418978967</v>
      </c>
      <c r="G351" s="412"/>
      <c r="J351" s="407"/>
      <c r="N351" s="408"/>
    </row>
    <row r="352" spans="1:14" s="61" customFormat="1" ht="69.75" customHeight="1" x14ac:dyDescent="0.25">
      <c r="A352" s="982"/>
      <c r="B352" s="338" t="s">
        <v>749</v>
      </c>
      <c r="C352" s="338" t="s">
        <v>750</v>
      </c>
      <c r="D352" s="409" t="s">
        <v>783</v>
      </c>
      <c r="E352" s="405">
        <v>277709000</v>
      </c>
      <c r="F352" s="495">
        <v>241317968</v>
      </c>
      <c r="G352" s="406"/>
      <c r="J352" s="407"/>
      <c r="N352" s="408"/>
    </row>
    <row r="353" spans="1:14" s="61" customFormat="1" ht="69.75" customHeight="1" x14ac:dyDescent="0.25">
      <c r="A353" s="983"/>
      <c r="B353" s="338" t="s">
        <v>753</v>
      </c>
      <c r="C353" s="338" t="s">
        <v>754</v>
      </c>
      <c r="D353" s="409" t="s">
        <v>299</v>
      </c>
      <c r="E353" s="405">
        <v>800631627</v>
      </c>
      <c r="F353" s="495">
        <v>709899829</v>
      </c>
      <c r="G353" s="406"/>
      <c r="J353" s="407"/>
      <c r="N353" s="408"/>
    </row>
    <row r="355" spans="1:14" ht="24.75" hidden="1" customHeight="1" x14ac:dyDescent="0.3">
      <c r="A355" s="984" t="s">
        <v>188</v>
      </c>
      <c r="B355" s="985"/>
      <c r="C355" s="985"/>
      <c r="D355" s="985"/>
      <c r="E355" s="985"/>
      <c r="F355" s="985"/>
      <c r="G355" s="985"/>
      <c r="H355" s="986"/>
    </row>
    <row r="356" spans="1:14" ht="46.5" hidden="1" customHeight="1" x14ac:dyDescent="0.25">
      <c r="A356" s="38" t="s">
        <v>49</v>
      </c>
      <c r="B356" s="39" t="s">
        <v>189</v>
      </c>
      <c r="C356" s="58" t="s">
        <v>145</v>
      </c>
      <c r="D356" s="58" t="s">
        <v>146</v>
      </c>
      <c r="E356" s="58" t="s">
        <v>190</v>
      </c>
      <c r="F356" s="58" t="s">
        <v>191</v>
      </c>
      <c r="G356" s="58" t="s">
        <v>192</v>
      </c>
      <c r="H356" s="40" t="s">
        <v>178</v>
      </c>
    </row>
    <row r="357" spans="1:14" hidden="1" x14ac:dyDescent="0.25">
      <c r="A357" s="41" t="s">
        <v>125</v>
      </c>
      <c r="B357" s="340"/>
      <c r="C357" s="400"/>
      <c r="D357" s="400"/>
      <c r="E357" s="50"/>
      <c r="F357" s="50"/>
      <c r="G357" s="50" t="e">
        <f>F357/E357</f>
        <v>#DIV/0!</v>
      </c>
      <c r="H357" s="51"/>
    </row>
    <row r="358" spans="1:14" hidden="1" x14ac:dyDescent="0.25">
      <c r="A358" s="41" t="s">
        <v>126</v>
      </c>
      <c r="B358" s="340"/>
      <c r="C358" s="400"/>
      <c r="D358" s="400"/>
      <c r="E358" s="50"/>
      <c r="F358" s="415"/>
      <c r="G358" s="415" t="e">
        <f t="shared" ref="G358:G364" si="32">F358/E358</f>
        <v>#DIV/0!</v>
      </c>
      <c r="H358" s="416"/>
    </row>
    <row r="359" spans="1:14" hidden="1" x14ac:dyDescent="0.25">
      <c r="A359" s="41" t="s">
        <v>127</v>
      </c>
      <c r="B359" s="340"/>
      <c r="C359" s="400"/>
      <c r="D359" s="400"/>
      <c r="E359" s="50"/>
      <c r="F359" s="415"/>
      <c r="G359" s="415" t="e">
        <f t="shared" si="32"/>
        <v>#DIV/0!</v>
      </c>
      <c r="H359" s="416"/>
    </row>
    <row r="360" spans="1:14" ht="77.25" hidden="1" customHeight="1" x14ac:dyDescent="0.25">
      <c r="A360" s="987" t="s">
        <v>130</v>
      </c>
      <c r="B360" s="340" t="s">
        <v>787</v>
      </c>
      <c r="C360" s="400" t="s">
        <v>275</v>
      </c>
      <c r="D360" s="400">
        <v>20</v>
      </c>
      <c r="E360" s="50">
        <v>86</v>
      </c>
      <c r="F360" s="415">
        <v>86</v>
      </c>
      <c r="G360" s="417">
        <f t="shared" si="32"/>
        <v>1</v>
      </c>
      <c r="H360" s="418" t="s">
        <v>788</v>
      </c>
    </row>
    <row r="361" spans="1:14" ht="78" hidden="1" customHeight="1" x14ac:dyDescent="0.25">
      <c r="A361" s="988"/>
      <c r="B361" s="340" t="s">
        <v>789</v>
      </c>
      <c r="C361" s="400" t="s">
        <v>790</v>
      </c>
      <c r="D361" s="400">
        <v>20</v>
      </c>
      <c r="E361" s="50">
        <v>0.25</v>
      </c>
      <c r="F361" s="50">
        <v>0.25</v>
      </c>
      <c r="G361" s="417">
        <f t="shared" si="32"/>
        <v>1</v>
      </c>
      <c r="H361" s="418" t="s">
        <v>791</v>
      </c>
    </row>
    <row r="362" spans="1:14" ht="66.75" hidden="1" customHeight="1" x14ac:dyDescent="0.25">
      <c r="A362" s="988"/>
      <c r="B362" s="340" t="s">
        <v>792</v>
      </c>
      <c r="C362" s="400" t="s">
        <v>275</v>
      </c>
      <c r="D362" s="400">
        <v>20</v>
      </c>
      <c r="E362" s="50">
        <v>0.1</v>
      </c>
      <c r="F362" s="50">
        <v>0.1</v>
      </c>
      <c r="G362" s="417">
        <f t="shared" si="32"/>
        <v>1</v>
      </c>
      <c r="H362" s="418" t="s">
        <v>793</v>
      </c>
    </row>
    <row r="363" spans="1:14" ht="76.5" hidden="1" customHeight="1" x14ac:dyDescent="0.25">
      <c r="A363" s="988"/>
      <c r="B363" s="340" t="s">
        <v>794</v>
      </c>
      <c r="C363" s="400" t="s">
        <v>275</v>
      </c>
      <c r="D363" s="400">
        <v>20</v>
      </c>
      <c r="E363" s="50">
        <v>6</v>
      </c>
      <c r="F363" s="50">
        <v>6</v>
      </c>
      <c r="G363" s="417">
        <f>F363/E363</f>
        <v>1</v>
      </c>
      <c r="H363" s="418" t="s">
        <v>795</v>
      </c>
    </row>
    <row r="364" spans="1:14" ht="85.5" hidden="1" customHeight="1" x14ac:dyDescent="0.25">
      <c r="A364" s="989"/>
      <c r="B364" s="340" t="s">
        <v>796</v>
      </c>
      <c r="C364" s="400" t="s">
        <v>275</v>
      </c>
      <c r="D364" s="400">
        <v>20</v>
      </c>
      <c r="E364" s="50">
        <v>0.5</v>
      </c>
      <c r="F364" s="50">
        <v>0.5</v>
      </c>
      <c r="G364" s="417">
        <f t="shared" si="32"/>
        <v>1</v>
      </c>
      <c r="H364" s="418" t="s">
        <v>797</v>
      </c>
    </row>
    <row r="365" spans="1:14" ht="15.75" thickBot="1" x14ac:dyDescent="0.3"/>
    <row r="366" spans="1:14" ht="25.5" customHeight="1" x14ac:dyDescent="0.3">
      <c r="A366" s="984" t="s">
        <v>207</v>
      </c>
      <c r="B366" s="985"/>
      <c r="C366" s="985"/>
      <c r="D366" s="985"/>
      <c r="E366" s="985"/>
      <c r="F366" s="985"/>
      <c r="G366" s="985"/>
      <c r="H366" s="986"/>
    </row>
    <row r="367" spans="1:14" ht="53.25" customHeight="1" x14ac:dyDescent="0.25">
      <c r="A367" s="38" t="s">
        <v>50</v>
      </c>
      <c r="B367" s="39" t="s">
        <v>189</v>
      </c>
      <c r="C367" s="58" t="s">
        <v>145</v>
      </c>
      <c r="D367" s="58" t="s">
        <v>155</v>
      </c>
      <c r="E367" s="58" t="s">
        <v>209</v>
      </c>
      <c r="F367" s="58" t="s">
        <v>210</v>
      </c>
      <c r="G367" s="58" t="s">
        <v>211</v>
      </c>
      <c r="H367" s="40" t="s">
        <v>178</v>
      </c>
    </row>
    <row r="368" spans="1:14" s="60" customFormat="1" ht="40.5" hidden="1" customHeight="1" x14ac:dyDescent="0.25">
      <c r="A368" s="981" t="s">
        <v>132</v>
      </c>
      <c r="B368" s="409" t="s">
        <v>787</v>
      </c>
      <c r="C368" s="419" t="s">
        <v>275</v>
      </c>
      <c r="D368" s="419">
        <v>20</v>
      </c>
      <c r="E368" s="369">
        <v>186</v>
      </c>
      <c r="F368" s="369">
        <v>24</v>
      </c>
      <c r="G368" s="420">
        <f>F368/E368</f>
        <v>0.12903225806451613</v>
      </c>
      <c r="H368" s="371" t="s">
        <v>798</v>
      </c>
      <c r="J368" s="421"/>
      <c r="N368" s="422"/>
    </row>
    <row r="369" spans="1:14" s="60" customFormat="1" ht="40.5" hidden="1" customHeight="1" x14ac:dyDescent="0.25">
      <c r="A369" s="982"/>
      <c r="B369" s="409" t="s">
        <v>789</v>
      </c>
      <c r="C369" s="419" t="s">
        <v>790</v>
      </c>
      <c r="D369" s="419">
        <v>20</v>
      </c>
      <c r="E369" s="369">
        <v>0.35</v>
      </c>
      <c r="F369" s="369">
        <v>5.4699999999999999E-2</v>
      </c>
      <c r="G369" s="420">
        <f t="shared" ref="G369:G429" si="33">F369/E369</f>
        <v>0.15628571428571431</v>
      </c>
      <c r="H369" s="371" t="s">
        <v>799</v>
      </c>
      <c r="J369" s="421"/>
      <c r="N369" s="422"/>
    </row>
    <row r="370" spans="1:14" s="60" customFormat="1" ht="40.5" hidden="1" customHeight="1" x14ac:dyDescent="0.25">
      <c r="A370" s="982"/>
      <c r="B370" s="409" t="s">
        <v>792</v>
      </c>
      <c r="C370" s="419" t="s">
        <v>275</v>
      </c>
      <c r="D370" s="419">
        <v>20</v>
      </c>
      <c r="E370" s="369">
        <v>0.2</v>
      </c>
      <c r="F370" s="369">
        <v>0.04</v>
      </c>
      <c r="G370" s="420">
        <f t="shared" si="33"/>
        <v>0.19999999999999998</v>
      </c>
      <c r="H370" s="423" t="s">
        <v>800</v>
      </c>
      <c r="J370" s="421"/>
      <c r="N370" s="422"/>
    </row>
    <row r="371" spans="1:14" s="60" customFormat="1" ht="40.5" hidden="1" customHeight="1" x14ac:dyDescent="0.25">
      <c r="A371" s="982"/>
      <c r="B371" s="409" t="s">
        <v>794</v>
      </c>
      <c r="C371" s="419" t="s">
        <v>275</v>
      </c>
      <c r="D371" s="419">
        <v>20</v>
      </c>
      <c r="E371" s="369">
        <v>22</v>
      </c>
      <c r="F371" s="369">
        <v>3.08</v>
      </c>
      <c r="G371" s="420">
        <f t="shared" si="33"/>
        <v>0.14000000000000001</v>
      </c>
      <c r="H371" s="371" t="s">
        <v>801</v>
      </c>
      <c r="J371" s="421"/>
      <c r="N371" s="422"/>
    </row>
    <row r="372" spans="1:14" s="60" customFormat="1" ht="48.75" hidden="1" customHeight="1" x14ac:dyDescent="0.25">
      <c r="A372" s="983"/>
      <c r="B372" s="409" t="s">
        <v>796</v>
      </c>
      <c r="C372" s="419" t="s">
        <v>275</v>
      </c>
      <c r="D372" s="419">
        <v>20</v>
      </c>
      <c r="E372" s="369">
        <v>0.1</v>
      </c>
      <c r="F372" s="369">
        <v>0.02</v>
      </c>
      <c r="G372" s="424">
        <f t="shared" si="33"/>
        <v>0.19999999999999998</v>
      </c>
      <c r="H372" s="371" t="s">
        <v>802</v>
      </c>
      <c r="J372" s="421"/>
      <c r="N372" s="422"/>
    </row>
    <row r="373" spans="1:14" ht="48.75" hidden="1" customHeight="1" x14ac:dyDescent="0.25">
      <c r="A373" s="981" t="s">
        <v>133</v>
      </c>
      <c r="B373" s="409" t="s">
        <v>787</v>
      </c>
      <c r="C373" s="419" t="s">
        <v>275</v>
      </c>
      <c r="D373" s="419">
        <v>20</v>
      </c>
      <c r="E373" s="369">
        <v>186</v>
      </c>
      <c r="F373" s="369">
        <v>24</v>
      </c>
      <c r="G373" s="420">
        <f>F373/E373</f>
        <v>0.12903225806451613</v>
      </c>
      <c r="H373" s="371" t="s">
        <v>798</v>
      </c>
    </row>
    <row r="374" spans="1:14" ht="48.75" hidden="1" customHeight="1" x14ac:dyDescent="0.25">
      <c r="A374" s="982"/>
      <c r="B374" s="409" t="s">
        <v>789</v>
      </c>
      <c r="C374" s="419" t="s">
        <v>790</v>
      </c>
      <c r="D374" s="419">
        <v>20</v>
      </c>
      <c r="E374" s="369">
        <v>0.35</v>
      </c>
      <c r="F374" s="369">
        <v>5.4699999999999999E-2</v>
      </c>
      <c r="G374" s="420">
        <f t="shared" ref="G374:G377" si="34">F374/E374</f>
        <v>0.15628571428571431</v>
      </c>
      <c r="H374" s="371" t="s">
        <v>799</v>
      </c>
    </row>
    <row r="375" spans="1:14" ht="48.75" hidden="1" customHeight="1" x14ac:dyDescent="0.25">
      <c r="A375" s="982"/>
      <c r="B375" s="409" t="s">
        <v>792</v>
      </c>
      <c r="C375" s="419" t="s">
        <v>275</v>
      </c>
      <c r="D375" s="419">
        <v>20</v>
      </c>
      <c r="E375" s="369">
        <v>0.2</v>
      </c>
      <c r="F375" s="369">
        <v>0.04</v>
      </c>
      <c r="G375" s="420">
        <f t="shared" si="34"/>
        <v>0.19999999999999998</v>
      </c>
      <c r="H375" s="423" t="s">
        <v>800</v>
      </c>
    </row>
    <row r="376" spans="1:14" ht="48.75" hidden="1" customHeight="1" x14ac:dyDescent="0.25">
      <c r="A376" s="982"/>
      <c r="B376" s="409" t="s">
        <v>794</v>
      </c>
      <c r="C376" s="419" t="s">
        <v>275</v>
      </c>
      <c r="D376" s="419">
        <v>20</v>
      </c>
      <c r="E376" s="369">
        <v>22</v>
      </c>
      <c r="F376" s="369">
        <v>3.08</v>
      </c>
      <c r="G376" s="420">
        <f t="shared" si="34"/>
        <v>0.14000000000000001</v>
      </c>
      <c r="H376" s="371" t="s">
        <v>801</v>
      </c>
    </row>
    <row r="377" spans="1:14" ht="48.75" hidden="1" customHeight="1" x14ac:dyDescent="0.25">
      <c r="A377" s="983"/>
      <c r="B377" s="409" t="s">
        <v>796</v>
      </c>
      <c r="C377" s="419" t="s">
        <v>275</v>
      </c>
      <c r="D377" s="419">
        <v>20</v>
      </c>
      <c r="E377" s="369">
        <v>0.1</v>
      </c>
      <c r="F377" s="369">
        <v>0.02</v>
      </c>
      <c r="G377" s="424">
        <f t="shared" si="34"/>
        <v>0.19999999999999998</v>
      </c>
      <c r="H377" s="371" t="s">
        <v>802</v>
      </c>
    </row>
    <row r="378" spans="1:14" ht="48.75" hidden="1" customHeight="1" x14ac:dyDescent="0.25">
      <c r="A378" s="981" t="s">
        <v>134</v>
      </c>
      <c r="B378" s="409" t="s">
        <v>787</v>
      </c>
      <c r="C378" s="419" t="s">
        <v>275</v>
      </c>
      <c r="D378" s="419">
        <v>20</v>
      </c>
      <c r="E378" s="369">
        <v>186</v>
      </c>
      <c r="F378" s="369">
        <v>41</v>
      </c>
      <c r="G378" s="420">
        <f>F378/E378</f>
        <v>0.22043010752688172</v>
      </c>
      <c r="H378" s="371" t="s">
        <v>803</v>
      </c>
    </row>
    <row r="379" spans="1:14" ht="48.75" hidden="1" customHeight="1" x14ac:dyDescent="0.25">
      <c r="A379" s="982"/>
      <c r="B379" s="409" t="s">
        <v>789</v>
      </c>
      <c r="C379" s="419" t="s">
        <v>790</v>
      </c>
      <c r="D379" s="419">
        <v>20</v>
      </c>
      <c r="E379" s="369">
        <v>0.35</v>
      </c>
      <c r="F379" s="369">
        <v>8.43E-2</v>
      </c>
      <c r="G379" s="420">
        <f t="shared" ref="G379:G382" si="35">F379/E379</f>
        <v>0.24085714285714288</v>
      </c>
      <c r="H379" s="371" t="s">
        <v>804</v>
      </c>
    </row>
    <row r="380" spans="1:14" ht="48.75" hidden="1" customHeight="1" x14ac:dyDescent="0.25">
      <c r="A380" s="982"/>
      <c r="B380" s="409" t="s">
        <v>792</v>
      </c>
      <c r="C380" s="419" t="s">
        <v>275</v>
      </c>
      <c r="D380" s="419">
        <v>20</v>
      </c>
      <c r="E380" s="369">
        <v>0.2</v>
      </c>
      <c r="F380" s="369">
        <v>0.05</v>
      </c>
      <c r="G380" s="420">
        <f t="shared" si="35"/>
        <v>0.25</v>
      </c>
      <c r="H380" s="423" t="s">
        <v>805</v>
      </c>
    </row>
    <row r="381" spans="1:14" ht="48.75" hidden="1" customHeight="1" x14ac:dyDescent="0.25">
      <c r="A381" s="982"/>
      <c r="B381" s="409" t="s">
        <v>794</v>
      </c>
      <c r="C381" s="419" t="s">
        <v>275</v>
      </c>
      <c r="D381" s="419">
        <v>20</v>
      </c>
      <c r="E381" s="369">
        <v>22</v>
      </c>
      <c r="F381" s="379">
        <v>5.0600000000000005</v>
      </c>
      <c r="G381" s="420">
        <f t="shared" si="35"/>
        <v>0.23</v>
      </c>
      <c r="H381" s="381" t="s">
        <v>806</v>
      </c>
    </row>
    <row r="382" spans="1:14" ht="48.75" hidden="1" customHeight="1" x14ac:dyDescent="0.25">
      <c r="A382" s="983"/>
      <c r="B382" s="409" t="s">
        <v>796</v>
      </c>
      <c r="C382" s="419" t="s">
        <v>275</v>
      </c>
      <c r="D382" s="419">
        <v>20</v>
      </c>
      <c r="E382" s="369">
        <v>0.1</v>
      </c>
      <c r="F382" s="369">
        <v>2.8000000000000001E-2</v>
      </c>
      <c r="G382" s="424">
        <f t="shared" si="35"/>
        <v>0.27999999999999997</v>
      </c>
      <c r="H382" s="371" t="s">
        <v>807</v>
      </c>
    </row>
    <row r="383" spans="1:14" ht="48.75" hidden="1" customHeight="1" x14ac:dyDescent="0.25">
      <c r="A383" s="981" t="s">
        <v>135</v>
      </c>
      <c r="B383" s="409" t="s">
        <v>787</v>
      </c>
      <c r="C383" s="419" t="s">
        <v>275</v>
      </c>
      <c r="D383" s="419">
        <v>20</v>
      </c>
      <c r="E383" s="369">
        <v>186</v>
      </c>
      <c r="F383" s="425">
        <v>58</v>
      </c>
      <c r="G383" s="420">
        <f>F383/E383</f>
        <v>0.31182795698924731</v>
      </c>
      <c r="H383" s="371" t="s">
        <v>808</v>
      </c>
    </row>
    <row r="384" spans="1:14" ht="48.75" hidden="1" customHeight="1" x14ac:dyDescent="0.25">
      <c r="A384" s="982"/>
      <c r="B384" s="409" t="s">
        <v>789</v>
      </c>
      <c r="C384" s="419" t="s">
        <v>790</v>
      </c>
      <c r="D384" s="419">
        <v>20</v>
      </c>
      <c r="E384" s="369">
        <v>0.35</v>
      </c>
      <c r="F384" s="425">
        <v>0.1143</v>
      </c>
      <c r="G384" s="420">
        <f t="shared" ref="G384:G387" si="36">F384/E384</f>
        <v>0.32657142857142857</v>
      </c>
      <c r="H384" s="423" t="s">
        <v>809</v>
      </c>
    </row>
    <row r="385" spans="1:8" ht="48.75" hidden="1" customHeight="1" x14ac:dyDescent="0.25">
      <c r="A385" s="982"/>
      <c r="B385" s="409" t="s">
        <v>792</v>
      </c>
      <c r="C385" s="419" t="s">
        <v>275</v>
      </c>
      <c r="D385" s="419">
        <v>20</v>
      </c>
      <c r="E385" s="369">
        <v>0.2</v>
      </c>
      <c r="F385" s="425">
        <v>0.06</v>
      </c>
      <c r="G385" s="420">
        <f t="shared" si="36"/>
        <v>0.3</v>
      </c>
      <c r="H385" s="423" t="s">
        <v>810</v>
      </c>
    </row>
    <row r="386" spans="1:8" ht="48.75" hidden="1" customHeight="1" x14ac:dyDescent="0.25">
      <c r="A386" s="982"/>
      <c r="B386" s="409" t="s">
        <v>794</v>
      </c>
      <c r="C386" s="419" t="s">
        <v>275</v>
      </c>
      <c r="D386" s="419">
        <v>20</v>
      </c>
      <c r="E386" s="369">
        <v>22</v>
      </c>
      <c r="F386" s="426">
        <v>7.04</v>
      </c>
      <c r="G386" s="420">
        <f t="shared" si="36"/>
        <v>0.32</v>
      </c>
      <c r="H386" s="381" t="s">
        <v>779</v>
      </c>
    </row>
    <row r="387" spans="1:8" ht="48.75" hidden="1" customHeight="1" x14ac:dyDescent="0.25">
      <c r="A387" s="983"/>
      <c r="B387" s="409" t="s">
        <v>796</v>
      </c>
      <c r="C387" s="419" t="s">
        <v>275</v>
      </c>
      <c r="D387" s="419">
        <v>20</v>
      </c>
      <c r="E387" s="369">
        <v>0.1</v>
      </c>
      <c r="F387" s="369">
        <v>3.5999999999999997E-2</v>
      </c>
      <c r="G387" s="424">
        <f t="shared" si="36"/>
        <v>0.35999999999999993</v>
      </c>
      <c r="H387" s="371" t="s">
        <v>811</v>
      </c>
    </row>
    <row r="388" spans="1:8" ht="48.75" hidden="1" customHeight="1" x14ac:dyDescent="0.25">
      <c r="A388" s="981" t="s">
        <v>136</v>
      </c>
      <c r="B388" s="409" t="s">
        <v>787</v>
      </c>
      <c r="C388" s="419" t="s">
        <v>275</v>
      </c>
      <c r="D388" s="419">
        <v>20</v>
      </c>
      <c r="E388" s="369">
        <v>186</v>
      </c>
      <c r="F388" s="425">
        <v>75</v>
      </c>
      <c r="G388" s="420">
        <f>F388/E388</f>
        <v>0.40322580645161288</v>
      </c>
      <c r="H388" s="371" t="s">
        <v>816</v>
      </c>
    </row>
    <row r="389" spans="1:8" ht="48.75" hidden="1" customHeight="1" x14ac:dyDescent="0.25">
      <c r="A389" s="982"/>
      <c r="B389" s="409" t="s">
        <v>789</v>
      </c>
      <c r="C389" s="419" t="s">
        <v>790</v>
      </c>
      <c r="D389" s="419">
        <v>20</v>
      </c>
      <c r="E389" s="369">
        <v>0.35</v>
      </c>
      <c r="F389" s="425">
        <v>0.14630000000000001</v>
      </c>
      <c r="G389" s="420">
        <f t="shared" ref="G389:G392" si="37">F389/E389</f>
        <v>0.41800000000000004</v>
      </c>
      <c r="H389" s="423" t="s">
        <v>817</v>
      </c>
    </row>
    <row r="390" spans="1:8" ht="48.75" hidden="1" customHeight="1" x14ac:dyDescent="0.25">
      <c r="A390" s="982"/>
      <c r="B390" s="409" t="s">
        <v>792</v>
      </c>
      <c r="C390" s="419" t="s">
        <v>275</v>
      </c>
      <c r="D390" s="419">
        <v>20</v>
      </c>
      <c r="E390" s="369">
        <v>0.2</v>
      </c>
      <c r="F390" s="425">
        <v>7.0000000000000007E-2</v>
      </c>
      <c r="G390" s="420">
        <f t="shared" si="37"/>
        <v>0.35000000000000003</v>
      </c>
      <c r="H390" s="423" t="s">
        <v>818</v>
      </c>
    </row>
    <row r="391" spans="1:8" ht="48.75" hidden="1" customHeight="1" x14ac:dyDescent="0.25">
      <c r="A391" s="982"/>
      <c r="B391" s="409" t="s">
        <v>794</v>
      </c>
      <c r="C391" s="419" t="s">
        <v>275</v>
      </c>
      <c r="D391" s="419">
        <v>20</v>
      </c>
      <c r="E391" s="369">
        <v>22</v>
      </c>
      <c r="F391" s="426">
        <v>9.02</v>
      </c>
      <c r="G391" s="420">
        <f t="shared" si="37"/>
        <v>0.41</v>
      </c>
      <c r="H391" s="381" t="s">
        <v>819</v>
      </c>
    </row>
    <row r="392" spans="1:8" ht="48.75" hidden="1" customHeight="1" x14ac:dyDescent="0.25">
      <c r="A392" s="983"/>
      <c r="B392" s="409" t="s">
        <v>796</v>
      </c>
      <c r="C392" s="419" t="s">
        <v>275</v>
      </c>
      <c r="D392" s="419">
        <v>20</v>
      </c>
      <c r="E392" s="369">
        <v>0.1</v>
      </c>
      <c r="F392" s="369">
        <v>4.3999999999999997E-2</v>
      </c>
      <c r="G392" s="424">
        <f t="shared" si="37"/>
        <v>0.43999999999999995</v>
      </c>
      <c r="H392" s="371" t="s">
        <v>820</v>
      </c>
    </row>
    <row r="393" spans="1:8" ht="48.75" hidden="1" customHeight="1" x14ac:dyDescent="0.25">
      <c r="A393" s="981" t="s">
        <v>137</v>
      </c>
      <c r="B393" s="409" t="s">
        <v>787</v>
      </c>
      <c r="C393" s="419" t="s">
        <v>275</v>
      </c>
      <c r="D393" s="419">
        <v>20</v>
      </c>
      <c r="E393" s="369">
        <v>186</v>
      </c>
      <c r="F393" s="425">
        <v>92</v>
      </c>
      <c r="G393" s="420">
        <f>F393/E393</f>
        <v>0.4946236559139785</v>
      </c>
      <c r="H393" s="371" t="s">
        <v>830</v>
      </c>
    </row>
    <row r="394" spans="1:8" ht="48.75" hidden="1" customHeight="1" x14ac:dyDescent="0.25">
      <c r="A394" s="982"/>
      <c r="B394" s="409" t="s">
        <v>789</v>
      </c>
      <c r="C394" s="419" t="s">
        <v>790</v>
      </c>
      <c r="D394" s="419">
        <v>20</v>
      </c>
      <c r="E394" s="369">
        <v>0.17599999999999999</v>
      </c>
      <c r="F394" s="425">
        <v>0.14630000000000001</v>
      </c>
      <c r="G394" s="420">
        <f t="shared" ref="G394:G397" si="38">F394/E394</f>
        <v>0.83125000000000016</v>
      </c>
      <c r="H394" s="371" t="s">
        <v>831</v>
      </c>
    </row>
    <row r="395" spans="1:8" ht="48.75" hidden="1" customHeight="1" x14ac:dyDescent="0.25">
      <c r="A395" s="982"/>
      <c r="B395" s="409" t="s">
        <v>792</v>
      </c>
      <c r="C395" s="419" t="s">
        <v>275</v>
      </c>
      <c r="D395" s="419">
        <v>20</v>
      </c>
      <c r="E395" s="369">
        <v>0.2</v>
      </c>
      <c r="F395" s="425">
        <v>0.08</v>
      </c>
      <c r="G395" s="420">
        <f t="shared" si="38"/>
        <v>0.39999999999999997</v>
      </c>
      <c r="H395" s="371" t="s">
        <v>832</v>
      </c>
    </row>
    <row r="396" spans="1:8" ht="48.75" hidden="1" customHeight="1" x14ac:dyDescent="0.25">
      <c r="A396" s="982"/>
      <c r="B396" s="409" t="s">
        <v>794</v>
      </c>
      <c r="C396" s="419" t="s">
        <v>275</v>
      </c>
      <c r="D396" s="419">
        <v>20</v>
      </c>
      <c r="E396" s="369">
        <v>22</v>
      </c>
      <c r="F396" s="426">
        <v>11</v>
      </c>
      <c r="G396" s="420">
        <f t="shared" si="38"/>
        <v>0.5</v>
      </c>
      <c r="H396" s="371" t="s">
        <v>833</v>
      </c>
    </row>
    <row r="397" spans="1:8" ht="48.75" hidden="1" customHeight="1" x14ac:dyDescent="0.25">
      <c r="A397" s="983"/>
      <c r="B397" s="409" t="s">
        <v>796</v>
      </c>
      <c r="C397" s="419" t="s">
        <v>275</v>
      </c>
      <c r="D397" s="419">
        <v>20</v>
      </c>
      <c r="E397" s="369">
        <v>0.1</v>
      </c>
      <c r="F397" s="369">
        <v>5.1999999999999998E-2</v>
      </c>
      <c r="G397" s="424">
        <f t="shared" si="38"/>
        <v>0.51999999999999991</v>
      </c>
      <c r="H397" s="371" t="s">
        <v>834</v>
      </c>
    </row>
    <row r="398" spans="1:8" ht="48.75" hidden="1" customHeight="1" x14ac:dyDescent="0.25">
      <c r="A398" s="991" t="s">
        <v>125</v>
      </c>
      <c r="B398" s="409" t="s">
        <v>787</v>
      </c>
      <c r="C398" s="419" t="s">
        <v>275</v>
      </c>
      <c r="D398" s="419">
        <v>20</v>
      </c>
      <c r="E398" s="369">
        <v>186</v>
      </c>
      <c r="F398" s="426">
        <v>109</v>
      </c>
      <c r="G398" s="469">
        <f>F398/E398</f>
        <v>0.58602150537634412</v>
      </c>
      <c r="H398" s="381" t="s">
        <v>867</v>
      </c>
    </row>
    <row r="399" spans="1:8" ht="48.75" hidden="1" customHeight="1" x14ac:dyDescent="0.25">
      <c r="A399" s="992"/>
      <c r="B399" s="409" t="s">
        <v>789</v>
      </c>
      <c r="C399" s="419" t="s">
        <v>790</v>
      </c>
      <c r="D399" s="419">
        <v>20</v>
      </c>
      <c r="E399" s="369">
        <v>0.17599999999999999</v>
      </c>
      <c r="F399" s="426">
        <v>0.20530000000000001</v>
      </c>
      <c r="G399" s="469">
        <f t="shared" ref="G399:G402" si="39">F399/E399</f>
        <v>1.1664772727272728</v>
      </c>
      <c r="H399" s="381" t="s">
        <v>868</v>
      </c>
    </row>
    <row r="400" spans="1:8" ht="48.75" hidden="1" customHeight="1" x14ac:dyDescent="0.25">
      <c r="A400" s="992"/>
      <c r="B400" s="409" t="s">
        <v>792</v>
      </c>
      <c r="C400" s="419" t="s">
        <v>275</v>
      </c>
      <c r="D400" s="419">
        <v>20</v>
      </c>
      <c r="E400" s="369">
        <v>0.2</v>
      </c>
      <c r="F400" s="426">
        <v>0.1</v>
      </c>
      <c r="G400" s="469">
        <f t="shared" si="39"/>
        <v>0.5</v>
      </c>
      <c r="H400" s="381" t="s">
        <v>872</v>
      </c>
    </row>
    <row r="401" spans="1:8" ht="48.75" hidden="1" customHeight="1" x14ac:dyDescent="0.25">
      <c r="A401" s="992"/>
      <c r="B401" s="409" t="s">
        <v>794</v>
      </c>
      <c r="C401" s="419" t="s">
        <v>275</v>
      </c>
      <c r="D401" s="419">
        <v>20</v>
      </c>
      <c r="E401" s="369">
        <v>22</v>
      </c>
      <c r="F401" s="426">
        <v>12.98</v>
      </c>
      <c r="G401" s="469">
        <f t="shared" si="39"/>
        <v>0.59</v>
      </c>
      <c r="H401" s="381" t="s">
        <v>873</v>
      </c>
    </row>
    <row r="402" spans="1:8" ht="48.75" hidden="1" customHeight="1" x14ac:dyDescent="0.25">
      <c r="A402" s="993"/>
      <c r="B402" s="409" t="s">
        <v>796</v>
      </c>
      <c r="C402" s="419" t="s">
        <v>275</v>
      </c>
      <c r="D402" s="419">
        <v>20</v>
      </c>
      <c r="E402" s="369">
        <v>0.1</v>
      </c>
      <c r="F402" s="379">
        <v>0.06</v>
      </c>
      <c r="G402" s="470">
        <f t="shared" si="39"/>
        <v>0.6</v>
      </c>
      <c r="H402" s="381" t="s">
        <v>874</v>
      </c>
    </row>
    <row r="403" spans="1:8" ht="48.75" hidden="1" customHeight="1" x14ac:dyDescent="0.25">
      <c r="A403" s="991" t="s">
        <v>126</v>
      </c>
      <c r="B403" s="409" t="s">
        <v>787</v>
      </c>
      <c r="C403" s="419" t="s">
        <v>275</v>
      </c>
      <c r="D403" s="419">
        <v>20</v>
      </c>
      <c r="E403" s="369">
        <v>186</v>
      </c>
      <c r="F403" s="426">
        <v>126</v>
      </c>
      <c r="G403" s="469">
        <f>F403/E403</f>
        <v>0.67741935483870963</v>
      </c>
      <c r="H403" s="381" t="s">
        <v>867</v>
      </c>
    </row>
    <row r="404" spans="1:8" ht="48.75" hidden="1" customHeight="1" x14ac:dyDescent="0.25">
      <c r="A404" s="992"/>
      <c r="B404" s="409" t="s">
        <v>789</v>
      </c>
      <c r="C404" s="419" t="s">
        <v>790</v>
      </c>
      <c r="D404" s="419">
        <v>20</v>
      </c>
      <c r="E404" s="369">
        <v>0.17599999999999999</v>
      </c>
      <c r="F404" s="426">
        <v>0.2364</v>
      </c>
      <c r="G404" s="469">
        <f t="shared" ref="G404:G407" si="40">F404/E404</f>
        <v>1.3431818181818183</v>
      </c>
      <c r="H404" s="381" t="s">
        <v>890</v>
      </c>
    </row>
    <row r="405" spans="1:8" ht="48.75" hidden="1" customHeight="1" x14ac:dyDescent="0.25">
      <c r="A405" s="992"/>
      <c r="B405" s="409" t="s">
        <v>792</v>
      </c>
      <c r="C405" s="419" t="s">
        <v>275</v>
      </c>
      <c r="D405" s="419">
        <v>20</v>
      </c>
      <c r="E405" s="369">
        <v>0.2</v>
      </c>
      <c r="F405" s="426">
        <v>0.11</v>
      </c>
      <c r="G405" s="469">
        <f t="shared" si="40"/>
        <v>0.54999999999999993</v>
      </c>
      <c r="H405" s="381" t="s">
        <v>891</v>
      </c>
    </row>
    <row r="406" spans="1:8" ht="48.75" hidden="1" customHeight="1" x14ac:dyDescent="0.25">
      <c r="A406" s="992"/>
      <c r="B406" s="409" t="s">
        <v>794</v>
      </c>
      <c r="C406" s="419" t="s">
        <v>275</v>
      </c>
      <c r="D406" s="419">
        <v>20</v>
      </c>
      <c r="E406" s="369">
        <v>22</v>
      </c>
      <c r="F406" s="426">
        <v>14.96</v>
      </c>
      <c r="G406" s="469">
        <f t="shared" si="40"/>
        <v>0.68</v>
      </c>
      <c r="H406" s="381" t="s">
        <v>905</v>
      </c>
    </row>
    <row r="407" spans="1:8" ht="48.75" hidden="1" customHeight="1" x14ac:dyDescent="0.25">
      <c r="A407" s="993"/>
      <c r="B407" s="409" t="s">
        <v>796</v>
      </c>
      <c r="C407" s="419" t="s">
        <v>275</v>
      </c>
      <c r="D407" s="419">
        <v>20</v>
      </c>
      <c r="E407" s="369">
        <v>0.1</v>
      </c>
      <c r="F407" s="379">
        <v>0.08</v>
      </c>
      <c r="G407" s="470">
        <f t="shared" si="40"/>
        <v>0.79999999999999993</v>
      </c>
      <c r="H407" s="381" t="s">
        <v>906</v>
      </c>
    </row>
    <row r="408" spans="1:8" ht="48.75" hidden="1" customHeight="1" x14ac:dyDescent="0.25">
      <c r="A408" s="991" t="s">
        <v>127</v>
      </c>
      <c r="B408" s="409" t="s">
        <v>787</v>
      </c>
      <c r="C408" s="419" t="s">
        <v>275</v>
      </c>
      <c r="D408" s="419">
        <v>20</v>
      </c>
      <c r="E408" s="369">
        <v>186</v>
      </c>
      <c r="F408" s="426">
        <v>143</v>
      </c>
      <c r="G408" s="469">
        <f>F408/E408</f>
        <v>0.76881720430107525</v>
      </c>
      <c r="H408" s="381" t="s">
        <v>867</v>
      </c>
    </row>
    <row r="409" spans="1:8" ht="48.75" hidden="1" customHeight="1" x14ac:dyDescent="0.25">
      <c r="A409" s="992"/>
      <c r="B409" s="409" t="s">
        <v>789</v>
      </c>
      <c r="C409" s="419" t="s">
        <v>790</v>
      </c>
      <c r="D409" s="419">
        <v>20</v>
      </c>
      <c r="E409" s="369">
        <v>0.35</v>
      </c>
      <c r="F409" s="426">
        <v>0.26590000000000003</v>
      </c>
      <c r="G409" s="469">
        <f t="shared" ref="G409:G412" si="41">F409/E409</f>
        <v>0.75971428571428579</v>
      </c>
      <c r="H409" s="381" t="s">
        <v>929</v>
      </c>
    </row>
    <row r="410" spans="1:8" ht="48.75" hidden="1" customHeight="1" x14ac:dyDescent="0.25">
      <c r="A410" s="992"/>
      <c r="B410" s="409" t="s">
        <v>792</v>
      </c>
      <c r="C410" s="419" t="s">
        <v>275</v>
      </c>
      <c r="D410" s="419">
        <v>20</v>
      </c>
      <c r="E410" s="369">
        <v>0.2</v>
      </c>
      <c r="F410" s="426">
        <v>0.12</v>
      </c>
      <c r="G410" s="469">
        <f t="shared" si="41"/>
        <v>0.6</v>
      </c>
      <c r="H410" s="381" t="s">
        <v>930</v>
      </c>
    </row>
    <row r="411" spans="1:8" ht="48.75" hidden="1" customHeight="1" x14ac:dyDescent="0.25">
      <c r="A411" s="992"/>
      <c r="B411" s="409" t="s">
        <v>794</v>
      </c>
      <c r="C411" s="419" t="s">
        <v>275</v>
      </c>
      <c r="D411" s="419">
        <v>20</v>
      </c>
      <c r="E411" s="369">
        <v>22</v>
      </c>
      <c r="F411" s="426">
        <v>16.940000000000001</v>
      </c>
      <c r="G411" s="469">
        <f t="shared" si="41"/>
        <v>0.77</v>
      </c>
      <c r="H411" s="381" t="s">
        <v>931</v>
      </c>
    </row>
    <row r="412" spans="1:8" ht="48.75" hidden="1" customHeight="1" x14ac:dyDescent="0.25">
      <c r="A412" s="993"/>
      <c r="B412" s="409" t="s">
        <v>796</v>
      </c>
      <c r="C412" s="419" t="s">
        <v>275</v>
      </c>
      <c r="D412" s="419">
        <v>20</v>
      </c>
      <c r="E412" s="369">
        <v>0.1</v>
      </c>
      <c r="F412" s="379">
        <v>8.5000000000000006E-2</v>
      </c>
      <c r="G412" s="470">
        <f t="shared" si="41"/>
        <v>0.85</v>
      </c>
      <c r="H412" s="381" t="s">
        <v>932</v>
      </c>
    </row>
    <row r="413" spans="1:8" ht="48.75" hidden="1" customHeight="1" x14ac:dyDescent="0.25">
      <c r="A413" s="991" t="s">
        <v>128</v>
      </c>
      <c r="B413" s="409" t="s">
        <v>787</v>
      </c>
      <c r="C413" s="419" t="s">
        <v>275</v>
      </c>
      <c r="D413" s="419">
        <v>20</v>
      </c>
      <c r="E413" s="497">
        <v>186</v>
      </c>
      <c r="F413" s="498">
        <v>160</v>
      </c>
      <c r="G413" s="499">
        <f>F413/E413</f>
        <v>0.86021505376344087</v>
      </c>
      <c r="H413" s="500" t="s">
        <v>867</v>
      </c>
    </row>
    <row r="414" spans="1:8" ht="48.75" hidden="1" customHeight="1" x14ac:dyDescent="0.25">
      <c r="A414" s="992"/>
      <c r="B414" s="409" t="s">
        <v>789</v>
      </c>
      <c r="C414" s="419" t="s">
        <v>790</v>
      </c>
      <c r="D414" s="419">
        <v>20</v>
      </c>
      <c r="E414" s="497">
        <v>0.35</v>
      </c>
      <c r="F414" s="498">
        <v>0.29509999999999997</v>
      </c>
      <c r="G414" s="499">
        <f t="shared" ref="G414:G417" si="42">F414/E414</f>
        <v>0.84314285714285708</v>
      </c>
      <c r="H414" s="501" t="s">
        <v>976</v>
      </c>
    </row>
    <row r="415" spans="1:8" ht="48.75" hidden="1" customHeight="1" x14ac:dyDescent="0.25">
      <c r="A415" s="992"/>
      <c r="B415" s="409" t="s">
        <v>792</v>
      </c>
      <c r="C415" s="419" t="s">
        <v>275</v>
      </c>
      <c r="D415" s="419">
        <v>20</v>
      </c>
      <c r="E415" s="497">
        <v>0.2</v>
      </c>
      <c r="F415" s="498">
        <v>0.18</v>
      </c>
      <c r="G415" s="499">
        <f t="shared" si="42"/>
        <v>0.89999999999999991</v>
      </c>
      <c r="H415" s="494" t="s">
        <v>977</v>
      </c>
    </row>
    <row r="416" spans="1:8" ht="48.75" hidden="1" customHeight="1" x14ac:dyDescent="0.25">
      <c r="A416" s="992"/>
      <c r="B416" s="409" t="s">
        <v>794</v>
      </c>
      <c r="C416" s="419" t="s">
        <v>275</v>
      </c>
      <c r="D416" s="419">
        <v>20</v>
      </c>
      <c r="E416" s="497">
        <v>22</v>
      </c>
      <c r="F416" s="498">
        <v>18.920000000000002</v>
      </c>
      <c r="G416" s="499">
        <f t="shared" si="42"/>
        <v>0.8600000000000001</v>
      </c>
      <c r="H416" s="494" t="s">
        <v>979</v>
      </c>
    </row>
    <row r="417" spans="1:8" ht="48.75" hidden="1" customHeight="1" x14ac:dyDescent="0.25">
      <c r="A417" s="993"/>
      <c r="B417" s="409" t="s">
        <v>796</v>
      </c>
      <c r="C417" s="419" t="s">
        <v>275</v>
      </c>
      <c r="D417" s="419">
        <v>20</v>
      </c>
      <c r="E417" s="497">
        <v>0.1</v>
      </c>
      <c r="F417" s="497">
        <v>0.09</v>
      </c>
      <c r="G417" s="502">
        <f t="shared" si="42"/>
        <v>0.89999999999999991</v>
      </c>
      <c r="H417" s="494" t="s">
        <v>982</v>
      </c>
    </row>
    <row r="418" spans="1:8" ht="48.75" hidden="1" customHeight="1" x14ac:dyDescent="0.25">
      <c r="A418" s="991" t="s">
        <v>129</v>
      </c>
      <c r="B418" s="409" t="s">
        <v>787</v>
      </c>
      <c r="C418" s="419" t="s">
        <v>275</v>
      </c>
      <c r="D418" s="419">
        <v>20</v>
      </c>
      <c r="E418" s="497">
        <v>186</v>
      </c>
      <c r="F418" s="498">
        <v>175</v>
      </c>
      <c r="G418" s="499">
        <f>F418/E418</f>
        <v>0.94086021505376349</v>
      </c>
      <c r="H418" s="500" t="s">
        <v>1072</v>
      </c>
    </row>
    <row r="419" spans="1:8" ht="48.75" hidden="1" customHeight="1" x14ac:dyDescent="0.25">
      <c r="A419" s="992"/>
      <c r="B419" s="409" t="s">
        <v>789</v>
      </c>
      <c r="C419" s="419" t="s">
        <v>790</v>
      </c>
      <c r="D419" s="419">
        <v>20</v>
      </c>
      <c r="E419" s="497">
        <v>0.35</v>
      </c>
      <c r="F419" s="498">
        <v>0.32419999999999999</v>
      </c>
      <c r="G419" s="499">
        <f t="shared" ref="G419:G422" si="43">F419/E419</f>
        <v>0.92628571428571427</v>
      </c>
      <c r="H419" s="501" t="s">
        <v>1073</v>
      </c>
    </row>
    <row r="420" spans="1:8" ht="48.75" hidden="1" customHeight="1" x14ac:dyDescent="0.25">
      <c r="A420" s="992"/>
      <c r="B420" s="409" t="s">
        <v>792</v>
      </c>
      <c r="C420" s="419" t="s">
        <v>275</v>
      </c>
      <c r="D420" s="419">
        <v>20</v>
      </c>
      <c r="E420" s="497">
        <v>0.2</v>
      </c>
      <c r="F420" s="498">
        <v>0.19</v>
      </c>
      <c r="G420" s="499">
        <f t="shared" si="43"/>
        <v>0.95</v>
      </c>
      <c r="H420" s="494" t="s">
        <v>1074</v>
      </c>
    </row>
    <row r="421" spans="1:8" ht="48.75" hidden="1" customHeight="1" x14ac:dyDescent="0.25">
      <c r="A421" s="992"/>
      <c r="B421" s="409" t="s">
        <v>794</v>
      </c>
      <c r="C421" s="419" t="s">
        <v>275</v>
      </c>
      <c r="D421" s="419">
        <v>20</v>
      </c>
      <c r="E421" s="497">
        <v>22</v>
      </c>
      <c r="F421" s="498">
        <v>20.9</v>
      </c>
      <c r="G421" s="499">
        <f t="shared" si="43"/>
        <v>0.95</v>
      </c>
      <c r="H421" s="494" t="s">
        <v>1075</v>
      </c>
    </row>
    <row r="422" spans="1:8" ht="48.75" hidden="1" customHeight="1" x14ac:dyDescent="0.25">
      <c r="A422" s="993"/>
      <c r="B422" s="409" t="s">
        <v>796</v>
      </c>
      <c r="C422" s="419" t="s">
        <v>275</v>
      </c>
      <c r="D422" s="419">
        <v>20</v>
      </c>
      <c r="E422" s="497">
        <v>0.1</v>
      </c>
      <c r="F422" s="497">
        <v>9.5000000000000001E-2</v>
      </c>
      <c r="G422" s="502">
        <f t="shared" si="43"/>
        <v>0.95</v>
      </c>
      <c r="H422" s="494" t="s">
        <v>1076</v>
      </c>
    </row>
    <row r="423" spans="1:8" ht="48.75" customHeight="1" x14ac:dyDescent="0.25">
      <c r="A423" s="991" t="s">
        <v>130</v>
      </c>
      <c r="B423" s="409" t="s">
        <v>787</v>
      </c>
      <c r="C423" s="419" t="s">
        <v>275</v>
      </c>
      <c r="D423" s="419">
        <v>20</v>
      </c>
      <c r="E423" s="497">
        <v>186</v>
      </c>
      <c r="F423" s="498">
        <v>191</v>
      </c>
      <c r="G423" s="499">
        <f>F423/E423</f>
        <v>1.0268817204301075</v>
      </c>
      <c r="H423" s="500" t="s">
        <v>1206</v>
      </c>
    </row>
    <row r="424" spans="1:8" ht="48.75" customHeight="1" x14ac:dyDescent="0.25">
      <c r="A424" s="992"/>
      <c r="B424" s="409" t="s">
        <v>789</v>
      </c>
      <c r="C424" s="419" t="s">
        <v>790</v>
      </c>
      <c r="D424" s="419">
        <v>20</v>
      </c>
      <c r="E424" s="497">
        <v>0.35</v>
      </c>
      <c r="F424" s="498">
        <v>0.35399999999999998</v>
      </c>
      <c r="G424" s="499">
        <f t="shared" ref="G424:G427" si="44">F424/E424</f>
        <v>1.0114285714285713</v>
      </c>
      <c r="H424" s="501" t="s">
        <v>1207</v>
      </c>
    </row>
    <row r="425" spans="1:8" ht="48.75" customHeight="1" x14ac:dyDescent="0.25">
      <c r="A425" s="992"/>
      <c r="B425" s="409" t="s">
        <v>792</v>
      </c>
      <c r="C425" s="419" t="s">
        <v>275</v>
      </c>
      <c r="D425" s="419">
        <v>20</v>
      </c>
      <c r="E425" s="497">
        <v>0.2</v>
      </c>
      <c r="F425" s="498">
        <v>0.2</v>
      </c>
      <c r="G425" s="499">
        <f t="shared" si="44"/>
        <v>1</v>
      </c>
      <c r="H425" s="494" t="s">
        <v>1208</v>
      </c>
    </row>
    <row r="426" spans="1:8" ht="48.75" customHeight="1" x14ac:dyDescent="0.25">
      <c r="A426" s="992"/>
      <c r="B426" s="409" t="s">
        <v>794</v>
      </c>
      <c r="C426" s="419" t="s">
        <v>275</v>
      </c>
      <c r="D426" s="419">
        <v>20</v>
      </c>
      <c r="E426" s="497">
        <v>22</v>
      </c>
      <c r="F426" s="498">
        <v>22</v>
      </c>
      <c r="G426" s="499">
        <f t="shared" si="44"/>
        <v>1</v>
      </c>
      <c r="H426" s="494" t="s">
        <v>1209</v>
      </c>
    </row>
    <row r="427" spans="1:8" ht="48.75" customHeight="1" x14ac:dyDescent="0.25">
      <c r="A427" s="993"/>
      <c r="B427" s="409" t="s">
        <v>796</v>
      </c>
      <c r="C427" s="419" t="s">
        <v>275</v>
      </c>
      <c r="D427" s="419">
        <v>20</v>
      </c>
      <c r="E427" s="497">
        <v>0.1</v>
      </c>
      <c r="F427" s="497">
        <v>0.1</v>
      </c>
      <c r="G427" s="502">
        <f t="shared" si="44"/>
        <v>1</v>
      </c>
      <c r="H427" s="494" t="s">
        <v>1210</v>
      </c>
    </row>
    <row r="428" spans="1:8" x14ac:dyDescent="0.25">
      <c r="A428" s="45"/>
      <c r="B428" s="343"/>
      <c r="C428" s="344"/>
      <c r="D428" s="344"/>
      <c r="E428" s="42"/>
      <c r="F428" s="42"/>
      <c r="G428" s="42" t="e">
        <f t="shared" si="33"/>
        <v>#DIV/0!</v>
      </c>
      <c r="H428" s="503"/>
    </row>
    <row r="429" spans="1:8" ht="15.75" thickBot="1" x14ac:dyDescent="0.3">
      <c r="A429" s="46"/>
      <c r="B429" s="353"/>
      <c r="C429" s="352"/>
      <c r="D429" s="352"/>
      <c r="E429" s="44"/>
      <c r="F429" s="44"/>
      <c r="G429" s="44" t="e">
        <f t="shared" si="33"/>
        <v>#DIV/0!</v>
      </c>
      <c r="H429" s="47"/>
    </row>
    <row r="431" spans="1:8" ht="20.25" hidden="1" x14ac:dyDescent="0.3">
      <c r="A431" s="984" t="s">
        <v>193</v>
      </c>
      <c r="B431" s="985"/>
      <c r="C431" s="985"/>
      <c r="D431" s="985"/>
      <c r="E431" s="985"/>
      <c r="F431" s="985"/>
      <c r="G431" s="985"/>
      <c r="H431" s="986"/>
    </row>
    <row r="432" spans="1:8" ht="54.75" hidden="1" customHeight="1" x14ac:dyDescent="0.25">
      <c r="A432" s="38" t="s">
        <v>62</v>
      </c>
      <c r="B432" s="39" t="s">
        <v>189</v>
      </c>
      <c r="C432" s="58" t="s">
        <v>145</v>
      </c>
      <c r="D432" s="58" t="s">
        <v>160</v>
      </c>
      <c r="E432" s="58" t="s">
        <v>194</v>
      </c>
      <c r="F432" s="58" t="s">
        <v>195</v>
      </c>
      <c r="G432" s="58" t="s">
        <v>196</v>
      </c>
      <c r="H432" s="40" t="s">
        <v>178</v>
      </c>
    </row>
    <row r="433" spans="1:8" ht="16.5" hidden="1" customHeight="1" x14ac:dyDescent="0.25">
      <c r="A433" s="45" t="s">
        <v>132</v>
      </c>
      <c r="B433" s="343"/>
      <c r="C433" s="344"/>
      <c r="D433" s="344"/>
      <c r="E433" s="42"/>
      <c r="F433" s="42"/>
      <c r="G433" s="42" t="e">
        <f>F433/E433</f>
        <v>#DIV/0!</v>
      </c>
      <c r="H433" s="43"/>
    </row>
    <row r="434" spans="1:8" ht="16.5" hidden="1" customHeight="1" x14ac:dyDescent="0.25">
      <c r="A434" s="45" t="s">
        <v>133</v>
      </c>
      <c r="B434" s="343"/>
      <c r="C434" s="344"/>
      <c r="D434" s="344"/>
      <c r="E434" s="42"/>
      <c r="F434" s="42"/>
      <c r="G434" s="42" t="e">
        <f t="shared" ref="G434:G444" si="45">F434/E434</f>
        <v>#DIV/0!</v>
      </c>
      <c r="H434" s="43"/>
    </row>
    <row r="435" spans="1:8" ht="16.5" hidden="1" customHeight="1" x14ac:dyDescent="0.25">
      <c r="A435" s="45" t="s">
        <v>134</v>
      </c>
      <c r="B435" s="343"/>
      <c r="C435" s="344"/>
      <c r="D435" s="344"/>
      <c r="E435" s="42"/>
      <c r="F435" s="42"/>
      <c r="G435" s="42" t="e">
        <f t="shared" si="45"/>
        <v>#DIV/0!</v>
      </c>
      <c r="H435" s="43"/>
    </row>
    <row r="436" spans="1:8" ht="16.5" hidden="1" customHeight="1" x14ac:dyDescent="0.25">
      <c r="A436" s="45" t="s">
        <v>135</v>
      </c>
      <c r="B436" s="343"/>
      <c r="C436" s="344"/>
      <c r="D436" s="344"/>
      <c r="E436" s="42"/>
      <c r="F436" s="42"/>
      <c r="G436" s="42" t="e">
        <f t="shared" si="45"/>
        <v>#DIV/0!</v>
      </c>
      <c r="H436" s="43"/>
    </row>
    <row r="437" spans="1:8" ht="16.5" hidden="1" customHeight="1" x14ac:dyDescent="0.25">
      <c r="A437" s="45" t="s">
        <v>136</v>
      </c>
      <c r="B437" s="343"/>
      <c r="C437" s="344"/>
      <c r="D437" s="344"/>
      <c r="E437" s="42"/>
      <c r="F437" s="42"/>
      <c r="G437" s="42" t="e">
        <f t="shared" si="45"/>
        <v>#DIV/0!</v>
      </c>
      <c r="H437" s="43"/>
    </row>
    <row r="438" spans="1:8" ht="16.5" hidden="1" customHeight="1" x14ac:dyDescent="0.25">
      <c r="A438" s="45" t="s">
        <v>137</v>
      </c>
      <c r="B438" s="343"/>
      <c r="C438" s="344"/>
      <c r="D438" s="344"/>
      <c r="E438" s="42"/>
      <c r="F438" s="42"/>
      <c r="G438" s="42" t="e">
        <f t="shared" si="45"/>
        <v>#DIV/0!</v>
      </c>
      <c r="H438" s="43"/>
    </row>
    <row r="439" spans="1:8" hidden="1" x14ac:dyDescent="0.25">
      <c r="A439" s="45" t="s">
        <v>125</v>
      </c>
      <c r="B439" s="343"/>
      <c r="C439" s="344"/>
      <c r="D439" s="344"/>
      <c r="E439" s="42"/>
      <c r="F439" s="42"/>
      <c r="G439" s="42" t="e">
        <f t="shared" si="45"/>
        <v>#DIV/0!</v>
      </c>
      <c r="H439" s="43"/>
    </row>
    <row r="440" spans="1:8" hidden="1" x14ac:dyDescent="0.25">
      <c r="A440" s="45" t="s">
        <v>126</v>
      </c>
      <c r="B440" s="343"/>
      <c r="C440" s="344"/>
      <c r="D440" s="344"/>
      <c r="E440" s="42"/>
      <c r="F440" s="42"/>
      <c r="G440" s="42" t="e">
        <f t="shared" si="45"/>
        <v>#DIV/0!</v>
      </c>
      <c r="H440" s="43"/>
    </row>
    <row r="441" spans="1:8" hidden="1" x14ac:dyDescent="0.25">
      <c r="A441" s="45" t="s">
        <v>127</v>
      </c>
      <c r="B441" s="343"/>
      <c r="C441" s="344"/>
      <c r="D441" s="344"/>
      <c r="E441" s="42"/>
      <c r="F441" s="42"/>
      <c r="G441" s="42" t="e">
        <f t="shared" si="45"/>
        <v>#DIV/0!</v>
      </c>
      <c r="H441" s="43"/>
    </row>
    <row r="442" spans="1:8" hidden="1" x14ac:dyDescent="0.25">
      <c r="A442" s="45" t="s">
        <v>128</v>
      </c>
      <c r="B442" s="343"/>
      <c r="C442" s="344"/>
      <c r="D442" s="344"/>
      <c r="E442" s="42"/>
      <c r="F442" s="42"/>
      <c r="G442" s="42" t="e">
        <f t="shared" si="45"/>
        <v>#DIV/0!</v>
      </c>
      <c r="H442" s="43"/>
    </row>
    <row r="443" spans="1:8" hidden="1" x14ac:dyDescent="0.25">
      <c r="A443" s="45" t="s">
        <v>129</v>
      </c>
      <c r="B443" s="343"/>
      <c r="C443" s="344"/>
      <c r="D443" s="344"/>
      <c r="E443" s="42"/>
      <c r="F443" s="42"/>
      <c r="G443" s="42" t="e">
        <f t="shared" si="45"/>
        <v>#DIV/0!</v>
      </c>
      <c r="H443" s="43"/>
    </row>
    <row r="444" spans="1:8" ht="15.75" hidden="1" thickBot="1" x14ac:dyDescent="0.3">
      <c r="A444" s="46" t="s">
        <v>130</v>
      </c>
      <c r="B444" s="353"/>
      <c r="C444" s="352"/>
      <c r="D444" s="352"/>
      <c r="E444" s="44"/>
      <c r="F444" s="44"/>
      <c r="G444" s="44" t="e">
        <f t="shared" si="45"/>
        <v>#DIV/0!</v>
      </c>
      <c r="H444" s="47"/>
    </row>
    <row r="445" spans="1:8" hidden="1" x14ac:dyDescent="0.25"/>
    <row r="446" spans="1:8" ht="20.25" hidden="1" x14ac:dyDescent="0.3">
      <c r="A446" s="984" t="s">
        <v>197</v>
      </c>
      <c r="B446" s="985"/>
      <c r="C446" s="985"/>
      <c r="D446" s="985"/>
      <c r="E446" s="985"/>
      <c r="F446" s="985"/>
      <c r="G446" s="985"/>
      <c r="H446" s="986"/>
    </row>
    <row r="447" spans="1:8" ht="52.5" hidden="1" customHeight="1" x14ac:dyDescent="0.25">
      <c r="A447" s="38" t="s">
        <v>63</v>
      </c>
      <c r="B447" s="39" t="s">
        <v>189</v>
      </c>
      <c r="C447" s="58" t="s">
        <v>145</v>
      </c>
      <c r="D447" s="58" t="s">
        <v>165</v>
      </c>
      <c r="E447" s="58" t="s">
        <v>198</v>
      </c>
      <c r="F447" s="58" t="s">
        <v>199</v>
      </c>
      <c r="G447" s="58" t="s">
        <v>200</v>
      </c>
      <c r="H447" s="40" t="s">
        <v>178</v>
      </c>
    </row>
    <row r="448" spans="1:8" ht="16.5" hidden="1" customHeight="1" x14ac:dyDescent="0.25">
      <c r="A448" s="45" t="s">
        <v>132</v>
      </c>
      <c r="B448" s="343"/>
      <c r="C448" s="344"/>
      <c r="D448" s="344"/>
      <c r="E448" s="42"/>
      <c r="F448" s="42"/>
      <c r="G448" s="42" t="e">
        <f>F448/E448</f>
        <v>#DIV/0!</v>
      </c>
      <c r="H448" s="43"/>
    </row>
    <row r="449" spans="1:8" ht="16.5" hidden="1" customHeight="1" x14ac:dyDescent="0.25">
      <c r="A449" s="45" t="s">
        <v>133</v>
      </c>
      <c r="B449" s="343"/>
      <c r="C449" s="344"/>
      <c r="D449" s="344"/>
      <c r="E449" s="42"/>
      <c r="F449" s="42"/>
      <c r="G449" s="42" t="e">
        <f t="shared" ref="G449:G459" si="46">F449/E449</f>
        <v>#DIV/0!</v>
      </c>
      <c r="H449" s="43"/>
    </row>
    <row r="450" spans="1:8" ht="16.5" hidden="1" customHeight="1" x14ac:dyDescent="0.25">
      <c r="A450" s="45" t="s">
        <v>134</v>
      </c>
      <c r="B450" s="343"/>
      <c r="C450" s="344"/>
      <c r="D450" s="344"/>
      <c r="E450" s="42"/>
      <c r="F450" s="42"/>
      <c r="G450" s="42" t="e">
        <f t="shared" si="46"/>
        <v>#DIV/0!</v>
      </c>
      <c r="H450" s="43"/>
    </row>
    <row r="451" spans="1:8" ht="16.5" hidden="1" customHeight="1" x14ac:dyDescent="0.25">
      <c r="A451" s="45" t="s">
        <v>135</v>
      </c>
      <c r="B451" s="343"/>
      <c r="C451" s="344"/>
      <c r="D451" s="344"/>
      <c r="E451" s="42"/>
      <c r="F451" s="42"/>
      <c r="G451" s="42" t="e">
        <f t="shared" si="46"/>
        <v>#DIV/0!</v>
      </c>
      <c r="H451" s="43"/>
    </row>
    <row r="452" spans="1:8" ht="16.5" hidden="1" customHeight="1" x14ac:dyDescent="0.25">
      <c r="A452" s="45" t="s">
        <v>136</v>
      </c>
      <c r="B452" s="343"/>
      <c r="C452" s="344"/>
      <c r="D452" s="344"/>
      <c r="E452" s="42"/>
      <c r="F452" s="42"/>
      <c r="G452" s="42" t="e">
        <f t="shared" si="46"/>
        <v>#DIV/0!</v>
      </c>
      <c r="H452" s="43"/>
    </row>
    <row r="453" spans="1:8" ht="16.5" hidden="1" customHeight="1" x14ac:dyDescent="0.25">
      <c r="A453" s="45" t="s">
        <v>137</v>
      </c>
      <c r="B453" s="343"/>
      <c r="C453" s="344"/>
      <c r="D453" s="344"/>
      <c r="E453" s="42"/>
      <c r="F453" s="42"/>
      <c r="G453" s="42" t="e">
        <f t="shared" si="46"/>
        <v>#DIV/0!</v>
      </c>
      <c r="H453" s="43"/>
    </row>
    <row r="454" spans="1:8" hidden="1" x14ac:dyDescent="0.25">
      <c r="A454" s="45" t="s">
        <v>125</v>
      </c>
      <c r="B454" s="343"/>
      <c r="C454" s="344"/>
      <c r="D454" s="344"/>
      <c r="E454" s="42"/>
      <c r="F454" s="42"/>
      <c r="G454" s="42" t="e">
        <f t="shared" si="46"/>
        <v>#DIV/0!</v>
      </c>
      <c r="H454" s="43"/>
    </row>
    <row r="455" spans="1:8" hidden="1" x14ac:dyDescent="0.25">
      <c r="A455" s="45" t="s">
        <v>126</v>
      </c>
      <c r="B455" s="343"/>
      <c r="C455" s="344"/>
      <c r="D455" s="344"/>
      <c r="E455" s="42"/>
      <c r="F455" s="42"/>
      <c r="G455" s="42" t="e">
        <f t="shared" si="46"/>
        <v>#DIV/0!</v>
      </c>
      <c r="H455" s="43"/>
    </row>
    <row r="456" spans="1:8" hidden="1" x14ac:dyDescent="0.25">
      <c r="A456" s="45" t="s">
        <v>127</v>
      </c>
      <c r="B456" s="343"/>
      <c r="C456" s="344"/>
      <c r="D456" s="344"/>
      <c r="E456" s="42"/>
      <c r="F456" s="42"/>
      <c r="G456" s="42" t="e">
        <f t="shared" si="46"/>
        <v>#DIV/0!</v>
      </c>
      <c r="H456" s="43"/>
    </row>
    <row r="457" spans="1:8" hidden="1" x14ac:dyDescent="0.25">
      <c r="A457" s="45" t="s">
        <v>128</v>
      </c>
      <c r="B457" s="343"/>
      <c r="C457" s="344"/>
      <c r="D457" s="344"/>
      <c r="E457" s="42"/>
      <c r="F457" s="42"/>
      <c r="G457" s="42" t="e">
        <f t="shared" si="46"/>
        <v>#DIV/0!</v>
      </c>
      <c r="H457" s="43"/>
    </row>
    <row r="458" spans="1:8" hidden="1" x14ac:dyDescent="0.25">
      <c r="A458" s="45" t="s">
        <v>129</v>
      </c>
      <c r="B458" s="343"/>
      <c r="C458" s="344"/>
      <c r="D458" s="344"/>
      <c r="E458" s="42"/>
      <c r="F458" s="42"/>
      <c r="G458" s="42" t="e">
        <f t="shared" si="46"/>
        <v>#DIV/0!</v>
      </c>
      <c r="H458" s="43"/>
    </row>
    <row r="459" spans="1:8" ht="15.75" hidden="1" thickBot="1" x14ac:dyDescent="0.3">
      <c r="A459" s="46" t="s">
        <v>130</v>
      </c>
      <c r="B459" s="353"/>
      <c r="C459" s="352"/>
      <c r="D459" s="352"/>
      <c r="E459" s="44"/>
      <c r="F459" s="44"/>
      <c r="G459" s="44" t="e">
        <f t="shared" si="46"/>
        <v>#DIV/0!</v>
      </c>
      <c r="H459" s="47"/>
    </row>
    <row r="460" spans="1:8" hidden="1" x14ac:dyDescent="0.25"/>
    <row r="461" spans="1:8" ht="20.25" hidden="1" x14ac:dyDescent="0.3">
      <c r="A461" s="984" t="s">
        <v>201</v>
      </c>
      <c r="B461" s="985"/>
      <c r="C461" s="985"/>
      <c r="D461" s="985"/>
      <c r="E461" s="985"/>
      <c r="F461" s="985"/>
      <c r="G461" s="985"/>
      <c r="H461" s="986"/>
    </row>
    <row r="462" spans="1:8" ht="63.75" hidden="1" customHeight="1" x14ac:dyDescent="0.25">
      <c r="A462" s="38" t="s">
        <v>64</v>
      </c>
      <c r="B462" s="39" t="s">
        <v>189</v>
      </c>
      <c r="C462" s="58" t="s">
        <v>145</v>
      </c>
      <c r="D462" s="58" t="s">
        <v>170</v>
      </c>
      <c r="E462" s="58" t="s">
        <v>202</v>
      </c>
      <c r="F462" s="58" t="s">
        <v>203</v>
      </c>
      <c r="G462" s="58" t="s">
        <v>204</v>
      </c>
      <c r="H462" s="40" t="s">
        <v>178</v>
      </c>
    </row>
    <row r="463" spans="1:8" hidden="1" x14ac:dyDescent="0.25">
      <c r="A463" s="45" t="s">
        <v>132</v>
      </c>
      <c r="B463" s="343"/>
      <c r="C463" s="344"/>
      <c r="D463" s="344"/>
      <c r="E463" s="42"/>
      <c r="F463" s="42"/>
      <c r="G463" s="42" t="e">
        <f>F463/E463</f>
        <v>#DIV/0!</v>
      </c>
      <c r="H463" s="43"/>
    </row>
    <row r="464" spans="1:8" hidden="1" x14ac:dyDescent="0.25">
      <c r="A464" s="45" t="s">
        <v>133</v>
      </c>
      <c r="B464" s="343"/>
      <c r="C464" s="344"/>
      <c r="D464" s="344"/>
      <c r="E464" s="42"/>
      <c r="F464" s="42"/>
      <c r="G464" s="42" t="e">
        <f t="shared" ref="G464:G474" si="47">F464/E464</f>
        <v>#DIV/0!</v>
      </c>
      <c r="H464" s="43"/>
    </row>
    <row r="465" spans="1:56" hidden="1" x14ac:dyDescent="0.25">
      <c r="A465" s="45" t="s">
        <v>134</v>
      </c>
      <c r="B465" s="343"/>
      <c r="C465" s="344"/>
      <c r="D465" s="344"/>
      <c r="E465" s="42"/>
      <c r="F465" s="42"/>
      <c r="G465" s="42" t="e">
        <f t="shared" si="47"/>
        <v>#DIV/0!</v>
      </c>
      <c r="H465" s="43"/>
    </row>
    <row r="466" spans="1:56" hidden="1" x14ac:dyDescent="0.25">
      <c r="A466" s="45" t="s">
        <v>135</v>
      </c>
      <c r="B466" s="343"/>
      <c r="C466" s="344"/>
      <c r="D466" s="344"/>
      <c r="E466" s="42"/>
      <c r="F466" s="42"/>
      <c r="G466" s="42" t="e">
        <f t="shared" si="47"/>
        <v>#DIV/0!</v>
      </c>
      <c r="H466" s="43"/>
    </row>
    <row r="467" spans="1:56" hidden="1" x14ac:dyDescent="0.25">
      <c r="A467" s="45" t="s">
        <v>136</v>
      </c>
      <c r="B467" s="343"/>
      <c r="C467" s="344"/>
      <c r="D467" s="344"/>
      <c r="E467" s="42"/>
      <c r="F467" s="42"/>
      <c r="G467" s="42" t="e">
        <f t="shared" si="47"/>
        <v>#DIV/0!</v>
      </c>
      <c r="H467" s="43"/>
    </row>
    <row r="468" spans="1:56" hidden="1" x14ac:dyDescent="0.25">
      <c r="A468" s="45" t="s">
        <v>137</v>
      </c>
      <c r="B468" s="343"/>
      <c r="C468" s="344"/>
      <c r="D468" s="344"/>
      <c r="E468" s="42"/>
      <c r="F468" s="42"/>
      <c r="G468" s="42" t="e">
        <f t="shared" si="47"/>
        <v>#DIV/0!</v>
      </c>
      <c r="H468" s="43"/>
    </row>
    <row r="469" spans="1:56" hidden="1" x14ac:dyDescent="0.25">
      <c r="A469" s="45" t="s">
        <v>125</v>
      </c>
      <c r="B469" s="343"/>
      <c r="C469" s="344"/>
      <c r="D469" s="344"/>
      <c r="E469" s="42"/>
      <c r="F469" s="42"/>
      <c r="G469" s="42" t="e">
        <f t="shared" si="47"/>
        <v>#DIV/0!</v>
      </c>
      <c r="H469" s="43"/>
    </row>
    <row r="470" spans="1:56" hidden="1" x14ac:dyDescent="0.25">
      <c r="A470" s="45" t="s">
        <v>126</v>
      </c>
      <c r="B470" s="343"/>
      <c r="C470" s="344"/>
      <c r="D470" s="344"/>
      <c r="E470" s="42"/>
      <c r="F470" s="42"/>
      <c r="G470" s="42" t="e">
        <f t="shared" si="47"/>
        <v>#DIV/0!</v>
      </c>
      <c r="H470" s="43"/>
    </row>
    <row r="471" spans="1:56" hidden="1" x14ac:dyDescent="0.25">
      <c r="A471" s="45" t="s">
        <v>127</v>
      </c>
      <c r="B471" s="343"/>
      <c r="C471" s="344"/>
      <c r="D471" s="344"/>
      <c r="E471" s="42"/>
      <c r="F471" s="42"/>
      <c r="G471" s="42" t="e">
        <f t="shared" si="47"/>
        <v>#DIV/0!</v>
      </c>
      <c r="H471" s="43"/>
    </row>
    <row r="472" spans="1:56" hidden="1" x14ac:dyDescent="0.25">
      <c r="A472" s="45" t="s">
        <v>128</v>
      </c>
      <c r="B472" s="343"/>
      <c r="C472" s="344"/>
      <c r="D472" s="344"/>
      <c r="E472" s="42"/>
      <c r="F472" s="42"/>
      <c r="G472" s="42" t="e">
        <f t="shared" si="47"/>
        <v>#DIV/0!</v>
      </c>
      <c r="H472" s="43"/>
    </row>
    <row r="473" spans="1:56" hidden="1" x14ac:dyDescent="0.25">
      <c r="A473" s="45" t="s">
        <v>129</v>
      </c>
      <c r="B473" s="343"/>
      <c r="C473" s="344"/>
      <c r="D473" s="344"/>
      <c r="E473" s="42"/>
      <c r="F473" s="42"/>
      <c r="G473" s="42" t="e">
        <f t="shared" si="47"/>
        <v>#DIV/0!</v>
      </c>
      <c r="H473" s="43"/>
    </row>
    <row r="474" spans="1:56" ht="15.75" hidden="1" thickBot="1" x14ac:dyDescent="0.3">
      <c r="A474" s="46" t="s">
        <v>130</v>
      </c>
      <c r="B474" s="353"/>
      <c r="C474" s="352"/>
      <c r="D474" s="352"/>
      <c r="E474" s="44"/>
      <c r="F474" s="44"/>
      <c r="G474" s="44" t="e">
        <f t="shared" si="47"/>
        <v>#DIV/0!</v>
      </c>
      <c r="H474" s="47"/>
    </row>
    <row r="475" spans="1:56" ht="26.25" customHeight="1" x14ac:dyDescent="0.4">
      <c r="A475" s="18" t="s">
        <v>35</v>
      </c>
      <c r="B475"/>
      <c r="C475"/>
      <c r="D475"/>
      <c r="F475" s="479"/>
      <c r="G475" s="479"/>
      <c r="H475" s="479"/>
      <c r="I475" s="479"/>
      <c r="J475" s="479"/>
      <c r="K475" s="479"/>
      <c r="L475" s="479"/>
      <c r="M475" s="479"/>
      <c r="N475" s="479"/>
      <c r="O475" s="479"/>
      <c r="P475" s="479"/>
      <c r="Q475" s="14"/>
      <c r="R475" s="14"/>
      <c r="S475" s="14"/>
      <c r="T475" s="14"/>
      <c r="U475" s="14"/>
      <c r="V475" s="70"/>
      <c r="W475" s="67"/>
      <c r="X475" s="69"/>
      <c r="Y475" s="14"/>
      <c r="Z475" s="67"/>
      <c r="AA475" s="14"/>
      <c r="AB475" s="14"/>
      <c r="AC475" s="14"/>
      <c r="AD475" s="14"/>
      <c r="AE475" s="14"/>
      <c r="AF475" s="14"/>
      <c r="AG475" s="14"/>
      <c r="AH475" s="14"/>
      <c r="AI475" s="14"/>
      <c r="AJ475" s="14"/>
      <c r="AK475" s="14"/>
      <c r="AL475" s="14"/>
      <c r="AM475" s="14"/>
      <c r="AN475" s="14"/>
      <c r="AO475" s="14"/>
      <c r="AP475" s="14"/>
      <c r="AQ475" s="14"/>
      <c r="AR475" s="14"/>
      <c r="AS475" s="73"/>
      <c r="AT475" s="73"/>
      <c r="AU475" s="73"/>
      <c r="AV475" s="73"/>
      <c r="AW475" s="73"/>
      <c r="AX475" s="73"/>
      <c r="AY475" s="73"/>
      <c r="AZ475" s="73"/>
      <c r="BA475" s="73"/>
      <c r="BB475" s="73"/>
      <c r="BC475" s="73"/>
      <c r="BD475" s="73"/>
    </row>
    <row r="476" spans="1:56" ht="26.25" customHeight="1" x14ac:dyDescent="0.25">
      <c r="A476" s="480" t="s">
        <v>36</v>
      </c>
      <c r="B476" s="687" t="s">
        <v>37</v>
      </c>
      <c r="C476" s="687"/>
      <c r="D476" s="687"/>
      <c r="E476" s="687"/>
      <c r="F476" s="687"/>
      <c r="G476" s="687"/>
      <c r="H476" s="688" t="s">
        <v>38</v>
      </c>
      <c r="I476" s="688"/>
      <c r="J476" s="688"/>
      <c r="K476" s="688"/>
      <c r="L476" s="688"/>
      <c r="M476" s="688"/>
      <c r="N476" s="688"/>
      <c r="O476" s="688"/>
      <c r="P476" s="688"/>
      <c r="Q476" s="479"/>
      <c r="R476" s="479"/>
      <c r="S476" s="479"/>
      <c r="T476" s="479"/>
      <c r="U476" s="479"/>
      <c r="V476" s="479"/>
      <c r="W476" s="68"/>
      <c r="X476" s="479"/>
      <c r="Y476" s="479"/>
      <c r="Z476" s="479"/>
      <c r="AA476" s="479"/>
      <c r="AB476" s="479"/>
      <c r="AC476" s="479"/>
      <c r="AD476" s="479"/>
      <c r="AE476" s="479"/>
      <c r="AF476" s="479"/>
      <c r="AG476" s="479"/>
      <c r="AH476" s="479"/>
      <c r="AI476" s="479"/>
      <c r="AJ476" s="479"/>
      <c r="AK476" s="479"/>
      <c r="AL476" s="479"/>
      <c r="AM476" s="479"/>
      <c r="AN476" s="479"/>
      <c r="AO476" s="479"/>
      <c r="AP476" s="479"/>
      <c r="AQ476" s="479"/>
      <c r="AR476" s="479"/>
      <c r="AS476" s="479"/>
      <c r="AT476" s="479"/>
      <c r="AU476" s="479"/>
      <c r="AV476" s="479"/>
      <c r="AW476" s="479"/>
      <c r="AX476" s="479"/>
      <c r="AY476" s="479"/>
      <c r="AZ476" s="479"/>
      <c r="BA476" s="479"/>
      <c r="BB476" s="479"/>
      <c r="BC476" s="479"/>
      <c r="BD476" s="479"/>
    </row>
    <row r="477" spans="1:56" ht="43.5" customHeight="1" x14ac:dyDescent="0.25">
      <c r="A477" s="59">
        <v>13</v>
      </c>
      <c r="B477" s="670" t="s">
        <v>82</v>
      </c>
      <c r="C477" s="670"/>
      <c r="D477" s="670"/>
      <c r="E477" s="670"/>
      <c r="F477" s="670"/>
      <c r="G477" s="670"/>
      <c r="H477" s="671" t="s">
        <v>83</v>
      </c>
      <c r="I477" s="671"/>
      <c r="J477" s="671"/>
      <c r="K477" s="671"/>
      <c r="L477" s="671"/>
      <c r="M477" s="671"/>
      <c r="N477" s="671"/>
      <c r="O477" s="671"/>
      <c r="P477" s="671"/>
      <c r="Q477" s="479"/>
      <c r="R477" s="479"/>
      <c r="S477" s="479"/>
      <c r="T477" s="479"/>
      <c r="U477" s="479"/>
      <c r="V477" s="668"/>
      <c r="W477" s="669"/>
      <c r="X477" s="669"/>
      <c r="Y477" s="669"/>
      <c r="Z477" s="669"/>
      <c r="AA477" s="669"/>
      <c r="AB477" s="669"/>
      <c r="AC477" s="669"/>
      <c r="AD477" s="669"/>
      <c r="AE477" s="669"/>
      <c r="AF477" s="669"/>
      <c r="AG477" s="669"/>
      <c r="AH477" s="669"/>
      <c r="AI477" s="669"/>
      <c r="AJ477" s="669"/>
      <c r="AK477" s="669"/>
      <c r="AL477" s="669"/>
      <c r="AM477" s="669"/>
      <c r="AN477" s="669"/>
      <c r="AO477" s="669"/>
      <c r="AP477" s="669"/>
      <c r="AQ477" s="669"/>
      <c r="AR477" s="669"/>
      <c r="AS477" s="669"/>
      <c r="AT477" s="669"/>
      <c r="AU477" s="669"/>
      <c r="AV477" s="669"/>
      <c r="AW477" s="669"/>
      <c r="AX477" s="669"/>
      <c r="AY477" s="669"/>
      <c r="AZ477" s="669"/>
      <c r="BA477" s="669"/>
      <c r="BB477" s="669"/>
      <c r="BC477" s="669"/>
      <c r="BD477" s="669"/>
    </row>
    <row r="478" spans="1:56" ht="15" customHeight="1" x14ac:dyDescent="0.25">
      <c r="A478" s="59">
        <v>14</v>
      </c>
      <c r="B478" s="670" t="s">
        <v>875</v>
      </c>
      <c r="C478" s="670"/>
      <c r="D478" s="670"/>
      <c r="E478" s="670"/>
      <c r="F478" s="670"/>
      <c r="G478" s="670"/>
      <c r="H478" s="671" t="s">
        <v>876</v>
      </c>
      <c r="I478" s="671"/>
      <c r="J478" s="671"/>
      <c r="K478" s="671"/>
      <c r="L478" s="671"/>
      <c r="M478" s="671"/>
      <c r="N478" s="671"/>
      <c r="O478" s="671"/>
      <c r="P478" s="671"/>
      <c r="Q478" s="479"/>
      <c r="R478" s="479"/>
      <c r="S478" s="479"/>
      <c r="T478" s="479"/>
      <c r="U478" s="479"/>
      <c r="V478" s="479"/>
      <c r="W478" s="479"/>
      <c r="X478" s="479"/>
      <c r="Y478" s="479"/>
      <c r="Z478" s="479"/>
      <c r="AA478" s="479"/>
      <c r="AB478" s="479"/>
      <c r="AC478" s="479"/>
      <c r="AD478" s="479"/>
      <c r="AE478" s="479"/>
      <c r="AF478" s="479"/>
      <c r="AG478" s="479"/>
      <c r="AH478" s="479"/>
      <c r="AI478" s="479"/>
      <c r="AJ478" s="479"/>
      <c r="AK478" s="479"/>
      <c r="AL478" s="479"/>
      <c r="AM478" s="479"/>
      <c r="AN478" s="479"/>
      <c r="AO478" s="479"/>
      <c r="AP478" s="479"/>
      <c r="AQ478" s="479"/>
      <c r="AR478" s="479"/>
      <c r="AS478" s="479"/>
      <c r="AT478" s="479"/>
      <c r="AU478" s="479"/>
      <c r="AV478" s="479"/>
      <c r="AW478" s="479"/>
      <c r="AX478" s="479"/>
      <c r="AY478" s="479"/>
      <c r="AZ478" s="479"/>
      <c r="BA478" s="479"/>
      <c r="BB478" s="479"/>
      <c r="BC478" s="479"/>
      <c r="BD478" s="479"/>
    </row>
  </sheetData>
  <mergeCells count="126">
    <mergeCell ref="C339:C342"/>
    <mergeCell ref="A418:A422"/>
    <mergeCell ref="A327:A335"/>
    <mergeCell ref="B327:B329"/>
    <mergeCell ref="C327:C329"/>
    <mergeCell ref="B330:B333"/>
    <mergeCell ref="C330:C333"/>
    <mergeCell ref="A413:A417"/>
    <mergeCell ref="A345:A353"/>
    <mergeCell ref="B345:B347"/>
    <mergeCell ref="C345:C347"/>
    <mergeCell ref="B348:B351"/>
    <mergeCell ref="C348:C351"/>
    <mergeCell ref="A61:H61"/>
    <mergeCell ref="A76:N76"/>
    <mergeCell ref="A81:A84"/>
    <mergeCell ref="A85:A88"/>
    <mergeCell ref="A89:A92"/>
    <mergeCell ref="C203:C204"/>
    <mergeCell ref="A162:N162"/>
    <mergeCell ref="A114:A117"/>
    <mergeCell ref="A134:A137"/>
    <mergeCell ref="A96:N96"/>
    <mergeCell ref="A98:A101"/>
    <mergeCell ref="A102:A105"/>
    <mergeCell ref="A106:A109"/>
    <mergeCell ref="A110:A113"/>
    <mergeCell ref="A147:N147"/>
    <mergeCell ref="A118:A121"/>
    <mergeCell ref="A122:A125"/>
    <mergeCell ref="A126:A129"/>
    <mergeCell ref="A130:A133"/>
    <mergeCell ref="A46:H46"/>
    <mergeCell ref="A1:B3"/>
    <mergeCell ref="C1:N1"/>
    <mergeCell ref="C2:N2"/>
    <mergeCell ref="C3:G3"/>
    <mergeCell ref="H3:N3"/>
    <mergeCell ref="A4:B4"/>
    <mergeCell ref="C4:AW4"/>
    <mergeCell ref="A5:B5"/>
    <mergeCell ref="C5:AW5"/>
    <mergeCell ref="A7:H7"/>
    <mergeCell ref="A16:H16"/>
    <mergeCell ref="A31:H31"/>
    <mergeCell ref="A207:G207"/>
    <mergeCell ref="A209:A217"/>
    <mergeCell ref="B209:B211"/>
    <mergeCell ref="C209:C211"/>
    <mergeCell ref="B212:B215"/>
    <mergeCell ref="C212:C215"/>
    <mergeCell ref="A138:A141"/>
    <mergeCell ref="B309:B311"/>
    <mergeCell ref="C309:C311"/>
    <mergeCell ref="A177:N177"/>
    <mergeCell ref="A193:G193"/>
    <mergeCell ref="A195:A204"/>
    <mergeCell ref="B195:B197"/>
    <mergeCell ref="C195:C197"/>
    <mergeCell ref="B198:B201"/>
    <mergeCell ref="C198:C201"/>
    <mergeCell ref="B203:B204"/>
    <mergeCell ref="A142:A145"/>
    <mergeCell ref="A309:A317"/>
    <mergeCell ref="B312:B315"/>
    <mergeCell ref="C312:C315"/>
    <mergeCell ref="B250:B253"/>
    <mergeCell ref="A218:A226"/>
    <mergeCell ref="B218:B220"/>
    <mergeCell ref="C218:C220"/>
    <mergeCell ref="B221:B224"/>
    <mergeCell ref="C221:C224"/>
    <mergeCell ref="A227:A235"/>
    <mergeCell ref="B227:B229"/>
    <mergeCell ref="A408:A412"/>
    <mergeCell ref="B476:G476"/>
    <mergeCell ref="H476:P476"/>
    <mergeCell ref="B477:G477"/>
    <mergeCell ref="H477:P477"/>
    <mergeCell ref="C227:C229"/>
    <mergeCell ref="B230:B233"/>
    <mergeCell ref="C230:C233"/>
    <mergeCell ref="A238:A246"/>
    <mergeCell ref="B238:B240"/>
    <mergeCell ref="C238:C240"/>
    <mergeCell ref="B241:B244"/>
    <mergeCell ref="C241:C244"/>
    <mergeCell ref="A431:H431"/>
    <mergeCell ref="A318:A326"/>
    <mergeCell ref="B318:B320"/>
    <mergeCell ref="C318:C320"/>
    <mergeCell ref="B321:B324"/>
    <mergeCell ref="C321:C324"/>
    <mergeCell ref="A423:A427"/>
    <mergeCell ref="V477:BD477"/>
    <mergeCell ref="B478:G478"/>
    <mergeCell ref="H478:P478"/>
    <mergeCell ref="A461:H461"/>
    <mergeCell ref="A446:H446"/>
    <mergeCell ref="A393:A397"/>
    <mergeCell ref="A398:A402"/>
    <mergeCell ref="A403:A407"/>
    <mergeCell ref="C250:C253"/>
    <mergeCell ref="A388:A392"/>
    <mergeCell ref="A271:G271"/>
    <mergeCell ref="A286:G286"/>
    <mergeCell ref="A355:H355"/>
    <mergeCell ref="A360:A364"/>
    <mergeCell ref="A366:H366"/>
    <mergeCell ref="A368:A372"/>
    <mergeCell ref="A256:G256"/>
    <mergeCell ref="A247:A255"/>
    <mergeCell ref="B247:B249"/>
    <mergeCell ref="C247:C249"/>
    <mergeCell ref="A373:A377"/>
    <mergeCell ref="A378:A382"/>
    <mergeCell ref="A383:A387"/>
    <mergeCell ref="A300:A308"/>
    <mergeCell ref="B300:B302"/>
    <mergeCell ref="C300:C302"/>
    <mergeCell ref="B303:B306"/>
    <mergeCell ref="C303:C306"/>
    <mergeCell ref="A336:A344"/>
    <mergeCell ref="B336:B338"/>
    <mergeCell ref="C336:C338"/>
    <mergeCell ref="B339:B342"/>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sheetPr>
  <dimension ref="A1:BC2369"/>
  <sheetViews>
    <sheetView topLeftCell="A769" zoomScale="55" zoomScaleNormal="55" zoomScalePageLayoutView="55" workbookViewId="0">
      <selection activeCell="I770" sqref="I770:J793"/>
    </sheetView>
  </sheetViews>
  <sheetFormatPr baseColWidth="10" defaultRowHeight="15" x14ac:dyDescent="0.25"/>
  <cols>
    <col min="2" max="2" width="11.42578125" customWidth="1"/>
    <col min="3" max="3" width="32.85546875" style="3" customWidth="1"/>
    <col min="5" max="5" width="19.85546875" hidden="1" customWidth="1"/>
    <col min="6" max="6" width="18.140625" hidden="1" customWidth="1"/>
    <col min="7" max="7" width="20.28515625" style="3" customWidth="1"/>
    <col min="8" max="8" width="24.42578125" style="3" customWidth="1"/>
    <col min="9" max="9" width="21.5703125" style="3" customWidth="1"/>
    <col min="10" max="10" width="22.28515625" style="288" customWidth="1"/>
    <col min="11" max="11" width="16.28515625" style="282" customWidth="1"/>
    <col min="12" max="12" width="10.7109375" style="288" hidden="1" customWidth="1"/>
    <col min="13" max="13" width="20.85546875" style="288" hidden="1" customWidth="1"/>
    <col min="14" max="14" width="24" style="288" hidden="1" customWidth="1"/>
    <col min="15" max="15" width="21.140625" style="288" hidden="1" customWidth="1"/>
    <col min="16" max="16" width="24.140625" style="288" hidden="1" customWidth="1"/>
    <col min="17" max="17" width="21" style="288" hidden="1" customWidth="1"/>
    <col min="18" max="18" width="23.42578125" style="288" hidden="1" customWidth="1"/>
    <col min="19" max="19" width="20.140625" style="282" customWidth="1"/>
    <col min="20" max="20" width="19.7109375" style="3" customWidth="1"/>
    <col min="21" max="21" width="23.7109375" style="3" customWidth="1"/>
    <col min="22" max="22" width="20.5703125" style="3" customWidth="1"/>
    <col min="23" max="23" width="20.7109375" style="288" customWidth="1"/>
    <col min="24" max="24" width="13.42578125" style="282" customWidth="1"/>
    <col min="25" max="26" width="10.7109375" style="282" hidden="1" customWidth="1"/>
    <col min="27" max="27" width="16.28515625" style="282" hidden="1" customWidth="1"/>
    <col min="28" max="28" width="21" style="282" hidden="1" customWidth="1"/>
    <col min="29" max="29" width="20.42578125" style="282" hidden="1" customWidth="1"/>
    <col min="30" max="30" width="25.42578125" style="282" hidden="1" customWidth="1"/>
    <col min="31" max="31" width="22.42578125" style="282" hidden="1" customWidth="1"/>
    <col min="32" max="32" width="52.5703125" style="282" customWidth="1"/>
    <col min="33" max="33" width="16.140625" style="3" customWidth="1"/>
    <col min="34" max="34" width="16.42578125" style="3" customWidth="1"/>
    <col min="35" max="35" width="41.42578125" style="3" bestFit="1" customWidth="1"/>
    <col min="36" max="36" width="25" style="3" customWidth="1"/>
    <col min="37" max="37" width="16.28515625" style="3" customWidth="1"/>
    <col min="38" max="38" width="15.28515625" style="3" customWidth="1"/>
    <col min="39" max="39" width="29" style="3" customWidth="1"/>
    <col min="40" max="40" width="23.28515625" style="3" customWidth="1"/>
    <col min="41" max="41" width="17.7109375" style="3" customWidth="1"/>
    <col min="42" max="42" width="16.42578125" style="11" customWidth="1"/>
    <col min="43" max="43" width="20.140625" style="11" customWidth="1"/>
    <col min="44" max="44" width="14.140625" style="3" customWidth="1"/>
    <col min="45" max="45" width="20" style="3" customWidth="1"/>
    <col min="46" max="46" width="17.85546875" style="3" customWidth="1"/>
    <col min="47" max="47" width="25.85546875" style="3" customWidth="1"/>
    <col min="48" max="48" width="18.140625" style="3" customWidth="1"/>
    <col min="49" max="49" width="20.42578125" style="3" customWidth="1"/>
    <col min="50" max="50" width="26.28515625" style="11" customWidth="1"/>
    <col min="51" max="51" width="31" style="282" customWidth="1"/>
  </cols>
  <sheetData>
    <row r="1" spans="1:55" ht="29.25" customHeight="1" x14ac:dyDescent="0.25">
      <c r="A1" s="888"/>
      <c r="B1" s="889"/>
      <c r="C1" s="889"/>
      <c r="D1" s="889"/>
      <c r="E1" s="1028" t="s">
        <v>39</v>
      </c>
      <c r="F1" s="1028"/>
      <c r="G1" s="1028"/>
      <c r="H1" s="1028"/>
      <c r="I1" s="1028"/>
      <c r="J1" s="1028"/>
      <c r="K1" s="1028"/>
      <c r="L1" s="1028"/>
      <c r="M1" s="1028"/>
      <c r="N1" s="1028"/>
      <c r="O1" s="1028"/>
      <c r="P1" s="1028"/>
      <c r="Q1" s="1028"/>
      <c r="R1" s="1028"/>
      <c r="S1" s="1028"/>
      <c r="T1" s="1028"/>
      <c r="U1" s="1028"/>
      <c r="V1" s="1028"/>
      <c r="W1" s="1028"/>
      <c r="X1" s="1028"/>
      <c r="Y1" s="1028"/>
      <c r="Z1" s="1028"/>
      <c r="AA1" s="1028"/>
      <c r="AB1" s="1028"/>
      <c r="AC1" s="1028"/>
      <c r="AD1" s="1028"/>
      <c r="AE1" s="1028"/>
      <c r="AF1" s="1028"/>
      <c r="AG1" s="1028"/>
      <c r="AH1" s="1028"/>
      <c r="AI1" s="1028"/>
      <c r="AJ1" s="1028"/>
      <c r="AK1" s="1028"/>
      <c r="AL1" s="1028"/>
      <c r="AM1" s="1028"/>
      <c r="AN1" s="1028"/>
      <c r="AO1" s="1028"/>
      <c r="AP1" s="1028"/>
      <c r="AQ1" s="1028"/>
      <c r="AR1" s="1028"/>
      <c r="AS1" s="1028"/>
      <c r="AT1" s="1028"/>
      <c r="AU1" s="1028"/>
      <c r="AV1" s="1028"/>
      <c r="AW1" s="1028"/>
      <c r="AX1" s="1028"/>
      <c r="AY1" s="1028"/>
    </row>
    <row r="2" spans="1:55" ht="50.25" customHeight="1" thickBot="1" x14ac:dyDescent="0.3">
      <c r="A2" s="890"/>
      <c r="B2" s="669"/>
      <c r="C2" s="669"/>
      <c r="D2" s="669"/>
      <c r="E2" s="1029" t="s">
        <v>270</v>
      </c>
      <c r="F2" s="1029"/>
      <c r="G2" s="1029"/>
      <c r="H2" s="1029"/>
      <c r="I2" s="1029"/>
      <c r="J2" s="1029"/>
      <c r="K2" s="1029"/>
      <c r="L2" s="1029"/>
      <c r="M2" s="1029"/>
      <c r="N2" s="1029"/>
      <c r="O2" s="1029"/>
      <c r="P2" s="1029"/>
      <c r="Q2" s="1029"/>
      <c r="R2" s="1029"/>
      <c r="S2" s="1029"/>
      <c r="T2" s="1029"/>
      <c r="U2" s="1029"/>
      <c r="V2" s="1029"/>
      <c r="W2" s="1029"/>
      <c r="X2" s="1029"/>
      <c r="Y2" s="1029"/>
      <c r="Z2" s="1029"/>
      <c r="AA2" s="1029"/>
      <c r="AB2" s="1029"/>
      <c r="AC2" s="1029"/>
      <c r="AD2" s="1029"/>
      <c r="AE2" s="1029"/>
      <c r="AF2" s="1029"/>
      <c r="AG2" s="1029"/>
      <c r="AH2" s="1029"/>
      <c r="AI2" s="1029"/>
      <c r="AJ2" s="1029"/>
      <c r="AK2" s="1029"/>
      <c r="AL2" s="1029"/>
      <c r="AM2" s="1029"/>
      <c r="AN2" s="1029"/>
      <c r="AO2" s="1029"/>
      <c r="AP2" s="1029"/>
      <c r="AQ2" s="1029"/>
      <c r="AR2" s="1029"/>
      <c r="AS2" s="1029"/>
      <c r="AT2" s="1029"/>
      <c r="AU2" s="1029"/>
      <c r="AV2" s="1029"/>
      <c r="AW2" s="1029"/>
      <c r="AX2" s="1029"/>
      <c r="AY2" s="1029"/>
    </row>
    <row r="3" spans="1:55" ht="27.75" customHeight="1" thickBot="1" x14ac:dyDescent="0.3">
      <c r="A3" s="890"/>
      <c r="B3" s="669"/>
      <c r="C3" s="669"/>
      <c r="D3" s="669"/>
      <c r="E3" s="893" t="s">
        <v>40</v>
      </c>
      <c r="F3" s="894"/>
      <c r="G3" s="894"/>
      <c r="H3" s="894"/>
      <c r="I3" s="894"/>
      <c r="J3" s="894"/>
      <c r="K3" s="894"/>
      <c r="L3" s="894"/>
      <c r="M3" s="894"/>
      <c r="N3" s="894"/>
      <c r="O3" s="894"/>
      <c r="P3" s="894"/>
      <c r="Q3" s="894"/>
      <c r="R3" s="894"/>
      <c r="S3" s="894"/>
      <c r="T3" s="894"/>
      <c r="U3" s="894"/>
      <c r="V3" s="894"/>
      <c r="W3" s="894"/>
      <c r="X3" s="894"/>
      <c r="Y3" s="894"/>
      <c r="Z3" s="894"/>
      <c r="AA3" s="894"/>
      <c r="AB3" s="894"/>
      <c r="AC3" s="894"/>
      <c r="AD3" s="895"/>
      <c r="AE3" s="1030" t="s">
        <v>271</v>
      </c>
      <c r="AF3" s="1031"/>
      <c r="AG3" s="1031"/>
      <c r="AH3" s="1031"/>
      <c r="AI3" s="1031"/>
      <c r="AJ3" s="1031"/>
      <c r="AK3" s="1031"/>
      <c r="AL3" s="1031"/>
      <c r="AM3" s="1031"/>
      <c r="AN3" s="1031"/>
      <c r="AO3" s="1031"/>
      <c r="AP3" s="1031"/>
      <c r="AQ3" s="1031"/>
      <c r="AR3" s="1031"/>
      <c r="AS3" s="1031"/>
      <c r="AT3" s="1031"/>
      <c r="AU3" s="1031"/>
      <c r="AV3" s="1031"/>
      <c r="AW3" s="1031"/>
      <c r="AX3" s="1031"/>
      <c r="AY3" s="1032"/>
    </row>
    <row r="4" spans="1:55" ht="15.75" customHeight="1" thickBot="1" x14ac:dyDescent="0.3">
      <c r="A4" s="899" t="s">
        <v>0</v>
      </c>
      <c r="B4" s="900"/>
      <c r="C4" s="900"/>
      <c r="D4" s="901"/>
      <c r="E4" s="902" t="s">
        <v>300</v>
      </c>
      <c r="F4" s="902"/>
      <c r="G4" s="903"/>
      <c r="H4" s="903"/>
      <c r="I4" s="903"/>
      <c r="J4" s="903"/>
      <c r="K4" s="903"/>
      <c r="L4" s="903"/>
      <c r="M4" s="903"/>
      <c r="N4" s="903"/>
      <c r="O4" s="903"/>
      <c r="P4" s="903"/>
      <c r="Q4" s="903"/>
      <c r="R4" s="903"/>
      <c r="S4" s="903"/>
      <c r="T4" s="903"/>
      <c r="U4" s="903"/>
      <c r="V4" s="903"/>
      <c r="W4" s="903"/>
      <c r="X4" s="903"/>
      <c r="Y4" s="903"/>
      <c r="Z4" s="903"/>
      <c r="AA4" s="903"/>
      <c r="AB4" s="903"/>
      <c r="AC4" s="903"/>
      <c r="AD4" s="903"/>
      <c r="AE4" s="903"/>
      <c r="AF4" s="903"/>
      <c r="AG4" s="903"/>
      <c r="AH4" s="903"/>
      <c r="AI4" s="903"/>
      <c r="AJ4" s="903"/>
      <c r="AK4" s="903"/>
      <c r="AL4" s="903"/>
      <c r="AM4" s="903"/>
      <c r="AN4" s="903"/>
      <c r="AO4" s="903"/>
      <c r="AP4" s="903"/>
      <c r="AQ4" s="903"/>
      <c r="AR4" s="903"/>
      <c r="AS4" s="903"/>
      <c r="AT4" s="903"/>
      <c r="AU4" s="903"/>
      <c r="AV4" s="903"/>
      <c r="AW4" s="903"/>
      <c r="AX4" s="903"/>
      <c r="AY4" s="904"/>
    </row>
    <row r="5" spans="1:55" ht="15.75" customHeight="1" thickBot="1" x14ac:dyDescent="0.3">
      <c r="A5" s="914" t="s">
        <v>2</v>
      </c>
      <c r="B5" s="915"/>
      <c r="C5" s="915"/>
      <c r="D5" s="916"/>
      <c r="E5" s="917" t="s">
        <v>301</v>
      </c>
      <c r="F5" s="917"/>
      <c r="G5" s="918"/>
      <c r="H5" s="918"/>
      <c r="I5" s="918"/>
      <c r="J5" s="918"/>
      <c r="K5" s="918"/>
      <c r="L5" s="918"/>
      <c r="M5" s="918"/>
      <c r="N5" s="918"/>
      <c r="O5" s="918"/>
      <c r="P5" s="918"/>
      <c r="Q5" s="918"/>
      <c r="R5" s="918"/>
      <c r="S5" s="918"/>
      <c r="T5" s="918"/>
      <c r="U5" s="918"/>
      <c r="V5" s="918"/>
      <c r="W5" s="918"/>
      <c r="X5" s="918"/>
      <c r="Y5" s="918"/>
      <c r="Z5" s="918"/>
      <c r="AA5" s="918"/>
      <c r="AB5" s="918"/>
      <c r="AC5" s="918"/>
      <c r="AD5" s="918"/>
      <c r="AE5" s="918"/>
      <c r="AF5" s="918"/>
      <c r="AG5" s="918"/>
      <c r="AH5" s="918"/>
      <c r="AI5" s="918"/>
      <c r="AJ5" s="918"/>
      <c r="AK5" s="918"/>
      <c r="AL5" s="918"/>
      <c r="AM5" s="918"/>
      <c r="AN5" s="918"/>
      <c r="AO5" s="918"/>
      <c r="AP5" s="918"/>
      <c r="AQ5" s="918"/>
      <c r="AR5" s="918"/>
      <c r="AS5" s="918"/>
      <c r="AT5" s="918"/>
      <c r="AU5" s="918"/>
      <c r="AV5" s="918"/>
      <c r="AW5" s="918"/>
      <c r="AX5" s="918"/>
      <c r="AY5" s="919"/>
    </row>
    <row r="6" spans="1:55" ht="15.75" customHeight="1" thickBot="1" x14ac:dyDescent="0.3">
      <c r="A6" s="920" t="s">
        <v>21</v>
      </c>
      <c r="B6" s="921"/>
      <c r="C6" s="921"/>
      <c r="D6" s="922"/>
      <c r="E6" s="923" t="s">
        <v>619</v>
      </c>
      <c r="F6" s="923"/>
      <c r="G6" s="923"/>
      <c r="H6" s="923"/>
      <c r="I6" s="923"/>
      <c r="J6" s="923"/>
      <c r="K6" s="923"/>
      <c r="L6" s="923"/>
      <c r="M6" s="923"/>
      <c r="N6" s="923"/>
      <c r="O6" s="923"/>
      <c r="P6" s="923"/>
      <c r="Q6" s="923"/>
      <c r="R6" s="924"/>
      <c r="S6" s="924"/>
      <c r="T6" s="924"/>
      <c r="U6" s="924"/>
      <c r="V6" s="924"/>
      <c r="W6" s="924"/>
      <c r="X6" s="924"/>
      <c r="Y6" s="924"/>
      <c r="Z6" s="924"/>
      <c r="AA6" s="924"/>
      <c r="AB6" s="924"/>
      <c r="AC6" s="924"/>
      <c r="AD6" s="924"/>
      <c r="AE6" s="924"/>
      <c r="AF6" s="924"/>
      <c r="AG6" s="924"/>
      <c r="AH6" s="924"/>
      <c r="AI6" s="924"/>
      <c r="AJ6" s="924"/>
      <c r="AK6" s="924"/>
      <c r="AL6" s="924"/>
      <c r="AM6" s="924"/>
      <c r="AN6" s="924"/>
      <c r="AO6" s="924"/>
      <c r="AP6" s="924"/>
      <c r="AQ6" s="924"/>
      <c r="AR6" s="924"/>
      <c r="AS6" s="924"/>
      <c r="AT6" s="924"/>
      <c r="AU6" s="924"/>
      <c r="AV6" s="924"/>
      <c r="AW6" s="924"/>
      <c r="AX6" s="924"/>
      <c r="AY6" s="925"/>
    </row>
    <row r="7" spans="1:55" ht="15.75" customHeight="1" thickBot="1" x14ac:dyDescent="0.3">
      <c r="A7" s="926"/>
      <c r="B7" s="927"/>
      <c r="C7" s="927"/>
      <c r="D7" s="928"/>
      <c r="E7" s="927"/>
      <c r="F7" s="927"/>
      <c r="G7" s="927"/>
      <c r="H7" s="927"/>
      <c r="I7" s="927"/>
      <c r="J7" s="927"/>
      <c r="K7" s="927"/>
      <c r="L7" s="927"/>
      <c r="M7" s="927"/>
      <c r="N7" s="927"/>
      <c r="O7" s="927"/>
      <c r="P7" s="927"/>
      <c r="Q7" s="927"/>
      <c r="R7" s="927"/>
      <c r="S7" s="927"/>
      <c r="T7" s="927"/>
      <c r="U7" s="927"/>
      <c r="V7" s="927"/>
      <c r="W7" s="927"/>
      <c r="X7" s="927"/>
      <c r="Y7" s="927"/>
      <c r="Z7" s="927"/>
      <c r="AA7" s="927"/>
      <c r="AB7" s="927"/>
      <c r="AC7" s="927"/>
      <c r="AD7" s="927"/>
      <c r="AE7" s="927"/>
      <c r="AF7" s="927"/>
      <c r="AG7" s="927"/>
      <c r="AH7" s="927"/>
      <c r="AI7" s="927"/>
      <c r="AJ7" s="927"/>
      <c r="AK7" s="927"/>
      <c r="AL7" s="927"/>
      <c r="AM7" s="927"/>
      <c r="AN7" s="927"/>
      <c r="AO7" s="927"/>
      <c r="AP7" s="927"/>
      <c r="AQ7" s="927"/>
      <c r="AR7" s="927"/>
      <c r="AS7" s="927"/>
      <c r="AT7" s="927"/>
      <c r="AU7" s="927"/>
      <c r="AV7" s="927"/>
      <c r="AW7" s="927"/>
      <c r="AX7" s="927"/>
      <c r="AY7" s="929"/>
    </row>
    <row r="8" spans="1:55" ht="46.5" customHeight="1" thickBot="1" x14ac:dyDescent="0.3">
      <c r="A8" s="930" t="s">
        <v>302</v>
      </c>
      <c r="B8" s="932" t="s">
        <v>303</v>
      </c>
      <c r="C8" s="932" t="s">
        <v>304</v>
      </c>
      <c r="D8" s="934" t="s">
        <v>305</v>
      </c>
      <c r="E8" s="907" t="s">
        <v>306</v>
      </c>
      <c r="F8" s="114"/>
      <c r="G8" s="1151" t="s">
        <v>94</v>
      </c>
      <c r="H8" s="1152"/>
      <c r="I8" s="1152"/>
      <c r="J8" s="1152"/>
      <c r="K8" s="1152"/>
      <c r="L8" s="1152"/>
      <c r="M8" s="1152"/>
      <c r="N8" s="1152"/>
      <c r="O8" s="1152"/>
      <c r="P8" s="1152"/>
      <c r="Q8" s="1152"/>
      <c r="R8" s="1152"/>
      <c r="S8" s="1153"/>
      <c r="T8" s="1151" t="s">
        <v>95</v>
      </c>
      <c r="U8" s="1152"/>
      <c r="V8" s="1152"/>
      <c r="W8" s="1152"/>
      <c r="X8" s="1152"/>
      <c r="Y8" s="1152"/>
      <c r="Z8" s="1152"/>
      <c r="AA8" s="1152"/>
      <c r="AB8" s="1152"/>
      <c r="AC8" s="1152"/>
      <c r="AD8" s="1152"/>
      <c r="AE8" s="1152"/>
      <c r="AF8" s="1153"/>
      <c r="AG8" s="1038" t="s">
        <v>96</v>
      </c>
      <c r="AH8" s="1039"/>
      <c r="AI8" s="1039"/>
      <c r="AJ8" s="1039"/>
      <c r="AK8" s="1039"/>
      <c r="AL8" s="906" t="s">
        <v>102</v>
      </c>
      <c r="AM8" s="1040"/>
      <c r="AN8" s="111"/>
      <c r="AO8" s="1041" t="s">
        <v>68</v>
      </c>
      <c r="AP8" s="906"/>
      <c r="AQ8" s="906"/>
      <c r="AR8" s="906"/>
      <c r="AS8" s="906"/>
      <c r="AT8" s="906"/>
      <c r="AU8" s="906"/>
      <c r="AV8" s="906"/>
      <c r="AW8" s="906"/>
      <c r="AX8" s="1040"/>
      <c r="AY8" s="111" t="s">
        <v>307</v>
      </c>
      <c r="AZ8" s="19"/>
      <c r="BA8" s="19"/>
      <c r="BB8" s="19"/>
      <c r="BC8" s="19"/>
    </row>
    <row r="9" spans="1:55" ht="54" customHeight="1" thickBot="1" x14ac:dyDescent="0.3">
      <c r="A9" s="931"/>
      <c r="B9" s="933"/>
      <c r="C9" s="933"/>
      <c r="D9" s="934"/>
      <c r="E9" s="935"/>
      <c r="F9" s="100" t="s">
        <v>93</v>
      </c>
      <c r="G9" s="105" t="s">
        <v>6</v>
      </c>
      <c r="H9" s="105" t="s">
        <v>7</v>
      </c>
      <c r="I9" s="105" t="s">
        <v>8</v>
      </c>
      <c r="J9" s="105" t="s">
        <v>9</v>
      </c>
      <c r="K9" s="105" t="s">
        <v>10</v>
      </c>
      <c r="L9" s="105" t="s">
        <v>11</v>
      </c>
      <c r="M9" s="105" t="s">
        <v>12</v>
      </c>
      <c r="N9" s="105" t="s">
        <v>13</v>
      </c>
      <c r="O9" s="105" t="s">
        <v>14</v>
      </c>
      <c r="P9" s="105" t="s">
        <v>15</v>
      </c>
      <c r="Q9" s="105" t="s">
        <v>16</v>
      </c>
      <c r="R9" s="105" t="s">
        <v>17</v>
      </c>
      <c r="S9" s="106" t="s">
        <v>66</v>
      </c>
      <c r="T9" s="105" t="s">
        <v>6</v>
      </c>
      <c r="U9" s="105" t="s">
        <v>7</v>
      </c>
      <c r="V9" s="105" t="s">
        <v>8</v>
      </c>
      <c r="W9" s="105" t="s">
        <v>9</v>
      </c>
      <c r="X9" s="105" t="s">
        <v>10</v>
      </c>
      <c r="Y9" s="105" t="s">
        <v>11</v>
      </c>
      <c r="Z9" s="105" t="s">
        <v>12</v>
      </c>
      <c r="AA9" s="105" t="s">
        <v>13</v>
      </c>
      <c r="AB9" s="105" t="s">
        <v>14</v>
      </c>
      <c r="AC9" s="105" t="s">
        <v>15</v>
      </c>
      <c r="AD9" s="107" t="s">
        <v>16</v>
      </c>
      <c r="AE9" s="108" t="s">
        <v>17</v>
      </c>
      <c r="AF9" s="109" t="s">
        <v>67</v>
      </c>
      <c r="AG9" s="103" t="s">
        <v>97</v>
      </c>
      <c r="AH9" s="101" t="s">
        <v>98</v>
      </c>
      <c r="AI9" s="101" t="s">
        <v>99</v>
      </c>
      <c r="AJ9" s="101" t="s">
        <v>100</v>
      </c>
      <c r="AK9" s="101" t="s">
        <v>101</v>
      </c>
      <c r="AL9" s="101" t="s">
        <v>103</v>
      </c>
      <c r="AM9" s="101" t="s">
        <v>104</v>
      </c>
      <c r="AN9" s="102" t="s">
        <v>105</v>
      </c>
      <c r="AO9" s="102" t="s">
        <v>106</v>
      </c>
      <c r="AP9" s="102" t="s">
        <v>107</v>
      </c>
      <c r="AQ9" s="102" t="s">
        <v>108</v>
      </c>
      <c r="AR9" s="102" t="s">
        <v>109</v>
      </c>
      <c r="AS9" s="102" t="s">
        <v>110</v>
      </c>
      <c r="AT9" s="102" t="s">
        <v>111</v>
      </c>
      <c r="AU9" s="102" t="s">
        <v>112</v>
      </c>
      <c r="AV9" s="102" t="s">
        <v>113</v>
      </c>
      <c r="AW9" s="102" t="s">
        <v>114</v>
      </c>
      <c r="AX9" s="104" t="s">
        <v>115</v>
      </c>
      <c r="AY9" s="115"/>
      <c r="AZ9" s="19"/>
      <c r="BA9" s="19"/>
      <c r="BB9" s="19"/>
      <c r="BC9" s="19"/>
    </row>
    <row r="10" spans="1:55" ht="18" customHeight="1" x14ac:dyDescent="0.25">
      <c r="A10" s="911">
        <v>1</v>
      </c>
      <c r="B10" s="1154" t="s">
        <v>287</v>
      </c>
      <c r="C10" s="838" t="s">
        <v>308</v>
      </c>
      <c r="D10" s="116" t="s">
        <v>41</v>
      </c>
      <c r="E10" s="117" t="e">
        <f>+[4]INVERSIÓN!U10</f>
        <v>#REF!</v>
      </c>
      <c r="F10" s="117" t="e">
        <f>+[4]INVERSIÓN!V10</f>
        <v>#REF!</v>
      </c>
      <c r="G10" s="118">
        <f>+[5]INVERSIÓN!V10</f>
        <v>109</v>
      </c>
      <c r="H10" s="119">
        <f>+[5]INVERSIÓN!X10</f>
        <v>109</v>
      </c>
      <c r="I10" s="119" t="e">
        <f>+#REF!</f>
        <v>#REF!</v>
      </c>
      <c r="J10" s="120" t="e">
        <f>+#REF!</f>
        <v>#REF!</v>
      </c>
      <c r="K10" s="121">
        <v>109</v>
      </c>
      <c r="L10" s="122"/>
      <c r="M10" s="122" t="e">
        <f t="shared" ref="M10:M15" si="0">+F10</f>
        <v>#REF!</v>
      </c>
      <c r="N10" s="120">
        <f>+[6]INVERSIÓN!K10</f>
        <v>66</v>
      </c>
      <c r="O10" s="122">
        <f>+[6]INVERSIÓN!M10</f>
        <v>66</v>
      </c>
      <c r="P10" s="122" t="e">
        <f>+[4]INVERSIÓN!O10</f>
        <v>#REF!</v>
      </c>
      <c r="Q10" s="120" t="e">
        <f>+[4]INVERSIÓN!Q10</f>
        <v>#REF!</v>
      </c>
      <c r="R10" s="120" t="e">
        <f>+[4]INVERSIÓN!S10</f>
        <v>#REF!</v>
      </c>
      <c r="S10" s="1118" t="s">
        <v>309</v>
      </c>
      <c r="T10" s="123">
        <f>+[5]INVERSIÓN!W10</f>
        <v>5</v>
      </c>
      <c r="U10" s="123">
        <f>+[5]INVERSIÓN!DR10</f>
        <v>13</v>
      </c>
      <c r="V10" s="123" t="e">
        <f>+#REF!</f>
        <v>#REF!</v>
      </c>
      <c r="W10" s="124" t="e">
        <f>+#REF!</f>
        <v>#REF!</v>
      </c>
      <c r="X10" s="125">
        <v>43</v>
      </c>
      <c r="Y10" s="126"/>
      <c r="Z10" s="127">
        <f>+[6]INVERSIÓN!J10</f>
        <v>11</v>
      </c>
      <c r="AA10" s="126">
        <f>+[6]INVERSIÓN!DX10</f>
        <v>22</v>
      </c>
      <c r="AB10" s="128">
        <f>+[6]INVERSIÓN!DY10</f>
        <v>33</v>
      </c>
      <c r="AC10" s="129" t="e">
        <f>+[4]INVERSIÓN!P10</f>
        <v>#REF!</v>
      </c>
      <c r="AD10" s="130" t="e">
        <f>+[4]INVERSIÓN!R10</f>
        <v>#REF!</v>
      </c>
      <c r="AE10" s="131" t="e">
        <f>+[4]INVERSIÓN!EB10</f>
        <v>#REF!</v>
      </c>
      <c r="AF10" s="1157" t="s">
        <v>310</v>
      </c>
      <c r="AG10" s="1138" t="s">
        <v>311</v>
      </c>
      <c r="AH10" s="774" t="s">
        <v>312</v>
      </c>
      <c r="AI10" s="774" t="s">
        <v>313</v>
      </c>
      <c r="AJ10" s="777" t="s">
        <v>314</v>
      </c>
      <c r="AK10" s="774" t="s">
        <v>315</v>
      </c>
      <c r="AL10" s="1150" t="s">
        <v>70</v>
      </c>
      <c r="AM10" s="1150" t="s">
        <v>316</v>
      </c>
      <c r="AN10" s="808">
        <v>7804660</v>
      </c>
      <c r="AO10" s="796">
        <v>3721767</v>
      </c>
      <c r="AP10" s="796">
        <v>4082893</v>
      </c>
      <c r="AQ10" s="795" t="s">
        <v>317</v>
      </c>
      <c r="AR10" s="795" t="s">
        <v>317</v>
      </c>
      <c r="AS10" s="795" t="s">
        <v>317</v>
      </c>
      <c r="AT10" s="795" t="s">
        <v>317</v>
      </c>
      <c r="AU10" s="795" t="s">
        <v>317</v>
      </c>
      <c r="AV10" s="795" t="s">
        <v>317</v>
      </c>
      <c r="AW10" s="795" t="s">
        <v>317</v>
      </c>
      <c r="AX10" s="796">
        <v>7804660</v>
      </c>
      <c r="AY10" s="884" t="s">
        <v>318</v>
      </c>
    </row>
    <row r="11" spans="1:55" ht="18" x14ac:dyDescent="0.25">
      <c r="A11" s="912"/>
      <c r="B11" s="1155"/>
      <c r="C11" s="838"/>
      <c r="D11" s="132" t="s">
        <v>3</v>
      </c>
      <c r="E11" s="117" t="e">
        <f>+[4]INVERSIÓN!U11</f>
        <v>#REF!</v>
      </c>
      <c r="F11" s="117" t="e">
        <f>+[4]INVERSIÓN!V11</f>
        <v>#REF!</v>
      </c>
      <c r="G11" s="118">
        <f>+[5]INVERSIÓN!V11</f>
        <v>574654000</v>
      </c>
      <c r="H11" s="119">
        <f>+[5]INVERSIÓN!X11</f>
        <v>574654000</v>
      </c>
      <c r="I11" s="119" t="e">
        <f>+#REF!</f>
        <v>#REF!</v>
      </c>
      <c r="J11" s="120" t="e">
        <f>+#REF!</f>
        <v>#REF!</v>
      </c>
      <c r="K11" s="133"/>
      <c r="L11" s="134"/>
      <c r="M11" s="122" t="e">
        <f t="shared" si="0"/>
        <v>#REF!</v>
      </c>
      <c r="N11" s="120">
        <f>+[6]INVERSIÓN!K11</f>
        <v>361860000</v>
      </c>
      <c r="O11" s="122">
        <f>+[6]INVERSIÓN!M11</f>
        <v>361860000</v>
      </c>
      <c r="P11" s="122" t="e">
        <f>+[4]INVERSIÓN!O11</f>
        <v>#REF!</v>
      </c>
      <c r="Q11" s="120" t="e">
        <f>+[4]INVERSIÓN!Q11</f>
        <v>#REF!</v>
      </c>
      <c r="R11" s="120" t="e">
        <f>+[4]INVERSIÓN!S11</f>
        <v>#REF!</v>
      </c>
      <c r="S11" s="1119"/>
      <c r="T11" s="123">
        <f>+[5]INVERSIÓN!W11</f>
        <v>0</v>
      </c>
      <c r="U11" s="123">
        <f>+[5]INVERSIÓN!DR11</f>
        <v>308440000</v>
      </c>
      <c r="V11" s="123" t="e">
        <f>+#REF!</f>
        <v>#REF!</v>
      </c>
      <c r="W11" s="124" t="e">
        <f>+#REF!</f>
        <v>#REF!</v>
      </c>
      <c r="X11" s="135"/>
      <c r="Y11" s="135"/>
      <c r="Z11" s="127">
        <f>+[6]INVERSIÓN!J11</f>
        <v>140580000</v>
      </c>
      <c r="AA11" s="126">
        <f>+[6]INVERSIÓN!DX11</f>
        <v>262457000</v>
      </c>
      <c r="AB11" s="128">
        <f>+[6]INVERSIÓN!DY11</f>
        <v>262457000</v>
      </c>
      <c r="AC11" s="129" t="e">
        <f>+[4]INVERSIÓN!P11</f>
        <v>#REF!</v>
      </c>
      <c r="AD11" s="130" t="e">
        <f>+[4]INVERSIÓN!R11</f>
        <v>#REF!</v>
      </c>
      <c r="AE11" s="131" t="e">
        <f>+[4]INVERSIÓN!EB11</f>
        <v>#REF!</v>
      </c>
      <c r="AF11" s="1158"/>
      <c r="AG11" s="1139"/>
      <c r="AH11" s="775"/>
      <c r="AI11" s="775"/>
      <c r="AJ11" s="778"/>
      <c r="AK11" s="775"/>
      <c r="AL11" s="775"/>
      <c r="AM11" s="775"/>
      <c r="AN11" s="808"/>
      <c r="AO11" s="797"/>
      <c r="AP11" s="797"/>
      <c r="AQ11" s="795"/>
      <c r="AR11" s="795"/>
      <c r="AS11" s="795"/>
      <c r="AT11" s="795"/>
      <c r="AU11" s="795"/>
      <c r="AV11" s="795"/>
      <c r="AW11" s="795"/>
      <c r="AX11" s="797"/>
      <c r="AY11" s="885"/>
    </row>
    <row r="12" spans="1:55" ht="18.75" customHeight="1" x14ac:dyDescent="0.25">
      <c r="A12" s="912"/>
      <c r="B12" s="1155"/>
      <c r="C12" s="838"/>
      <c r="D12" s="136" t="s">
        <v>42</v>
      </c>
      <c r="E12" s="117" t="e">
        <f>+[4]INVERSIÓN!U12</f>
        <v>#REF!</v>
      </c>
      <c r="F12" s="117" t="e">
        <f>+[4]INVERSIÓN!V12</f>
        <v>#REF!</v>
      </c>
      <c r="G12" s="118">
        <v>0</v>
      </c>
      <c r="H12" s="119">
        <v>0</v>
      </c>
      <c r="I12" s="119" t="e">
        <f>+#REF!</f>
        <v>#REF!</v>
      </c>
      <c r="J12" s="120" t="e">
        <f>+#REF!</f>
        <v>#REF!</v>
      </c>
      <c r="K12" s="137"/>
      <c r="L12" s="138"/>
      <c r="M12" s="122" t="e">
        <f t="shared" si="0"/>
        <v>#REF!</v>
      </c>
      <c r="N12" s="120">
        <f>+[6]INVERSIÓN!K12</f>
        <v>0</v>
      </c>
      <c r="O12" s="122">
        <f>+[6]INVERSIÓN!M12</f>
        <v>0</v>
      </c>
      <c r="P12" s="122" t="e">
        <f>+[4]INVERSIÓN!O12</f>
        <v>#REF!</v>
      </c>
      <c r="Q12" s="120" t="e">
        <f>+[4]INVERSIÓN!Q12</f>
        <v>#REF!</v>
      </c>
      <c r="R12" s="120" t="e">
        <f>+[4]INVERSIÓN!S12</f>
        <v>#REF!</v>
      </c>
      <c r="S12" s="1119"/>
      <c r="T12" s="123">
        <v>0</v>
      </c>
      <c r="U12" s="123">
        <v>0</v>
      </c>
      <c r="V12" s="123" t="e">
        <f>+#REF!</f>
        <v>#REF!</v>
      </c>
      <c r="W12" s="124" t="e">
        <f>+#REF!</f>
        <v>#REF!</v>
      </c>
      <c r="X12" s="139"/>
      <c r="Y12" s="139"/>
      <c r="Z12" s="127">
        <f>+[6]INVERSIÓN!J12</f>
        <v>0</v>
      </c>
      <c r="AA12" s="126">
        <f>+[6]INVERSIÓN!DX12</f>
        <v>0</v>
      </c>
      <c r="AB12" s="128">
        <f>+[6]INVERSIÓN!DY12</f>
        <v>0</v>
      </c>
      <c r="AC12" s="129" t="e">
        <f>+[4]INVERSIÓN!P12</f>
        <v>#REF!</v>
      </c>
      <c r="AD12" s="130" t="e">
        <f>+[4]INVERSIÓN!R12</f>
        <v>#REF!</v>
      </c>
      <c r="AE12" s="131" t="e">
        <f>+[4]INVERSIÓN!EB12</f>
        <v>#REF!</v>
      </c>
      <c r="AF12" s="1158"/>
      <c r="AG12" s="1139"/>
      <c r="AH12" s="775"/>
      <c r="AI12" s="775"/>
      <c r="AJ12" s="778"/>
      <c r="AK12" s="775"/>
      <c r="AL12" s="775"/>
      <c r="AM12" s="775"/>
      <c r="AN12" s="808"/>
      <c r="AO12" s="797"/>
      <c r="AP12" s="797"/>
      <c r="AQ12" s="795"/>
      <c r="AR12" s="795"/>
      <c r="AS12" s="795"/>
      <c r="AT12" s="795"/>
      <c r="AU12" s="795"/>
      <c r="AV12" s="795"/>
      <c r="AW12" s="795"/>
      <c r="AX12" s="797"/>
      <c r="AY12" s="885"/>
    </row>
    <row r="13" spans="1:55" ht="27" x14ac:dyDescent="0.25">
      <c r="A13" s="912"/>
      <c r="B13" s="1155"/>
      <c r="C13" s="838"/>
      <c r="D13" s="132" t="s">
        <v>4</v>
      </c>
      <c r="E13" s="117" t="e">
        <f>+[4]INVERSIÓN!U13</f>
        <v>#REF!</v>
      </c>
      <c r="F13" s="117" t="e">
        <f>+[4]INVERSIÓN!V13</f>
        <v>#REF!</v>
      </c>
      <c r="G13" s="118">
        <f>+[5]INVERSIÓN!V13</f>
        <v>108646338</v>
      </c>
      <c r="H13" s="119">
        <f>+[5]INVERSIÓN!X13</f>
        <v>108646338</v>
      </c>
      <c r="I13" s="119" t="e">
        <f>+#REF!</f>
        <v>#REF!</v>
      </c>
      <c r="J13" s="120" t="e">
        <f>+#REF!</f>
        <v>#REF!</v>
      </c>
      <c r="K13" s="137"/>
      <c r="L13" s="138"/>
      <c r="M13" s="122" t="e">
        <f t="shared" si="0"/>
        <v>#REF!</v>
      </c>
      <c r="N13" s="120">
        <f>+[6]INVERSIÓN!K13</f>
        <v>0</v>
      </c>
      <c r="O13" s="122">
        <f>+[6]INVERSIÓN!M13</f>
        <v>0</v>
      </c>
      <c r="P13" s="122" t="e">
        <f>+[4]INVERSIÓN!O13</f>
        <v>#REF!</v>
      </c>
      <c r="Q13" s="120" t="e">
        <f>+[4]INVERSIÓN!Q13</f>
        <v>#REF!</v>
      </c>
      <c r="R13" s="120" t="e">
        <f>+[4]INVERSIÓN!S13</f>
        <v>#REF!</v>
      </c>
      <c r="S13" s="1119"/>
      <c r="T13" s="123">
        <f>+[5]INVERSIÓN!W13</f>
        <v>6777000</v>
      </c>
      <c r="U13" s="123">
        <f>+[5]INVERSIÓN!DR13</f>
        <v>72661243</v>
      </c>
      <c r="V13" s="123" t="e">
        <f>+#REF!</f>
        <v>#REF!</v>
      </c>
      <c r="W13" s="124" t="e">
        <f>+#REF!</f>
        <v>#REF!</v>
      </c>
      <c r="X13" s="139"/>
      <c r="Y13" s="139"/>
      <c r="Z13" s="127">
        <f>+[6]INVERSIÓN!J13</f>
        <v>0</v>
      </c>
      <c r="AA13" s="126">
        <f>+[6]INVERSIÓN!DX13</f>
        <v>0</v>
      </c>
      <c r="AB13" s="128">
        <f>+[6]INVERSIÓN!DY13</f>
        <v>0</v>
      </c>
      <c r="AC13" s="129" t="e">
        <f>+[4]INVERSIÓN!P13</f>
        <v>#REF!</v>
      </c>
      <c r="AD13" s="130" t="e">
        <f>+[4]INVERSIÓN!R13</f>
        <v>#REF!</v>
      </c>
      <c r="AE13" s="131" t="e">
        <f>+[4]INVERSIÓN!EB13</f>
        <v>#REF!</v>
      </c>
      <c r="AF13" s="1158"/>
      <c r="AG13" s="1139"/>
      <c r="AH13" s="775"/>
      <c r="AI13" s="775"/>
      <c r="AJ13" s="778"/>
      <c r="AK13" s="775"/>
      <c r="AL13" s="775"/>
      <c r="AM13" s="775"/>
      <c r="AN13" s="808"/>
      <c r="AO13" s="797"/>
      <c r="AP13" s="797"/>
      <c r="AQ13" s="795"/>
      <c r="AR13" s="795"/>
      <c r="AS13" s="795"/>
      <c r="AT13" s="795"/>
      <c r="AU13" s="795"/>
      <c r="AV13" s="795"/>
      <c r="AW13" s="795"/>
      <c r="AX13" s="797"/>
      <c r="AY13" s="885"/>
    </row>
    <row r="14" spans="1:55" ht="22.5" customHeight="1" x14ac:dyDescent="0.25">
      <c r="A14" s="912"/>
      <c r="B14" s="1155"/>
      <c r="C14" s="838"/>
      <c r="D14" s="136" t="s">
        <v>43</v>
      </c>
      <c r="E14" s="117" t="e">
        <f>+[4]INVERSIÓN!U14</f>
        <v>#REF!</v>
      </c>
      <c r="F14" s="117" t="e">
        <f>+[4]INVERSIÓN!V14</f>
        <v>#REF!</v>
      </c>
      <c r="G14" s="118">
        <f>+[5]INVERSIÓN!V14</f>
        <v>109</v>
      </c>
      <c r="H14" s="119">
        <f>+[5]INVERSIÓN!X14</f>
        <v>109</v>
      </c>
      <c r="I14" s="119" t="e">
        <f>+#REF!</f>
        <v>#REF!</v>
      </c>
      <c r="J14" s="120" t="e">
        <f>+#REF!</f>
        <v>#REF!</v>
      </c>
      <c r="K14" s="137"/>
      <c r="L14" s="138"/>
      <c r="M14" s="122" t="e">
        <f t="shared" si="0"/>
        <v>#REF!</v>
      </c>
      <c r="N14" s="120">
        <f>+[6]INVERSIÓN!K14</f>
        <v>66</v>
      </c>
      <c r="O14" s="122">
        <f>+[6]INVERSIÓN!M14</f>
        <v>66</v>
      </c>
      <c r="P14" s="122" t="e">
        <f>+[4]INVERSIÓN!O14</f>
        <v>#REF!</v>
      </c>
      <c r="Q14" s="120" t="e">
        <f>+[4]INVERSIÓN!Q14</f>
        <v>#REF!</v>
      </c>
      <c r="R14" s="120" t="e">
        <f>+[4]INVERSIÓN!S14</f>
        <v>#REF!</v>
      </c>
      <c r="S14" s="1119"/>
      <c r="T14" s="123">
        <f>+[5]INVERSIÓN!W14</f>
        <v>5</v>
      </c>
      <c r="U14" s="123">
        <f>+[5]INVERSIÓN!DR14</f>
        <v>13</v>
      </c>
      <c r="V14" s="123" t="e">
        <f>+#REF!</f>
        <v>#REF!</v>
      </c>
      <c r="W14" s="124" t="e">
        <f>+#REF!</f>
        <v>#REF!</v>
      </c>
      <c r="X14" s="139"/>
      <c r="Y14" s="139"/>
      <c r="Z14" s="127">
        <f>+[6]INVERSIÓN!J14</f>
        <v>11</v>
      </c>
      <c r="AA14" s="126">
        <f>+[6]INVERSIÓN!DX14</f>
        <v>22</v>
      </c>
      <c r="AB14" s="128">
        <f>+[6]INVERSIÓN!DY14</f>
        <v>33</v>
      </c>
      <c r="AC14" s="129" t="e">
        <f>+[4]INVERSIÓN!P14</f>
        <v>#REF!</v>
      </c>
      <c r="AD14" s="130" t="e">
        <f>+[4]INVERSIÓN!R14</f>
        <v>#REF!</v>
      </c>
      <c r="AE14" s="131" t="e">
        <f>+[4]INVERSIÓN!EB14</f>
        <v>#REF!</v>
      </c>
      <c r="AF14" s="1158"/>
      <c r="AG14" s="1139"/>
      <c r="AH14" s="775"/>
      <c r="AI14" s="775"/>
      <c r="AJ14" s="778"/>
      <c r="AK14" s="775"/>
      <c r="AL14" s="775"/>
      <c r="AM14" s="775"/>
      <c r="AN14" s="808"/>
      <c r="AO14" s="797"/>
      <c r="AP14" s="797"/>
      <c r="AQ14" s="795"/>
      <c r="AR14" s="795"/>
      <c r="AS14" s="795"/>
      <c r="AT14" s="795"/>
      <c r="AU14" s="795"/>
      <c r="AV14" s="795"/>
      <c r="AW14" s="795"/>
      <c r="AX14" s="797"/>
      <c r="AY14" s="885"/>
    </row>
    <row r="15" spans="1:55" ht="21" customHeight="1" thickBot="1" x14ac:dyDescent="0.3">
      <c r="A15" s="912"/>
      <c r="B15" s="1155"/>
      <c r="C15" s="838"/>
      <c r="D15" s="140" t="s">
        <v>45</v>
      </c>
      <c r="E15" s="117" t="e">
        <f>+[4]INVERSIÓN!U15</f>
        <v>#REF!</v>
      </c>
      <c r="F15" s="117" t="e">
        <f>+[4]INVERSIÓN!V15</f>
        <v>#REF!</v>
      </c>
      <c r="G15" s="118">
        <f>+[5]INVERSIÓN!V15</f>
        <v>683300338</v>
      </c>
      <c r="H15" s="119">
        <f>+[5]INVERSIÓN!X15</f>
        <v>683300338</v>
      </c>
      <c r="I15" s="119" t="e">
        <f>+#REF!</f>
        <v>#REF!</v>
      </c>
      <c r="J15" s="120" t="e">
        <f>+#REF!</f>
        <v>#REF!</v>
      </c>
      <c r="K15" s="137"/>
      <c r="L15" s="138"/>
      <c r="M15" s="122" t="e">
        <f t="shared" si="0"/>
        <v>#REF!</v>
      </c>
      <c r="N15" s="120">
        <f>+[6]INVERSIÓN!K15</f>
        <v>361860000</v>
      </c>
      <c r="O15" s="122">
        <f>+[6]INVERSIÓN!M15</f>
        <v>361860000</v>
      </c>
      <c r="P15" s="122" t="e">
        <f>+[4]INVERSIÓN!O15</f>
        <v>#REF!</v>
      </c>
      <c r="Q15" s="120" t="e">
        <f>+[4]INVERSIÓN!Q15</f>
        <v>#REF!</v>
      </c>
      <c r="R15" s="120" t="e">
        <f>+[4]INVERSIÓN!S15</f>
        <v>#REF!</v>
      </c>
      <c r="S15" s="1120"/>
      <c r="T15" s="123">
        <f>+[5]INVERSIÓN!W15</f>
        <v>6777000</v>
      </c>
      <c r="U15" s="123">
        <f>+[5]INVERSIÓN!DR15</f>
        <v>381101243</v>
      </c>
      <c r="V15" s="123" t="e">
        <f>+#REF!</f>
        <v>#REF!</v>
      </c>
      <c r="W15" s="124" t="e">
        <f>+#REF!</f>
        <v>#REF!</v>
      </c>
      <c r="X15" s="139"/>
      <c r="Y15" s="139"/>
      <c r="Z15" s="127">
        <f>+[6]INVERSIÓN!J15</f>
        <v>140580000</v>
      </c>
      <c r="AA15" s="126">
        <f>+[6]INVERSIÓN!DX15</f>
        <v>262457000</v>
      </c>
      <c r="AB15" s="128">
        <f>+[6]INVERSIÓN!DY15</f>
        <v>262457000</v>
      </c>
      <c r="AC15" s="129" t="e">
        <f>+[4]INVERSIÓN!P15</f>
        <v>#REF!</v>
      </c>
      <c r="AD15" s="130" t="e">
        <f>+[4]INVERSIÓN!R15</f>
        <v>#REF!</v>
      </c>
      <c r="AE15" s="131" t="e">
        <f>+[4]INVERSIÓN!EB15</f>
        <v>#REF!</v>
      </c>
      <c r="AF15" s="1159"/>
      <c r="AG15" s="1140"/>
      <c r="AH15" s="776"/>
      <c r="AI15" s="776"/>
      <c r="AJ15" s="779"/>
      <c r="AK15" s="776"/>
      <c r="AL15" s="776"/>
      <c r="AM15" s="776"/>
      <c r="AN15" s="808"/>
      <c r="AO15" s="798"/>
      <c r="AP15" s="798"/>
      <c r="AQ15" s="795"/>
      <c r="AR15" s="795"/>
      <c r="AS15" s="795"/>
      <c r="AT15" s="795"/>
      <c r="AU15" s="795"/>
      <c r="AV15" s="795"/>
      <c r="AW15" s="795"/>
      <c r="AX15" s="798"/>
      <c r="AY15" s="885"/>
    </row>
    <row r="16" spans="1:55" ht="18" customHeight="1" x14ac:dyDescent="0.25">
      <c r="A16" s="912"/>
      <c r="B16" s="1155"/>
      <c r="C16" s="838" t="s">
        <v>319</v>
      </c>
      <c r="D16" s="141" t="s">
        <v>41</v>
      </c>
      <c r="E16" s="142"/>
      <c r="F16" s="143"/>
      <c r="G16" s="144">
        <v>1</v>
      </c>
      <c r="H16" s="144">
        <v>2</v>
      </c>
      <c r="I16" s="144">
        <v>2</v>
      </c>
      <c r="J16" s="138">
        <v>2</v>
      </c>
      <c r="K16" s="145">
        <v>2</v>
      </c>
      <c r="L16" s="138"/>
      <c r="M16" s="146">
        <v>1</v>
      </c>
      <c r="N16" s="138">
        <v>2</v>
      </c>
      <c r="O16" s="138">
        <v>3</v>
      </c>
      <c r="P16" s="138">
        <v>5</v>
      </c>
      <c r="Q16" s="138">
        <v>6</v>
      </c>
      <c r="R16" s="147">
        <v>6</v>
      </c>
      <c r="S16" s="139"/>
      <c r="T16" s="148">
        <v>1</v>
      </c>
      <c r="U16" s="148">
        <v>2</v>
      </c>
      <c r="V16" s="148">
        <v>2</v>
      </c>
      <c r="W16" s="149">
        <v>2</v>
      </c>
      <c r="X16" s="150">
        <v>2</v>
      </c>
      <c r="Y16" s="139"/>
      <c r="Z16" s="139">
        <v>1</v>
      </c>
      <c r="AA16" s="137">
        <v>2</v>
      </c>
      <c r="AB16" s="151">
        <v>3</v>
      </c>
      <c r="AC16" s="129">
        <v>5</v>
      </c>
      <c r="AD16" s="137">
        <v>6</v>
      </c>
      <c r="AE16" s="152">
        <v>6</v>
      </c>
      <c r="AF16" s="1145" t="s">
        <v>320</v>
      </c>
      <c r="AG16" s="771" t="s">
        <v>321</v>
      </c>
      <c r="AH16" s="774" t="s">
        <v>322</v>
      </c>
      <c r="AI16" s="774" t="s">
        <v>323</v>
      </c>
      <c r="AJ16" s="777" t="s">
        <v>314</v>
      </c>
      <c r="AK16" s="774" t="s">
        <v>315</v>
      </c>
      <c r="AL16" s="774" t="s">
        <v>70</v>
      </c>
      <c r="AM16" s="774" t="s">
        <v>316</v>
      </c>
      <c r="AN16" s="807">
        <v>563173</v>
      </c>
      <c r="AO16" s="808">
        <v>258860</v>
      </c>
      <c r="AP16" s="808">
        <v>304313</v>
      </c>
      <c r="AQ16" s="806" t="s">
        <v>317</v>
      </c>
      <c r="AR16" s="806" t="s">
        <v>317</v>
      </c>
      <c r="AS16" s="806" t="s">
        <v>317</v>
      </c>
      <c r="AT16" s="806" t="s">
        <v>317</v>
      </c>
      <c r="AU16" s="795" t="s">
        <v>317</v>
      </c>
      <c r="AV16" s="795" t="s">
        <v>317</v>
      </c>
      <c r="AW16" s="795" t="s">
        <v>317</v>
      </c>
      <c r="AX16" s="796">
        <v>563173</v>
      </c>
      <c r="AY16" s="885"/>
    </row>
    <row r="17" spans="1:51" ht="18" x14ac:dyDescent="0.25">
      <c r="A17" s="912"/>
      <c r="B17" s="1155"/>
      <c r="C17" s="838"/>
      <c r="D17" s="132" t="s">
        <v>3</v>
      </c>
      <c r="E17" s="142"/>
      <c r="F17" s="143"/>
      <c r="G17" s="144">
        <f>+G16*$G$11/$G$10</f>
        <v>5272055.0458715595</v>
      </c>
      <c r="H17" s="144">
        <f>+H16*$H$11/$H$10</f>
        <v>10544110.091743119</v>
      </c>
      <c r="I17" s="144" t="e">
        <f>+I16*$I$11/$I$10</f>
        <v>#REF!</v>
      </c>
      <c r="J17" s="138" t="e">
        <f>+J16*$J$11/$J$10</f>
        <v>#REF!</v>
      </c>
      <c r="K17" s="137"/>
      <c r="L17" s="138"/>
      <c r="M17" s="153" t="e">
        <f>+M16*$M$11/$M$10</f>
        <v>#REF!</v>
      </c>
      <c r="N17" s="154">
        <f>+N16*$N$11/$N$10</f>
        <v>10965454.545454545</v>
      </c>
      <c r="O17" s="138">
        <f>+O16*$O$11/$O$10</f>
        <v>16448181.818181818</v>
      </c>
      <c r="P17" s="138" t="e">
        <f>+P16*$P$11/$P$10</f>
        <v>#REF!</v>
      </c>
      <c r="Q17" s="138" t="e">
        <f>+Q16*$Q$11/$Q$10</f>
        <v>#REF!</v>
      </c>
      <c r="R17" s="138" t="e">
        <f>+R16*$R$11/$R$10</f>
        <v>#REF!</v>
      </c>
      <c r="S17" s="139"/>
      <c r="T17" s="144">
        <f>+T16*$T$11/$T$10</f>
        <v>0</v>
      </c>
      <c r="U17" s="144">
        <f>+U16*$U$11/$U$10</f>
        <v>47452307.692307696</v>
      </c>
      <c r="V17" s="155" t="e">
        <f>+V16*$V$11/$V$10</f>
        <v>#REF!</v>
      </c>
      <c r="W17" s="138" t="e">
        <f>+W16*$W$11/$W$10</f>
        <v>#REF!</v>
      </c>
      <c r="X17" s="139"/>
      <c r="Y17" s="139"/>
      <c r="Z17" s="156">
        <f>+Z16*$Z$11/$Z$10</f>
        <v>12780000</v>
      </c>
      <c r="AA17" s="157">
        <f>+AA16*$AA$11/$AA$10</f>
        <v>23859727.272727273</v>
      </c>
      <c r="AB17" s="137">
        <f>+AB16*$AB$11/$AB$10</f>
        <v>23859727.272727273</v>
      </c>
      <c r="AC17" s="137" t="e">
        <f>+AC16*$AC$11/$AC$10</f>
        <v>#REF!</v>
      </c>
      <c r="AD17" s="137" t="e">
        <f>+AD16*$AD$11/$AD$10</f>
        <v>#REF!</v>
      </c>
      <c r="AE17" s="137" t="e">
        <f>+AE16*$AE$11/$AE$10</f>
        <v>#REF!</v>
      </c>
      <c r="AF17" s="1146"/>
      <c r="AG17" s="772"/>
      <c r="AH17" s="775"/>
      <c r="AI17" s="775"/>
      <c r="AJ17" s="778"/>
      <c r="AK17" s="775"/>
      <c r="AL17" s="775"/>
      <c r="AM17" s="775"/>
      <c r="AN17" s="807"/>
      <c r="AO17" s="808"/>
      <c r="AP17" s="808"/>
      <c r="AQ17" s="806"/>
      <c r="AR17" s="806"/>
      <c r="AS17" s="806"/>
      <c r="AT17" s="806"/>
      <c r="AU17" s="795"/>
      <c r="AV17" s="795"/>
      <c r="AW17" s="795"/>
      <c r="AX17" s="797"/>
      <c r="AY17" s="885"/>
    </row>
    <row r="18" spans="1:51" ht="27" x14ac:dyDescent="0.25">
      <c r="A18" s="912"/>
      <c r="B18" s="1155"/>
      <c r="C18" s="838"/>
      <c r="D18" s="136" t="s">
        <v>42</v>
      </c>
      <c r="E18" s="142"/>
      <c r="F18" s="143"/>
      <c r="G18" s="144"/>
      <c r="H18" s="144"/>
      <c r="I18" s="144"/>
      <c r="J18" s="138"/>
      <c r="K18" s="137"/>
      <c r="L18" s="138"/>
      <c r="M18" s="146"/>
      <c r="N18" s="138"/>
      <c r="O18" s="138"/>
      <c r="P18" s="138"/>
      <c r="Q18" s="138"/>
      <c r="R18" s="147"/>
      <c r="S18" s="139"/>
      <c r="T18" s="148"/>
      <c r="U18" s="148"/>
      <c r="V18" s="148"/>
      <c r="W18" s="146"/>
      <c r="X18" s="139"/>
      <c r="Y18" s="139"/>
      <c r="Z18" s="139"/>
      <c r="AA18" s="137"/>
      <c r="AB18" s="151"/>
      <c r="AC18" s="129"/>
      <c r="AD18" s="137"/>
      <c r="AE18" s="152"/>
      <c r="AF18" s="1146"/>
      <c r="AG18" s="772"/>
      <c r="AH18" s="775"/>
      <c r="AI18" s="775"/>
      <c r="AJ18" s="778"/>
      <c r="AK18" s="775"/>
      <c r="AL18" s="775"/>
      <c r="AM18" s="775"/>
      <c r="AN18" s="807"/>
      <c r="AO18" s="808"/>
      <c r="AP18" s="808"/>
      <c r="AQ18" s="806"/>
      <c r="AR18" s="806"/>
      <c r="AS18" s="806"/>
      <c r="AT18" s="806"/>
      <c r="AU18" s="795"/>
      <c r="AV18" s="795"/>
      <c r="AW18" s="795"/>
      <c r="AX18" s="797"/>
      <c r="AY18" s="885"/>
    </row>
    <row r="19" spans="1:51" ht="27" x14ac:dyDescent="0.25">
      <c r="A19" s="912"/>
      <c r="B19" s="1155"/>
      <c r="C19" s="838"/>
      <c r="D19" s="132" t="s">
        <v>4</v>
      </c>
      <c r="E19" s="142"/>
      <c r="F19" s="143"/>
      <c r="G19" s="144"/>
      <c r="H19" s="144"/>
      <c r="I19" s="144"/>
      <c r="J19" s="138"/>
      <c r="K19" s="137"/>
      <c r="L19" s="138"/>
      <c r="M19" s="146"/>
      <c r="N19" s="138"/>
      <c r="O19" s="138"/>
      <c r="P19" s="138"/>
      <c r="Q19" s="138"/>
      <c r="R19" s="147"/>
      <c r="S19" s="139"/>
      <c r="T19" s="144">
        <f>+T16*$T$13/$T$10</f>
        <v>1355400</v>
      </c>
      <c r="U19" s="123">
        <f>($U$13/5)</f>
        <v>14532248.6</v>
      </c>
      <c r="V19" s="148"/>
      <c r="W19" s="146"/>
      <c r="X19" s="139"/>
      <c r="Y19" s="139"/>
      <c r="Z19" s="139"/>
      <c r="AA19" s="137"/>
      <c r="AB19" s="151"/>
      <c r="AC19" s="129"/>
      <c r="AD19" s="137"/>
      <c r="AE19" s="152"/>
      <c r="AF19" s="1146"/>
      <c r="AG19" s="772"/>
      <c r="AH19" s="775"/>
      <c r="AI19" s="775"/>
      <c r="AJ19" s="778"/>
      <c r="AK19" s="775"/>
      <c r="AL19" s="775"/>
      <c r="AM19" s="775"/>
      <c r="AN19" s="807"/>
      <c r="AO19" s="808"/>
      <c r="AP19" s="808"/>
      <c r="AQ19" s="806"/>
      <c r="AR19" s="806"/>
      <c r="AS19" s="806"/>
      <c r="AT19" s="806"/>
      <c r="AU19" s="795"/>
      <c r="AV19" s="795"/>
      <c r="AW19" s="795"/>
      <c r="AX19" s="797"/>
      <c r="AY19" s="885"/>
    </row>
    <row r="20" spans="1:51" ht="27" x14ac:dyDescent="0.25">
      <c r="A20" s="912"/>
      <c r="B20" s="1155"/>
      <c r="C20" s="838"/>
      <c r="D20" s="136" t="s">
        <v>43</v>
      </c>
      <c r="E20" s="142"/>
      <c r="F20" s="143"/>
      <c r="G20" s="144">
        <v>1</v>
      </c>
      <c r="H20" s="144">
        <v>2</v>
      </c>
      <c r="I20" s="144">
        <v>2</v>
      </c>
      <c r="J20" s="138">
        <v>2</v>
      </c>
      <c r="K20" s="137"/>
      <c r="L20" s="138"/>
      <c r="M20" s="146"/>
      <c r="N20" s="138"/>
      <c r="O20" s="138">
        <f>+O16</f>
        <v>3</v>
      </c>
      <c r="P20" s="138">
        <v>5</v>
      </c>
      <c r="Q20" s="138">
        <v>6</v>
      </c>
      <c r="R20" s="147">
        <v>6</v>
      </c>
      <c r="S20" s="139"/>
      <c r="T20" s="148">
        <v>1</v>
      </c>
      <c r="U20" s="148">
        <v>2</v>
      </c>
      <c r="V20" s="148">
        <v>2</v>
      </c>
      <c r="W20" s="146">
        <v>2</v>
      </c>
      <c r="X20" s="139"/>
      <c r="Y20" s="139"/>
      <c r="Z20" s="139"/>
      <c r="AA20" s="137"/>
      <c r="AB20" s="137">
        <f>+AB16</f>
        <v>3</v>
      </c>
      <c r="AC20" s="129">
        <v>5</v>
      </c>
      <c r="AD20" s="137">
        <v>6</v>
      </c>
      <c r="AE20" s="152">
        <v>6</v>
      </c>
      <c r="AF20" s="1146"/>
      <c r="AG20" s="772"/>
      <c r="AH20" s="775"/>
      <c r="AI20" s="775"/>
      <c r="AJ20" s="778"/>
      <c r="AK20" s="775"/>
      <c r="AL20" s="775"/>
      <c r="AM20" s="775"/>
      <c r="AN20" s="807"/>
      <c r="AO20" s="808"/>
      <c r="AP20" s="808"/>
      <c r="AQ20" s="806"/>
      <c r="AR20" s="806"/>
      <c r="AS20" s="806"/>
      <c r="AT20" s="806"/>
      <c r="AU20" s="795"/>
      <c r="AV20" s="795"/>
      <c r="AW20" s="795"/>
      <c r="AX20" s="797"/>
      <c r="AY20" s="885"/>
    </row>
    <row r="21" spans="1:51" ht="27.75" thickBot="1" x14ac:dyDescent="0.3">
      <c r="A21" s="912"/>
      <c r="B21" s="1155"/>
      <c r="C21" s="838"/>
      <c r="D21" s="140" t="s">
        <v>45</v>
      </c>
      <c r="E21" s="142"/>
      <c r="F21" s="143"/>
      <c r="G21" s="144">
        <f>+G20*$G$11/$G$10</f>
        <v>5272055.0458715595</v>
      </c>
      <c r="H21" s="144">
        <f>+H20*$H$11/$H$10</f>
        <v>10544110.091743119</v>
      </c>
      <c r="I21" s="144" t="e">
        <f>+I20*$I$11/$I$10</f>
        <v>#REF!</v>
      </c>
      <c r="J21" s="138" t="e">
        <f>+J20*$J$11/$J$10</f>
        <v>#REF!</v>
      </c>
      <c r="K21" s="137"/>
      <c r="L21" s="138"/>
      <c r="M21" s="146"/>
      <c r="N21" s="138"/>
      <c r="O21" s="138">
        <f>+O17</f>
        <v>16448181.818181818</v>
      </c>
      <c r="P21" s="138" t="e">
        <f>+P20*$P$11/$P$10</f>
        <v>#REF!</v>
      </c>
      <c r="Q21" s="138" t="e">
        <f>+Q20*$Q$11/$Q$10</f>
        <v>#REF!</v>
      </c>
      <c r="R21" s="138" t="e">
        <f>+R20*$R$11/$R$10</f>
        <v>#REF!</v>
      </c>
      <c r="S21" s="139"/>
      <c r="T21" s="144">
        <f>+T20*$T$11/$T$10</f>
        <v>0</v>
      </c>
      <c r="U21" s="144">
        <f>+U20*$U$11/$U$10</f>
        <v>47452307.692307696</v>
      </c>
      <c r="V21" s="155" t="e">
        <f>+V20*$V$11/$V$10</f>
        <v>#REF!</v>
      </c>
      <c r="W21" s="138" t="e">
        <f>+W20*$W$11/$W$10</f>
        <v>#REF!</v>
      </c>
      <c r="X21" s="139"/>
      <c r="Y21" s="139"/>
      <c r="Z21" s="139"/>
      <c r="AA21" s="137"/>
      <c r="AB21" s="137">
        <f>+AB17</f>
        <v>23859727.272727273</v>
      </c>
      <c r="AC21" s="137" t="e">
        <f>+AC20*$AC$11/$AC$10</f>
        <v>#REF!</v>
      </c>
      <c r="AD21" s="137" t="e">
        <f>+AD20*$AD$11/$AD$10</f>
        <v>#REF!</v>
      </c>
      <c r="AE21" s="137" t="e">
        <f>+AE20*$AE$11/$AE$10</f>
        <v>#REF!</v>
      </c>
      <c r="AF21" s="1147"/>
      <c r="AG21" s="773"/>
      <c r="AH21" s="776"/>
      <c r="AI21" s="776"/>
      <c r="AJ21" s="779"/>
      <c r="AK21" s="776"/>
      <c r="AL21" s="776"/>
      <c r="AM21" s="776"/>
      <c r="AN21" s="807"/>
      <c r="AO21" s="808"/>
      <c r="AP21" s="808"/>
      <c r="AQ21" s="806"/>
      <c r="AR21" s="806"/>
      <c r="AS21" s="806"/>
      <c r="AT21" s="806"/>
      <c r="AU21" s="795"/>
      <c r="AV21" s="795"/>
      <c r="AW21" s="795"/>
      <c r="AX21" s="798"/>
      <c r="AY21" s="885"/>
    </row>
    <row r="22" spans="1:51" ht="18" customHeight="1" x14ac:dyDescent="0.25">
      <c r="A22" s="912"/>
      <c r="B22" s="1155"/>
      <c r="C22" s="838" t="s">
        <v>324</v>
      </c>
      <c r="D22" s="141" t="s">
        <v>41</v>
      </c>
      <c r="E22" s="142"/>
      <c r="F22" s="143"/>
      <c r="G22" s="144">
        <v>1</v>
      </c>
      <c r="H22" s="144">
        <v>1</v>
      </c>
      <c r="I22" s="144">
        <v>1</v>
      </c>
      <c r="J22" s="138">
        <v>2</v>
      </c>
      <c r="K22" s="145">
        <v>2</v>
      </c>
      <c r="L22" s="138"/>
      <c r="M22" s="146"/>
      <c r="N22" s="138"/>
      <c r="O22" s="138"/>
      <c r="P22" s="138">
        <v>1</v>
      </c>
      <c r="Q22" s="138">
        <v>1</v>
      </c>
      <c r="R22" s="147">
        <v>1</v>
      </c>
      <c r="S22" s="139"/>
      <c r="T22" s="148">
        <v>1</v>
      </c>
      <c r="U22" s="148">
        <v>1</v>
      </c>
      <c r="V22" s="148">
        <v>1</v>
      </c>
      <c r="W22" s="149">
        <v>2</v>
      </c>
      <c r="X22" s="150">
        <v>2</v>
      </c>
      <c r="Y22" s="139"/>
      <c r="Z22" s="139"/>
      <c r="AA22" s="137"/>
      <c r="AB22" s="151"/>
      <c r="AC22" s="137">
        <v>1</v>
      </c>
      <c r="AD22" s="137">
        <v>1</v>
      </c>
      <c r="AE22" s="152">
        <v>1</v>
      </c>
      <c r="AF22" s="1145" t="s">
        <v>325</v>
      </c>
      <c r="AG22" s="771" t="s">
        <v>326</v>
      </c>
      <c r="AH22" s="774" t="s">
        <v>327</v>
      </c>
      <c r="AI22" s="774" t="s">
        <v>328</v>
      </c>
      <c r="AJ22" s="777" t="s">
        <v>314</v>
      </c>
      <c r="AK22" s="774" t="s">
        <v>315</v>
      </c>
      <c r="AL22" s="774" t="s">
        <v>70</v>
      </c>
      <c r="AM22" s="774" t="s">
        <v>316</v>
      </c>
      <c r="AN22" s="807">
        <v>376895</v>
      </c>
      <c r="AO22" s="808">
        <v>183453</v>
      </c>
      <c r="AP22" s="808">
        <v>193441.34009331701</v>
      </c>
      <c r="AQ22" s="806" t="s">
        <v>317</v>
      </c>
      <c r="AR22" s="806" t="s">
        <v>317</v>
      </c>
      <c r="AS22" s="806" t="s">
        <v>317</v>
      </c>
      <c r="AT22" s="806" t="s">
        <v>317</v>
      </c>
      <c r="AU22" s="795" t="s">
        <v>317</v>
      </c>
      <c r="AV22" s="795" t="s">
        <v>317</v>
      </c>
      <c r="AW22" s="795" t="s">
        <v>317</v>
      </c>
      <c r="AX22" s="796">
        <v>376895</v>
      </c>
      <c r="AY22" s="885"/>
    </row>
    <row r="23" spans="1:51" ht="18" x14ac:dyDescent="0.25">
      <c r="A23" s="912"/>
      <c r="B23" s="1155"/>
      <c r="C23" s="838"/>
      <c r="D23" s="132" t="s">
        <v>3</v>
      </c>
      <c r="E23" s="142"/>
      <c r="F23" s="143"/>
      <c r="G23" s="144">
        <f>+G22*$G$11/$G$10</f>
        <v>5272055.0458715595</v>
      </c>
      <c r="H23" s="144">
        <f>+H22*$H$11/$H$10</f>
        <v>5272055.0458715595</v>
      </c>
      <c r="I23" s="144" t="e">
        <f>+I22*$I$11/$I$10</f>
        <v>#REF!</v>
      </c>
      <c r="J23" s="138" t="e">
        <f>+J22*$J$11/$J$10</f>
        <v>#REF!</v>
      </c>
      <c r="K23" s="137"/>
      <c r="L23" s="138"/>
      <c r="M23" s="153"/>
      <c r="N23" s="154"/>
      <c r="O23" s="138"/>
      <c r="P23" s="138" t="e">
        <f>+P22*$P$11/$P$10</f>
        <v>#REF!</v>
      </c>
      <c r="Q23" s="138" t="e">
        <f>+Q22*$Q$11/$Q$10</f>
        <v>#REF!</v>
      </c>
      <c r="R23" s="138" t="e">
        <f>+R22*$R$11/$R$10</f>
        <v>#REF!</v>
      </c>
      <c r="S23" s="139"/>
      <c r="T23" s="144">
        <f>+T22*$T$11/$T$10</f>
        <v>0</v>
      </c>
      <c r="U23" s="144">
        <f>+U22*$U$11/$U$10</f>
        <v>23726153.846153848</v>
      </c>
      <c r="V23" s="155" t="e">
        <f>+V22*$V$11/$V$10</f>
        <v>#REF!</v>
      </c>
      <c r="W23" s="138" t="e">
        <f>+W22*$W$11/$W$10</f>
        <v>#REF!</v>
      </c>
      <c r="X23" s="139"/>
      <c r="Y23" s="139"/>
      <c r="Z23" s="156"/>
      <c r="AA23" s="157"/>
      <c r="AB23" s="137"/>
      <c r="AC23" s="137" t="e">
        <f>+AC22*$AC$11/$AC$10</f>
        <v>#REF!</v>
      </c>
      <c r="AD23" s="137" t="e">
        <f>+AD22*$AD$11/$AD$10</f>
        <v>#REF!</v>
      </c>
      <c r="AE23" s="137" t="e">
        <f>+AE22*$AE$11/$AE$10</f>
        <v>#REF!</v>
      </c>
      <c r="AF23" s="1146"/>
      <c r="AG23" s="772"/>
      <c r="AH23" s="775"/>
      <c r="AI23" s="775"/>
      <c r="AJ23" s="778"/>
      <c r="AK23" s="775"/>
      <c r="AL23" s="775"/>
      <c r="AM23" s="775"/>
      <c r="AN23" s="807"/>
      <c r="AO23" s="808"/>
      <c r="AP23" s="808"/>
      <c r="AQ23" s="806"/>
      <c r="AR23" s="806"/>
      <c r="AS23" s="806"/>
      <c r="AT23" s="806"/>
      <c r="AU23" s="795"/>
      <c r="AV23" s="795"/>
      <c r="AW23" s="795"/>
      <c r="AX23" s="797"/>
      <c r="AY23" s="885"/>
    </row>
    <row r="24" spans="1:51" ht="27" x14ac:dyDescent="0.25">
      <c r="A24" s="912"/>
      <c r="B24" s="1155"/>
      <c r="C24" s="838"/>
      <c r="D24" s="136" t="s">
        <v>42</v>
      </c>
      <c r="E24" s="142"/>
      <c r="F24" s="143"/>
      <c r="G24" s="144"/>
      <c r="H24" s="144"/>
      <c r="I24" s="144"/>
      <c r="J24" s="138"/>
      <c r="K24" s="137"/>
      <c r="L24" s="138"/>
      <c r="M24" s="146"/>
      <c r="N24" s="138"/>
      <c r="O24" s="138"/>
      <c r="P24" s="138"/>
      <c r="Q24" s="138"/>
      <c r="R24" s="147"/>
      <c r="S24" s="139"/>
      <c r="T24" s="148"/>
      <c r="U24" s="148"/>
      <c r="V24" s="148"/>
      <c r="W24" s="146"/>
      <c r="X24" s="139"/>
      <c r="Y24" s="139"/>
      <c r="Z24" s="139"/>
      <c r="AA24" s="137"/>
      <c r="AB24" s="151"/>
      <c r="AC24" s="137"/>
      <c r="AD24" s="137"/>
      <c r="AE24" s="152"/>
      <c r="AF24" s="1146"/>
      <c r="AG24" s="772"/>
      <c r="AH24" s="775"/>
      <c r="AI24" s="775"/>
      <c r="AJ24" s="778"/>
      <c r="AK24" s="775"/>
      <c r="AL24" s="775"/>
      <c r="AM24" s="775"/>
      <c r="AN24" s="807"/>
      <c r="AO24" s="808"/>
      <c r="AP24" s="808"/>
      <c r="AQ24" s="806"/>
      <c r="AR24" s="806"/>
      <c r="AS24" s="806"/>
      <c r="AT24" s="806"/>
      <c r="AU24" s="795"/>
      <c r="AV24" s="795"/>
      <c r="AW24" s="795"/>
      <c r="AX24" s="797"/>
      <c r="AY24" s="885"/>
    </row>
    <row r="25" spans="1:51" ht="27" x14ac:dyDescent="0.25">
      <c r="A25" s="912"/>
      <c r="B25" s="1155"/>
      <c r="C25" s="838"/>
      <c r="D25" s="132" t="s">
        <v>4</v>
      </c>
      <c r="E25" s="142"/>
      <c r="F25" s="143"/>
      <c r="G25" s="144"/>
      <c r="H25" s="144"/>
      <c r="I25" s="144"/>
      <c r="J25" s="138"/>
      <c r="K25" s="137"/>
      <c r="L25" s="138"/>
      <c r="M25" s="146"/>
      <c r="N25" s="138"/>
      <c r="O25" s="138"/>
      <c r="P25" s="138"/>
      <c r="Q25" s="138"/>
      <c r="R25" s="147"/>
      <c r="S25" s="139"/>
      <c r="T25" s="144">
        <f>+T22*$T$13/$T$10</f>
        <v>1355400</v>
      </c>
      <c r="U25" s="123">
        <f>($U$13/5)</f>
        <v>14532248.6</v>
      </c>
      <c r="V25" s="148"/>
      <c r="W25" s="146"/>
      <c r="X25" s="139"/>
      <c r="Y25" s="139"/>
      <c r="Z25" s="139"/>
      <c r="AA25" s="137"/>
      <c r="AB25" s="151"/>
      <c r="AC25" s="137"/>
      <c r="AD25" s="137"/>
      <c r="AE25" s="152"/>
      <c r="AF25" s="1146"/>
      <c r="AG25" s="772"/>
      <c r="AH25" s="775"/>
      <c r="AI25" s="775"/>
      <c r="AJ25" s="778"/>
      <c r="AK25" s="775"/>
      <c r="AL25" s="775"/>
      <c r="AM25" s="775"/>
      <c r="AN25" s="807"/>
      <c r="AO25" s="808"/>
      <c r="AP25" s="808"/>
      <c r="AQ25" s="806"/>
      <c r="AR25" s="806"/>
      <c r="AS25" s="806"/>
      <c r="AT25" s="806"/>
      <c r="AU25" s="795"/>
      <c r="AV25" s="795"/>
      <c r="AW25" s="795"/>
      <c r="AX25" s="797"/>
      <c r="AY25" s="885"/>
    </row>
    <row r="26" spans="1:51" ht="27" x14ac:dyDescent="0.25">
      <c r="A26" s="912"/>
      <c r="B26" s="1155"/>
      <c r="C26" s="838"/>
      <c r="D26" s="136" t="s">
        <v>43</v>
      </c>
      <c r="E26" s="142"/>
      <c r="F26" s="143"/>
      <c r="G26" s="144">
        <v>1</v>
      </c>
      <c r="H26" s="144">
        <v>1</v>
      </c>
      <c r="I26" s="144">
        <v>1</v>
      </c>
      <c r="J26" s="138">
        <v>2</v>
      </c>
      <c r="K26" s="137"/>
      <c r="L26" s="138"/>
      <c r="M26" s="146"/>
      <c r="N26" s="138"/>
      <c r="O26" s="138"/>
      <c r="P26" s="138"/>
      <c r="Q26" s="138">
        <v>1</v>
      </c>
      <c r="R26" s="147">
        <v>1</v>
      </c>
      <c r="S26" s="139"/>
      <c r="T26" s="148">
        <v>1</v>
      </c>
      <c r="U26" s="148">
        <v>1</v>
      </c>
      <c r="V26" s="148">
        <v>1</v>
      </c>
      <c r="W26" s="146">
        <v>2</v>
      </c>
      <c r="X26" s="139"/>
      <c r="Y26" s="139"/>
      <c r="Z26" s="139"/>
      <c r="AA26" s="137"/>
      <c r="AB26" s="137"/>
      <c r="AC26" s="137"/>
      <c r="AD26" s="137">
        <v>1</v>
      </c>
      <c r="AE26" s="152">
        <v>1</v>
      </c>
      <c r="AF26" s="1146"/>
      <c r="AG26" s="772"/>
      <c r="AH26" s="775"/>
      <c r="AI26" s="775"/>
      <c r="AJ26" s="778"/>
      <c r="AK26" s="775"/>
      <c r="AL26" s="775"/>
      <c r="AM26" s="775"/>
      <c r="AN26" s="807"/>
      <c r="AO26" s="808"/>
      <c r="AP26" s="808"/>
      <c r="AQ26" s="806"/>
      <c r="AR26" s="806"/>
      <c r="AS26" s="806"/>
      <c r="AT26" s="806"/>
      <c r="AU26" s="795"/>
      <c r="AV26" s="795"/>
      <c r="AW26" s="795"/>
      <c r="AX26" s="797"/>
      <c r="AY26" s="885"/>
    </row>
    <row r="27" spans="1:51" ht="27.75" thickBot="1" x14ac:dyDescent="0.3">
      <c r="A27" s="912"/>
      <c r="B27" s="1155"/>
      <c r="C27" s="838"/>
      <c r="D27" s="140" t="s">
        <v>45</v>
      </c>
      <c r="E27" s="142"/>
      <c r="F27" s="143"/>
      <c r="G27" s="144">
        <f>+G26*$G$11/$G$10</f>
        <v>5272055.0458715595</v>
      </c>
      <c r="H27" s="144">
        <f>+H26*$H$11/$H$10</f>
        <v>5272055.0458715595</v>
      </c>
      <c r="I27" s="144" t="e">
        <f>+I26*$I$11/$I$10</f>
        <v>#REF!</v>
      </c>
      <c r="J27" s="138" t="e">
        <f>+J26*$J$11/$J$10</f>
        <v>#REF!</v>
      </c>
      <c r="K27" s="137"/>
      <c r="L27" s="138"/>
      <c r="M27" s="146"/>
      <c r="N27" s="138"/>
      <c r="O27" s="138"/>
      <c r="P27" s="138" t="e">
        <f>+P26*$P$11/$P$10</f>
        <v>#REF!</v>
      </c>
      <c r="Q27" s="138" t="e">
        <f>+Q26*$Q$11/$Q$10</f>
        <v>#REF!</v>
      </c>
      <c r="R27" s="138" t="e">
        <f>+R26*$R$11/$R$10</f>
        <v>#REF!</v>
      </c>
      <c r="S27" s="139"/>
      <c r="T27" s="144">
        <f>+T26*$T$11/$T$10</f>
        <v>0</v>
      </c>
      <c r="U27" s="144">
        <f>+U26*$U$11/$U$10</f>
        <v>23726153.846153848</v>
      </c>
      <c r="V27" s="155" t="e">
        <f>+V26*$V$11/$V$10</f>
        <v>#REF!</v>
      </c>
      <c r="W27" s="138" t="e">
        <f>+W26*$W$11/$W$10</f>
        <v>#REF!</v>
      </c>
      <c r="X27" s="139"/>
      <c r="Y27" s="139"/>
      <c r="Z27" s="139"/>
      <c r="AA27" s="137"/>
      <c r="AB27" s="137"/>
      <c r="AC27" s="137" t="e">
        <f>+AC26*$AC$11/$AC$10</f>
        <v>#REF!</v>
      </c>
      <c r="AD27" s="137" t="e">
        <f>+AD26*$AD$11/$AD$10</f>
        <v>#REF!</v>
      </c>
      <c r="AE27" s="137" t="e">
        <f>+AE26*$AE$11/$AE$10</f>
        <v>#REF!</v>
      </c>
      <c r="AF27" s="1147"/>
      <c r="AG27" s="773"/>
      <c r="AH27" s="776"/>
      <c r="AI27" s="776"/>
      <c r="AJ27" s="779"/>
      <c r="AK27" s="776"/>
      <c r="AL27" s="776"/>
      <c r="AM27" s="776"/>
      <c r="AN27" s="807"/>
      <c r="AO27" s="808"/>
      <c r="AP27" s="808"/>
      <c r="AQ27" s="806"/>
      <c r="AR27" s="806"/>
      <c r="AS27" s="806"/>
      <c r="AT27" s="806"/>
      <c r="AU27" s="795"/>
      <c r="AV27" s="795"/>
      <c r="AW27" s="795"/>
      <c r="AX27" s="798"/>
      <c r="AY27" s="886"/>
    </row>
    <row r="28" spans="1:51" ht="18" hidden="1" customHeight="1" x14ac:dyDescent="0.25">
      <c r="A28" s="912"/>
      <c r="B28" s="1155"/>
      <c r="C28" s="838" t="s">
        <v>329</v>
      </c>
      <c r="D28" s="141" t="s">
        <v>41</v>
      </c>
      <c r="E28" s="142"/>
      <c r="F28" s="143"/>
      <c r="G28" s="144"/>
      <c r="H28" s="144"/>
      <c r="I28" s="144"/>
      <c r="J28" s="138"/>
      <c r="K28" s="137"/>
      <c r="L28" s="138"/>
      <c r="M28" s="146"/>
      <c r="N28" s="138"/>
      <c r="O28" s="138"/>
      <c r="P28" s="138">
        <v>1</v>
      </c>
      <c r="Q28" s="138">
        <v>2</v>
      </c>
      <c r="R28" s="147">
        <v>2</v>
      </c>
      <c r="S28" s="139"/>
      <c r="T28" s="148"/>
      <c r="U28" s="148"/>
      <c r="V28" s="148"/>
      <c r="W28" s="146"/>
      <c r="X28" s="139"/>
      <c r="Y28" s="139"/>
      <c r="Z28" s="139"/>
      <c r="AA28" s="137"/>
      <c r="AB28" s="151"/>
      <c r="AC28" s="137">
        <v>1</v>
      </c>
      <c r="AD28" s="137">
        <v>2</v>
      </c>
      <c r="AE28" s="152">
        <v>2</v>
      </c>
      <c r="AF28" s="158"/>
      <c r="AG28" s="771" t="s">
        <v>330</v>
      </c>
      <c r="AH28" s="774" t="s">
        <v>331</v>
      </c>
      <c r="AI28" s="774" t="s">
        <v>332</v>
      </c>
      <c r="AJ28" s="777" t="s">
        <v>333</v>
      </c>
      <c r="AK28" s="774" t="s">
        <v>315</v>
      </c>
      <c r="AL28" s="774" t="s">
        <v>70</v>
      </c>
      <c r="AM28" s="774" t="s">
        <v>316</v>
      </c>
      <c r="AN28" s="807">
        <v>18703</v>
      </c>
      <c r="AO28" s="808">
        <v>9562</v>
      </c>
      <c r="AP28" s="808">
        <v>9141</v>
      </c>
      <c r="AQ28" s="806" t="s">
        <v>317</v>
      </c>
      <c r="AR28" s="806" t="s">
        <v>317</v>
      </c>
      <c r="AS28" s="806" t="s">
        <v>317</v>
      </c>
      <c r="AT28" s="806" t="s">
        <v>317</v>
      </c>
      <c r="AU28" s="795" t="s">
        <v>317</v>
      </c>
      <c r="AV28" s="795" t="s">
        <v>317</v>
      </c>
      <c r="AW28" s="795" t="s">
        <v>317</v>
      </c>
      <c r="AX28" s="796">
        <v>18703</v>
      </c>
      <c r="AY28" s="159"/>
    </row>
    <row r="29" spans="1:51" ht="18" hidden="1" customHeight="1" x14ac:dyDescent="0.25">
      <c r="A29" s="912"/>
      <c r="B29" s="1155"/>
      <c r="C29" s="838"/>
      <c r="D29" s="132" t="s">
        <v>3</v>
      </c>
      <c r="E29" s="142"/>
      <c r="F29" s="143"/>
      <c r="G29" s="144"/>
      <c r="H29" s="144"/>
      <c r="I29" s="144"/>
      <c r="J29" s="138"/>
      <c r="K29" s="137"/>
      <c r="L29" s="138"/>
      <c r="M29" s="153"/>
      <c r="N29" s="154"/>
      <c r="O29" s="138"/>
      <c r="P29" s="138" t="e">
        <f>+P28*$P$11/$P$10</f>
        <v>#REF!</v>
      </c>
      <c r="Q29" s="138" t="e">
        <f>+Q28*$Q$11/$Q$10</f>
        <v>#REF!</v>
      </c>
      <c r="R29" s="138" t="e">
        <f>+R28*$R$11/$R$10</f>
        <v>#REF!</v>
      </c>
      <c r="S29" s="139"/>
      <c r="T29" s="148"/>
      <c r="U29" s="148"/>
      <c r="V29" s="148"/>
      <c r="W29" s="146"/>
      <c r="X29" s="139"/>
      <c r="Y29" s="139"/>
      <c r="Z29" s="156"/>
      <c r="AA29" s="157"/>
      <c r="AB29" s="137"/>
      <c r="AC29" s="137" t="e">
        <f>+AC28*$AC$11/$AC$10</f>
        <v>#REF!</v>
      </c>
      <c r="AD29" s="137" t="e">
        <f>+AD28*$AD$11/$AD$10</f>
        <v>#REF!</v>
      </c>
      <c r="AE29" s="137" t="e">
        <f>+AE28*$AE$11/$AE$10</f>
        <v>#REF!</v>
      </c>
      <c r="AF29" s="158"/>
      <c r="AG29" s="772"/>
      <c r="AH29" s="775"/>
      <c r="AI29" s="775"/>
      <c r="AJ29" s="778"/>
      <c r="AK29" s="775"/>
      <c r="AL29" s="775"/>
      <c r="AM29" s="775"/>
      <c r="AN29" s="807"/>
      <c r="AO29" s="808"/>
      <c r="AP29" s="808"/>
      <c r="AQ29" s="806"/>
      <c r="AR29" s="806"/>
      <c r="AS29" s="806"/>
      <c r="AT29" s="806"/>
      <c r="AU29" s="795"/>
      <c r="AV29" s="795"/>
      <c r="AW29" s="795"/>
      <c r="AX29" s="797"/>
      <c r="AY29" s="159"/>
    </row>
    <row r="30" spans="1:51" ht="27" hidden="1" customHeight="1" x14ac:dyDescent="0.25">
      <c r="A30" s="912"/>
      <c r="B30" s="1155"/>
      <c r="C30" s="838"/>
      <c r="D30" s="136" t="s">
        <v>42</v>
      </c>
      <c r="E30" s="142"/>
      <c r="F30" s="143"/>
      <c r="G30" s="144"/>
      <c r="H30" s="144"/>
      <c r="I30" s="144"/>
      <c r="J30" s="138"/>
      <c r="K30" s="137"/>
      <c r="L30" s="138"/>
      <c r="M30" s="146"/>
      <c r="N30" s="138"/>
      <c r="O30" s="138"/>
      <c r="P30" s="138"/>
      <c r="Q30" s="138"/>
      <c r="R30" s="147"/>
      <c r="S30" s="139"/>
      <c r="T30" s="148"/>
      <c r="U30" s="148"/>
      <c r="V30" s="148"/>
      <c r="W30" s="146"/>
      <c r="X30" s="139"/>
      <c r="Y30" s="139"/>
      <c r="Z30" s="139"/>
      <c r="AA30" s="137"/>
      <c r="AB30" s="151"/>
      <c r="AC30" s="137"/>
      <c r="AD30" s="137"/>
      <c r="AE30" s="152"/>
      <c r="AF30" s="158"/>
      <c r="AG30" s="772"/>
      <c r="AH30" s="775"/>
      <c r="AI30" s="775"/>
      <c r="AJ30" s="778"/>
      <c r="AK30" s="775"/>
      <c r="AL30" s="775"/>
      <c r="AM30" s="775"/>
      <c r="AN30" s="807"/>
      <c r="AO30" s="808"/>
      <c r="AP30" s="808"/>
      <c r="AQ30" s="806"/>
      <c r="AR30" s="806"/>
      <c r="AS30" s="806"/>
      <c r="AT30" s="806"/>
      <c r="AU30" s="795"/>
      <c r="AV30" s="795"/>
      <c r="AW30" s="795"/>
      <c r="AX30" s="797"/>
      <c r="AY30" s="159"/>
    </row>
    <row r="31" spans="1:51" ht="27" hidden="1" customHeight="1" x14ac:dyDescent="0.25">
      <c r="A31" s="912"/>
      <c r="B31" s="1155"/>
      <c r="C31" s="838"/>
      <c r="D31" s="132" t="s">
        <v>4</v>
      </c>
      <c r="E31" s="142"/>
      <c r="F31" s="143"/>
      <c r="G31" s="144"/>
      <c r="H31" s="144"/>
      <c r="I31" s="144"/>
      <c r="J31" s="138"/>
      <c r="K31" s="137"/>
      <c r="L31" s="138"/>
      <c r="M31" s="146"/>
      <c r="N31" s="138"/>
      <c r="O31" s="138"/>
      <c r="P31" s="138"/>
      <c r="Q31" s="138"/>
      <c r="R31" s="147"/>
      <c r="S31" s="139"/>
      <c r="T31" s="148"/>
      <c r="U31" s="148"/>
      <c r="V31" s="148"/>
      <c r="W31" s="146"/>
      <c r="X31" s="139"/>
      <c r="Y31" s="139"/>
      <c r="Z31" s="139"/>
      <c r="AA31" s="137"/>
      <c r="AB31" s="151"/>
      <c r="AC31" s="137"/>
      <c r="AD31" s="137"/>
      <c r="AE31" s="152"/>
      <c r="AF31" s="158"/>
      <c r="AG31" s="772"/>
      <c r="AH31" s="775"/>
      <c r="AI31" s="775"/>
      <c r="AJ31" s="778"/>
      <c r="AK31" s="775"/>
      <c r="AL31" s="775"/>
      <c r="AM31" s="775"/>
      <c r="AN31" s="807"/>
      <c r="AO31" s="808"/>
      <c r="AP31" s="808"/>
      <c r="AQ31" s="806"/>
      <c r="AR31" s="806"/>
      <c r="AS31" s="806"/>
      <c r="AT31" s="806"/>
      <c r="AU31" s="795"/>
      <c r="AV31" s="795"/>
      <c r="AW31" s="795"/>
      <c r="AX31" s="797"/>
      <c r="AY31" s="159"/>
    </row>
    <row r="32" spans="1:51" ht="27" hidden="1" customHeight="1" x14ac:dyDescent="0.25">
      <c r="A32" s="912"/>
      <c r="B32" s="1155"/>
      <c r="C32" s="838"/>
      <c r="D32" s="136" t="s">
        <v>43</v>
      </c>
      <c r="E32" s="142"/>
      <c r="F32" s="143"/>
      <c r="G32" s="144"/>
      <c r="H32" s="144"/>
      <c r="I32" s="144"/>
      <c r="J32" s="138"/>
      <c r="K32" s="137"/>
      <c r="L32" s="138"/>
      <c r="M32" s="146"/>
      <c r="N32" s="138"/>
      <c r="O32" s="138"/>
      <c r="P32" s="138">
        <v>1</v>
      </c>
      <c r="Q32" s="138">
        <v>2</v>
      </c>
      <c r="R32" s="147">
        <v>2</v>
      </c>
      <c r="S32" s="139"/>
      <c r="T32" s="148"/>
      <c r="U32" s="148"/>
      <c r="V32" s="148"/>
      <c r="W32" s="146"/>
      <c r="X32" s="139"/>
      <c r="Y32" s="139"/>
      <c r="Z32" s="139"/>
      <c r="AA32" s="137"/>
      <c r="AB32" s="137"/>
      <c r="AC32" s="137">
        <v>1</v>
      </c>
      <c r="AD32" s="137">
        <v>2</v>
      </c>
      <c r="AE32" s="152">
        <v>2</v>
      </c>
      <c r="AF32" s="158"/>
      <c r="AG32" s="772"/>
      <c r="AH32" s="775"/>
      <c r="AI32" s="775"/>
      <c r="AJ32" s="778"/>
      <c r="AK32" s="775"/>
      <c r="AL32" s="775"/>
      <c r="AM32" s="775"/>
      <c r="AN32" s="807"/>
      <c r="AO32" s="808"/>
      <c r="AP32" s="808"/>
      <c r="AQ32" s="806"/>
      <c r="AR32" s="806"/>
      <c r="AS32" s="806"/>
      <c r="AT32" s="806"/>
      <c r="AU32" s="795"/>
      <c r="AV32" s="795"/>
      <c r="AW32" s="795"/>
      <c r="AX32" s="797"/>
      <c r="AY32" s="159"/>
    </row>
    <row r="33" spans="1:51" ht="27.75" hidden="1" customHeight="1" thickBot="1" x14ac:dyDescent="0.3">
      <c r="A33" s="912"/>
      <c r="B33" s="1155"/>
      <c r="C33" s="838"/>
      <c r="D33" s="140" t="s">
        <v>45</v>
      </c>
      <c r="E33" s="142"/>
      <c r="F33" s="143"/>
      <c r="G33" s="144"/>
      <c r="H33" s="144"/>
      <c r="I33" s="144"/>
      <c r="J33" s="138"/>
      <c r="K33" s="137"/>
      <c r="L33" s="138"/>
      <c r="M33" s="146"/>
      <c r="N33" s="138"/>
      <c r="O33" s="138"/>
      <c r="P33" s="138" t="e">
        <f>+P32*$P$11/$P$10</f>
        <v>#REF!</v>
      </c>
      <c r="Q33" s="138" t="e">
        <f>+Q32*$Q$11/$Q$10</f>
        <v>#REF!</v>
      </c>
      <c r="R33" s="138" t="e">
        <f>+R32*$R$11/$R$10</f>
        <v>#REF!</v>
      </c>
      <c r="S33" s="139"/>
      <c r="T33" s="148"/>
      <c r="U33" s="148"/>
      <c r="V33" s="148"/>
      <c r="W33" s="146"/>
      <c r="X33" s="139"/>
      <c r="Y33" s="139"/>
      <c r="Z33" s="139"/>
      <c r="AA33" s="137"/>
      <c r="AB33" s="137"/>
      <c r="AC33" s="137" t="e">
        <f>+AC32*$AC$11/$AC$10</f>
        <v>#REF!</v>
      </c>
      <c r="AD33" s="137" t="e">
        <f>+AD32*$AD$11/$AD$10</f>
        <v>#REF!</v>
      </c>
      <c r="AE33" s="137" t="e">
        <f>+AE32*$AE$11/$AE$10</f>
        <v>#REF!</v>
      </c>
      <c r="AF33" s="158"/>
      <c r="AG33" s="773"/>
      <c r="AH33" s="776"/>
      <c r="AI33" s="776"/>
      <c r="AJ33" s="779"/>
      <c r="AK33" s="776"/>
      <c r="AL33" s="776"/>
      <c r="AM33" s="776"/>
      <c r="AN33" s="807"/>
      <c r="AO33" s="808"/>
      <c r="AP33" s="808"/>
      <c r="AQ33" s="806"/>
      <c r="AR33" s="806"/>
      <c r="AS33" s="806"/>
      <c r="AT33" s="806"/>
      <c r="AU33" s="795"/>
      <c r="AV33" s="795"/>
      <c r="AW33" s="795"/>
      <c r="AX33" s="798"/>
      <c r="AY33" s="159"/>
    </row>
    <row r="34" spans="1:51" ht="18" customHeight="1" x14ac:dyDescent="0.25">
      <c r="A34" s="912"/>
      <c r="B34" s="1155"/>
      <c r="C34" s="838" t="s">
        <v>334</v>
      </c>
      <c r="D34" s="141" t="s">
        <v>41</v>
      </c>
      <c r="E34" s="142"/>
      <c r="F34" s="143"/>
      <c r="G34" s="144"/>
      <c r="H34" s="144"/>
      <c r="I34" s="144">
        <v>1</v>
      </c>
      <c r="J34" s="138">
        <v>1</v>
      </c>
      <c r="K34" s="145">
        <v>1</v>
      </c>
      <c r="L34" s="138"/>
      <c r="M34" s="146">
        <v>1</v>
      </c>
      <c r="N34" s="138">
        <v>1</v>
      </c>
      <c r="O34" s="138">
        <v>2</v>
      </c>
      <c r="P34" s="138">
        <v>2</v>
      </c>
      <c r="Q34" s="138">
        <v>4</v>
      </c>
      <c r="R34" s="147">
        <v>5</v>
      </c>
      <c r="S34" s="139"/>
      <c r="T34" s="148"/>
      <c r="U34" s="148"/>
      <c r="V34" s="148">
        <v>1</v>
      </c>
      <c r="W34" s="146">
        <v>1</v>
      </c>
      <c r="X34" s="150">
        <v>1</v>
      </c>
      <c r="Y34" s="139"/>
      <c r="Z34" s="139">
        <v>1</v>
      </c>
      <c r="AA34" s="137">
        <v>1</v>
      </c>
      <c r="AB34" s="151">
        <v>2</v>
      </c>
      <c r="AC34" s="129">
        <v>2</v>
      </c>
      <c r="AD34" s="137">
        <v>4</v>
      </c>
      <c r="AE34" s="152">
        <v>5</v>
      </c>
      <c r="AF34" s="1115" t="s">
        <v>335</v>
      </c>
      <c r="AG34" s="771" t="s">
        <v>334</v>
      </c>
      <c r="AH34" s="774" t="s">
        <v>336</v>
      </c>
      <c r="AI34" s="774" t="s">
        <v>337</v>
      </c>
      <c r="AJ34" s="777" t="s">
        <v>338</v>
      </c>
      <c r="AK34" s="774" t="s">
        <v>315</v>
      </c>
      <c r="AL34" s="774" t="s">
        <v>70</v>
      </c>
      <c r="AM34" s="774" t="s">
        <v>316</v>
      </c>
      <c r="AN34" s="807">
        <v>161372</v>
      </c>
      <c r="AO34" s="808">
        <v>76616</v>
      </c>
      <c r="AP34" s="808">
        <v>84755</v>
      </c>
      <c r="AQ34" s="806" t="s">
        <v>317</v>
      </c>
      <c r="AR34" s="806" t="s">
        <v>317</v>
      </c>
      <c r="AS34" s="806" t="s">
        <v>317</v>
      </c>
      <c r="AT34" s="806" t="s">
        <v>317</v>
      </c>
      <c r="AU34" s="795" t="s">
        <v>317</v>
      </c>
      <c r="AV34" s="795" t="s">
        <v>317</v>
      </c>
      <c r="AW34" s="795" t="s">
        <v>317</v>
      </c>
      <c r="AX34" s="796">
        <v>161372</v>
      </c>
      <c r="AY34" s="159"/>
    </row>
    <row r="35" spans="1:51" ht="18" customHeight="1" x14ac:dyDescent="0.25">
      <c r="A35" s="912"/>
      <c r="B35" s="1155"/>
      <c r="C35" s="838"/>
      <c r="D35" s="132" t="s">
        <v>3</v>
      </c>
      <c r="E35" s="142"/>
      <c r="F35" s="143"/>
      <c r="G35" s="144"/>
      <c r="H35" s="144"/>
      <c r="I35" s="144" t="e">
        <f>+I34*$I$11/$I$10</f>
        <v>#REF!</v>
      </c>
      <c r="J35" s="138" t="e">
        <f>+J34*$J$11/$J$10</f>
        <v>#REF!</v>
      </c>
      <c r="K35" s="137"/>
      <c r="L35" s="138"/>
      <c r="M35" s="153" t="e">
        <f>+M34*$M$11/$M$10</f>
        <v>#REF!</v>
      </c>
      <c r="N35" s="154">
        <f>+N34*$N$11/$N$10</f>
        <v>5482727.2727272725</v>
      </c>
      <c r="O35" s="138">
        <f>+O34*$O$11/$O$10</f>
        <v>10965454.545454545</v>
      </c>
      <c r="P35" s="138" t="e">
        <f>+P34*$P$11/$P$10</f>
        <v>#REF!</v>
      </c>
      <c r="Q35" s="138" t="e">
        <f>+Q34*$Q$11/$Q$10</f>
        <v>#REF!</v>
      </c>
      <c r="R35" s="138" t="e">
        <f>+R34*$R$11/$R$10</f>
        <v>#REF!</v>
      </c>
      <c r="S35" s="139"/>
      <c r="T35" s="148"/>
      <c r="U35" s="148"/>
      <c r="V35" s="155" t="e">
        <f>+V34*$V$11/$V$10</f>
        <v>#REF!</v>
      </c>
      <c r="W35" s="138" t="e">
        <f>+W34*$W$11/$W$10</f>
        <v>#REF!</v>
      </c>
      <c r="X35" s="139"/>
      <c r="Y35" s="139"/>
      <c r="Z35" s="156">
        <f>+Z34*$Z$11/$Z$10</f>
        <v>12780000</v>
      </c>
      <c r="AA35" s="157">
        <f>+AA34*$AA$11/$AA$10</f>
        <v>11929863.636363637</v>
      </c>
      <c r="AB35" s="137">
        <f>+AB34*$AB$11/$AB$10</f>
        <v>15906484.848484848</v>
      </c>
      <c r="AC35" s="137" t="e">
        <f>+AC34*$AC$11/$AC$10</f>
        <v>#REF!</v>
      </c>
      <c r="AD35" s="137" t="e">
        <f>+AD34*$AD$11/$AD$10</f>
        <v>#REF!</v>
      </c>
      <c r="AE35" s="137" t="e">
        <f>+AE34*$AE$11/$AE$10</f>
        <v>#REF!</v>
      </c>
      <c r="AF35" s="1115"/>
      <c r="AG35" s="772"/>
      <c r="AH35" s="775"/>
      <c r="AI35" s="775"/>
      <c r="AJ35" s="778"/>
      <c r="AK35" s="775"/>
      <c r="AL35" s="775"/>
      <c r="AM35" s="775"/>
      <c r="AN35" s="807"/>
      <c r="AO35" s="808"/>
      <c r="AP35" s="808"/>
      <c r="AQ35" s="806"/>
      <c r="AR35" s="806"/>
      <c r="AS35" s="806"/>
      <c r="AT35" s="806"/>
      <c r="AU35" s="795"/>
      <c r="AV35" s="795"/>
      <c r="AW35" s="795"/>
      <c r="AX35" s="797"/>
      <c r="AY35" s="159"/>
    </row>
    <row r="36" spans="1:51" ht="27" customHeight="1" x14ac:dyDescent="0.25">
      <c r="A36" s="912"/>
      <c r="B36" s="1155"/>
      <c r="C36" s="838"/>
      <c r="D36" s="136" t="s">
        <v>42</v>
      </c>
      <c r="E36" s="142"/>
      <c r="F36" s="143"/>
      <c r="G36" s="144"/>
      <c r="H36" s="144"/>
      <c r="I36" s="144"/>
      <c r="J36" s="138"/>
      <c r="K36" s="137"/>
      <c r="L36" s="138"/>
      <c r="M36" s="146"/>
      <c r="N36" s="138"/>
      <c r="O36" s="138"/>
      <c r="P36" s="138"/>
      <c r="Q36" s="138"/>
      <c r="R36" s="147"/>
      <c r="S36" s="139"/>
      <c r="T36" s="148"/>
      <c r="U36" s="148"/>
      <c r="V36" s="148"/>
      <c r="W36" s="146"/>
      <c r="X36" s="139"/>
      <c r="Y36" s="139"/>
      <c r="Z36" s="139"/>
      <c r="AA36" s="137"/>
      <c r="AB36" s="151"/>
      <c r="AC36" s="129"/>
      <c r="AD36" s="137"/>
      <c r="AE36" s="152"/>
      <c r="AF36" s="1115"/>
      <c r="AG36" s="772"/>
      <c r="AH36" s="775"/>
      <c r="AI36" s="775"/>
      <c r="AJ36" s="778"/>
      <c r="AK36" s="775"/>
      <c r="AL36" s="775"/>
      <c r="AM36" s="775"/>
      <c r="AN36" s="807"/>
      <c r="AO36" s="808"/>
      <c r="AP36" s="808"/>
      <c r="AQ36" s="806"/>
      <c r="AR36" s="806"/>
      <c r="AS36" s="806"/>
      <c r="AT36" s="806"/>
      <c r="AU36" s="795"/>
      <c r="AV36" s="795"/>
      <c r="AW36" s="795"/>
      <c r="AX36" s="797"/>
      <c r="AY36" s="159"/>
    </row>
    <row r="37" spans="1:51" ht="27" customHeight="1" x14ac:dyDescent="0.25">
      <c r="A37" s="912"/>
      <c r="B37" s="1155"/>
      <c r="C37" s="838"/>
      <c r="D37" s="132" t="s">
        <v>4</v>
      </c>
      <c r="E37" s="142"/>
      <c r="F37" s="143"/>
      <c r="G37" s="144"/>
      <c r="H37" s="144"/>
      <c r="I37" s="144"/>
      <c r="J37" s="138"/>
      <c r="K37" s="137"/>
      <c r="L37" s="138"/>
      <c r="M37" s="146"/>
      <c r="N37" s="138"/>
      <c r="O37" s="138"/>
      <c r="P37" s="138"/>
      <c r="Q37" s="138"/>
      <c r="R37" s="147"/>
      <c r="S37" s="139"/>
      <c r="T37" s="148"/>
      <c r="U37" s="148"/>
      <c r="V37" s="148"/>
      <c r="W37" s="146"/>
      <c r="X37" s="139"/>
      <c r="Y37" s="139"/>
      <c r="Z37" s="139"/>
      <c r="AA37" s="137"/>
      <c r="AB37" s="151"/>
      <c r="AC37" s="129"/>
      <c r="AD37" s="137"/>
      <c r="AE37" s="152"/>
      <c r="AF37" s="1115"/>
      <c r="AG37" s="772"/>
      <c r="AH37" s="775"/>
      <c r="AI37" s="775"/>
      <c r="AJ37" s="778"/>
      <c r="AK37" s="775"/>
      <c r="AL37" s="775"/>
      <c r="AM37" s="775"/>
      <c r="AN37" s="807"/>
      <c r="AO37" s="808"/>
      <c r="AP37" s="808"/>
      <c r="AQ37" s="806"/>
      <c r="AR37" s="806"/>
      <c r="AS37" s="806"/>
      <c r="AT37" s="806"/>
      <c r="AU37" s="795"/>
      <c r="AV37" s="795"/>
      <c r="AW37" s="795"/>
      <c r="AX37" s="797"/>
      <c r="AY37" s="159"/>
    </row>
    <row r="38" spans="1:51" ht="27" customHeight="1" x14ac:dyDescent="0.25">
      <c r="A38" s="912"/>
      <c r="B38" s="1155"/>
      <c r="C38" s="838"/>
      <c r="D38" s="136" t="s">
        <v>43</v>
      </c>
      <c r="E38" s="142"/>
      <c r="F38" s="143"/>
      <c r="G38" s="144"/>
      <c r="H38" s="144"/>
      <c r="I38" s="144">
        <v>1</v>
      </c>
      <c r="J38" s="138">
        <v>1</v>
      </c>
      <c r="K38" s="137"/>
      <c r="L38" s="138"/>
      <c r="M38" s="146"/>
      <c r="N38" s="138"/>
      <c r="O38" s="138">
        <f>+O34</f>
        <v>2</v>
      </c>
      <c r="P38" s="138"/>
      <c r="Q38" s="138">
        <v>4</v>
      </c>
      <c r="R38" s="147">
        <v>5</v>
      </c>
      <c r="S38" s="139"/>
      <c r="T38" s="148"/>
      <c r="U38" s="148"/>
      <c r="V38" s="148">
        <v>1</v>
      </c>
      <c r="W38" s="146">
        <v>1</v>
      </c>
      <c r="X38" s="139"/>
      <c r="Y38" s="139"/>
      <c r="Z38" s="139"/>
      <c r="AA38" s="137"/>
      <c r="AB38" s="137">
        <f>+AB34</f>
        <v>2</v>
      </c>
      <c r="AC38" s="129"/>
      <c r="AD38" s="137">
        <v>4</v>
      </c>
      <c r="AE38" s="152">
        <v>5</v>
      </c>
      <c r="AF38" s="1115"/>
      <c r="AG38" s="772"/>
      <c r="AH38" s="775"/>
      <c r="AI38" s="775"/>
      <c r="AJ38" s="778"/>
      <c r="AK38" s="775"/>
      <c r="AL38" s="775"/>
      <c r="AM38" s="775"/>
      <c r="AN38" s="807"/>
      <c r="AO38" s="808"/>
      <c r="AP38" s="808"/>
      <c r="AQ38" s="806"/>
      <c r="AR38" s="806"/>
      <c r="AS38" s="806"/>
      <c r="AT38" s="806"/>
      <c r="AU38" s="795"/>
      <c r="AV38" s="795"/>
      <c r="AW38" s="795"/>
      <c r="AX38" s="797"/>
      <c r="AY38" s="159"/>
    </row>
    <row r="39" spans="1:51" ht="27.75" customHeight="1" thickBot="1" x14ac:dyDescent="0.3">
      <c r="A39" s="912"/>
      <c r="B39" s="1155"/>
      <c r="C39" s="838"/>
      <c r="D39" s="140" t="s">
        <v>45</v>
      </c>
      <c r="E39" s="142"/>
      <c r="F39" s="143"/>
      <c r="G39" s="144"/>
      <c r="H39" s="144"/>
      <c r="I39" s="144" t="e">
        <f>+I38*$I$11/$I$10</f>
        <v>#REF!</v>
      </c>
      <c r="J39" s="138" t="e">
        <f>+J38*$J$11/$J$10</f>
        <v>#REF!</v>
      </c>
      <c r="K39" s="137"/>
      <c r="L39" s="138"/>
      <c r="M39" s="146"/>
      <c r="N39" s="138"/>
      <c r="O39" s="138">
        <f>+O35</f>
        <v>10965454.545454545</v>
      </c>
      <c r="P39" s="138" t="e">
        <f>+P38*$P$11/$P$10</f>
        <v>#REF!</v>
      </c>
      <c r="Q39" s="138" t="e">
        <f>+Q38*$Q$11/$Q$10</f>
        <v>#REF!</v>
      </c>
      <c r="R39" s="138" t="e">
        <f>+R38*$R$11/$R$10</f>
        <v>#REF!</v>
      </c>
      <c r="S39" s="139"/>
      <c r="T39" s="148"/>
      <c r="U39" s="148"/>
      <c r="V39" s="155" t="e">
        <f>+V38*$V$11/$V$10</f>
        <v>#REF!</v>
      </c>
      <c r="W39" s="138" t="e">
        <f>+W38*$W$11/$W$10</f>
        <v>#REF!</v>
      </c>
      <c r="X39" s="139"/>
      <c r="Y39" s="139"/>
      <c r="Z39" s="139"/>
      <c r="AA39" s="137"/>
      <c r="AB39" s="137">
        <f>+AB35</f>
        <v>15906484.848484848</v>
      </c>
      <c r="AC39" s="137" t="e">
        <f>+AC38*$AC$11/$AC$10</f>
        <v>#REF!</v>
      </c>
      <c r="AD39" s="137" t="e">
        <f>+AD38*$AD$11/$AD$10</f>
        <v>#REF!</v>
      </c>
      <c r="AE39" s="137" t="e">
        <f>+AE38*$AE$11/$AE$10</f>
        <v>#REF!</v>
      </c>
      <c r="AF39" s="1115"/>
      <c r="AG39" s="773"/>
      <c r="AH39" s="776"/>
      <c r="AI39" s="776"/>
      <c r="AJ39" s="779"/>
      <c r="AK39" s="776"/>
      <c r="AL39" s="776"/>
      <c r="AM39" s="776"/>
      <c r="AN39" s="807"/>
      <c r="AO39" s="808"/>
      <c r="AP39" s="808"/>
      <c r="AQ39" s="806"/>
      <c r="AR39" s="806"/>
      <c r="AS39" s="806"/>
      <c r="AT39" s="806"/>
      <c r="AU39" s="795"/>
      <c r="AV39" s="795"/>
      <c r="AW39" s="795"/>
      <c r="AX39" s="798"/>
      <c r="AY39" s="159"/>
    </row>
    <row r="40" spans="1:51" ht="18" customHeight="1" x14ac:dyDescent="0.25">
      <c r="A40" s="912"/>
      <c r="B40" s="1155"/>
      <c r="C40" s="838" t="s">
        <v>339</v>
      </c>
      <c r="D40" s="141" t="s">
        <v>41</v>
      </c>
      <c r="E40" s="142"/>
      <c r="F40" s="143"/>
      <c r="G40" s="144"/>
      <c r="H40" s="144"/>
      <c r="I40" s="144"/>
      <c r="J40" s="138">
        <v>1</v>
      </c>
      <c r="K40" s="145">
        <v>1</v>
      </c>
      <c r="L40" s="138"/>
      <c r="M40" s="146"/>
      <c r="N40" s="138"/>
      <c r="O40" s="138"/>
      <c r="P40" s="138"/>
      <c r="Q40" s="138"/>
      <c r="R40" s="147">
        <v>1</v>
      </c>
      <c r="S40" s="139"/>
      <c r="T40" s="148"/>
      <c r="U40" s="148"/>
      <c r="V40" s="148"/>
      <c r="W40" s="146">
        <v>1</v>
      </c>
      <c r="X40" s="150">
        <v>1</v>
      </c>
      <c r="Y40" s="139"/>
      <c r="Z40" s="139"/>
      <c r="AA40" s="137"/>
      <c r="AB40" s="151"/>
      <c r="AC40" s="129"/>
      <c r="AD40" s="137"/>
      <c r="AE40" s="152">
        <v>1</v>
      </c>
      <c r="AF40" s="1115" t="s">
        <v>340</v>
      </c>
      <c r="AG40" s="771" t="s">
        <v>341</v>
      </c>
      <c r="AH40" s="774" t="s">
        <v>342</v>
      </c>
      <c r="AI40" s="774" t="s">
        <v>343</v>
      </c>
      <c r="AJ40" s="777" t="s">
        <v>338</v>
      </c>
      <c r="AK40" s="774" t="s">
        <v>315</v>
      </c>
      <c r="AL40" s="774" t="s">
        <v>344</v>
      </c>
      <c r="AM40" s="774" t="s">
        <v>316</v>
      </c>
      <c r="AN40" s="807">
        <v>22438</v>
      </c>
      <c r="AO40" s="808">
        <v>53075</v>
      </c>
      <c r="AP40" s="808">
        <v>53484</v>
      </c>
      <c r="AQ40" s="806" t="s">
        <v>317</v>
      </c>
      <c r="AR40" s="806" t="s">
        <v>317</v>
      </c>
      <c r="AS40" s="806" t="s">
        <v>317</v>
      </c>
      <c r="AT40" s="806" t="s">
        <v>317</v>
      </c>
      <c r="AU40" s="795" t="s">
        <v>317</v>
      </c>
      <c r="AV40" s="795" t="s">
        <v>317</v>
      </c>
      <c r="AW40" s="795" t="s">
        <v>317</v>
      </c>
      <c r="AX40" s="796">
        <v>22438</v>
      </c>
      <c r="AY40" s="159"/>
    </row>
    <row r="41" spans="1:51" ht="18.75" customHeight="1" x14ac:dyDescent="0.25">
      <c r="A41" s="912"/>
      <c r="B41" s="1155"/>
      <c r="C41" s="838"/>
      <c r="D41" s="132" t="s">
        <v>3</v>
      </c>
      <c r="E41" s="142"/>
      <c r="F41" s="143"/>
      <c r="G41" s="144"/>
      <c r="H41" s="144"/>
      <c r="I41" s="144"/>
      <c r="J41" s="138" t="e">
        <f>+J40*$J$11/$J$10</f>
        <v>#REF!</v>
      </c>
      <c r="K41" s="137"/>
      <c r="L41" s="138"/>
      <c r="M41" s="146"/>
      <c r="N41" s="138"/>
      <c r="O41" s="138"/>
      <c r="P41" s="138"/>
      <c r="Q41" s="138"/>
      <c r="R41" s="138" t="e">
        <f>+R40*$R$11/$R$10</f>
        <v>#REF!</v>
      </c>
      <c r="S41" s="139"/>
      <c r="T41" s="148"/>
      <c r="U41" s="148"/>
      <c r="V41" s="148"/>
      <c r="W41" s="138" t="e">
        <f>+W40*$W$11/$W$10</f>
        <v>#REF!</v>
      </c>
      <c r="X41" s="139"/>
      <c r="Y41" s="139"/>
      <c r="Z41" s="139"/>
      <c r="AA41" s="137"/>
      <c r="AB41" s="151"/>
      <c r="AC41" s="129"/>
      <c r="AD41" s="137"/>
      <c r="AE41" s="137" t="e">
        <f>+AE40*$AE$11/$AE$10</f>
        <v>#REF!</v>
      </c>
      <c r="AF41" s="1115"/>
      <c r="AG41" s="772"/>
      <c r="AH41" s="775"/>
      <c r="AI41" s="775"/>
      <c r="AJ41" s="778"/>
      <c r="AK41" s="775"/>
      <c r="AL41" s="775"/>
      <c r="AM41" s="775"/>
      <c r="AN41" s="807"/>
      <c r="AO41" s="808"/>
      <c r="AP41" s="808"/>
      <c r="AQ41" s="806"/>
      <c r="AR41" s="806"/>
      <c r="AS41" s="806"/>
      <c r="AT41" s="806"/>
      <c r="AU41" s="795"/>
      <c r="AV41" s="795"/>
      <c r="AW41" s="795"/>
      <c r="AX41" s="797"/>
      <c r="AY41" s="159"/>
    </row>
    <row r="42" spans="1:51" ht="27.75" customHeight="1" x14ac:dyDescent="0.25">
      <c r="A42" s="912"/>
      <c r="B42" s="1155"/>
      <c r="C42" s="838"/>
      <c r="D42" s="136" t="s">
        <v>42</v>
      </c>
      <c r="E42" s="142"/>
      <c r="F42" s="143"/>
      <c r="G42" s="144"/>
      <c r="H42" s="144"/>
      <c r="I42" s="144"/>
      <c r="J42" s="138"/>
      <c r="K42" s="137"/>
      <c r="L42" s="138"/>
      <c r="M42" s="146"/>
      <c r="N42" s="138"/>
      <c r="O42" s="138"/>
      <c r="P42" s="138"/>
      <c r="Q42" s="138"/>
      <c r="R42" s="147"/>
      <c r="S42" s="139"/>
      <c r="T42" s="148"/>
      <c r="U42" s="148"/>
      <c r="V42" s="148"/>
      <c r="W42" s="146"/>
      <c r="X42" s="139"/>
      <c r="Y42" s="139"/>
      <c r="Z42" s="139"/>
      <c r="AA42" s="137"/>
      <c r="AB42" s="151"/>
      <c r="AC42" s="129"/>
      <c r="AD42" s="137"/>
      <c r="AE42" s="152"/>
      <c r="AF42" s="1115"/>
      <c r="AG42" s="772"/>
      <c r="AH42" s="775"/>
      <c r="AI42" s="775"/>
      <c r="AJ42" s="778"/>
      <c r="AK42" s="775"/>
      <c r="AL42" s="775"/>
      <c r="AM42" s="775"/>
      <c r="AN42" s="807"/>
      <c r="AO42" s="808"/>
      <c r="AP42" s="808"/>
      <c r="AQ42" s="806"/>
      <c r="AR42" s="806"/>
      <c r="AS42" s="806"/>
      <c r="AT42" s="806"/>
      <c r="AU42" s="795"/>
      <c r="AV42" s="795"/>
      <c r="AW42" s="795"/>
      <c r="AX42" s="797"/>
      <c r="AY42" s="159"/>
    </row>
    <row r="43" spans="1:51" ht="27.75" customHeight="1" x14ac:dyDescent="0.25">
      <c r="A43" s="912"/>
      <c r="B43" s="1155"/>
      <c r="C43" s="838"/>
      <c r="D43" s="132" t="s">
        <v>4</v>
      </c>
      <c r="E43" s="142"/>
      <c r="F43" s="143"/>
      <c r="G43" s="144"/>
      <c r="H43" s="144"/>
      <c r="I43" s="144"/>
      <c r="J43" s="138"/>
      <c r="K43" s="137"/>
      <c r="L43" s="138"/>
      <c r="M43" s="146"/>
      <c r="N43" s="138"/>
      <c r="O43" s="138"/>
      <c r="P43" s="138"/>
      <c r="Q43" s="138"/>
      <c r="R43" s="147"/>
      <c r="S43" s="139"/>
      <c r="T43" s="148"/>
      <c r="U43" s="148"/>
      <c r="V43" s="148"/>
      <c r="W43" s="146"/>
      <c r="X43" s="139"/>
      <c r="Y43" s="139"/>
      <c r="Z43" s="139"/>
      <c r="AA43" s="137"/>
      <c r="AB43" s="151"/>
      <c r="AC43" s="129"/>
      <c r="AD43" s="137"/>
      <c r="AE43" s="152"/>
      <c r="AF43" s="1115"/>
      <c r="AG43" s="772"/>
      <c r="AH43" s="775"/>
      <c r="AI43" s="775"/>
      <c r="AJ43" s="778"/>
      <c r="AK43" s="775"/>
      <c r="AL43" s="775"/>
      <c r="AM43" s="775"/>
      <c r="AN43" s="807"/>
      <c r="AO43" s="808"/>
      <c r="AP43" s="808"/>
      <c r="AQ43" s="806"/>
      <c r="AR43" s="806"/>
      <c r="AS43" s="806"/>
      <c r="AT43" s="806"/>
      <c r="AU43" s="795"/>
      <c r="AV43" s="795"/>
      <c r="AW43" s="795"/>
      <c r="AX43" s="797"/>
      <c r="AY43" s="159"/>
    </row>
    <row r="44" spans="1:51" ht="27.75" customHeight="1" x14ac:dyDescent="0.25">
      <c r="A44" s="912"/>
      <c r="B44" s="1155"/>
      <c r="C44" s="838"/>
      <c r="D44" s="136" t="s">
        <v>43</v>
      </c>
      <c r="E44" s="142"/>
      <c r="F44" s="143"/>
      <c r="G44" s="144"/>
      <c r="H44" s="144"/>
      <c r="I44" s="144"/>
      <c r="J44" s="138">
        <v>1</v>
      </c>
      <c r="K44" s="137"/>
      <c r="L44" s="138"/>
      <c r="M44" s="146"/>
      <c r="N44" s="138"/>
      <c r="O44" s="138"/>
      <c r="P44" s="138"/>
      <c r="Q44" s="138"/>
      <c r="R44" s="147">
        <v>1</v>
      </c>
      <c r="S44" s="139"/>
      <c r="T44" s="148"/>
      <c r="U44" s="148"/>
      <c r="V44" s="148"/>
      <c r="W44" s="146">
        <v>1</v>
      </c>
      <c r="X44" s="139"/>
      <c r="Y44" s="139"/>
      <c r="Z44" s="139"/>
      <c r="AA44" s="137"/>
      <c r="AB44" s="151"/>
      <c r="AC44" s="129"/>
      <c r="AD44" s="137"/>
      <c r="AE44" s="152">
        <v>1</v>
      </c>
      <c r="AF44" s="1115"/>
      <c r="AG44" s="772"/>
      <c r="AH44" s="775"/>
      <c r="AI44" s="775"/>
      <c r="AJ44" s="778"/>
      <c r="AK44" s="775"/>
      <c r="AL44" s="775"/>
      <c r="AM44" s="775"/>
      <c r="AN44" s="807"/>
      <c r="AO44" s="808"/>
      <c r="AP44" s="808"/>
      <c r="AQ44" s="806"/>
      <c r="AR44" s="806"/>
      <c r="AS44" s="806"/>
      <c r="AT44" s="806"/>
      <c r="AU44" s="795"/>
      <c r="AV44" s="795"/>
      <c r="AW44" s="795"/>
      <c r="AX44" s="797"/>
      <c r="AY44" s="159"/>
    </row>
    <row r="45" spans="1:51" ht="27.75" customHeight="1" thickBot="1" x14ac:dyDescent="0.3">
      <c r="A45" s="912"/>
      <c r="B45" s="1155"/>
      <c r="C45" s="838"/>
      <c r="D45" s="140" t="s">
        <v>45</v>
      </c>
      <c r="E45" s="142"/>
      <c r="F45" s="143"/>
      <c r="G45" s="144"/>
      <c r="H45" s="144"/>
      <c r="I45" s="144"/>
      <c r="J45" s="138" t="e">
        <f>+J44*$J$11/$J$10</f>
        <v>#REF!</v>
      </c>
      <c r="K45" s="137"/>
      <c r="L45" s="138"/>
      <c r="M45" s="146"/>
      <c r="N45" s="138"/>
      <c r="O45" s="138"/>
      <c r="P45" s="138"/>
      <c r="Q45" s="138"/>
      <c r="R45" s="138" t="e">
        <f>+R44*$R$11/$R$10</f>
        <v>#REF!</v>
      </c>
      <c r="S45" s="139"/>
      <c r="T45" s="148"/>
      <c r="U45" s="148"/>
      <c r="V45" s="148"/>
      <c r="W45" s="138" t="e">
        <f>+W44*$W$11/$W$10</f>
        <v>#REF!</v>
      </c>
      <c r="X45" s="139"/>
      <c r="Y45" s="139"/>
      <c r="Z45" s="139"/>
      <c r="AA45" s="137"/>
      <c r="AB45" s="151"/>
      <c r="AC45" s="129"/>
      <c r="AD45" s="137"/>
      <c r="AE45" s="137" t="e">
        <f>+AE44*$AE$11/$AE$10</f>
        <v>#REF!</v>
      </c>
      <c r="AF45" s="1149"/>
      <c r="AG45" s="773"/>
      <c r="AH45" s="776"/>
      <c r="AI45" s="776"/>
      <c r="AJ45" s="779"/>
      <c r="AK45" s="776"/>
      <c r="AL45" s="776"/>
      <c r="AM45" s="776"/>
      <c r="AN45" s="807"/>
      <c r="AO45" s="808"/>
      <c r="AP45" s="808"/>
      <c r="AQ45" s="806"/>
      <c r="AR45" s="806"/>
      <c r="AS45" s="806"/>
      <c r="AT45" s="806"/>
      <c r="AU45" s="795"/>
      <c r="AV45" s="795"/>
      <c r="AW45" s="795"/>
      <c r="AX45" s="798"/>
      <c r="AY45" s="159"/>
    </row>
    <row r="46" spans="1:51" ht="32.25" customHeight="1" x14ac:dyDescent="0.25">
      <c r="A46" s="912"/>
      <c r="B46" s="1155"/>
      <c r="C46" s="838" t="s">
        <v>345</v>
      </c>
      <c r="D46" s="141" t="s">
        <v>41</v>
      </c>
      <c r="E46" s="142"/>
      <c r="F46" s="143"/>
      <c r="G46" s="144"/>
      <c r="H46" s="144">
        <v>1</v>
      </c>
      <c r="I46" s="144">
        <v>1</v>
      </c>
      <c r="J46" s="138">
        <v>2</v>
      </c>
      <c r="K46" s="145">
        <v>2</v>
      </c>
      <c r="L46" s="138"/>
      <c r="M46" s="146">
        <v>1</v>
      </c>
      <c r="N46" s="138">
        <v>1</v>
      </c>
      <c r="O46" s="138">
        <v>2</v>
      </c>
      <c r="P46" s="138">
        <v>2</v>
      </c>
      <c r="Q46" s="138">
        <v>3</v>
      </c>
      <c r="R46" s="147">
        <v>4</v>
      </c>
      <c r="S46" s="139"/>
      <c r="T46" s="148"/>
      <c r="U46" s="148">
        <v>1</v>
      </c>
      <c r="V46" s="148">
        <v>1</v>
      </c>
      <c r="W46" s="149">
        <v>2</v>
      </c>
      <c r="X46" s="150">
        <v>2</v>
      </c>
      <c r="Y46" s="139"/>
      <c r="Z46" s="139">
        <v>1</v>
      </c>
      <c r="AA46" s="137">
        <v>1</v>
      </c>
      <c r="AB46" s="151">
        <v>2</v>
      </c>
      <c r="AC46" s="129">
        <v>2</v>
      </c>
      <c r="AD46" s="137">
        <v>3</v>
      </c>
      <c r="AE46" s="152">
        <v>4</v>
      </c>
      <c r="AF46" s="1145" t="s">
        <v>346</v>
      </c>
      <c r="AG46" s="771" t="s">
        <v>345</v>
      </c>
      <c r="AH46" s="774" t="s">
        <v>347</v>
      </c>
      <c r="AI46" s="774" t="s">
        <v>348</v>
      </c>
      <c r="AJ46" s="777" t="s">
        <v>314</v>
      </c>
      <c r="AK46" s="774" t="s">
        <v>315</v>
      </c>
      <c r="AL46" s="774" t="s">
        <v>349</v>
      </c>
      <c r="AM46" s="774" t="s">
        <v>316</v>
      </c>
      <c r="AN46" s="807">
        <v>406574</v>
      </c>
      <c r="AO46" s="808">
        <v>196557</v>
      </c>
      <c r="AP46" s="808">
        <v>210017</v>
      </c>
      <c r="AQ46" s="806" t="s">
        <v>317</v>
      </c>
      <c r="AR46" s="806" t="s">
        <v>317</v>
      </c>
      <c r="AS46" s="806" t="s">
        <v>317</v>
      </c>
      <c r="AT46" s="806" t="s">
        <v>317</v>
      </c>
      <c r="AU46" s="795" t="s">
        <v>317</v>
      </c>
      <c r="AV46" s="795" t="s">
        <v>317</v>
      </c>
      <c r="AW46" s="795" t="s">
        <v>317</v>
      </c>
      <c r="AX46" s="796">
        <v>406574</v>
      </c>
      <c r="AY46" s="159"/>
    </row>
    <row r="47" spans="1:51" ht="18" customHeight="1" x14ac:dyDescent="0.25">
      <c r="A47" s="912"/>
      <c r="B47" s="1155"/>
      <c r="C47" s="838"/>
      <c r="D47" s="132" t="s">
        <v>3</v>
      </c>
      <c r="E47" s="142"/>
      <c r="F47" s="143"/>
      <c r="G47" s="144"/>
      <c r="H47" s="144">
        <f>+H46*$H$11/$H$10</f>
        <v>5272055.0458715595</v>
      </c>
      <c r="I47" s="144" t="e">
        <f>+I46*$I$11/$I$10</f>
        <v>#REF!</v>
      </c>
      <c r="J47" s="138" t="e">
        <f>+J46*$J$11/$J$10</f>
        <v>#REF!</v>
      </c>
      <c r="K47" s="137"/>
      <c r="L47" s="138"/>
      <c r="M47" s="153" t="e">
        <f>+M46*$M$11/$M$10</f>
        <v>#REF!</v>
      </c>
      <c r="N47" s="154">
        <f>+N46*$N$11/$N$10</f>
        <v>5482727.2727272725</v>
      </c>
      <c r="O47" s="138">
        <f>+O46*$O$11/$O$10</f>
        <v>10965454.545454545</v>
      </c>
      <c r="P47" s="138" t="e">
        <f>+P46*$P$11/$P$10</f>
        <v>#REF!</v>
      </c>
      <c r="Q47" s="138" t="e">
        <f>+Q46*$Q$11/$Q$10</f>
        <v>#REF!</v>
      </c>
      <c r="R47" s="138" t="e">
        <f>+R46*$R$11/$R$10</f>
        <v>#REF!</v>
      </c>
      <c r="S47" s="139"/>
      <c r="T47" s="148"/>
      <c r="U47" s="144">
        <f>+U46*$U$11/$U$10</f>
        <v>23726153.846153848</v>
      </c>
      <c r="V47" s="155" t="e">
        <f>+V46*$V$11/$V$10</f>
        <v>#REF!</v>
      </c>
      <c r="W47" s="138" t="e">
        <f>+W46*$W$11/$W$10</f>
        <v>#REF!</v>
      </c>
      <c r="X47" s="139"/>
      <c r="Y47" s="139"/>
      <c r="Z47" s="156">
        <f>+Z46*$Z$11/$Z$10</f>
        <v>12780000</v>
      </c>
      <c r="AA47" s="157">
        <f>+AA46*$AA$11/$AA$10</f>
        <v>11929863.636363637</v>
      </c>
      <c r="AB47" s="137">
        <f>+AB46*$AB$11/$AB$10</f>
        <v>15906484.848484848</v>
      </c>
      <c r="AC47" s="137" t="e">
        <f>+AC46*$AC$11/$AC$10</f>
        <v>#REF!</v>
      </c>
      <c r="AD47" s="137" t="e">
        <f>+AD46*$AD$11/$AD$10</f>
        <v>#REF!</v>
      </c>
      <c r="AE47" s="137" t="e">
        <f>+AE46*$AE$11/$AE$10</f>
        <v>#REF!</v>
      </c>
      <c r="AF47" s="1146"/>
      <c r="AG47" s="772"/>
      <c r="AH47" s="775"/>
      <c r="AI47" s="775"/>
      <c r="AJ47" s="778"/>
      <c r="AK47" s="775"/>
      <c r="AL47" s="775"/>
      <c r="AM47" s="775"/>
      <c r="AN47" s="807"/>
      <c r="AO47" s="808"/>
      <c r="AP47" s="808"/>
      <c r="AQ47" s="806"/>
      <c r="AR47" s="806"/>
      <c r="AS47" s="806"/>
      <c r="AT47" s="806"/>
      <c r="AU47" s="795"/>
      <c r="AV47" s="795"/>
      <c r="AW47" s="795"/>
      <c r="AX47" s="797"/>
      <c r="AY47" s="159"/>
    </row>
    <row r="48" spans="1:51" ht="27" customHeight="1" x14ac:dyDescent="0.25">
      <c r="A48" s="912"/>
      <c r="B48" s="1155"/>
      <c r="C48" s="838"/>
      <c r="D48" s="136" t="s">
        <v>42</v>
      </c>
      <c r="E48" s="142"/>
      <c r="F48" s="143"/>
      <c r="G48" s="144"/>
      <c r="H48" s="144"/>
      <c r="I48" s="144"/>
      <c r="J48" s="138"/>
      <c r="K48" s="137"/>
      <c r="L48" s="138"/>
      <c r="M48" s="146"/>
      <c r="N48" s="138"/>
      <c r="O48" s="138"/>
      <c r="P48" s="138"/>
      <c r="Q48" s="138"/>
      <c r="R48" s="147"/>
      <c r="S48" s="139"/>
      <c r="T48" s="148"/>
      <c r="U48" s="148"/>
      <c r="V48" s="148"/>
      <c r="W48" s="146"/>
      <c r="X48" s="139"/>
      <c r="Y48" s="139"/>
      <c r="Z48" s="139"/>
      <c r="AA48" s="137"/>
      <c r="AB48" s="151"/>
      <c r="AC48" s="129"/>
      <c r="AD48" s="137"/>
      <c r="AE48" s="152"/>
      <c r="AF48" s="1146"/>
      <c r="AG48" s="772"/>
      <c r="AH48" s="775"/>
      <c r="AI48" s="775"/>
      <c r="AJ48" s="778"/>
      <c r="AK48" s="775"/>
      <c r="AL48" s="775"/>
      <c r="AM48" s="775"/>
      <c r="AN48" s="807"/>
      <c r="AO48" s="808"/>
      <c r="AP48" s="808"/>
      <c r="AQ48" s="806"/>
      <c r="AR48" s="806"/>
      <c r="AS48" s="806"/>
      <c r="AT48" s="806"/>
      <c r="AU48" s="795"/>
      <c r="AV48" s="795"/>
      <c r="AW48" s="795"/>
      <c r="AX48" s="797"/>
      <c r="AY48" s="159"/>
    </row>
    <row r="49" spans="1:51" ht="27" customHeight="1" x14ac:dyDescent="0.25">
      <c r="A49" s="912"/>
      <c r="B49" s="1155"/>
      <c r="C49" s="838"/>
      <c r="D49" s="132" t="s">
        <v>4</v>
      </c>
      <c r="E49" s="142"/>
      <c r="F49" s="143"/>
      <c r="G49" s="144"/>
      <c r="H49" s="144"/>
      <c r="I49" s="144"/>
      <c r="J49" s="138"/>
      <c r="K49" s="137"/>
      <c r="L49" s="138"/>
      <c r="M49" s="146"/>
      <c r="N49" s="138"/>
      <c r="O49" s="138"/>
      <c r="P49" s="138"/>
      <c r="Q49" s="138"/>
      <c r="R49" s="147"/>
      <c r="S49" s="139"/>
      <c r="T49" s="148"/>
      <c r="U49" s="148"/>
      <c r="V49" s="148"/>
      <c r="W49" s="146"/>
      <c r="X49" s="139"/>
      <c r="Y49" s="139"/>
      <c r="Z49" s="139"/>
      <c r="AA49" s="137"/>
      <c r="AB49" s="151"/>
      <c r="AC49" s="129"/>
      <c r="AD49" s="137"/>
      <c r="AE49" s="152"/>
      <c r="AF49" s="1146"/>
      <c r="AG49" s="772"/>
      <c r="AH49" s="775"/>
      <c r="AI49" s="775"/>
      <c r="AJ49" s="778"/>
      <c r="AK49" s="775"/>
      <c r="AL49" s="775"/>
      <c r="AM49" s="775"/>
      <c r="AN49" s="807"/>
      <c r="AO49" s="808"/>
      <c r="AP49" s="808"/>
      <c r="AQ49" s="806"/>
      <c r="AR49" s="806"/>
      <c r="AS49" s="806"/>
      <c r="AT49" s="806"/>
      <c r="AU49" s="795"/>
      <c r="AV49" s="795"/>
      <c r="AW49" s="795"/>
      <c r="AX49" s="797"/>
      <c r="AY49" s="159"/>
    </row>
    <row r="50" spans="1:51" ht="27" customHeight="1" x14ac:dyDescent="0.25">
      <c r="A50" s="912"/>
      <c r="B50" s="1155"/>
      <c r="C50" s="838"/>
      <c r="D50" s="136" t="s">
        <v>43</v>
      </c>
      <c r="E50" s="142"/>
      <c r="F50" s="143"/>
      <c r="G50" s="144"/>
      <c r="H50" s="144">
        <v>1</v>
      </c>
      <c r="I50" s="144">
        <v>1</v>
      </c>
      <c r="J50" s="138">
        <v>2</v>
      </c>
      <c r="K50" s="137"/>
      <c r="L50" s="138"/>
      <c r="M50" s="146"/>
      <c r="N50" s="138"/>
      <c r="O50" s="138">
        <f>+O46</f>
        <v>2</v>
      </c>
      <c r="P50" s="138">
        <v>2</v>
      </c>
      <c r="Q50" s="138">
        <v>3</v>
      </c>
      <c r="R50" s="147">
        <v>4</v>
      </c>
      <c r="S50" s="139"/>
      <c r="T50" s="148"/>
      <c r="U50" s="148">
        <v>1</v>
      </c>
      <c r="V50" s="148">
        <v>1</v>
      </c>
      <c r="W50" s="146">
        <v>2</v>
      </c>
      <c r="X50" s="139"/>
      <c r="Y50" s="139"/>
      <c r="Z50" s="139"/>
      <c r="AA50" s="137"/>
      <c r="AB50" s="137">
        <f>+AB46</f>
        <v>2</v>
      </c>
      <c r="AC50" s="129">
        <v>2</v>
      </c>
      <c r="AD50" s="137">
        <v>3</v>
      </c>
      <c r="AE50" s="152">
        <v>4</v>
      </c>
      <c r="AF50" s="1146"/>
      <c r="AG50" s="772"/>
      <c r="AH50" s="775"/>
      <c r="AI50" s="775"/>
      <c r="AJ50" s="778"/>
      <c r="AK50" s="775"/>
      <c r="AL50" s="775"/>
      <c r="AM50" s="775"/>
      <c r="AN50" s="807"/>
      <c r="AO50" s="808"/>
      <c r="AP50" s="808"/>
      <c r="AQ50" s="806"/>
      <c r="AR50" s="806"/>
      <c r="AS50" s="806"/>
      <c r="AT50" s="806"/>
      <c r="AU50" s="795"/>
      <c r="AV50" s="795"/>
      <c r="AW50" s="795"/>
      <c r="AX50" s="797"/>
      <c r="AY50" s="159"/>
    </row>
    <row r="51" spans="1:51" ht="27.75" customHeight="1" thickBot="1" x14ac:dyDescent="0.3">
      <c r="A51" s="912"/>
      <c r="B51" s="1155"/>
      <c r="C51" s="838"/>
      <c r="D51" s="140" t="s">
        <v>45</v>
      </c>
      <c r="E51" s="142"/>
      <c r="F51" s="143"/>
      <c r="G51" s="144"/>
      <c r="H51" s="144">
        <f>+H50*$H$11/$H$10</f>
        <v>5272055.0458715595</v>
      </c>
      <c r="I51" s="144" t="e">
        <f>+I50*$I$11/$I$10</f>
        <v>#REF!</v>
      </c>
      <c r="J51" s="138" t="e">
        <f>+J50*$J$11/$J$10</f>
        <v>#REF!</v>
      </c>
      <c r="K51" s="137"/>
      <c r="L51" s="138"/>
      <c r="M51" s="146"/>
      <c r="N51" s="138"/>
      <c r="O51" s="138">
        <f>+O47</f>
        <v>10965454.545454545</v>
      </c>
      <c r="P51" s="138" t="e">
        <f>+P50*$P$11/$P$10</f>
        <v>#REF!</v>
      </c>
      <c r="Q51" s="138" t="e">
        <f>+Q50*$Q$11/$Q$10</f>
        <v>#REF!</v>
      </c>
      <c r="R51" s="138" t="e">
        <f>+R50*$R$11/$R$10</f>
        <v>#REF!</v>
      </c>
      <c r="S51" s="139"/>
      <c r="T51" s="148"/>
      <c r="U51" s="144">
        <f>+U50*$U$11/$U$10</f>
        <v>23726153.846153848</v>
      </c>
      <c r="V51" s="155" t="e">
        <f>+V50*$V$11/$V$10</f>
        <v>#REF!</v>
      </c>
      <c r="W51" s="138" t="e">
        <f>+W50*$W$11/$W$10</f>
        <v>#REF!</v>
      </c>
      <c r="X51" s="139"/>
      <c r="Y51" s="139"/>
      <c r="Z51" s="139"/>
      <c r="AA51" s="137"/>
      <c r="AB51" s="137">
        <f>+AB47</f>
        <v>15906484.848484848</v>
      </c>
      <c r="AC51" s="137" t="e">
        <f>+AC50*$AC$11/$AC$10</f>
        <v>#REF!</v>
      </c>
      <c r="AD51" s="137" t="e">
        <f>+AD50*$AD$11/$AD$10</f>
        <v>#REF!</v>
      </c>
      <c r="AE51" s="137" t="e">
        <f>+AE50*$AE$11/$AE$10</f>
        <v>#REF!</v>
      </c>
      <c r="AF51" s="1147"/>
      <c r="AG51" s="773"/>
      <c r="AH51" s="776"/>
      <c r="AI51" s="776"/>
      <c r="AJ51" s="779"/>
      <c r="AK51" s="776"/>
      <c r="AL51" s="776"/>
      <c r="AM51" s="776"/>
      <c r="AN51" s="807"/>
      <c r="AO51" s="808"/>
      <c r="AP51" s="808"/>
      <c r="AQ51" s="806"/>
      <c r="AR51" s="806"/>
      <c r="AS51" s="806"/>
      <c r="AT51" s="806"/>
      <c r="AU51" s="795"/>
      <c r="AV51" s="795"/>
      <c r="AW51" s="795"/>
      <c r="AX51" s="798"/>
      <c r="AY51" s="159"/>
    </row>
    <row r="52" spans="1:51" ht="18" hidden="1" customHeight="1" x14ac:dyDescent="0.25">
      <c r="A52" s="912"/>
      <c r="B52" s="1155"/>
      <c r="C52" s="838" t="s">
        <v>324</v>
      </c>
      <c r="D52" s="141" t="s">
        <v>41</v>
      </c>
      <c r="E52" s="142"/>
      <c r="F52" s="143"/>
      <c r="G52" s="144"/>
      <c r="H52" s="144"/>
      <c r="I52" s="144"/>
      <c r="J52" s="138"/>
      <c r="K52" s="137"/>
      <c r="L52" s="138"/>
      <c r="M52" s="146"/>
      <c r="N52" s="138"/>
      <c r="O52" s="138"/>
      <c r="P52" s="138"/>
      <c r="Q52" s="138"/>
      <c r="R52" s="147"/>
      <c r="S52" s="139"/>
      <c r="T52" s="148"/>
      <c r="U52" s="148"/>
      <c r="V52" s="148"/>
      <c r="W52" s="146"/>
      <c r="X52" s="139"/>
      <c r="Y52" s="139"/>
      <c r="Z52" s="139"/>
      <c r="AA52" s="137"/>
      <c r="AB52" s="151"/>
      <c r="AC52" s="129"/>
      <c r="AD52" s="137"/>
      <c r="AE52" s="152"/>
      <c r="AF52" s="158"/>
      <c r="AG52" s="771" t="s">
        <v>324</v>
      </c>
      <c r="AH52" s="774" t="s">
        <v>350</v>
      </c>
      <c r="AI52" s="774" t="s">
        <v>350</v>
      </c>
      <c r="AJ52" s="777" t="s">
        <v>351</v>
      </c>
      <c r="AK52" s="774" t="s">
        <v>315</v>
      </c>
      <c r="AL52" s="774" t="s">
        <v>70</v>
      </c>
      <c r="AM52" s="774" t="s">
        <v>316</v>
      </c>
      <c r="AN52" s="807">
        <v>22438</v>
      </c>
      <c r="AO52" s="808">
        <v>181364</v>
      </c>
      <c r="AP52" s="808">
        <v>191238</v>
      </c>
      <c r="AQ52" s="806" t="s">
        <v>317</v>
      </c>
      <c r="AR52" s="806" t="s">
        <v>317</v>
      </c>
      <c r="AS52" s="806" t="s">
        <v>317</v>
      </c>
      <c r="AT52" s="806" t="s">
        <v>317</v>
      </c>
      <c r="AU52" s="795" t="s">
        <v>317</v>
      </c>
      <c r="AV52" s="795" t="s">
        <v>317</v>
      </c>
      <c r="AW52" s="795" t="s">
        <v>317</v>
      </c>
      <c r="AX52" s="796">
        <v>22438</v>
      </c>
      <c r="AY52" s="159"/>
    </row>
    <row r="53" spans="1:51" ht="18.75" hidden="1" customHeight="1" x14ac:dyDescent="0.25">
      <c r="A53" s="912"/>
      <c r="B53" s="1155"/>
      <c r="C53" s="838"/>
      <c r="D53" s="132" t="s">
        <v>3</v>
      </c>
      <c r="E53" s="142"/>
      <c r="F53" s="143"/>
      <c r="G53" s="144"/>
      <c r="H53" s="144"/>
      <c r="I53" s="144"/>
      <c r="J53" s="138"/>
      <c r="K53" s="137"/>
      <c r="L53" s="138"/>
      <c r="M53" s="146"/>
      <c r="N53" s="138"/>
      <c r="O53" s="138"/>
      <c r="P53" s="138"/>
      <c r="Q53" s="138"/>
      <c r="R53" s="147"/>
      <c r="S53" s="139"/>
      <c r="T53" s="148"/>
      <c r="U53" s="148"/>
      <c r="V53" s="148"/>
      <c r="W53" s="146"/>
      <c r="X53" s="139"/>
      <c r="Y53" s="139"/>
      <c r="Z53" s="139"/>
      <c r="AA53" s="137"/>
      <c r="AB53" s="151"/>
      <c r="AC53" s="129"/>
      <c r="AD53" s="137"/>
      <c r="AE53" s="152"/>
      <c r="AF53" s="158"/>
      <c r="AG53" s="772"/>
      <c r="AH53" s="775"/>
      <c r="AI53" s="775"/>
      <c r="AJ53" s="778"/>
      <c r="AK53" s="775"/>
      <c r="AL53" s="775"/>
      <c r="AM53" s="775"/>
      <c r="AN53" s="807"/>
      <c r="AO53" s="808"/>
      <c r="AP53" s="808"/>
      <c r="AQ53" s="806"/>
      <c r="AR53" s="806"/>
      <c r="AS53" s="806"/>
      <c r="AT53" s="806"/>
      <c r="AU53" s="795"/>
      <c r="AV53" s="795"/>
      <c r="AW53" s="795"/>
      <c r="AX53" s="797"/>
      <c r="AY53" s="159"/>
    </row>
    <row r="54" spans="1:51" ht="27.75" hidden="1" customHeight="1" x14ac:dyDescent="0.25">
      <c r="A54" s="912"/>
      <c r="B54" s="1155"/>
      <c r="C54" s="838"/>
      <c r="D54" s="136" t="s">
        <v>42</v>
      </c>
      <c r="E54" s="142"/>
      <c r="F54" s="143"/>
      <c r="G54" s="144"/>
      <c r="H54" s="144"/>
      <c r="I54" s="144"/>
      <c r="J54" s="138"/>
      <c r="K54" s="137"/>
      <c r="L54" s="138"/>
      <c r="M54" s="146"/>
      <c r="N54" s="138"/>
      <c r="O54" s="138"/>
      <c r="P54" s="138"/>
      <c r="Q54" s="138"/>
      <c r="R54" s="147"/>
      <c r="S54" s="139"/>
      <c r="T54" s="148"/>
      <c r="U54" s="148"/>
      <c r="V54" s="148"/>
      <c r="W54" s="146"/>
      <c r="X54" s="139"/>
      <c r="Y54" s="139"/>
      <c r="Z54" s="139"/>
      <c r="AA54" s="137"/>
      <c r="AB54" s="151"/>
      <c r="AC54" s="129"/>
      <c r="AD54" s="137"/>
      <c r="AE54" s="152"/>
      <c r="AF54" s="158"/>
      <c r="AG54" s="772"/>
      <c r="AH54" s="775"/>
      <c r="AI54" s="775"/>
      <c r="AJ54" s="778"/>
      <c r="AK54" s="775"/>
      <c r="AL54" s="775"/>
      <c r="AM54" s="775"/>
      <c r="AN54" s="807"/>
      <c r="AO54" s="808"/>
      <c r="AP54" s="808"/>
      <c r="AQ54" s="806"/>
      <c r="AR54" s="806"/>
      <c r="AS54" s="806"/>
      <c r="AT54" s="806"/>
      <c r="AU54" s="795"/>
      <c r="AV54" s="795"/>
      <c r="AW54" s="795"/>
      <c r="AX54" s="797"/>
      <c r="AY54" s="159"/>
    </row>
    <row r="55" spans="1:51" ht="27.75" hidden="1" customHeight="1" x14ac:dyDescent="0.25">
      <c r="A55" s="912"/>
      <c r="B55" s="1155"/>
      <c r="C55" s="838"/>
      <c r="D55" s="132" t="s">
        <v>4</v>
      </c>
      <c r="E55" s="142"/>
      <c r="F55" s="143"/>
      <c r="G55" s="144"/>
      <c r="H55" s="144"/>
      <c r="I55" s="144"/>
      <c r="J55" s="138"/>
      <c r="K55" s="137"/>
      <c r="L55" s="138"/>
      <c r="M55" s="146"/>
      <c r="N55" s="138"/>
      <c r="O55" s="138"/>
      <c r="P55" s="138"/>
      <c r="Q55" s="138"/>
      <c r="R55" s="147"/>
      <c r="S55" s="139"/>
      <c r="T55" s="148"/>
      <c r="U55" s="148"/>
      <c r="V55" s="148"/>
      <c r="W55" s="146"/>
      <c r="X55" s="139"/>
      <c r="Y55" s="139"/>
      <c r="Z55" s="139"/>
      <c r="AA55" s="137"/>
      <c r="AB55" s="151"/>
      <c r="AC55" s="129"/>
      <c r="AD55" s="137"/>
      <c r="AE55" s="152"/>
      <c r="AF55" s="158"/>
      <c r="AG55" s="772"/>
      <c r="AH55" s="775"/>
      <c r="AI55" s="775"/>
      <c r="AJ55" s="778"/>
      <c r="AK55" s="775"/>
      <c r="AL55" s="775"/>
      <c r="AM55" s="775"/>
      <c r="AN55" s="807"/>
      <c r="AO55" s="808"/>
      <c r="AP55" s="808"/>
      <c r="AQ55" s="806"/>
      <c r="AR55" s="806"/>
      <c r="AS55" s="806"/>
      <c r="AT55" s="806"/>
      <c r="AU55" s="795"/>
      <c r="AV55" s="795"/>
      <c r="AW55" s="795"/>
      <c r="AX55" s="797"/>
      <c r="AY55" s="159"/>
    </row>
    <row r="56" spans="1:51" ht="27.75" hidden="1" customHeight="1" x14ac:dyDescent="0.25">
      <c r="A56" s="912"/>
      <c r="B56" s="1155"/>
      <c r="C56" s="838"/>
      <c r="D56" s="136" t="s">
        <v>43</v>
      </c>
      <c r="E56" s="142"/>
      <c r="F56" s="143"/>
      <c r="G56" s="144"/>
      <c r="H56" s="144"/>
      <c r="I56" s="144"/>
      <c r="J56" s="138"/>
      <c r="K56" s="137"/>
      <c r="L56" s="138"/>
      <c r="M56" s="146"/>
      <c r="N56" s="138"/>
      <c r="O56" s="138"/>
      <c r="P56" s="138"/>
      <c r="Q56" s="138"/>
      <c r="R56" s="147"/>
      <c r="S56" s="139"/>
      <c r="T56" s="148"/>
      <c r="U56" s="148"/>
      <c r="V56" s="148"/>
      <c r="W56" s="146"/>
      <c r="X56" s="139"/>
      <c r="Y56" s="139"/>
      <c r="Z56" s="139"/>
      <c r="AA56" s="137"/>
      <c r="AB56" s="151"/>
      <c r="AC56" s="129"/>
      <c r="AD56" s="137"/>
      <c r="AE56" s="152"/>
      <c r="AF56" s="158"/>
      <c r="AG56" s="772"/>
      <c r="AH56" s="775"/>
      <c r="AI56" s="775"/>
      <c r="AJ56" s="778"/>
      <c r="AK56" s="775"/>
      <c r="AL56" s="775"/>
      <c r="AM56" s="775"/>
      <c r="AN56" s="807"/>
      <c r="AO56" s="808"/>
      <c r="AP56" s="808"/>
      <c r="AQ56" s="806"/>
      <c r="AR56" s="806"/>
      <c r="AS56" s="806"/>
      <c r="AT56" s="806"/>
      <c r="AU56" s="795"/>
      <c r="AV56" s="795"/>
      <c r="AW56" s="795"/>
      <c r="AX56" s="797"/>
      <c r="AY56" s="159"/>
    </row>
    <row r="57" spans="1:51" ht="27.75" hidden="1" customHeight="1" thickBot="1" x14ac:dyDescent="0.3">
      <c r="A57" s="912"/>
      <c r="B57" s="1155"/>
      <c r="C57" s="838"/>
      <c r="D57" s="140" t="s">
        <v>45</v>
      </c>
      <c r="E57" s="142"/>
      <c r="F57" s="143"/>
      <c r="G57" s="144"/>
      <c r="H57" s="144"/>
      <c r="I57" s="144"/>
      <c r="J57" s="138"/>
      <c r="K57" s="137"/>
      <c r="L57" s="138"/>
      <c r="M57" s="146"/>
      <c r="N57" s="138"/>
      <c r="O57" s="138"/>
      <c r="P57" s="138"/>
      <c r="Q57" s="138"/>
      <c r="R57" s="147"/>
      <c r="S57" s="139"/>
      <c r="T57" s="148"/>
      <c r="U57" s="148"/>
      <c r="V57" s="148"/>
      <c r="W57" s="146"/>
      <c r="X57" s="139"/>
      <c r="Y57" s="139"/>
      <c r="Z57" s="139"/>
      <c r="AA57" s="137"/>
      <c r="AB57" s="151"/>
      <c r="AC57" s="129"/>
      <c r="AD57" s="137"/>
      <c r="AE57" s="152"/>
      <c r="AF57" s="158"/>
      <c r="AG57" s="773"/>
      <c r="AH57" s="776"/>
      <c r="AI57" s="776"/>
      <c r="AJ57" s="779"/>
      <c r="AK57" s="776"/>
      <c r="AL57" s="776"/>
      <c r="AM57" s="776"/>
      <c r="AN57" s="807"/>
      <c r="AO57" s="808"/>
      <c r="AP57" s="808"/>
      <c r="AQ57" s="806"/>
      <c r="AR57" s="806"/>
      <c r="AS57" s="806"/>
      <c r="AT57" s="806"/>
      <c r="AU57" s="795"/>
      <c r="AV57" s="795"/>
      <c r="AW57" s="795"/>
      <c r="AX57" s="798"/>
      <c r="AY57" s="159"/>
    </row>
    <row r="58" spans="1:51" ht="18" hidden="1" customHeight="1" x14ac:dyDescent="0.25">
      <c r="A58" s="912"/>
      <c r="B58" s="1155"/>
      <c r="C58" s="838" t="s">
        <v>352</v>
      </c>
      <c r="D58" s="141" t="s">
        <v>41</v>
      </c>
      <c r="E58" s="142"/>
      <c r="F58" s="143"/>
      <c r="G58" s="144"/>
      <c r="H58" s="144"/>
      <c r="I58" s="144"/>
      <c r="J58" s="138"/>
      <c r="K58" s="137"/>
      <c r="L58" s="138"/>
      <c r="M58" s="146"/>
      <c r="N58" s="138"/>
      <c r="O58" s="138">
        <v>1</v>
      </c>
      <c r="P58" s="138">
        <v>1</v>
      </c>
      <c r="Q58" s="138">
        <v>1</v>
      </c>
      <c r="R58" s="147">
        <v>1</v>
      </c>
      <c r="S58" s="139"/>
      <c r="T58" s="148"/>
      <c r="U58" s="148"/>
      <c r="V58" s="148"/>
      <c r="W58" s="146"/>
      <c r="X58" s="139"/>
      <c r="Y58" s="139"/>
      <c r="Z58" s="139"/>
      <c r="AA58" s="137"/>
      <c r="AB58" s="151">
        <v>1</v>
      </c>
      <c r="AC58" s="129">
        <v>1</v>
      </c>
      <c r="AD58" s="137">
        <v>1</v>
      </c>
      <c r="AE58" s="152">
        <v>1</v>
      </c>
      <c r="AF58" s="158"/>
      <c r="AG58" s="771" t="s">
        <v>352</v>
      </c>
      <c r="AH58" s="774" t="s">
        <v>353</v>
      </c>
      <c r="AI58" s="774" t="s">
        <v>354</v>
      </c>
      <c r="AJ58" s="777" t="s">
        <v>333</v>
      </c>
      <c r="AK58" s="774" t="s">
        <v>315</v>
      </c>
      <c r="AL58" s="774" t="s">
        <v>355</v>
      </c>
      <c r="AM58" s="774" t="s">
        <v>316</v>
      </c>
      <c r="AN58" s="807">
        <v>186383</v>
      </c>
      <c r="AO58" s="808">
        <v>86612</v>
      </c>
      <c r="AP58" s="808">
        <v>92493</v>
      </c>
      <c r="AQ58" s="806" t="s">
        <v>317</v>
      </c>
      <c r="AR58" s="806" t="s">
        <v>317</v>
      </c>
      <c r="AS58" s="806" t="s">
        <v>317</v>
      </c>
      <c r="AT58" s="806" t="s">
        <v>317</v>
      </c>
      <c r="AU58" s="795" t="s">
        <v>317</v>
      </c>
      <c r="AV58" s="795" t="s">
        <v>317</v>
      </c>
      <c r="AW58" s="795" t="s">
        <v>317</v>
      </c>
      <c r="AX58" s="796">
        <v>186383</v>
      </c>
      <c r="AY58" s="159"/>
    </row>
    <row r="59" spans="1:51" ht="18" hidden="1" customHeight="1" x14ac:dyDescent="0.25">
      <c r="A59" s="912"/>
      <c r="B59" s="1155"/>
      <c r="C59" s="838"/>
      <c r="D59" s="132" t="s">
        <v>3</v>
      </c>
      <c r="E59" s="142"/>
      <c r="F59" s="143"/>
      <c r="G59" s="144"/>
      <c r="H59" s="144"/>
      <c r="I59" s="144"/>
      <c r="J59" s="138"/>
      <c r="K59" s="137"/>
      <c r="L59" s="138"/>
      <c r="M59" s="146"/>
      <c r="N59" s="138"/>
      <c r="O59" s="138">
        <f>+O58*$O$11/$O$10</f>
        <v>5482727.2727272725</v>
      </c>
      <c r="P59" s="138" t="e">
        <f>+P58*$P$11/$P$10</f>
        <v>#REF!</v>
      </c>
      <c r="Q59" s="138" t="e">
        <f>+Q58*$Q$11/$Q$10</f>
        <v>#REF!</v>
      </c>
      <c r="R59" s="138" t="e">
        <f>+R58*$R$11/$R$10</f>
        <v>#REF!</v>
      </c>
      <c r="S59" s="139"/>
      <c r="T59" s="148"/>
      <c r="U59" s="148"/>
      <c r="V59" s="148"/>
      <c r="W59" s="146"/>
      <c r="X59" s="139"/>
      <c r="Y59" s="139"/>
      <c r="Z59" s="139"/>
      <c r="AA59" s="137"/>
      <c r="AB59" s="137">
        <f>+AB58*$AB$11/$AB$10</f>
        <v>7953242.4242424238</v>
      </c>
      <c r="AC59" s="137" t="e">
        <f>+AC58*$AC$11/$AC$10</f>
        <v>#REF!</v>
      </c>
      <c r="AD59" s="137" t="e">
        <f>+AD58*$AD$11/$AD$10</f>
        <v>#REF!</v>
      </c>
      <c r="AE59" s="137" t="e">
        <f>+AE58*$AE$11/$AE$10</f>
        <v>#REF!</v>
      </c>
      <c r="AF59" s="158"/>
      <c r="AG59" s="772"/>
      <c r="AH59" s="775"/>
      <c r="AI59" s="775"/>
      <c r="AJ59" s="778"/>
      <c r="AK59" s="775"/>
      <c r="AL59" s="775"/>
      <c r="AM59" s="775"/>
      <c r="AN59" s="807"/>
      <c r="AO59" s="808"/>
      <c r="AP59" s="808"/>
      <c r="AQ59" s="806"/>
      <c r="AR59" s="806"/>
      <c r="AS59" s="806"/>
      <c r="AT59" s="806"/>
      <c r="AU59" s="795"/>
      <c r="AV59" s="795"/>
      <c r="AW59" s="795"/>
      <c r="AX59" s="797"/>
      <c r="AY59" s="159"/>
    </row>
    <row r="60" spans="1:51" ht="27" hidden="1" customHeight="1" x14ac:dyDescent="0.25">
      <c r="A60" s="912"/>
      <c r="B60" s="1155"/>
      <c r="C60" s="838"/>
      <c r="D60" s="136" t="s">
        <v>42</v>
      </c>
      <c r="E60" s="142"/>
      <c r="F60" s="143"/>
      <c r="G60" s="144"/>
      <c r="H60" s="144"/>
      <c r="I60" s="144"/>
      <c r="J60" s="138"/>
      <c r="K60" s="137"/>
      <c r="L60" s="138"/>
      <c r="M60" s="146"/>
      <c r="N60" s="138"/>
      <c r="O60" s="138"/>
      <c r="P60" s="138"/>
      <c r="Q60" s="138"/>
      <c r="R60" s="147"/>
      <c r="S60" s="139"/>
      <c r="T60" s="148"/>
      <c r="U60" s="148"/>
      <c r="V60" s="148"/>
      <c r="W60" s="146"/>
      <c r="X60" s="139"/>
      <c r="Y60" s="139"/>
      <c r="Z60" s="139"/>
      <c r="AA60" s="137"/>
      <c r="AB60" s="151"/>
      <c r="AC60" s="129"/>
      <c r="AD60" s="137"/>
      <c r="AE60" s="152"/>
      <c r="AF60" s="158"/>
      <c r="AG60" s="772"/>
      <c r="AH60" s="775"/>
      <c r="AI60" s="775"/>
      <c r="AJ60" s="778"/>
      <c r="AK60" s="775"/>
      <c r="AL60" s="775"/>
      <c r="AM60" s="775"/>
      <c r="AN60" s="807"/>
      <c r="AO60" s="808"/>
      <c r="AP60" s="808"/>
      <c r="AQ60" s="806"/>
      <c r="AR60" s="806"/>
      <c r="AS60" s="806"/>
      <c r="AT60" s="806"/>
      <c r="AU60" s="795"/>
      <c r="AV60" s="795"/>
      <c r="AW60" s="795"/>
      <c r="AX60" s="797"/>
      <c r="AY60" s="159"/>
    </row>
    <row r="61" spans="1:51" ht="27" hidden="1" customHeight="1" x14ac:dyDescent="0.25">
      <c r="A61" s="912"/>
      <c r="B61" s="1155"/>
      <c r="C61" s="838"/>
      <c r="D61" s="132" t="s">
        <v>4</v>
      </c>
      <c r="E61" s="142"/>
      <c r="F61" s="143"/>
      <c r="G61" s="144"/>
      <c r="H61" s="144"/>
      <c r="I61" s="144"/>
      <c r="J61" s="138"/>
      <c r="K61" s="137"/>
      <c r="L61" s="138"/>
      <c r="M61" s="146"/>
      <c r="N61" s="138"/>
      <c r="O61" s="138"/>
      <c r="P61" s="138"/>
      <c r="Q61" s="138"/>
      <c r="R61" s="147"/>
      <c r="S61" s="139"/>
      <c r="T61" s="148"/>
      <c r="U61" s="148"/>
      <c r="V61" s="148"/>
      <c r="W61" s="146"/>
      <c r="X61" s="139"/>
      <c r="Y61" s="139"/>
      <c r="Z61" s="139"/>
      <c r="AA61" s="137"/>
      <c r="AB61" s="151"/>
      <c r="AC61" s="129"/>
      <c r="AD61" s="137"/>
      <c r="AE61" s="152"/>
      <c r="AF61" s="158"/>
      <c r="AG61" s="772"/>
      <c r="AH61" s="775"/>
      <c r="AI61" s="775"/>
      <c r="AJ61" s="778"/>
      <c r="AK61" s="775"/>
      <c r="AL61" s="775"/>
      <c r="AM61" s="775"/>
      <c r="AN61" s="807"/>
      <c r="AO61" s="808"/>
      <c r="AP61" s="808"/>
      <c r="AQ61" s="806"/>
      <c r="AR61" s="806"/>
      <c r="AS61" s="806"/>
      <c r="AT61" s="806"/>
      <c r="AU61" s="795"/>
      <c r="AV61" s="795"/>
      <c r="AW61" s="795"/>
      <c r="AX61" s="797"/>
      <c r="AY61" s="159"/>
    </row>
    <row r="62" spans="1:51" ht="27" hidden="1" customHeight="1" x14ac:dyDescent="0.25">
      <c r="A62" s="912"/>
      <c r="B62" s="1155"/>
      <c r="C62" s="838"/>
      <c r="D62" s="136" t="s">
        <v>43</v>
      </c>
      <c r="E62" s="142"/>
      <c r="F62" s="143"/>
      <c r="G62" s="144"/>
      <c r="H62" s="144"/>
      <c r="I62" s="144"/>
      <c r="J62" s="138"/>
      <c r="K62" s="137"/>
      <c r="L62" s="138"/>
      <c r="M62" s="146"/>
      <c r="N62" s="138"/>
      <c r="O62" s="138">
        <f>+O58</f>
        <v>1</v>
      </c>
      <c r="P62" s="138">
        <v>1</v>
      </c>
      <c r="Q62" s="138">
        <v>1</v>
      </c>
      <c r="R62" s="147">
        <v>1</v>
      </c>
      <c r="S62" s="139"/>
      <c r="T62" s="148"/>
      <c r="U62" s="148"/>
      <c r="V62" s="148"/>
      <c r="W62" s="146"/>
      <c r="X62" s="139"/>
      <c r="Y62" s="139"/>
      <c r="Z62" s="139"/>
      <c r="AA62" s="137"/>
      <c r="AB62" s="137">
        <f>+AB58</f>
        <v>1</v>
      </c>
      <c r="AC62" s="129">
        <v>1</v>
      </c>
      <c r="AD62" s="137">
        <v>1</v>
      </c>
      <c r="AE62" s="152">
        <v>1</v>
      </c>
      <c r="AF62" s="158"/>
      <c r="AG62" s="772"/>
      <c r="AH62" s="775"/>
      <c r="AI62" s="775"/>
      <c r="AJ62" s="778"/>
      <c r="AK62" s="775"/>
      <c r="AL62" s="775"/>
      <c r="AM62" s="775"/>
      <c r="AN62" s="807"/>
      <c r="AO62" s="808"/>
      <c r="AP62" s="808"/>
      <c r="AQ62" s="806"/>
      <c r="AR62" s="806"/>
      <c r="AS62" s="806"/>
      <c r="AT62" s="806"/>
      <c r="AU62" s="795"/>
      <c r="AV62" s="795"/>
      <c r="AW62" s="795"/>
      <c r="AX62" s="797"/>
      <c r="AY62" s="159"/>
    </row>
    <row r="63" spans="1:51" ht="27.75" hidden="1" customHeight="1" thickBot="1" x14ac:dyDescent="0.3">
      <c r="A63" s="912"/>
      <c r="B63" s="1155"/>
      <c r="C63" s="838"/>
      <c r="D63" s="140" t="s">
        <v>45</v>
      </c>
      <c r="E63" s="142"/>
      <c r="F63" s="143"/>
      <c r="G63" s="144"/>
      <c r="H63" s="144"/>
      <c r="I63" s="144"/>
      <c r="J63" s="138"/>
      <c r="K63" s="137"/>
      <c r="L63" s="138"/>
      <c r="M63" s="146"/>
      <c r="N63" s="138"/>
      <c r="O63" s="138">
        <f>+O59</f>
        <v>5482727.2727272725</v>
      </c>
      <c r="P63" s="138" t="e">
        <f>+P62*$P$11/$P$10</f>
        <v>#REF!</v>
      </c>
      <c r="Q63" s="138" t="e">
        <f>+Q62*$Q$11/$Q$10</f>
        <v>#REF!</v>
      </c>
      <c r="R63" s="138" t="e">
        <f>+R62*$R$11/$R$10</f>
        <v>#REF!</v>
      </c>
      <c r="S63" s="139"/>
      <c r="T63" s="148"/>
      <c r="U63" s="148"/>
      <c r="V63" s="148"/>
      <c r="W63" s="146"/>
      <c r="X63" s="139"/>
      <c r="Y63" s="139"/>
      <c r="Z63" s="139"/>
      <c r="AA63" s="137"/>
      <c r="AB63" s="137">
        <f>+AB59</f>
        <v>7953242.4242424238</v>
      </c>
      <c r="AC63" s="137" t="e">
        <f>+AC62*$AC$11/$AC$10</f>
        <v>#REF!</v>
      </c>
      <c r="AD63" s="137" t="e">
        <f>+AD62*$AD$11/$AD$10</f>
        <v>#REF!</v>
      </c>
      <c r="AE63" s="137" t="e">
        <f>+AE62*$AE$11/$AE$10</f>
        <v>#REF!</v>
      </c>
      <c r="AF63" s="158"/>
      <c r="AG63" s="773"/>
      <c r="AH63" s="776"/>
      <c r="AI63" s="776"/>
      <c r="AJ63" s="779"/>
      <c r="AK63" s="776"/>
      <c r="AL63" s="776"/>
      <c r="AM63" s="776"/>
      <c r="AN63" s="807"/>
      <c r="AO63" s="808"/>
      <c r="AP63" s="808"/>
      <c r="AQ63" s="806"/>
      <c r="AR63" s="806"/>
      <c r="AS63" s="806"/>
      <c r="AT63" s="806"/>
      <c r="AU63" s="795"/>
      <c r="AV63" s="795"/>
      <c r="AW63" s="795"/>
      <c r="AX63" s="798"/>
      <c r="AY63" s="159"/>
    </row>
    <row r="64" spans="1:51" ht="18" customHeight="1" x14ac:dyDescent="0.25">
      <c r="A64" s="912"/>
      <c r="B64" s="1155"/>
      <c r="C64" s="838" t="s">
        <v>356</v>
      </c>
      <c r="D64" s="141" t="s">
        <v>41</v>
      </c>
      <c r="E64" s="142"/>
      <c r="F64" s="143"/>
      <c r="G64" s="144">
        <v>1</v>
      </c>
      <c r="H64" s="144">
        <v>1</v>
      </c>
      <c r="I64" s="144">
        <v>1</v>
      </c>
      <c r="J64" s="138">
        <v>2</v>
      </c>
      <c r="K64" s="145">
        <v>2</v>
      </c>
      <c r="L64" s="138"/>
      <c r="M64" s="146">
        <v>2</v>
      </c>
      <c r="N64" s="138">
        <v>3</v>
      </c>
      <c r="O64" s="138">
        <v>5</v>
      </c>
      <c r="P64" s="138">
        <v>6</v>
      </c>
      <c r="Q64" s="138">
        <v>6</v>
      </c>
      <c r="R64" s="147">
        <v>6</v>
      </c>
      <c r="S64" s="139"/>
      <c r="T64" s="148">
        <v>1</v>
      </c>
      <c r="U64" s="148">
        <v>1</v>
      </c>
      <c r="V64" s="148">
        <v>1</v>
      </c>
      <c r="W64" s="149">
        <v>2</v>
      </c>
      <c r="X64" s="150">
        <v>2</v>
      </c>
      <c r="Y64" s="139"/>
      <c r="Z64" s="139">
        <v>2</v>
      </c>
      <c r="AA64" s="137">
        <v>3</v>
      </c>
      <c r="AB64" s="151">
        <v>5</v>
      </c>
      <c r="AC64" s="129">
        <v>6</v>
      </c>
      <c r="AD64" s="137">
        <v>6</v>
      </c>
      <c r="AE64" s="152">
        <v>6</v>
      </c>
      <c r="AF64" s="1145" t="s">
        <v>357</v>
      </c>
      <c r="AG64" s="771" t="s">
        <v>356</v>
      </c>
      <c r="AH64" s="774" t="s">
        <v>358</v>
      </c>
      <c r="AI64" s="774" t="s">
        <v>359</v>
      </c>
      <c r="AJ64" s="777" t="s">
        <v>314</v>
      </c>
      <c r="AK64" s="774" t="s">
        <v>315</v>
      </c>
      <c r="AL64" s="774" t="s">
        <v>360</v>
      </c>
      <c r="AM64" s="774" t="s">
        <v>316</v>
      </c>
      <c r="AN64" s="807">
        <v>735606</v>
      </c>
      <c r="AO64" s="808">
        <v>354354</v>
      </c>
      <c r="AP64" s="808">
        <v>381252</v>
      </c>
      <c r="AQ64" s="806" t="s">
        <v>317</v>
      </c>
      <c r="AR64" s="806" t="s">
        <v>317</v>
      </c>
      <c r="AS64" s="806" t="s">
        <v>317</v>
      </c>
      <c r="AT64" s="806" t="s">
        <v>317</v>
      </c>
      <c r="AU64" s="795" t="s">
        <v>317</v>
      </c>
      <c r="AV64" s="795" t="s">
        <v>317</v>
      </c>
      <c r="AW64" s="795" t="s">
        <v>317</v>
      </c>
      <c r="AX64" s="796">
        <v>735606</v>
      </c>
      <c r="AY64" s="159"/>
    </row>
    <row r="65" spans="1:51" ht="18" x14ac:dyDescent="0.25">
      <c r="A65" s="912"/>
      <c r="B65" s="1155"/>
      <c r="C65" s="838"/>
      <c r="D65" s="132" t="s">
        <v>3</v>
      </c>
      <c r="E65" s="142"/>
      <c r="F65" s="143"/>
      <c r="G65" s="144">
        <f>+G64*$G$11/$G$10</f>
        <v>5272055.0458715595</v>
      </c>
      <c r="H65" s="144">
        <f>+H64*$H$11/$H$10</f>
        <v>5272055.0458715595</v>
      </c>
      <c r="I65" s="144" t="e">
        <f>+I64*$I$11/$I$10</f>
        <v>#REF!</v>
      </c>
      <c r="J65" s="138" t="e">
        <f>+J64*$J$11/$J$10</f>
        <v>#REF!</v>
      </c>
      <c r="K65" s="137"/>
      <c r="L65" s="138"/>
      <c r="M65" s="153" t="e">
        <f>+M64*$M$11/$M$10</f>
        <v>#REF!</v>
      </c>
      <c r="N65" s="154">
        <f>+N64*$N$11/$N$10</f>
        <v>16448181.818181818</v>
      </c>
      <c r="O65" s="138">
        <f>+O64*$O$11/$O$10</f>
        <v>27413636.363636363</v>
      </c>
      <c r="P65" s="138" t="e">
        <f>+P64*$P$11/$P$10</f>
        <v>#REF!</v>
      </c>
      <c r="Q65" s="138" t="e">
        <f>+Q64*$Q$11/$Q$10</f>
        <v>#REF!</v>
      </c>
      <c r="R65" s="138" t="e">
        <f>+R64*$R$11/$R$10</f>
        <v>#REF!</v>
      </c>
      <c r="S65" s="139"/>
      <c r="T65" s="144">
        <f>+T64*$T$11/$T$10</f>
        <v>0</v>
      </c>
      <c r="U65" s="144">
        <f>+U64*$U$11/$U$10</f>
        <v>23726153.846153848</v>
      </c>
      <c r="V65" s="155" t="e">
        <f>+V64*$V$11/$V$10</f>
        <v>#REF!</v>
      </c>
      <c r="W65" s="138" t="e">
        <f>+W64*$W$11/$W$10</f>
        <v>#REF!</v>
      </c>
      <c r="X65" s="139"/>
      <c r="Y65" s="139"/>
      <c r="Z65" s="156">
        <f>+Z64*$Z$11/$Z$10</f>
        <v>25560000</v>
      </c>
      <c r="AA65" s="157">
        <f>+AA64*$AA$11/$AA$10</f>
        <v>35789590.909090906</v>
      </c>
      <c r="AB65" s="137">
        <f>+AB64*$AB$11/$AB$10</f>
        <v>39766212.121212125</v>
      </c>
      <c r="AC65" s="137" t="e">
        <f>+AC64*$AC$11/$AC$10</f>
        <v>#REF!</v>
      </c>
      <c r="AD65" s="137" t="e">
        <f>+AD64*$AD$11/$AD$10</f>
        <v>#REF!</v>
      </c>
      <c r="AE65" s="137" t="e">
        <f>+AE64*$AE$11/$AE$10</f>
        <v>#REF!</v>
      </c>
      <c r="AF65" s="1146"/>
      <c r="AG65" s="772"/>
      <c r="AH65" s="775"/>
      <c r="AI65" s="775"/>
      <c r="AJ65" s="778"/>
      <c r="AK65" s="775"/>
      <c r="AL65" s="775"/>
      <c r="AM65" s="775"/>
      <c r="AN65" s="807"/>
      <c r="AO65" s="808"/>
      <c r="AP65" s="808"/>
      <c r="AQ65" s="806"/>
      <c r="AR65" s="806"/>
      <c r="AS65" s="806"/>
      <c r="AT65" s="806"/>
      <c r="AU65" s="795"/>
      <c r="AV65" s="795"/>
      <c r="AW65" s="795"/>
      <c r="AX65" s="797"/>
      <c r="AY65" s="159"/>
    </row>
    <row r="66" spans="1:51" ht="27" x14ac:dyDescent="0.25">
      <c r="A66" s="912"/>
      <c r="B66" s="1155"/>
      <c r="C66" s="838"/>
      <c r="D66" s="136" t="s">
        <v>42</v>
      </c>
      <c r="E66" s="142"/>
      <c r="F66" s="143"/>
      <c r="G66" s="144"/>
      <c r="H66" s="144"/>
      <c r="I66" s="144"/>
      <c r="J66" s="138"/>
      <c r="K66" s="137"/>
      <c r="L66" s="138"/>
      <c r="M66" s="146"/>
      <c r="N66" s="138"/>
      <c r="O66" s="138"/>
      <c r="P66" s="138"/>
      <c r="Q66" s="138"/>
      <c r="R66" s="147"/>
      <c r="S66" s="139"/>
      <c r="T66" s="148"/>
      <c r="U66" s="148"/>
      <c r="V66" s="148"/>
      <c r="W66" s="146"/>
      <c r="X66" s="139"/>
      <c r="Y66" s="139"/>
      <c r="Z66" s="139"/>
      <c r="AA66" s="137"/>
      <c r="AB66" s="151"/>
      <c r="AC66" s="129"/>
      <c r="AD66" s="137"/>
      <c r="AE66" s="152"/>
      <c r="AF66" s="1146"/>
      <c r="AG66" s="772"/>
      <c r="AH66" s="775"/>
      <c r="AI66" s="775"/>
      <c r="AJ66" s="778"/>
      <c r="AK66" s="775"/>
      <c r="AL66" s="775"/>
      <c r="AM66" s="775"/>
      <c r="AN66" s="807"/>
      <c r="AO66" s="808"/>
      <c r="AP66" s="808"/>
      <c r="AQ66" s="806"/>
      <c r="AR66" s="806"/>
      <c r="AS66" s="806"/>
      <c r="AT66" s="806"/>
      <c r="AU66" s="795"/>
      <c r="AV66" s="795"/>
      <c r="AW66" s="795"/>
      <c r="AX66" s="797"/>
      <c r="AY66" s="159"/>
    </row>
    <row r="67" spans="1:51" ht="27" x14ac:dyDescent="0.25">
      <c r="A67" s="912"/>
      <c r="B67" s="1155"/>
      <c r="C67" s="838"/>
      <c r="D67" s="132" t="s">
        <v>4</v>
      </c>
      <c r="E67" s="142"/>
      <c r="F67" s="143"/>
      <c r="G67" s="144"/>
      <c r="H67" s="144"/>
      <c r="I67" s="144"/>
      <c r="J67" s="138"/>
      <c r="K67" s="137"/>
      <c r="L67" s="138"/>
      <c r="M67" s="146"/>
      <c r="N67" s="138"/>
      <c r="O67" s="138"/>
      <c r="P67" s="138"/>
      <c r="Q67" s="138"/>
      <c r="R67" s="147"/>
      <c r="S67" s="139"/>
      <c r="T67" s="144">
        <f>+T64*$T$13/$T$10</f>
        <v>1355400</v>
      </c>
      <c r="U67" s="123">
        <f>($U$13/5)</f>
        <v>14532248.6</v>
      </c>
      <c r="V67" s="148"/>
      <c r="W67" s="146"/>
      <c r="X67" s="139"/>
      <c r="Y67" s="139"/>
      <c r="Z67" s="139"/>
      <c r="AA67" s="137"/>
      <c r="AB67" s="151"/>
      <c r="AC67" s="129"/>
      <c r="AD67" s="137"/>
      <c r="AE67" s="152"/>
      <c r="AF67" s="1146"/>
      <c r="AG67" s="772"/>
      <c r="AH67" s="775"/>
      <c r="AI67" s="775"/>
      <c r="AJ67" s="778"/>
      <c r="AK67" s="775"/>
      <c r="AL67" s="775"/>
      <c r="AM67" s="775"/>
      <c r="AN67" s="807"/>
      <c r="AO67" s="808"/>
      <c r="AP67" s="808"/>
      <c r="AQ67" s="806"/>
      <c r="AR67" s="806"/>
      <c r="AS67" s="806"/>
      <c r="AT67" s="806"/>
      <c r="AU67" s="795"/>
      <c r="AV67" s="795"/>
      <c r="AW67" s="795"/>
      <c r="AX67" s="797"/>
      <c r="AY67" s="159"/>
    </row>
    <row r="68" spans="1:51" ht="27" x14ac:dyDescent="0.25">
      <c r="A68" s="912"/>
      <c r="B68" s="1155"/>
      <c r="C68" s="838"/>
      <c r="D68" s="136" t="s">
        <v>43</v>
      </c>
      <c r="E68" s="142"/>
      <c r="F68" s="143"/>
      <c r="G68" s="144">
        <v>1</v>
      </c>
      <c r="H68" s="144">
        <v>1</v>
      </c>
      <c r="I68" s="144">
        <v>1</v>
      </c>
      <c r="J68" s="138">
        <v>1</v>
      </c>
      <c r="K68" s="137"/>
      <c r="L68" s="138"/>
      <c r="M68" s="146"/>
      <c r="N68" s="138"/>
      <c r="O68" s="138">
        <f>+O64</f>
        <v>5</v>
      </c>
      <c r="P68" s="138">
        <v>6</v>
      </c>
      <c r="Q68" s="138">
        <v>6</v>
      </c>
      <c r="R68" s="147">
        <v>6</v>
      </c>
      <c r="S68" s="139"/>
      <c r="T68" s="148">
        <v>1</v>
      </c>
      <c r="U68" s="148">
        <v>1</v>
      </c>
      <c r="V68" s="148">
        <v>1</v>
      </c>
      <c r="W68" s="146">
        <v>2</v>
      </c>
      <c r="X68" s="139"/>
      <c r="Y68" s="139"/>
      <c r="Z68" s="139"/>
      <c r="AA68" s="137"/>
      <c r="AB68" s="137">
        <f>+AB64</f>
        <v>5</v>
      </c>
      <c r="AC68" s="129">
        <v>6</v>
      </c>
      <c r="AD68" s="137">
        <v>6</v>
      </c>
      <c r="AE68" s="152">
        <v>6</v>
      </c>
      <c r="AF68" s="1146"/>
      <c r="AG68" s="772"/>
      <c r="AH68" s="775"/>
      <c r="AI68" s="775"/>
      <c r="AJ68" s="778"/>
      <c r="AK68" s="775"/>
      <c r="AL68" s="775"/>
      <c r="AM68" s="775"/>
      <c r="AN68" s="807"/>
      <c r="AO68" s="808"/>
      <c r="AP68" s="808"/>
      <c r="AQ68" s="806"/>
      <c r="AR68" s="806"/>
      <c r="AS68" s="806"/>
      <c r="AT68" s="806"/>
      <c r="AU68" s="795"/>
      <c r="AV68" s="795"/>
      <c r="AW68" s="795"/>
      <c r="AX68" s="797"/>
      <c r="AY68" s="159"/>
    </row>
    <row r="69" spans="1:51" ht="27.75" thickBot="1" x14ac:dyDescent="0.3">
      <c r="A69" s="912"/>
      <c r="B69" s="1155"/>
      <c r="C69" s="838"/>
      <c r="D69" s="140" t="s">
        <v>45</v>
      </c>
      <c r="E69" s="142"/>
      <c r="F69" s="143"/>
      <c r="G69" s="144">
        <f>+G68*$G$11/$G$10</f>
        <v>5272055.0458715595</v>
      </c>
      <c r="H69" s="144">
        <f>+H68*$H$11/$H$10</f>
        <v>5272055.0458715595</v>
      </c>
      <c r="I69" s="144" t="e">
        <f>+I68*$I$11/$I$10</f>
        <v>#REF!</v>
      </c>
      <c r="J69" s="138" t="e">
        <f>+J68*$J$11/$J$10</f>
        <v>#REF!</v>
      </c>
      <c r="K69" s="137"/>
      <c r="L69" s="138"/>
      <c r="M69" s="146"/>
      <c r="N69" s="138"/>
      <c r="O69" s="138">
        <f>+O65</f>
        <v>27413636.363636363</v>
      </c>
      <c r="P69" s="138" t="e">
        <f>+P68*$P$11/$P$10</f>
        <v>#REF!</v>
      </c>
      <c r="Q69" s="138" t="e">
        <f>+Q68*$Q$11/$Q$10</f>
        <v>#REF!</v>
      </c>
      <c r="R69" s="138" t="e">
        <f>+R68*$R$11/$R$10</f>
        <v>#REF!</v>
      </c>
      <c r="S69" s="139"/>
      <c r="T69" s="144">
        <f>+T68*$T$11/$T$10</f>
        <v>0</v>
      </c>
      <c r="U69" s="144">
        <f>+U68*$U$11/$U$10</f>
        <v>23726153.846153848</v>
      </c>
      <c r="V69" s="155" t="e">
        <f>+V68*$V$11/$V$10</f>
        <v>#REF!</v>
      </c>
      <c r="W69" s="138" t="e">
        <f>+W68*$W$11/$W$10</f>
        <v>#REF!</v>
      </c>
      <c r="X69" s="139"/>
      <c r="Y69" s="139"/>
      <c r="Z69" s="139"/>
      <c r="AA69" s="137"/>
      <c r="AB69" s="137">
        <f>+AB65</f>
        <v>39766212.121212125</v>
      </c>
      <c r="AC69" s="137" t="e">
        <f>+AC68*$AC$11/$AC$10</f>
        <v>#REF!</v>
      </c>
      <c r="AD69" s="137" t="e">
        <f>+AD68*$AD$11/$AD$10</f>
        <v>#REF!</v>
      </c>
      <c r="AE69" s="137" t="e">
        <f>+AE68*$AE$11/$AE$10</f>
        <v>#REF!</v>
      </c>
      <c r="AF69" s="1147"/>
      <c r="AG69" s="773"/>
      <c r="AH69" s="776"/>
      <c r="AI69" s="776"/>
      <c r="AJ69" s="779"/>
      <c r="AK69" s="776"/>
      <c r="AL69" s="776"/>
      <c r="AM69" s="776"/>
      <c r="AN69" s="807"/>
      <c r="AO69" s="808"/>
      <c r="AP69" s="808"/>
      <c r="AQ69" s="806"/>
      <c r="AR69" s="806"/>
      <c r="AS69" s="806"/>
      <c r="AT69" s="806"/>
      <c r="AU69" s="795"/>
      <c r="AV69" s="795"/>
      <c r="AW69" s="795"/>
      <c r="AX69" s="798"/>
      <c r="AY69" s="159"/>
    </row>
    <row r="70" spans="1:51" ht="18" customHeight="1" x14ac:dyDescent="0.25">
      <c r="A70" s="912"/>
      <c r="B70" s="1155"/>
      <c r="C70" s="838" t="s">
        <v>361</v>
      </c>
      <c r="D70" s="141" t="s">
        <v>41</v>
      </c>
      <c r="E70" s="142"/>
      <c r="F70" s="143"/>
      <c r="G70" s="144"/>
      <c r="H70" s="144"/>
      <c r="I70" s="144">
        <v>1</v>
      </c>
      <c r="J70" s="138">
        <v>1</v>
      </c>
      <c r="K70" s="145">
        <v>1</v>
      </c>
      <c r="L70" s="138"/>
      <c r="M70" s="146"/>
      <c r="N70" s="138">
        <v>2</v>
      </c>
      <c r="O70" s="138">
        <v>3</v>
      </c>
      <c r="P70" s="138">
        <v>4</v>
      </c>
      <c r="Q70" s="138">
        <v>4</v>
      </c>
      <c r="R70" s="147">
        <v>7</v>
      </c>
      <c r="S70" s="139"/>
      <c r="T70" s="148"/>
      <c r="U70" s="148"/>
      <c r="V70" s="148">
        <v>1</v>
      </c>
      <c r="W70" s="146">
        <v>1</v>
      </c>
      <c r="X70" s="150">
        <v>1</v>
      </c>
      <c r="Y70" s="139"/>
      <c r="Z70" s="139"/>
      <c r="AA70" s="137">
        <v>2</v>
      </c>
      <c r="AB70" s="151">
        <v>3</v>
      </c>
      <c r="AC70" s="129">
        <v>4</v>
      </c>
      <c r="AD70" s="137">
        <v>4</v>
      </c>
      <c r="AE70" s="152">
        <v>7</v>
      </c>
      <c r="AF70" s="1148" t="s">
        <v>362</v>
      </c>
      <c r="AG70" s="771" t="s">
        <v>361</v>
      </c>
      <c r="AH70" s="774" t="s">
        <v>363</v>
      </c>
      <c r="AI70" s="774" t="s">
        <v>364</v>
      </c>
      <c r="AJ70" s="777" t="s">
        <v>365</v>
      </c>
      <c r="AK70" s="774" t="s">
        <v>315</v>
      </c>
      <c r="AL70" s="774" t="s">
        <v>225</v>
      </c>
      <c r="AM70" s="774" t="s">
        <v>316</v>
      </c>
      <c r="AN70" s="807">
        <v>1067898</v>
      </c>
      <c r="AO70" s="808">
        <v>511137</v>
      </c>
      <c r="AP70" s="808">
        <v>556761</v>
      </c>
      <c r="AQ70" s="806" t="s">
        <v>317</v>
      </c>
      <c r="AR70" s="806" t="s">
        <v>317</v>
      </c>
      <c r="AS70" s="806" t="s">
        <v>317</v>
      </c>
      <c r="AT70" s="806" t="s">
        <v>317</v>
      </c>
      <c r="AU70" s="795" t="s">
        <v>317</v>
      </c>
      <c r="AV70" s="795" t="s">
        <v>317</v>
      </c>
      <c r="AW70" s="795" t="s">
        <v>317</v>
      </c>
      <c r="AX70" s="796">
        <v>1067898</v>
      </c>
      <c r="AY70" s="159"/>
    </row>
    <row r="71" spans="1:51" ht="18" customHeight="1" x14ac:dyDescent="0.25">
      <c r="A71" s="912"/>
      <c r="B71" s="1155"/>
      <c r="C71" s="838"/>
      <c r="D71" s="132" t="s">
        <v>3</v>
      </c>
      <c r="E71" s="142"/>
      <c r="F71" s="143"/>
      <c r="G71" s="144"/>
      <c r="H71" s="144"/>
      <c r="I71" s="144" t="e">
        <f>+I70*$I$11/$I$10</f>
        <v>#REF!</v>
      </c>
      <c r="J71" s="138" t="e">
        <f>+J70*$J$11/$J$10</f>
        <v>#REF!</v>
      </c>
      <c r="K71" s="137"/>
      <c r="L71" s="138"/>
      <c r="M71" s="146"/>
      <c r="N71" s="154">
        <f>+N70*$N$11/$N$10</f>
        <v>10965454.545454545</v>
      </c>
      <c r="O71" s="138">
        <f>+O70*$O$11/$O$10</f>
        <v>16448181.818181818</v>
      </c>
      <c r="P71" s="138" t="e">
        <f>+P70*$P$11/$P$10</f>
        <v>#REF!</v>
      </c>
      <c r="Q71" s="138" t="e">
        <f>+Q70*$Q$11/$Q$10</f>
        <v>#REF!</v>
      </c>
      <c r="R71" s="138" t="e">
        <f>+R70*$R$11/$R$10</f>
        <v>#REF!</v>
      </c>
      <c r="S71" s="139"/>
      <c r="T71" s="148"/>
      <c r="U71" s="148"/>
      <c r="V71" s="155" t="e">
        <f>+V70*$V$11/$V$10</f>
        <v>#REF!</v>
      </c>
      <c r="W71" s="138" t="e">
        <f>+W70*$W$11/$W$10</f>
        <v>#REF!</v>
      </c>
      <c r="X71" s="139"/>
      <c r="Y71" s="139"/>
      <c r="Z71" s="139"/>
      <c r="AA71" s="157">
        <f>+AA70*$AA$11/$AA$10</f>
        <v>23859727.272727273</v>
      </c>
      <c r="AB71" s="137">
        <f>+AB70*$AB$11/$AB$10</f>
        <v>23859727.272727273</v>
      </c>
      <c r="AC71" s="137" t="e">
        <f>+AC70*$AC$11/$AC$10</f>
        <v>#REF!</v>
      </c>
      <c r="AD71" s="137" t="e">
        <f>+AD70*$AD$11/$AD$10</f>
        <v>#REF!</v>
      </c>
      <c r="AE71" s="137" t="e">
        <f>+AE70*$AE$11/$AE$10</f>
        <v>#REF!</v>
      </c>
      <c r="AF71" s="1115"/>
      <c r="AG71" s="772"/>
      <c r="AH71" s="775"/>
      <c r="AI71" s="775"/>
      <c r="AJ71" s="778"/>
      <c r="AK71" s="775"/>
      <c r="AL71" s="775"/>
      <c r="AM71" s="775"/>
      <c r="AN71" s="807"/>
      <c r="AO71" s="808"/>
      <c r="AP71" s="808"/>
      <c r="AQ71" s="806"/>
      <c r="AR71" s="806"/>
      <c r="AS71" s="806"/>
      <c r="AT71" s="806"/>
      <c r="AU71" s="795"/>
      <c r="AV71" s="795"/>
      <c r="AW71" s="795"/>
      <c r="AX71" s="797"/>
      <c r="AY71" s="159"/>
    </row>
    <row r="72" spans="1:51" ht="27" customHeight="1" x14ac:dyDescent="0.25">
      <c r="A72" s="912"/>
      <c r="B72" s="1155"/>
      <c r="C72" s="838"/>
      <c r="D72" s="136" t="s">
        <v>42</v>
      </c>
      <c r="E72" s="142"/>
      <c r="F72" s="143"/>
      <c r="G72" s="144"/>
      <c r="H72" s="144"/>
      <c r="I72" s="144"/>
      <c r="J72" s="138"/>
      <c r="K72" s="137"/>
      <c r="L72" s="138"/>
      <c r="M72" s="146"/>
      <c r="N72" s="138"/>
      <c r="O72" s="138"/>
      <c r="P72" s="138"/>
      <c r="Q72" s="138"/>
      <c r="R72" s="147"/>
      <c r="S72" s="139"/>
      <c r="T72" s="148"/>
      <c r="U72" s="148"/>
      <c r="V72" s="148"/>
      <c r="W72" s="146"/>
      <c r="X72" s="139"/>
      <c r="Y72" s="139"/>
      <c r="Z72" s="139"/>
      <c r="AA72" s="137"/>
      <c r="AB72" s="151"/>
      <c r="AC72" s="129"/>
      <c r="AD72" s="137"/>
      <c r="AE72" s="152"/>
      <c r="AF72" s="1115"/>
      <c r="AG72" s="772"/>
      <c r="AH72" s="775"/>
      <c r="AI72" s="775"/>
      <c r="AJ72" s="778"/>
      <c r="AK72" s="775"/>
      <c r="AL72" s="775"/>
      <c r="AM72" s="775"/>
      <c r="AN72" s="807"/>
      <c r="AO72" s="808"/>
      <c r="AP72" s="808"/>
      <c r="AQ72" s="806"/>
      <c r="AR72" s="806"/>
      <c r="AS72" s="806"/>
      <c r="AT72" s="806"/>
      <c r="AU72" s="795"/>
      <c r="AV72" s="795"/>
      <c r="AW72" s="795"/>
      <c r="AX72" s="797"/>
      <c r="AY72" s="159"/>
    </row>
    <row r="73" spans="1:51" ht="27" customHeight="1" x14ac:dyDescent="0.25">
      <c r="A73" s="912"/>
      <c r="B73" s="1155"/>
      <c r="C73" s="838"/>
      <c r="D73" s="132" t="s">
        <v>4</v>
      </c>
      <c r="E73" s="142"/>
      <c r="F73" s="143"/>
      <c r="G73" s="144"/>
      <c r="H73" s="144"/>
      <c r="I73" s="144"/>
      <c r="J73" s="138"/>
      <c r="K73" s="137"/>
      <c r="L73" s="138"/>
      <c r="M73" s="146"/>
      <c r="N73" s="138"/>
      <c r="O73" s="138"/>
      <c r="P73" s="138"/>
      <c r="Q73" s="138"/>
      <c r="R73" s="147"/>
      <c r="S73" s="139"/>
      <c r="T73" s="148"/>
      <c r="U73" s="148"/>
      <c r="V73" s="148"/>
      <c r="W73" s="146"/>
      <c r="X73" s="139"/>
      <c r="Y73" s="139"/>
      <c r="Z73" s="139"/>
      <c r="AA73" s="137"/>
      <c r="AB73" s="151"/>
      <c r="AC73" s="129"/>
      <c r="AD73" s="137"/>
      <c r="AE73" s="152"/>
      <c r="AF73" s="1115"/>
      <c r="AG73" s="772"/>
      <c r="AH73" s="775"/>
      <c r="AI73" s="775"/>
      <c r="AJ73" s="778"/>
      <c r="AK73" s="775"/>
      <c r="AL73" s="775"/>
      <c r="AM73" s="775"/>
      <c r="AN73" s="807"/>
      <c r="AO73" s="808"/>
      <c r="AP73" s="808"/>
      <c r="AQ73" s="806"/>
      <c r="AR73" s="806"/>
      <c r="AS73" s="806"/>
      <c r="AT73" s="806"/>
      <c r="AU73" s="795"/>
      <c r="AV73" s="795"/>
      <c r="AW73" s="795"/>
      <c r="AX73" s="797"/>
      <c r="AY73" s="159"/>
    </row>
    <row r="74" spans="1:51" ht="27" customHeight="1" x14ac:dyDescent="0.25">
      <c r="A74" s="912"/>
      <c r="B74" s="1155"/>
      <c r="C74" s="838"/>
      <c r="D74" s="136" t="s">
        <v>43</v>
      </c>
      <c r="E74" s="142"/>
      <c r="F74" s="143"/>
      <c r="G74" s="144"/>
      <c r="H74" s="144"/>
      <c r="I74" s="144">
        <v>1</v>
      </c>
      <c r="J74" s="138">
        <v>1</v>
      </c>
      <c r="K74" s="137"/>
      <c r="L74" s="138"/>
      <c r="M74" s="146"/>
      <c r="N74" s="138"/>
      <c r="O74" s="138">
        <f>+O70</f>
        <v>3</v>
      </c>
      <c r="P74" s="138">
        <v>4</v>
      </c>
      <c r="Q74" s="138">
        <v>4</v>
      </c>
      <c r="R74" s="147">
        <v>7</v>
      </c>
      <c r="S74" s="139"/>
      <c r="T74" s="148"/>
      <c r="U74" s="148"/>
      <c r="V74" s="148">
        <v>1</v>
      </c>
      <c r="W74" s="146">
        <v>1</v>
      </c>
      <c r="X74" s="139"/>
      <c r="Y74" s="139"/>
      <c r="Z74" s="139"/>
      <c r="AA74" s="137"/>
      <c r="AB74" s="137">
        <f>+AB70</f>
        <v>3</v>
      </c>
      <c r="AC74" s="129">
        <v>4</v>
      </c>
      <c r="AD74" s="137">
        <v>4</v>
      </c>
      <c r="AE74" s="152">
        <v>7</v>
      </c>
      <c r="AF74" s="1115"/>
      <c r="AG74" s="772"/>
      <c r="AH74" s="775"/>
      <c r="AI74" s="775"/>
      <c r="AJ74" s="778"/>
      <c r="AK74" s="775"/>
      <c r="AL74" s="775"/>
      <c r="AM74" s="775"/>
      <c r="AN74" s="807"/>
      <c r="AO74" s="808"/>
      <c r="AP74" s="808"/>
      <c r="AQ74" s="806"/>
      <c r="AR74" s="806"/>
      <c r="AS74" s="806"/>
      <c r="AT74" s="806"/>
      <c r="AU74" s="795"/>
      <c r="AV74" s="795"/>
      <c r="AW74" s="795"/>
      <c r="AX74" s="797"/>
      <c r="AY74" s="159"/>
    </row>
    <row r="75" spans="1:51" ht="27.75" customHeight="1" thickBot="1" x14ac:dyDescent="0.3">
      <c r="A75" s="912"/>
      <c r="B75" s="1155"/>
      <c r="C75" s="838"/>
      <c r="D75" s="140" t="s">
        <v>45</v>
      </c>
      <c r="E75" s="142"/>
      <c r="F75" s="143"/>
      <c r="G75" s="144"/>
      <c r="H75" s="144"/>
      <c r="I75" s="144" t="e">
        <f>+I74*$I$11/$I$10</f>
        <v>#REF!</v>
      </c>
      <c r="J75" s="138" t="e">
        <f>+J74*$J$11/$J$10</f>
        <v>#REF!</v>
      </c>
      <c r="K75" s="137"/>
      <c r="L75" s="138"/>
      <c r="M75" s="146"/>
      <c r="N75" s="138"/>
      <c r="O75" s="138">
        <f>+O71</f>
        <v>16448181.818181818</v>
      </c>
      <c r="P75" s="138" t="e">
        <f>+P74*$P$11/$P$10</f>
        <v>#REF!</v>
      </c>
      <c r="Q75" s="138" t="e">
        <f>+Q74*$Q$11/$Q$10</f>
        <v>#REF!</v>
      </c>
      <c r="R75" s="138" t="e">
        <f>+R74*$R$11/$R$10</f>
        <v>#REF!</v>
      </c>
      <c r="S75" s="139"/>
      <c r="T75" s="148"/>
      <c r="U75" s="148"/>
      <c r="V75" s="155" t="e">
        <f>+V74*$V$11/$V$10</f>
        <v>#REF!</v>
      </c>
      <c r="W75" s="138" t="e">
        <f>+W74*$W$11/$W$10</f>
        <v>#REF!</v>
      </c>
      <c r="X75" s="139"/>
      <c r="Y75" s="139"/>
      <c r="Z75" s="139"/>
      <c r="AA75" s="137"/>
      <c r="AB75" s="137">
        <f>+AB71</f>
        <v>23859727.272727273</v>
      </c>
      <c r="AC75" s="137" t="e">
        <f>+AC74*$AC$11/$AC$10</f>
        <v>#REF!</v>
      </c>
      <c r="AD75" s="137" t="e">
        <f>+AD74*$AD$11/$AD$10</f>
        <v>#REF!</v>
      </c>
      <c r="AE75" s="137" t="e">
        <f>+AE74*$AE$11/$AE$10</f>
        <v>#REF!</v>
      </c>
      <c r="AF75" s="1149"/>
      <c r="AG75" s="773"/>
      <c r="AH75" s="776"/>
      <c r="AI75" s="776"/>
      <c r="AJ75" s="779"/>
      <c r="AK75" s="776"/>
      <c r="AL75" s="776"/>
      <c r="AM75" s="776"/>
      <c r="AN75" s="807"/>
      <c r="AO75" s="808"/>
      <c r="AP75" s="808"/>
      <c r="AQ75" s="806"/>
      <c r="AR75" s="806"/>
      <c r="AS75" s="806"/>
      <c r="AT75" s="806"/>
      <c r="AU75" s="795"/>
      <c r="AV75" s="795"/>
      <c r="AW75" s="795"/>
      <c r="AX75" s="798"/>
      <c r="AY75" s="159"/>
    </row>
    <row r="76" spans="1:51" ht="18" customHeight="1" x14ac:dyDescent="0.25">
      <c r="A76" s="912"/>
      <c r="B76" s="1155"/>
      <c r="C76" s="1127" t="s">
        <v>366</v>
      </c>
      <c r="D76" s="141" t="s">
        <v>41</v>
      </c>
      <c r="E76" s="142"/>
      <c r="F76" s="143"/>
      <c r="G76" s="144">
        <v>1</v>
      </c>
      <c r="H76" s="144">
        <v>3</v>
      </c>
      <c r="I76" s="144">
        <v>3</v>
      </c>
      <c r="J76" s="138">
        <v>3</v>
      </c>
      <c r="K76" s="145">
        <v>4</v>
      </c>
      <c r="L76" s="138"/>
      <c r="M76" s="146">
        <v>1</v>
      </c>
      <c r="N76" s="138">
        <v>3</v>
      </c>
      <c r="O76" s="138">
        <v>4</v>
      </c>
      <c r="P76" s="138">
        <v>5</v>
      </c>
      <c r="Q76" s="138">
        <v>7</v>
      </c>
      <c r="R76" s="147">
        <v>9</v>
      </c>
      <c r="S76" s="139"/>
      <c r="T76" s="148">
        <v>1</v>
      </c>
      <c r="U76" s="148">
        <v>3</v>
      </c>
      <c r="V76" s="148">
        <v>3</v>
      </c>
      <c r="W76" s="146">
        <v>3</v>
      </c>
      <c r="X76" s="150">
        <v>4</v>
      </c>
      <c r="Y76" s="139"/>
      <c r="Z76" s="139">
        <v>1</v>
      </c>
      <c r="AA76" s="137">
        <v>3</v>
      </c>
      <c r="AB76" s="151">
        <v>4</v>
      </c>
      <c r="AC76" s="129">
        <v>5</v>
      </c>
      <c r="AD76" s="137">
        <v>7</v>
      </c>
      <c r="AE76" s="152">
        <v>9</v>
      </c>
      <c r="AF76" s="1142" t="s">
        <v>367</v>
      </c>
      <c r="AG76" s="771" t="s">
        <v>368</v>
      </c>
      <c r="AH76" s="774" t="s">
        <v>369</v>
      </c>
      <c r="AI76" s="774" t="s">
        <v>370</v>
      </c>
      <c r="AJ76" s="777" t="s">
        <v>314</v>
      </c>
      <c r="AK76" s="774" t="s">
        <v>315</v>
      </c>
      <c r="AL76" s="774" t="s">
        <v>70</v>
      </c>
      <c r="AM76" s="774" t="s">
        <v>316</v>
      </c>
      <c r="AN76" s="807">
        <v>388154</v>
      </c>
      <c r="AO76" s="808">
        <v>183971</v>
      </c>
      <c r="AP76" s="808">
        <v>204184</v>
      </c>
      <c r="AQ76" s="806" t="s">
        <v>317</v>
      </c>
      <c r="AR76" s="806" t="s">
        <v>317</v>
      </c>
      <c r="AS76" s="806" t="s">
        <v>317</v>
      </c>
      <c r="AT76" s="806" t="s">
        <v>317</v>
      </c>
      <c r="AU76" s="795" t="s">
        <v>317</v>
      </c>
      <c r="AV76" s="795" t="s">
        <v>317</v>
      </c>
      <c r="AW76" s="795" t="s">
        <v>317</v>
      </c>
      <c r="AX76" s="796">
        <v>388154</v>
      </c>
      <c r="AY76" s="159"/>
    </row>
    <row r="77" spans="1:51" ht="18" x14ac:dyDescent="0.25">
      <c r="A77" s="912"/>
      <c r="B77" s="1155"/>
      <c r="C77" s="1127"/>
      <c r="D77" s="132" t="s">
        <v>3</v>
      </c>
      <c r="E77" s="142"/>
      <c r="F77" s="143"/>
      <c r="G77" s="144">
        <f>+G76*$G$11/$G$10</f>
        <v>5272055.0458715595</v>
      </c>
      <c r="H77" s="144">
        <f>+H76*$H$11/$H$10</f>
        <v>15816165.137614679</v>
      </c>
      <c r="I77" s="144" t="e">
        <f>+I76*$I$11/$I$10</f>
        <v>#REF!</v>
      </c>
      <c r="J77" s="138" t="e">
        <f>+J76*$J$11/$J$10</f>
        <v>#REF!</v>
      </c>
      <c r="K77" s="137"/>
      <c r="L77" s="138"/>
      <c r="M77" s="153" t="e">
        <f>+M76*$M$11/$M$10</f>
        <v>#REF!</v>
      </c>
      <c r="N77" s="154">
        <f>+N76*$N$11/$N$10</f>
        <v>16448181.818181818</v>
      </c>
      <c r="O77" s="138">
        <f>+O76*$O$11/$O$10</f>
        <v>21930909.09090909</v>
      </c>
      <c r="P77" s="138" t="e">
        <f>+P76*$P$11/$P$10</f>
        <v>#REF!</v>
      </c>
      <c r="Q77" s="138" t="e">
        <f>+Q76*$Q$11/$Q$10</f>
        <v>#REF!</v>
      </c>
      <c r="R77" s="138" t="e">
        <f>+R76*$R$11/$R$10</f>
        <v>#REF!</v>
      </c>
      <c r="S77" s="139"/>
      <c r="T77" s="144">
        <f>+T76*$T$11/$T$10</f>
        <v>0</v>
      </c>
      <c r="U77" s="144">
        <f>+U76*$U$11/$U$10</f>
        <v>71178461.538461536</v>
      </c>
      <c r="V77" s="155" t="e">
        <f>+V76*$V$11/$V$10</f>
        <v>#REF!</v>
      </c>
      <c r="W77" s="138" t="e">
        <f>+W76*$W$11/$W$10</f>
        <v>#REF!</v>
      </c>
      <c r="X77" s="139"/>
      <c r="Y77" s="139"/>
      <c r="Z77" s="156">
        <f>+Z76*$Z$11/$Z$10</f>
        <v>12780000</v>
      </c>
      <c r="AA77" s="157">
        <f>+AA76*$AA$11/$AA$10</f>
        <v>35789590.909090906</v>
      </c>
      <c r="AB77" s="137">
        <f>+AB76*$AB$11/$AB$10</f>
        <v>31812969.696969695</v>
      </c>
      <c r="AC77" s="137" t="e">
        <f>+AC76*$AC$11/$AC$10</f>
        <v>#REF!</v>
      </c>
      <c r="AD77" s="137" t="e">
        <f>+AD76*$AD$11/$AD$10</f>
        <v>#REF!</v>
      </c>
      <c r="AE77" s="137" t="e">
        <f>+AE76*$AE$11/$AE$10</f>
        <v>#REF!</v>
      </c>
      <c r="AF77" s="1143"/>
      <c r="AG77" s="772"/>
      <c r="AH77" s="775"/>
      <c r="AI77" s="775"/>
      <c r="AJ77" s="778"/>
      <c r="AK77" s="775"/>
      <c r="AL77" s="775"/>
      <c r="AM77" s="775"/>
      <c r="AN77" s="807"/>
      <c r="AO77" s="808"/>
      <c r="AP77" s="808"/>
      <c r="AQ77" s="806"/>
      <c r="AR77" s="806"/>
      <c r="AS77" s="806"/>
      <c r="AT77" s="806"/>
      <c r="AU77" s="795"/>
      <c r="AV77" s="795"/>
      <c r="AW77" s="795"/>
      <c r="AX77" s="797"/>
      <c r="AY77" s="159"/>
    </row>
    <row r="78" spans="1:51" ht="27" x14ac:dyDescent="0.25">
      <c r="A78" s="912"/>
      <c r="B78" s="1155"/>
      <c r="C78" s="1127"/>
      <c r="D78" s="136" t="s">
        <v>42</v>
      </c>
      <c r="E78" s="142"/>
      <c r="F78" s="143"/>
      <c r="G78" s="144"/>
      <c r="H78" s="144"/>
      <c r="I78" s="144"/>
      <c r="J78" s="138"/>
      <c r="K78" s="137"/>
      <c r="L78" s="138"/>
      <c r="M78" s="146"/>
      <c r="N78" s="138"/>
      <c r="O78" s="138"/>
      <c r="P78" s="138"/>
      <c r="Q78" s="138"/>
      <c r="R78" s="147"/>
      <c r="S78" s="139"/>
      <c r="T78" s="148"/>
      <c r="U78" s="148"/>
      <c r="V78" s="148"/>
      <c r="W78" s="146"/>
      <c r="X78" s="139"/>
      <c r="Y78" s="139"/>
      <c r="Z78" s="139"/>
      <c r="AA78" s="137"/>
      <c r="AB78" s="151"/>
      <c r="AC78" s="129"/>
      <c r="AD78" s="137"/>
      <c r="AE78" s="152"/>
      <c r="AF78" s="1143"/>
      <c r="AG78" s="772"/>
      <c r="AH78" s="775"/>
      <c r="AI78" s="775"/>
      <c r="AJ78" s="778"/>
      <c r="AK78" s="775"/>
      <c r="AL78" s="775"/>
      <c r="AM78" s="775"/>
      <c r="AN78" s="807"/>
      <c r="AO78" s="808"/>
      <c r="AP78" s="808"/>
      <c r="AQ78" s="806"/>
      <c r="AR78" s="806"/>
      <c r="AS78" s="806"/>
      <c r="AT78" s="806"/>
      <c r="AU78" s="795"/>
      <c r="AV78" s="795"/>
      <c r="AW78" s="795"/>
      <c r="AX78" s="797"/>
      <c r="AY78" s="159"/>
    </row>
    <row r="79" spans="1:51" ht="27" x14ac:dyDescent="0.25">
      <c r="A79" s="912"/>
      <c r="B79" s="1155"/>
      <c r="C79" s="1127"/>
      <c r="D79" s="132" t="s">
        <v>4</v>
      </c>
      <c r="E79" s="142"/>
      <c r="F79" s="143"/>
      <c r="G79" s="144"/>
      <c r="H79" s="144"/>
      <c r="I79" s="144"/>
      <c r="J79" s="138"/>
      <c r="K79" s="137"/>
      <c r="L79" s="138"/>
      <c r="M79" s="146"/>
      <c r="N79" s="138"/>
      <c r="O79" s="138"/>
      <c r="P79" s="138"/>
      <c r="Q79" s="138"/>
      <c r="R79" s="147"/>
      <c r="S79" s="139"/>
      <c r="T79" s="144">
        <f>+T76*$T$13/$T$10</f>
        <v>1355400</v>
      </c>
      <c r="U79" s="123">
        <f>($U$13/5)</f>
        <v>14532248.6</v>
      </c>
      <c r="V79" s="148"/>
      <c r="W79" s="146"/>
      <c r="X79" s="139"/>
      <c r="Y79" s="139"/>
      <c r="Z79" s="139"/>
      <c r="AA79" s="137"/>
      <c r="AB79" s="151"/>
      <c r="AC79" s="129"/>
      <c r="AD79" s="137"/>
      <c r="AE79" s="152"/>
      <c r="AF79" s="1143"/>
      <c r="AG79" s="772"/>
      <c r="AH79" s="775"/>
      <c r="AI79" s="775"/>
      <c r="AJ79" s="778"/>
      <c r="AK79" s="775"/>
      <c r="AL79" s="775"/>
      <c r="AM79" s="775"/>
      <c r="AN79" s="807"/>
      <c r="AO79" s="808"/>
      <c r="AP79" s="808"/>
      <c r="AQ79" s="806"/>
      <c r="AR79" s="806"/>
      <c r="AS79" s="806"/>
      <c r="AT79" s="806"/>
      <c r="AU79" s="795"/>
      <c r="AV79" s="795"/>
      <c r="AW79" s="795"/>
      <c r="AX79" s="797"/>
      <c r="AY79" s="159"/>
    </row>
    <row r="80" spans="1:51" ht="27" x14ac:dyDescent="0.25">
      <c r="A80" s="912"/>
      <c r="B80" s="1155"/>
      <c r="C80" s="1127"/>
      <c r="D80" s="136" t="s">
        <v>43</v>
      </c>
      <c r="E80" s="142"/>
      <c r="F80" s="143"/>
      <c r="G80" s="144">
        <v>1</v>
      </c>
      <c r="H80" s="144">
        <v>3</v>
      </c>
      <c r="I80" s="144">
        <v>3</v>
      </c>
      <c r="J80" s="138">
        <v>3</v>
      </c>
      <c r="K80" s="137"/>
      <c r="L80" s="138"/>
      <c r="M80" s="146"/>
      <c r="N80" s="138"/>
      <c r="O80" s="138">
        <f>+O76</f>
        <v>4</v>
      </c>
      <c r="P80" s="138">
        <v>5</v>
      </c>
      <c r="Q80" s="138">
        <v>7</v>
      </c>
      <c r="R80" s="147">
        <v>9</v>
      </c>
      <c r="S80" s="139"/>
      <c r="T80" s="148">
        <v>1</v>
      </c>
      <c r="U80" s="148">
        <v>3</v>
      </c>
      <c r="V80" s="148">
        <v>3</v>
      </c>
      <c r="W80" s="146">
        <v>3</v>
      </c>
      <c r="X80" s="139"/>
      <c r="Y80" s="139"/>
      <c r="Z80" s="139"/>
      <c r="AA80" s="137"/>
      <c r="AB80" s="151">
        <f>+AB76</f>
        <v>4</v>
      </c>
      <c r="AC80" s="129">
        <v>5</v>
      </c>
      <c r="AD80" s="137">
        <v>7</v>
      </c>
      <c r="AE80" s="152">
        <v>9</v>
      </c>
      <c r="AF80" s="1143"/>
      <c r="AG80" s="772"/>
      <c r="AH80" s="775"/>
      <c r="AI80" s="775"/>
      <c r="AJ80" s="778"/>
      <c r="AK80" s="775"/>
      <c r="AL80" s="775"/>
      <c r="AM80" s="775"/>
      <c r="AN80" s="807"/>
      <c r="AO80" s="808"/>
      <c r="AP80" s="808"/>
      <c r="AQ80" s="806"/>
      <c r="AR80" s="806"/>
      <c r="AS80" s="806"/>
      <c r="AT80" s="806"/>
      <c r="AU80" s="795"/>
      <c r="AV80" s="795"/>
      <c r="AW80" s="795"/>
      <c r="AX80" s="797"/>
      <c r="AY80" s="159"/>
    </row>
    <row r="81" spans="1:51" ht="27.75" thickBot="1" x14ac:dyDescent="0.3">
      <c r="A81" s="912"/>
      <c r="B81" s="1155"/>
      <c r="C81" s="1127"/>
      <c r="D81" s="140" t="s">
        <v>45</v>
      </c>
      <c r="E81" s="142"/>
      <c r="F81" s="143"/>
      <c r="G81" s="144">
        <f>+G80*$G$11/$G$10</f>
        <v>5272055.0458715595</v>
      </c>
      <c r="H81" s="144">
        <f>+H80*$H$11/$H$10</f>
        <v>15816165.137614679</v>
      </c>
      <c r="I81" s="144" t="e">
        <f>+I80*$I$11/$I$10</f>
        <v>#REF!</v>
      </c>
      <c r="J81" s="138" t="e">
        <f>+J80*$J$11/$J$10</f>
        <v>#REF!</v>
      </c>
      <c r="K81" s="137"/>
      <c r="L81" s="138"/>
      <c r="M81" s="146"/>
      <c r="N81" s="138"/>
      <c r="O81" s="138">
        <f>+O77</f>
        <v>21930909.09090909</v>
      </c>
      <c r="P81" s="138" t="e">
        <f>+P80*$P$11/$P$10</f>
        <v>#REF!</v>
      </c>
      <c r="Q81" s="138" t="e">
        <f>+Q80*$Q$11/$Q$10</f>
        <v>#REF!</v>
      </c>
      <c r="R81" s="138" t="e">
        <f>+R80*$R$11/$R$10</f>
        <v>#REF!</v>
      </c>
      <c r="S81" s="139"/>
      <c r="T81" s="144">
        <f>+T80*$T$11/$T$10</f>
        <v>0</v>
      </c>
      <c r="U81" s="144">
        <f>+U80*$U$11/$U$10</f>
        <v>71178461.538461536</v>
      </c>
      <c r="V81" s="155" t="e">
        <f>+V80*$V$11/$V$10</f>
        <v>#REF!</v>
      </c>
      <c r="W81" s="138" t="e">
        <f>+W80*$W$11/$W$10</f>
        <v>#REF!</v>
      </c>
      <c r="X81" s="139"/>
      <c r="Y81" s="139"/>
      <c r="Z81" s="139"/>
      <c r="AA81" s="137"/>
      <c r="AB81" s="151">
        <f>+AB77</f>
        <v>31812969.696969695</v>
      </c>
      <c r="AC81" s="137" t="e">
        <f>+AC80*$AC$11/$AC$10</f>
        <v>#REF!</v>
      </c>
      <c r="AD81" s="137" t="e">
        <f>+AD80*$AD$11/$AD$10</f>
        <v>#REF!</v>
      </c>
      <c r="AE81" s="137" t="e">
        <f>+AE80*$AE$11/$AE$10</f>
        <v>#REF!</v>
      </c>
      <c r="AF81" s="1144"/>
      <c r="AG81" s="773"/>
      <c r="AH81" s="776"/>
      <c r="AI81" s="776"/>
      <c r="AJ81" s="779"/>
      <c r="AK81" s="776"/>
      <c r="AL81" s="776"/>
      <c r="AM81" s="776"/>
      <c r="AN81" s="807"/>
      <c r="AO81" s="808"/>
      <c r="AP81" s="808"/>
      <c r="AQ81" s="806"/>
      <c r="AR81" s="806"/>
      <c r="AS81" s="806"/>
      <c r="AT81" s="806"/>
      <c r="AU81" s="795"/>
      <c r="AV81" s="795"/>
      <c r="AW81" s="795"/>
      <c r="AX81" s="798"/>
      <c r="AY81" s="159"/>
    </row>
    <row r="82" spans="1:51" ht="18" customHeight="1" x14ac:dyDescent="0.25">
      <c r="A82" s="912"/>
      <c r="B82" s="1155"/>
      <c r="C82" s="838" t="s">
        <v>371</v>
      </c>
      <c r="D82" s="141" t="s">
        <v>41</v>
      </c>
      <c r="E82" s="142"/>
      <c r="F82" s="143"/>
      <c r="G82" s="144"/>
      <c r="H82" s="144"/>
      <c r="I82" s="144">
        <v>1</v>
      </c>
      <c r="J82" s="138">
        <v>2</v>
      </c>
      <c r="K82" s="145">
        <v>2</v>
      </c>
      <c r="L82" s="138"/>
      <c r="M82" s="146">
        <v>1</v>
      </c>
      <c r="N82" s="138">
        <v>1</v>
      </c>
      <c r="O82" s="138">
        <v>1</v>
      </c>
      <c r="P82" s="138">
        <v>1</v>
      </c>
      <c r="Q82" s="138">
        <v>1</v>
      </c>
      <c r="R82" s="147">
        <v>1</v>
      </c>
      <c r="S82" s="139"/>
      <c r="T82" s="148"/>
      <c r="U82" s="148"/>
      <c r="V82" s="148">
        <v>1</v>
      </c>
      <c r="W82" s="149">
        <v>2</v>
      </c>
      <c r="X82" s="150">
        <v>2</v>
      </c>
      <c r="Y82" s="139"/>
      <c r="Z82" s="139">
        <v>1</v>
      </c>
      <c r="AA82" s="137">
        <v>1</v>
      </c>
      <c r="AB82" s="151">
        <v>1</v>
      </c>
      <c r="AC82" s="129">
        <v>1</v>
      </c>
      <c r="AD82" s="137">
        <v>1</v>
      </c>
      <c r="AE82" s="152">
        <v>1</v>
      </c>
      <c r="AF82" s="1148" t="s">
        <v>372</v>
      </c>
      <c r="AG82" s="771" t="s">
        <v>373</v>
      </c>
      <c r="AH82" s="774" t="s">
        <v>374</v>
      </c>
      <c r="AI82" s="774" t="s">
        <v>375</v>
      </c>
      <c r="AJ82" s="777" t="s">
        <v>376</v>
      </c>
      <c r="AK82" s="774" t="s">
        <v>315</v>
      </c>
      <c r="AL82" s="774" t="s">
        <v>377</v>
      </c>
      <c r="AM82" s="774" t="s">
        <v>316</v>
      </c>
      <c r="AN82" s="807">
        <v>831378</v>
      </c>
      <c r="AO82" s="808">
        <v>392164</v>
      </c>
      <c r="AP82" s="808">
        <v>439214</v>
      </c>
      <c r="AQ82" s="806" t="s">
        <v>317</v>
      </c>
      <c r="AR82" s="806" t="s">
        <v>317</v>
      </c>
      <c r="AS82" s="806" t="s">
        <v>317</v>
      </c>
      <c r="AT82" s="806" t="s">
        <v>317</v>
      </c>
      <c r="AU82" s="795" t="s">
        <v>317</v>
      </c>
      <c r="AV82" s="795" t="s">
        <v>317</v>
      </c>
      <c r="AW82" s="795" t="s">
        <v>317</v>
      </c>
      <c r="AX82" s="796">
        <v>831378</v>
      </c>
      <c r="AY82" s="159"/>
    </row>
    <row r="83" spans="1:51" ht="18" customHeight="1" x14ac:dyDescent="0.25">
      <c r="A83" s="912"/>
      <c r="B83" s="1155"/>
      <c r="C83" s="838"/>
      <c r="D83" s="132" t="s">
        <v>3</v>
      </c>
      <c r="E83" s="142"/>
      <c r="F83" s="143"/>
      <c r="G83" s="144"/>
      <c r="H83" s="144"/>
      <c r="I83" s="144"/>
      <c r="J83" s="138" t="e">
        <f>+J82*$J$11/$J$10</f>
        <v>#REF!</v>
      </c>
      <c r="K83" s="137"/>
      <c r="L83" s="138"/>
      <c r="M83" s="153" t="e">
        <f>+M82*$M$11/$M$10</f>
        <v>#REF!</v>
      </c>
      <c r="N83" s="154">
        <f>+N82*$N$11/$N$10</f>
        <v>5482727.2727272725</v>
      </c>
      <c r="O83" s="138">
        <f>+O82*$O$11/$O$10</f>
        <v>5482727.2727272725</v>
      </c>
      <c r="P83" s="138" t="e">
        <f>+P82*$P$11/$P$10</f>
        <v>#REF!</v>
      </c>
      <c r="Q83" s="138" t="e">
        <f>+Q82*$Q$11/$Q$10</f>
        <v>#REF!</v>
      </c>
      <c r="R83" s="138" t="e">
        <f>+R82*$R$11/$R$10</f>
        <v>#REF!</v>
      </c>
      <c r="S83" s="139"/>
      <c r="T83" s="148"/>
      <c r="U83" s="148"/>
      <c r="V83" s="155" t="e">
        <f>+V82*$V$11/$V$10</f>
        <v>#REF!</v>
      </c>
      <c r="W83" s="138" t="e">
        <f>+W82*$W$11/$W$10</f>
        <v>#REF!</v>
      </c>
      <c r="X83" s="139"/>
      <c r="Y83" s="139"/>
      <c r="Z83" s="156">
        <f>+Z82*$Z$11/$Z$10</f>
        <v>12780000</v>
      </c>
      <c r="AA83" s="157">
        <f>+AA82*$AA$11/$AA$10</f>
        <v>11929863.636363637</v>
      </c>
      <c r="AB83" s="137">
        <f>+AB82*$AB$11/$AB$10</f>
        <v>7953242.4242424238</v>
      </c>
      <c r="AC83" s="137" t="e">
        <f>+AC82*$AC$11/$AC$10</f>
        <v>#REF!</v>
      </c>
      <c r="AD83" s="137" t="e">
        <f>+AD82*$AD$11/$AD$10</f>
        <v>#REF!</v>
      </c>
      <c r="AE83" s="137" t="e">
        <f>+AE82*$AE$11/$AE$10</f>
        <v>#REF!</v>
      </c>
      <c r="AF83" s="1115"/>
      <c r="AG83" s="772"/>
      <c r="AH83" s="775"/>
      <c r="AI83" s="775"/>
      <c r="AJ83" s="778"/>
      <c r="AK83" s="775"/>
      <c r="AL83" s="775"/>
      <c r="AM83" s="775"/>
      <c r="AN83" s="807"/>
      <c r="AO83" s="808"/>
      <c r="AP83" s="808"/>
      <c r="AQ83" s="806"/>
      <c r="AR83" s="806"/>
      <c r="AS83" s="806"/>
      <c r="AT83" s="806"/>
      <c r="AU83" s="795"/>
      <c r="AV83" s="795"/>
      <c r="AW83" s="795"/>
      <c r="AX83" s="797"/>
      <c r="AY83" s="159"/>
    </row>
    <row r="84" spans="1:51" ht="27" customHeight="1" x14ac:dyDescent="0.25">
      <c r="A84" s="912"/>
      <c r="B84" s="1155"/>
      <c r="C84" s="838"/>
      <c r="D84" s="136" t="s">
        <v>42</v>
      </c>
      <c r="E84" s="142"/>
      <c r="F84" s="143"/>
      <c r="G84" s="144"/>
      <c r="H84" s="144"/>
      <c r="I84" s="144"/>
      <c r="J84" s="138"/>
      <c r="K84" s="137"/>
      <c r="L84" s="138"/>
      <c r="M84" s="146"/>
      <c r="N84" s="138"/>
      <c r="O84" s="138"/>
      <c r="P84" s="138"/>
      <c r="Q84" s="138"/>
      <c r="R84" s="147"/>
      <c r="S84" s="139"/>
      <c r="T84" s="148"/>
      <c r="U84" s="148"/>
      <c r="V84" s="148"/>
      <c r="W84" s="146"/>
      <c r="X84" s="139"/>
      <c r="Y84" s="139"/>
      <c r="Z84" s="139"/>
      <c r="AA84" s="137"/>
      <c r="AB84" s="151"/>
      <c r="AC84" s="129"/>
      <c r="AD84" s="137"/>
      <c r="AE84" s="152"/>
      <c r="AF84" s="1115"/>
      <c r="AG84" s="772"/>
      <c r="AH84" s="775"/>
      <c r="AI84" s="775"/>
      <c r="AJ84" s="778"/>
      <c r="AK84" s="775"/>
      <c r="AL84" s="775"/>
      <c r="AM84" s="775"/>
      <c r="AN84" s="807"/>
      <c r="AO84" s="808"/>
      <c r="AP84" s="808"/>
      <c r="AQ84" s="806"/>
      <c r="AR84" s="806"/>
      <c r="AS84" s="806"/>
      <c r="AT84" s="806"/>
      <c r="AU84" s="795"/>
      <c r="AV84" s="795"/>
      <c r="AW84" s="795"/>
      <c r="AX84" s="797"/>
      <c r="AY84" s="159"/>
    </row>
    <row r="85" spans="1:51" ht="27" customHeight="1" x14ac:dyDescent="0.25">
      <c r="A85" s="912"/>
      <c r="B85" s="1155"/>
      <c r="C85" s="838"/>
      <c r="D85" s="132" t="s">
        <v>4</v>
      </c>
      <c r="E85" s="142"/>
      <c r="F85" s="143"/>
      <c r="G85" s="144"/>
      <c r="H85" s="144"/>
      <c r="I85" s="144"/>
      <c r="J85" s="138"/>
      <c r="K85" s="137"/>
      <c r="L85" s="138"/>
      <c r="M85" s="146"/>
      <c r="N85" s="138"/>
      <c r="O85" s="138"/>
      <c r="P85" s="138"/>
      <c r="Q85" s="138"/>
      <c r="R85" s="147"/>
      <c r="S85" s="139"/>
      <c r="T85" s="148"/>
      <c r="U85" s="148"/>
      <c r="V85" s="148"/>
      <c r="W85" s="146"/>
      <c r="X85" s="139"/>
      <c r="Y85" s="139"/>
      <c r="Z85" s="139"/>
      <c r="AA85" s="137"/>
      <c r="AB85" s="151"/>
      <c r="AC85" s="129"/>
      <c r="AD85" s="137"/>
      <c r="AE85" s="152"/>
      <c r="AF85" s="1115"/>
      <c r="AG85" s="772"/>
      <c r="AH85" s="775"/>
      <c r="AI85" s="775"/>
      <c r="AJ85" s="778"/>
      <c r="AK85" s="775"/>
      <c r="AL85" s="775"/>
      <c r="AM85" s="775"/>
      <c r="AN85" s="807"/>
      <c r="AO85" s="808"/>
      <c r="AP85" s="808"/>
      <c r="AQ85" s="806"/>
      <c r="AR85" s="806"/>
      <c r="AS85" s="806"/>
      <c r="AT85" s="806"/>
      <c r="AU85" s="795"/>
      <c r="AV85" s="795"/>
      <c r="AW85" s="795"/>
      <c r="AX85" s="797"/>
      <c r="AY85" s="159"/>
    </row>
    <row r="86" spans="1:51" ht="27" customHeight="1" x14ac:dyDescent="0.25">
      <c r="A86" s="912"/>
      <c r="B86" s="1155"/>
      <c r="C86" s="838"/>
      <c r="D86" s="136" t="s">
        <v>43</v>
      </c>
      <c r="E86" s="142"/>
      <c r="F86" s="143"/>
      <c r="G86" s="144"/>
      <c r="H86" s="144"/>
      <c r="I86" s="144">
        <v>1</v>
      </c>
      <c r="J86" s="138">
        <v>2</v>
      </c>
      <c r="K86" s="137"/>
      <c r="L86" s="138"/>
      <c r="M86" s="146"/>
      <c r="N86" s="138"/>
      <c r="O86" s="138">
        <f>+O82</f>
        <v>1</v>
      </c>
      <c r="P86" s="138">
        <v>1</v>
      </c>
      <c r="Q86" s="138">
        <v>1</v>
      </c>
      <c r="R86" s="147">
        <v>1</v>
      </c>
      <c r="S86" s="139"/>
      <c r="T86" s="148"/>
      <c r="U86" s="148"/>
      <c r="V86" s="148">
        <v>1</v>
      </c>
      <c r="W86" s="146">
        <v>2</v>
      </c>
      <c r="X86" s="139"/>
      <c r="Y86" s="139"/>
      <c r="Z86" s="139"/>
      <c r="AA86" s="137"/>
      <c r="AB86" s="137">
        <f>+AB82</f>
        <v>1</v>
      </c>
      <c r="AC86" s="129">
        <v>1</v>
      </c>
      <c r="AD86" s="137">
        <v>1</v>
      </c>
      <c r="AE86" s="152">
        <v>1</v>
      </c>
      <c r="AF86" s="1115"/>
      <c r="AG86" s="772"/>
      <c r="AH86" s="775"/>
      <c r="AI86" s="775"/>
      <c r="AJ86" s="778"/>
      <c r="AK86" s="775"/>
      <c r="AL86" s="775"/>
      <c r="AM86" s="775"/>
      <c r="AN86" s="807"/>
      <c r="AO86" s="808"/>
      <c r="AP86" s="808"/>
      <c r="AQ86" s="806"/>
      <c r="AR86" s="806"/>
      <c r="AS86" s="806"/>
      <c r="AT86" s="806"/>
      <c r="AU86" s="795"/>
      <c r="AV86" s="795"/>
      <c r="AW86" s="795"/>
      <c r="AX86" s="797"/>
      <c r="AY86" s="159"/>
    </row>
    <row r="87" spans="1:51" ht="27.75" customHeight="1" thickBot="1" x14ac:dyDescent="0.3">
      <c r="A87" s="912"/>
      <c r="B87" s="1155"/>
      <c r="C87" s="838"/>
      <c r="D87" s="140" t="s">
        <v>45</v>
      </c>
      <c r="E87" s="142"/>
      <c r="F87" s="143"/>
      <c r="G87" s="144"/>
      <c r="H87" s="144"/>
      <c r="I87" s="144" t="e">
        <f>+I86*$I$11/$I$10</f>
        <v>#REF!</v>
      </c>
      <c r="J87" s="138" t="e">
        <f>+J86*$J$11/$J$10</f>
        <v>#REF!</v>
      </c>
      <c r="K87" s="137"/>
      <c r="L87" s="138"/>
      <c r="M87" s="146"/>
      <c r="N87" s="138"/>
      <c r="O87" s="138">
        <f>+O83</f>
        <v>5482727.2727272725</v>
      </c>
      <c r="P87" s="138" t="e">
        <f>+P86*$P$11/$P$10</f>
        <v>#REF!</v>
      </c>
      <c r="Q87" s="138" t="e">
        <f>+Q86*$Q$11/$Q$10</f>
        <v>#REF!</v>
      </c>
      <c r="R87" s="138" t="e">
        <f>+R86*$R$11/$R$10</f>
        <v>#REF!</v>
      </c>
      <c r="S87" s="139"/>
      <c r="T87" s="148"/>
      <c r="U87" s="148"/>
      <c r="V87" s="155" t="e">
        <f>+V86*$V$11/$V$10</f>
        <v>#REF!</v>
      </c>
      <c r="W87" s="138" t="e">
        <f>+W86*$W$11/$W$10</f>
        <v>#REF!</v>
      </c>
      <c r="X87" s="139"/>
      <c r="Y87" s="139"/>
      <c r="Z87" s="139"/>
      <c r="AA87" s="137"/>
      <c r="AB87" s="137">
        <f>+AB83</f>
        <v>7953242.4242424238</v>
      </c>
      <c r="AC87" s="137" t="e">
        <f>+AC86*$AC$11/$AC$10</f>
        <v>#REF!</v>
      </c>
      <c r="AD87" s="137" t="e">
        <f>+AD86*$AD$11/$AD$10</f>
        <v>#REF!</v>
      </c>
      <c r="AE87" s="137" t="e">
        <f>+AE86*$AE$11/$AE$10</f>
        <v>#REF!</v>
      </c>
      <c r="AF87" s="1149"/>
      <c r="AG87" s="773"/>
      <c r="AH87" s="776"/>
      <c r="AI87" s="776"/>
      <c r="AJ87" s="779"/>
      <c r="AK87" s="776"/>
      <c r="AL87" s="776"/>
      <c r="AM87" s="776"/>
      <c r="AN87" s="807"/>
      <c r="AO87" s="808"/>
      <c r="AP87" s="808"/>
      <c r="AQ87" s="806"/>
      <c r="AR87" s="806"/>
      <c r="AS87" s="806"/>
      <c r="AT87" s="806"/>
      <c r="AU87" s="795"/>
      <c r="AV87" s="795"/>
      <c r="AW87" s="795"/>
      <c r="AX87" s="798"/>
      <c r="AY87" s="159"/>
    </row>
    <row r="88" spans="1:51" ht="49.5" customHeight="1" x14ac:dyDescent="0.25">
      <c r="A88" s="912"/>
      <c r="B88" s="1155"/>
      <c r="C88" s="1127" t="s">
        <v>378</v>
      </c>
      <c r="D88" s="141" t="s">
        <v>41</v>
      </c>
      <c r="E88" s="142"/>
      <c r="F88" s="143"/>
      <c r="G88" s="144"/>
      <c r="H88" s="144">
        <v>2</v>
      </c>
      <c r="I88" s="144">
        <v>6</v>
      </c>
      <c r="J88" s="138">
        <v>6</v>
      </c>
      <c r="K88" s="145">
        <v>9</v>
      </c>
      <c r="L88" s="138"/>
      <c r="M88" s="146">
        <v>1</v>
      </c>
      <c r="N88" s="138">
        <v>3</v>
      </c>
      <c r="O88" s="138">
        <v>4</v>
      </c>
      <c r="P88" s="138">
        <v>6</v>
      </c>
      <c r="Q88" s="138">
        <v>8</v>
      </c>
      <c r="R88" s="147">
        <v>9</v>
      </c>
      <c r="S88" s="139"/>
      <c r="T88" s="148"/>
      <c r="U88" s="148">
        <v>2</v>
      </c>
      <c r="V88" s="148">
        <v>6</v>
      </c>
      <c r="W88" s="146">
        <v>6</v>
      </c>
      <c r="X88" s="150">
        <v>9</v>
      </c>
      <c r="Y88" s="139"/>
      <c r="Z88" s="139">
        <v>1</v>
      </c>
      <c r="AA88" s="137">
        <v>3</v>
      </c>
      <c r="AB88" s="151">
        <v>4</v>
      </c>
      <c r="AC88" s="129">
        <v>6</v>
      </c>
      <c r="AD88" s="137">
        <v>8</v>
      </c>
      <c r="AE88" s="152">
        <v>9</v>
      </c>
      <c r="AF88" s="1142" t="s">
        <v>379</v>
      </c>
      <c r="AG88" s="771" t="s">
        <v>378</v>
      </c>
      <c r="AH88" s="774" t="s">
        <v>380</v>
      </c>
      <c r="AI88" s="774" t="s">
        <v>381</v>
      </c>
      <c r="AJ88" s="777" t="s">
        <v>314</v>
      </c>
      <c r="AK88" s="774" t="s">
        <v>315</v>
      </c>
      <c r="AL88" s="774" t="s">
        <v>382</v>
      </c>
      <c r="AM88" s="774" t="s">
        <v>316</v>
      </c>
      <c r="AN88" s="808">
        <v>1229903</v>
      </c>
      <c r="AO88" s="808">
        <v>579046</v>
      </c>
      <c r="AP88" s="808">
        <v>650857</v>
      </c>
      <c r="AQ88" s="806" t="s">
        <v>317</v>
      </c>
      <c r="AR88" s="806" t="s">
        <v>317</v>
      </c>
      <c r="AS88" s="806" t="s">
        <v>317</v>
      </c>
      <c r="AT88" s="806" t="s">
        <v>317</v>
      </c>
      <c r="AU88" s="795" t="s">
        <v>317</v>
      </c>
      <c r="AV88" s="795" t="s">
        <v>317</v>
      </c>
      <c r="AW88" s="795" t="s">
        <v>317</v>
      </c>
      <c r="AX88" s="796">
        <v>1229903</v>
      </c>
      <c r="AY88" s="159"/>
    </row>
    <row r="89" spans="1:51" ht="49.5" customHeight="1" x14ac:dyDescent="0.25">
      <c r="A89" s="912"/>
      <c r="B89" s="1155"/>
      <c r="C89" s="1127"/>
      <c r="D89" s="132" t="s">
        <v>3</v>
      </c>
      <c r="E89" s="142"/>
      <c r="F89" s="143"/>
      <c r="G89" s="144"/>
      <c r="H89" s="144">
        <f>+H88*$H$11/$H$10</f>
        <v>10544110.091743119</v>
      </c>
      <c r="I89" s="144"/>
      <c r="J89" s="138" t="e">
        <f>+J88*$J$11/$J$10</f>
        <v>#REF!</v>
      </c>
      <c r="K89" s="137"/>
      <c r="L89" s="138"/>
      <c r="M89" s="153" t="e">
        <f>+M88*$M$11/$M$10</f>
        <v>#REF!</v>
      </c>
      <c r="N89" s="154">
        <f>+N88*$N$11/$N$10</f>
        <v>16448181.818181818</v>
      </c>
      <c r="O89" s="138">
        <f>+O88*$O$11/$O$10</f>
        <v>21930909.09090909</v>
      </c>
      <c r="P89" s="138" t="e">
        <f>+P88*$P$11/$P$10</f>
        <v>#REF!</v>
      </c>
      <c r="Q89" s="138" t="e">
        <f>+Q88*$Q$11/$Q$10</f>
        <v>#REF!</v>
      </c>
      <c r="R89" s="138" t="e">
        <f>+R88*$R$11/$R$10</f>
        <v>#REF!</v>
      </c>
      <c r="S89" s="139"/>
      <c r="T89" s="148"/>
      <c r="U89" s="144">
        <f>+U88*$U$11/$U$10</f>
        <v>47452307.692307696</v>
      </c>
      <c r="V89" s="155" t="e">
        <f>+V88*$V$11/$V$10</f>
        <v>#REF!</v>
      </c>
      <c r="W89" s="138" t="e">
        <f>+W88*$W$11/$W$10</f>
        <v>#REF!</v>
      </c>
      <c r="X89" s="139"/>
      <c r="Y89" s="139"/>
      <c r="Z89" s="156">
        <f>+Z88*$Z$11/$Z$10</f>
        <v>12780000</v>
      </c>
      <c r="AA89" s="157">
        <f>+AA88*$AA$11/$AA$10</f>
        <v>35789590.909090906</v>
      </c>
      <c r="AB89" s="137">
        <f>+AB88*$AB$11/$AB$10</f>
        <v>31812969.696969695</v>
      </c>
      <c r="AC89" s="137" t="e">
        <f>+AC88*$AC$11/$AC$10</f>
        <v>#REF!</v>
      </c>
      <c r="AD89" s="137" t="e">
        <f>+AD88*$AD$11/$AD$10</f>
        <v>#REF!</v>
      </c>
      <c r="AE89" s="137" t="e">
        <f>+AE88*$AE$11/$AE$10</f>
        <v>#REF!</v>
      </c>
      <c r="AF89" s="1143"/>
      <c r="AG89" s="772"/>
      <c r="AH89" s="775"/>
      <c r="AI89" s="775"/>
      <c r="AJ89" s="778"/>
      <c r="AK89" s="775"/>
      <c r="AL89" s="775"/>
      <c r="AM89" s="775"/>
      <c r="AN89" s="808"/>
      <c r="AO89" s="808"/>
      <c r="AP89" s="808"/>
      <c r="AQ89" s="806"/>
      <c r="AR89" s="806"/>
      <c r="AS89" s="806"/>
      <c r="AT89" s="806"/>
      <c r="AU89" s="795"/>
      <c r="AV89" s="795"/>
      <c r="AW89" s="795"/>
      <c r="AX89" s="797"/>
      <c r="AY89" s="159"/>
    </row>
    <row r="90" spans="1:51" ht="49.5" customHeight="1" x14ac:dyDescent="0.25">
      <c r="A90" s="912"/>
      <c r="B90" s="1155"/>
      <c r="C90" s="1127"/>
      <c r="D90" s="136" t="s">
        <v>42</v>
      </c>
      <c r="E90" s="142"/>
      <c r="F90" s="143"/>
      <c r="G90" s="144"/>
      <c r="H90" s="144"/>
      <c r="I90" s="144"/>
      <c r="J90" s="138"/>
      <c r="K90" s="137"/>
      <c r="L90" s="138"/>
      <c r="M90" s="146"/>
      <c r="N90" s="138"/>
      <c r="O90" s="138"/>
      <c r="P90" s="138"/>
      <c r="Q90" s="138"/>
      <c r="R90" s="147"/>
      <c r="S90" s="139"/>
      <c r="T90" s="148"/>
      <c r="U90" s="148"/>
      <c r="V90" s="148"/>
      <c r="W90" s="146"/>
      <c r="X90" s="139"/>
      <c r="Y90" s="139"/>
      <c r="Z90" s="139"/>
      <c r="AA90" s="137"/>
      <c r="AB90" s="151"/>
      <c r="AC90" s="129"/>
      <c r="AD90" s="137"/>
      <c r="AE90" s="152"/>
      <c r="AF90" s="1143"/>
      <c r="AG90" s="772"/>
      <c r="AH90" s="775"/>
      <c r="AI90" s="775"/>
      <c r="AJ90" s="778"/>
      <c r="AK90" s="775"/>
      <c r="AL90" s="775"/>
      <c r="AM90" s="775"/>
      <c r="AN90" s="808"/>
      <c r="AO90" s="808"/>
      <c r="AP90" s="808"/>
      <c r="AQ90" s="806"/>
      <c r="AR90" s="806"/>
      <c r="AS90" s="806"/>
      <c r="AT90" s="806"/>
      <c r="AU90" s="795"/>
      <c r="AV90" s="795"/>
      <c r="AW90" s="795"/>
      <c r="AX90" s="797"/>
      <c r="AY90" s="159"/>
    </row>
    <row r="91" spans="1:51" ht="77.25" customHeight="1" x14ac:dyDescent="0.25">
      <c r="A91" s="912"/>
      <c r="B91" s="1155"/>
      <c r="C91" s="1127"/>
      <c r="D91" s="132" t="s">
        <v>4</v>
      </c>
      <c r="E91" s="142"/>
      <c r="F91" s="143"/>
      <c r="G91" s="144"/>
      <c r="H91" s="144"/>
      <c r="I91" s="144"/>
      <c r="J91" s="138"/>
      <c r="K91" s="137"/>
      <c r="L91" s="138"/>
      <c r="M91" s="146"/>
      <c r="N91" s="138"/>
      <c r="O91" s="138"/>
      <c r="P91" s="138"/>
      <c r="Q91" s="138"/>
      <c r="R91" s="147"/>
      <c r="S91" s="139"/>
      <c r="T91" s="148"/>
      <c r="U91" s="148"/>
      <c r="V91" s="148"/>
      <c r="W91" s="146"/>
      <c r="X91" s="139"/>
      <c r="Y91" s="139"/>
      <c r="Z91" s="139"/>
      <c r="AA91" s="137"/>
      <c r="AB91" s="151"/>
      <c r="AC91" s="129"/>
      <c r="AD91" s="137"/>
      <c r="AE91" s="152"/>
      <c r="AF91" s="1143"/>
      <c r="AG91" s="772"/>
      <c r="AH91" s="775"/>
      <c r="AI91" s="775"/>
      <c r="AJ91" s="778"/>
      <c r="AK91" s="775"/>
      <c r="AL91" s="775"/>
      <c r="AM91" s="775"/>
      <c r="AN91" s="808"/>
      <c r="AO91" s="808"/>
      <c r="AP91" s="808"/>
      <c r="AQ91" s="806"/>
      <c r="AR91" s="806"/>
      <c r="AS91" s="806"/>
      <c r="AT91" s="806"/>
      <c r="AU91" s="795"/>
      <c r="AV91" s="795"/>
      <c r="AW91" s="795"/>
      <c r="AX91" s="797"/>
      <c r="AY91" s="159"/>
    </row>
    <row r="92" spans="1:51" ht="101.25" customHeight="1" x14ac:dyDescent="0.25">
      <c r="A92" s="912"/>
      <c r="B92" s="1155"/>
      <c r="C92" s="1127"/>
      <c r="D92" s="136" t="s">
        <v>43</v>
      </c>
      <c r="E92" s="142"/>
      <c r="F92" s="143"/>
      <c r="G92" s="144"/>
      <c r="H92" s="144">
        <v>2</v>
      </c>
      <c r="I92" s="144">
        <v>6</v>
      </c>
      <c r="J92" s="138">
        <v>6</v>
      </c>
      <c r="K92" s="137"/>
      <c r="L92" s="138"/>
      <c r="M92" s="146"/>
      <c r="N92" s="138"/>
      <c r="O92" s="138">
        <f>+O88</f>
        <v>4</v>
      </c>
      <c r="P92" s="138">
        <v>6</v>
      </c>
      <c r="Q92" s="138">
        <v>8</v>
      </c>
      <c r="R92" s="147">
        <v>9</v>
      </c>
      <c r="S92" s="139"/>
      <c r="T92" s="148"/>
      <c r="U92" s="148">
        <v>2</v>
      </c>
      <c r="V92" s="148">
        <v>6</v>
      </c>
      <c r="W92" s="146">
        <v>6</v>
      </c>
      <c r="X92" s="139"/>
      <c r="Y92" s="139"/>
      <c r="Z92" s="139"/>
      <c r="AA92" s="137"/>
      <c r="AB92" s="137">
        <f>+AB88</f>
        <v>4</v>
      </c>
      <c r="AC92" s="129">
        <v>6</v>
      </c>
      <c r="AD92" s="137">
        <v>8</v>
      </c>
      <c r="AE92" s="152">
        <v>9</v>
      </c>
      <c r="AF92" s="1143"/>
      <c r="AG92" s="772"/>
      <c r="AH92" s="775"/>
      <c r="AI92" s="775"/>
      <c r="AJ92" s="778"/>
      <c r="AK92" s="775"/>
      <c r="AL92" s="775"/>
      <c r="AM92" s="775"/>
      <c r="AN92" s="808"/>
      <c r="AO92" s="808"/>
      <c r="AP92" s="808"/>
      <c r="AQ92" s="806"/>
      <c r="AR92" s="806"/>
      <c r="AS92" s="806"/>
      <c r="AT92" s="806"/>
      <c r="AU92" s="795"/>
      <c r="AV92" s="795"/>
      <c r="AW92" s="795"/>
      <c r="AX92" s="797"/>
      <c r="AY92" s="159"/>
    </row>
    <row r="93" spans="1:51" ht="49.5" customHeight="1" thickBot="1" x14ac:dyDescent="0.3">
      <c r="A93" s="912"/>
      <c r="B93" s="1155"/>
      <c r="C93" s="1127"/>
      <c r="D93" s="140" t="s">
        <v>45</v>
      </c>
      <c r="E93" s="142"/>
      <c r="F93" s="143"/>
      <c r="G93" s="144"/>
      <c r="H93" s="144">
        <f>+H92*$H$11/$H$10</f>
        <v>10544110.091743119</v>
      </c>
      <c r="I93" s="144" t="e">
        <f>+I92*$I$11/$I$10</f>
        <v>#REF!</v>
      </c>
      <c r="J93" s="138" t="e">
        <f>+J92*$J$11/$J$10</f>
        <v>#REF!</v>
      </c>
      <c r="K93" s="137"/>
      <c r="L93" s="138"/>
      <c r="M93" s="146"/>
      <c r="N93" s="138"/>
      <c r="O93" s="138">
        <f>+O89</f>
        <v>21930909.09090909</v>
      </c>
      <c r="P93" s="138" t="e">
        <f>+P92*$P$11/$P$10</f>
        <v>#REF!</v>
      </c>
      <c r="Q93" s="138" t="e">
        <f>+Q92*$Q$11/$Q$10</f>
        <v>#REF!</v>
      </c>
      <c r="R93" s="138" t="e">
        <f>+R92*$R$11/$R$10</f>
        <v>#REF!</v>
      </c>
      <c r="S93" s="139"/>
      <c r="T93" s="148"/>
      <c r="U93" s="144">
        <f>+U92*$U$11/$U$10</f>
        <v>47452307.692307696</v>
      </c>
      <c r="V93" s="155" t="e">
        <f>+V92*$V$11/$V$10</f>
        <v>#REF!</v>
      </c>
      <c r="W93" s="138" t="e">
        <f>+W92*$W$11/$W$10</f>
        <v>#REF!</v>
      </c>
      <c r="X93" s="139"/>
      <c r="Y93" s="139"/>
      <c r="Z93" s="139"/>
      <c r="AA93" s="137"/>
      <c r="AB93" s="137">
        <f>+AB89</f>
        <v>31812969.696969695</v>
      </c>
      <c r="AC93" s="137" t="e">
        <f>+AC92*$AC$11/$AC$10</f>
        <v>#REF!</v>
      </c>
      <c r="AD93" s="137" t="e">
        <f>+AD92*$AD$11/$AD$10</f>
        <v>#REF!</v>
      </c>
      <c r="AE93" s="137" t="e">
        <f>+AE92*$AE$11/$AE$10</f>
        <v>#REF!</v>
      </c>
      <c r="AF93" s="1144"/>
      <c r="AG93" s="773"/>
      <c r="AH93" s="776"/>
      <c r="AI93" s="776"/>
      <c r="AJ93" s="779"/>
      <c r="AK93" s="776"/>
      <c r="AL93" s="776"/>
      <c r="AM93" s="776"/>
      <c r="AN93" s="808"/>
      <c r="AO93" s="808"/>
      <c r="AP93" s="808"/>
      <c r="AQ93" s="806"/>
      <c r="AR93" s="806"/>
      <c r="AS93" s="806"/>
      <c r="AT93" s="806"/>
      <c r="AU93" s="795"/>
      <c r="AV93" s="795"/>
      <c r="AW93" s="795"/>
      <c r="AX93" s="798"/>
      <c r="AY93" s="159"/>
    </row>
    <row r="94" spans="1:51" ht="18" hidden="1" customHeight="1" x14ac:dyDescent="0.25">
      <c r="A94" s="912"/>
      <c r="B94" s="1155"/>
      <c r="C94" s="838" t="s">
        <v>383</v>
      </c>
      <c r="D94" s="141" t="s">
        <v>41</v>
      </c>
      <c r="E94" s="142"/>
      <c r="F94" s="143"/>
      <c r="G94" s="144"/>
      <c r="H94" s="144"/>
      <c r="I94" s="144"/>
      <c r="J94" s="138"/>
      <c r="K94" s="137"/>
      <c r="L94" s="138"/>
      <c r="M94" s="146"/>
      <c r="N94" s="138">
        <v>1</v>
      </c>
      <c r="O94" s="138">
        <v>1</v>
      </c>
      <c r="P94" s="138">
        <v>1</v>
      </c>
      <c r="Q94" s="138">
        <v>1</v>
      </c>
      <c r="R94" s="147">
        <v>1</v>
      </c>
      <c r="S94" s="139"/>
      <c r="T94" s="148"/>
      <c r="U94" s="148"/>
      <c r="V94" s="148"/>
      <c r="W94" s="146"/>
      <c r="X94" s="139"/>
      <c r="Y94" s="139"/>
      <c r="Z94" s="139"/>
      <c r="AA94" s="137">
        <v>1</v>
      </c>
      <c r="AB94" s="151">
        <v>1</v>
      </c>
      <c r="AC94" s="129">
        <v>1</v>
      </c>
      <c r="AD94" s="137">
        <v>1</v>
      </c>
      <c r="AE94" s="152">
        <v>1</v>
      </c>
      <c r="AF94" s="158"/>
      <c r="AG94" s="771" t="s">
        <v>383</v>
      </c>
      <c r="AH94" s="774" t="s">
        <v>384</v>
      </c>
      <c r="AI94" s="774" t="s">
        <v>384</v>
      </c>
      <c r="AJ94" s="774" t="s">
        <v>385</v>
      </c>
      <c r="AK94" s="774" t="s">
        <v>315</v>
      </c>
      <c r="AL94" s="774" t="s">
        <v>70</v>
      </c>
      <c r="AM94" s="774" t="s">
        <v>316</v>
      </c>
      <c r="AN94" s="807">
        <v>137026</v>
      </c>
      <c r="AO94" s="808">
        <v>64519</v>
      </c>
      <c r="AP94" s="808">
        <v>72507</v>
      </c>
      <c r="AQ94" s="806" t="s">
        <v>317</v>
      </c>
      <c r="AR94" s="806" t="s">
        <v>317</v>
      </c>
      <c r="AS94" s="806" t="s">
        <v>317</v>
      </c>
      <c r="AT94" s="806" t="s">
        <v>317</v>
      </c>
      <c r="AU94" s="795" t="s">
        <v>317</v>
      </c>
      <c r="AV94" s="795" t="s">
        <v>317</v>
      </c>
      <c r="AW94" s="795" t="s">
        <v>317</v>
      </c>
      <c r="AX94" s="796">
        <v>137026</v>
      </c>
      <c r="AY94" s="159"/>
    </row>
    <row r="95" spans="1:51" ht="18" hidden="1" customHeight="1" x14ac:dyDescent="0.25">
      <c r="A95" s="912"/>
      <c r="B95" s="1155"/>
      <c r="C95" s="838"/>
      <c r="D95" s="132" t="s">
        <v>3</v>
      </c>
      <c r="E95" s="142"/>
      <c r="F95" s="143"/>
      <c r="G95" s="144"/>
      <c r="H95" s="144"/>
      <c r="I95" s="144"/>
      <c r="J95" s="138"/>
      <c r="K95" s="137"/>
      <c r="L95" s="138"/>
      <c r="M95" s="146"/>
      <c r="N95" s="154">
        <f>+N94*$N$11/$N$10</f>
        <v>5482727.2727272725</v>
      </c>
      <c r="O95" s="138">
        <f>+O94*$O$11/$O$10</f>
        <v>5482727.2727272725</v>
      </c>
      <c r="P95" s="138" t="e">
        <f>+P94*$P$11/$P$10</f>
        <v>#REF!</v>
      </c>
      <c r="Q95" s="138" t="e">
        <f>+Q94*$Q$11/$Q$10</f>
        <v>#REF!</v>
      </c>
      <c r="R95" s="138" t="e">
        <f>+R94*$R$11/$R$10</f>
        <v>#REF!</v>
      </c>
      <c r="S95" s="139"/>
      <c r="T95" s="148"/>
      <c r="U95" s="148"/>
      <c r="V95" s="148"/>
      <c r="W95" s="146"/>
      <c r="X95" s="139"/>
      <c r="Y95" s="139"/>
      <c r="Z95" s="139"/>
      <c r="AA95" s="157">
        <f>+AA94*$AA$11/$AA$10</f>
        <v>11929863.636363637</v>
      </c>
      <c r="AB95" s="137">
        <f>+AB94*$AB$11/$AB$10</f>
        <v>7953242.4242424238</v>
      </c>
      <c r="AC95" s="129"/>
      <c r="AD95" s="137" t="e">
        <f>+AD94*$AD$11/$AD$10</f>
        <v>#REF!</v>
      </c>
      <c r="AE95" s="137" t="e">
        <f>+AE94*$AE$11/$AE$10</f>
        <v>#REF!</v>
      </c>
      <c r="AF95" s="158"/>
      <c r="AG95" s="772"/>
      <c r="AH95" s="775"/>
      <c r="AI95" s="775"/>
      <c r="AJ95" s="775"/>
      <c r="AK95" s="775"/>
      <c r="AL95" s="775"/>
      <c r="AM95" s="775"/>
      <c r="AN95" s="807"/>
      <c r="AO95" s="808"/>
      <c r="AP95" s="808"/>
      <c r="AQ95" s="806"/>
      <c r="AR95" s="806"/>
      <c r="AS95" s="806"/>
      <c r="AT95" s="806"/>
      <c r="AU95" s="795"/>
      <c r="AV95" s="795"/>
      <c r="AW95" s="795"/>
      <c r="AX95" s="797"/>
      <c r="AY95" s="159"/>
    </row>
    <row r="96" spans="1:51" ht="27" hidden="1" customHeight="1" x14ac:dyDescent="0.25">
      <c r="A96" s="912"/>
      <c r="B96" s="1155"/>
      <c r="C96" s="838"/>
      <c r="D96" s="136" t="s">
        <v>42</v>
      </c>
      <c r="E96" s="142"/>
      <c r="F96" s="143"/>
      <c r="G96" s="144"/>
      <c r="H96" s="144"/>
      <c r="I96" s="144"/>
      <c r="J96" s="138"/>
      <c r="K96" s="137"/>
      <c r="L96" s="138"/>
      <c r="M96" s="146"/>
      <c r="N96" s="138"/>
      <c r="O96" s="138"/>
      <c r="P96" s="138"/>
      <c r="Q96" s="138"/>
      <c r="R96" s="147"/>
      <c r="S96" s="139"/>
      <c r="T96" s="148"/>
      <c r="U96" s="148"/>
      <c r="V96" s="148"/>
      <c r="W96" s="146"/>
      <c r="X96" s="139"/>
      <c r="Y96" s="139"/>
      <c r="Z96" s="139"/>
      <c r="AA96" s="137"/>
      <c r="AB96" s="151"/>
      <c r="AC96" s="129"/>
      <c r="AD96" s="137"/>
      <c r="AE96" s="152"/>
      <c r="AF96" s="158"/>
      <c r="AG96" s="772"/>
      <c r="AH96" s="775"/>
      <c r="AI96" s="775"/>
      <c r="AJ96" s="775"/>
      <c r="AK96" s="775"/>
      <c r="AL96" s="775"/>
      <c r="AM96" s="775"/>
      <c r="AN96" s="807"/>
      <c r="AO96" s="808"/>
      <c r="AP96" s="808"/>
      <c r="AQ96" s="806"/>
      <c r="AR96" s="806"/>
      <c r="AS96" s="806"/>
      <c r="AT96" s="806"/>
      <c r="AU96" s="795"/>
      <c r="AV96" s="795"/>
      <c r="AW96" s="795"/>
      <c r="AX96" s="797"/>
      <c r="AY96" s="159"/>
    </row>
    <row r="97" spans="1:51" ht="27" hidden="1" customHeight="1" x14ac:dyDescent="0.25">
      <c r="A97" s="912"/>
      <c r="B97" s="1155"/>
      <c r="C97" s="838"/>
      <c r="D97" s="132" t="s">
        <v>4</v>
      </c>
      <c r="E97" s="142"/>
      <c r="F97" s="143"/>
      <c r="G97" s="144"/>
      <c r="H97" s="144"/>
      <c r="I97" s="144"/>
      <c r="J97" s="138"/>
      <c r="K97" s="137"/>
      <c r="L97" s="138"/>
      <c r="M97" s="146"/>
      <c r="N97" s="138"/>
      <c r="O97" s="138"/>
      <c r="P97" s="138"/>
      <c r="Q97" s="138"/>
      <c r="R97" s="147"/>
      <c r="S97" s="139"/>
      <c r="T97" s="148"/>
      <c r="U97" s="148"/>
      <c r="V97" s="148"/>
      <c r="W97" s="146"/>
      <c r="X97" s="139"/>
      <c r="Y97" s="139"/>
      <c r="Z97" s="139"/>
      <c r="AA97" s="137"/>
      <c r="AB97" s="151"/>
      <c r="AC97" s="129"/>
      <c r="AD97" s="137"/>
      <c r="AE97" s="152"/>
      <c r="AF97" s="158"/>
      <c r="AG97" s="772"/>
      <c r="AH97" s="775"/>
      <c r="AI97" s="775"/>
      <c r="AJ97" s="775"/>
      <c r="AK97" s="775"/>
      <c r="AL97" s="775"/>
      <c r="AM97" s="775"/>
      <c r="AN97" s="807"/>
      <c r="AO97" s="808"/>
      <c r="AP97" s="808"/>
      <c r="AQ97" s="806"/>
      <c r="AR97" s="806"/>
      <c r="AS97" s="806"/>
      <c r="AT97" s="806"/>
      <c r="AU97" s="795"/>
      <c r="AV97" s="795"/>
      <c r="AW97" s="795"/>
      <c r="AX97" s="797"/>
      <c r="AY97" s="159"/>
    </row>
    <row r="98" spans="1:51" ht="27" hidden="1" customHeight="1" x14ac:dyDescent="0.25">
      <c r="A98" s="912"/>
      <c r="B98" s="1155"/>
      <c r="C98" s="838"/>
      <c r="D98" s="136" t="s">
        <v>43</v>
      </c>
      <c r="E98" s="142"/>
      <c r="F98" s="143"/>
      <c r="G98" s="144"/>
      <c r="H98" s="144"/>
      <c r="I98" s="144"/>
      <c r="J98" s="138"/>
      <c r="K98" s="137"/>
      <c r="L98" s="138"/>
      <c r="M98" s="146"/>
      <c r="N98" s="138"/>
      <c r="O98" s="138">
        <f>+O94</f>
        <v>1</v>
      </c>
      <c r="P98" s="138">
        <v>1</v>
      </c>
      <c r="Q98" s="138">
        <v>1</v>
      </c>
      <c r="R98" s="147">
        <v>1</v>
      </c>
      <c r="S98" s="139"/>
      <c r="T98" s="148"/>
      <c r="U98" s="148"/>
      <c r="V98" s="148"/>
      <c r="W98" s="146"/>
      <c r="X98" s="139"/>
      <c r="Y98" s="139"/>
      <c r="Z98" s="139"/>
      <c r="AA98" s="137"/>
      <c r="AB98" s="137">
        <f>+AB94</f>
        <v>1</v>
      </c>
      <c r="AC98" s="129">
        <v>1</v>
      </c>
      <c r="AD98" s="137">
        <v>1</v>
      </c>
      <c r="AE98" s="152">
        <v>1</v>
      </c>
      <c r="AF98" s="158"/>
      <c r="AG98" s="772"/>
      <c r="AH98" s="775"/>
      <c r="AI98" s="775"/>
      <c r="AJ98" s="775"/>
      <c r="AK98" s="775"/>
      <c r="AL98" s="775"/>
      <c r="AM98" s="775"/>
      <c r="AN98" s="807"/>
      <c r="AO98" s="808"/>
      <c r="AP98" s="808"/>
      <c r="AQ98" s="806"/>
      <c r="AR98" s="806"/>
      <c r="AS98" s="806"/>
      <c r="AT98" s="806"/>
      <c r="AU98" s="795"/>
      <c r="AV98" s="795"/>
      <c r="AW98" s="795"/>
      <c r="AX98" s="797"/>
      <c r="AY98" s="159"/>
    </row>
    <row r="99" spans="1:51" ht="27.75" hidden="1" customHeight="1" thickBot="1" x14ac:dyDescent="0.3">
      <c r="A99" s="912"/>
      <c r="B99" s="1155"/>
      <c r="C99" s="838"/>
      <c r="D99" s="140" t="s">
        <v>45</v>
      </c>
      <c r="E99" s="142"/>
      <c r="F99" s="143"/>
      <c r="G99" s="144"/>
      <c r="H99" s="144"/>
      <c r="I99" s="144"/>
      <c r="J99" s="138"/>
      <c r="K99" s="137"/>
      <c r="L99" s="138"/>
      <c r="M99" s="146"/>
      <c r="N99" s="138"/>
      <c r="O99" s="138">
        <f>+O95</f>
        <v>5482727.2727272725</v>
      </c>
      <c r="P99" s="138" t="e">
        <f>+P98*$P$11/$P$10</f>
        <v>#REF!</v>
      </c>
      <c r="Q99" s="138" t="e">
        <f>+Q98*$Q$11/$Q$10</f>
        <v>#REF!</v>
      </c>
      <c r="R99" s="138" t="e">
        <f>+R98*$R$11/$R$10</f>
        <v>#REF!</v>
      </c>
      <c r="S99" s="139"/>
      <c r="T99" s="148"/>
      <c r="U99" s="148"/>
      <c r="V99" s="148"/>
      <c r="W99" s="146"/>
      <c r="X99" s="139"/>
      <c r="Y99" s="139"/>
      <c r="Z99" s="139"/>
      <c r="AA99" s="137"/>
      <c r="AB99" s="137">
        <f>+AB95</f>
        <v>7953242.4242424238</v>
      </c>
      <c r="AC99" s="137" t="e">
        <f>+AC98*$AC$11/$AC$10</f>
        <v>#REF!</v>
      </c>
      <c r="AD99" s="137" t="e">
        <f>+AD98*$AD$11/$AD$10</f>
        <v>#REF!</v>
      </c>
      <c r="AE99" s="137" t="e">
        <f>+AE98*$AE$11/$AE$10</f>
        <v>#REF!</v>
      </c>
      <c r="AF99" s="158"/>
      <c r="AG99" s="773"/>
      <c r="AH99" s="776"/>
      <c r="AI99" s="776"/>
      <c r="AJ99" s="776"/>
      <c r="AK99" s="776"/>
      <c r="AL99" s="776"/>
      <c r="AM99" s="776"/>
      <c r="AN99" s="807"/>
      <c r="AO99" s="808"/>
      <c r="AP99" s="808"/>
      <c r="AQ99" s="806"/>
      <c r="AR99" s="806"/>
      <c r="AS99" s="806"/>
      <c r="AT99" s="806"/>
      <c r="AU99" s="795"/>
      <c r="AV99" s="795"/>
      <c r="AW99" s="795"/>
      <c r="AX99" s="798"/>
      <c r="AY99" s="159"/>
    </row>
    <row r="100" spans="1:51" ht="18" hidden="1" customHeight="1" x14ac:dyDescent="0.25">
      <c r="A100" s="912"/>
      <c r="B100" s="1155"/>
      <c r="C100" s="838" t="s">
        <v>386</v>
      </c>
      <c r="D100" s="141" t="s">
        <v>41</v>
      </c>
      <c r="E100" s="142"/>
      <c r="F100" s="143"/>
      <c r="G100" s="144"/>
      <c r="H100" s="144"/>
      <c r="I100" s="144"/>
      <c r="J100" s="138"/>
      <c r="K100" s="137"/>
      <c r="L100" s="138"/>
      <c r="M100" s="146"/>
      <c r="N100" s="138"/>
      <c r="O100" s="138"/>
      <c r="P100" s="138"/>
      <c r="Q100" s="138">
        <v>1</v>
      </c>
      <c r="R100" s="147">
        <v>2</v>
      </c>
      <c r="S100" s="139"/>
      <c r="T100" s="148"/>
      <c r="U100" s="148"/>
      <c r="V100" s="148"/>
      <c r="W100" s="146"/>
      <c r="X100" s="139"/>
      <c r="Y100" s="139"/>
      <c r="Z100" s="139"/>
      <c r="AA100" s="137"/>
      <c r="AB100" s="151"/>
      <c r="AC100" s="129"/>
      <c r="AD100" s="137">
        <v>1</v>
      </c>
      <c r="AE100" s="152">
        <v>2</v>
      </c>
      <c r="AF100" s="158"/>
      <c r="AG100" s="771" t="s">
        <v>386</v>
      </c>
      <c r="AH100" s="774" t="s">
        <v>387</v>
      </c>
      <c r="AI100" s="774" t="s">
        <v>388</v>
      </c>
      <c r="AJ100" s="777" t="s">
        <v>333</v>
      </c>
      <c r="AK100" s="774" t="s">
        <v>315</v>
      </c>
      <c r="AL100" s="774" t="s">
        <v>70</v>
      </c>
      <c r="AM100" s="774" t="s">
        <v>316</v>
      </c>
      <c r="AN100" s="807">
        <v>140135</v>
      </c>
      <c r="AO100" s="808">
        <v>70844</v>
      </c>
      <c r="AP100" s="808">
        <v>80573</v>
      </c>
      <c r="AQ100" s="806" t="s">
        <v>317</v>
      </c>
      <c r="AR100" s="806" t="s">
        <v>317</v>
      </c>
      <c r="AS100" s="806" t="s">
        <v>317</v>
      </c>
      <c r="AT100" s="806" t="s">
        <v>317</v>
      </c>
      <c r="AU100" s="795" t="s">
        <v>317</v>
      </c>
      <c r="AV100" s="795" t="s">
        <v>317</v>
      </c>
      <c r="AW100" s="795" t="s">
        <v>317</v>
      </c>
      <c r="AX100" s="796">
        <v>140135</v>
      </c>
      <c r="AY100" s="159"/>
    </row>
    <row r="101" spans="1:51" ht="18.75" hidden="1" customHeight="1" x14ac:dyDescent="0.25">
      <c r="A101" s="912"/>
      <c r="B101" s="1155"/>
      <c r="C101" s="838"/>
      <c r="D101" s="132" t="s">
        <v>3</v>
      </c>
      <c r="E101" s="142"/>
      <c r="F101" s="143"/>
      <c r="G101" s="144"/>
      <c r="H101" s="144"/>
      <c r="I101" s="144"/>
      <c r="J101" s="138"/>
      <c r="K101" s="137"/>
      <c r="L101" s="138"/>
      <c r="M101" s="146"/>
      <c r="N101" s="138"/>
      <c r="O101" s="138"/>
      <c r="P101" s="138"/>
      <c r="Q101" s="138" t="e">
        <f>+Q100*$Q$11/$Q$10</f>
        <v>#REF!</v>
      </c>
      <c r="R101" s="138" t="e">
        <f>+R100*$R$11/$R$10</f>
        <v>#REF!</v>
      </c>
      <c r="S101" s="139"/>
      <c r="T101" s="148"/>
      <c r="U101" s="148"/>
      <c r="V101" s="148"/>
      <c r="W101" s="146"/>
      <c r="X101" s="139"/>
      <c r="Y101" s="139"/>
      <c r="Z101" s="139"/>
      <c r="AA101" s="137"/>
      <c r="AB101" s="151"/>
      <c r="AC101" s="129"/>
      <c r="AD101" s="137" t="e">
        <f>+AD100*$AD$11/$AD$10</f>
        <v>#REF!</v>
      </c>
      <c r="AE101" s="137" t="e">
        <f>+AE100*$AE$11/$AE$10</f>
        <v>#REF!</v>
      </c>
      <c r="AF101" s="158"/>
      <c r="AG101" s="772"/>
      <c r="AH101" s="775"/>
      <c r="AI101" s="775"/>
      <c r="AJ101" s="778"/>
      <c r="AK101" s="775"/>
      <c r="AL101" s="775"/>
      <c r="AM101" s="775"/>
      <c r="AN101" s="807"/>
      <c r="AO101" s="808"/>
      <c r="AP101" s="808"/>
      <c r="AQ101" s="806"/>
      <c r="AR101" s="806"/>
      <c r="AS101" s="806"/>
      <c r="AT101" s="806"/>
      <c r="AU101" s="795"/>
      <c r="AV101" s="795"/>
      <c r="AW101" s="795"/>
      <c r="AX101" s="797"/>
      <c r="AY101" s="159"/>
    </row>
    <row r="102" spans="1:51" ht="27.75" hidden="1" customHeight="1" x14ac:dyDescent="0.25">
      <c r="A102" s="912"/>
      <c r="B102" s="1155"/>
      <c r="C102" s="838"/>
      <c r="D102" s="136" t="s">
        <v>42</v>
      </c>
      <c r="E102" s="142"/>
      <c r="F102" s="143"/>
      <c r="G102" s="144"/>
      <c r="H102" s="144"/>
      <c r="I102" s="144"/>
      <c r="J102" s="138"/>
      <c r="K102" s="137"/>
      <c r="L102" s="138"/>
      <c r="M102" s="146"/>
      <c r="N102" s="138"/>
      <c r="O102" s="138"/>
      <c r="P102" s="138"/>
      <c r="Q102" s="138"/>
      <c r="R102" s="147"/>
      <c r="S102" s="139"/>
      <c r="T102" s="148"/>
      <c r="U102" s="148"/>
      <c r="V102" s="148"/>
      <c r="W102" s="146"/>
      <c r="X102" s="139"/>
      <c r="Y102" s="139"/>
      <c r="Z102" s="139"/>
      <c r="AA102" s="137"/>
      <c r="AB102" s="151"/>
      <c r="AC102" s="129"/>
      <c r="AD102" s="137"/>
      <c r="AE102" s="152"/>
      <c r="AF102" s="158"/>
      <c r="AG102" s="772"/>
      <c r="AH102" s="775"/>
      <c r="AI102" s="775"/>
      <c r="AJ102" s="778"/>
      <c r="AK102" s="775"/>
      <c r="AL102" s="775"/>
      <c r="AM102" s="775"/>
      <c r="AN102" s="807"/>
      <c r="AO102" s="808"/>
      <c r="AP102" s="808"/>
      <c r="AQ102" s="806"/>
      <c r="AR102" s="806"/>
      <c r="AS102" s="806"/>
      <c r="AT102" s="806"/>
      <c r="AU102" s="795"/>
      <c r="AV102" s="795"/>
      <c r="AW102" s="795"/>
      <c r="AX102" s="797"/>
      <c r="AY102" s="159"/>
    </row>
    <row r="103" spans="1:51" ht="27.75" hidden="1" customHeight="1" x14ac:dyDescent="0.25">
      <c r="A103" s="912"/>
      <c r="B103" s="1155"/>
      <c r="C103" s="838"/>
      <c r="D103" s="132" t="s">
        <v>4</v>
      </c>
      <c r="E103" s="142"/>
      <c r="F103" s="143"/>
      <c r="G103" s="144"/>
      <c r="H103" s="144"/>
      <c r="I103" s="144"/>
      <c r="J103" s="138"/>
      <c r="K103" s="137"/>
      <c r="L103" s="138"/>
      <c r="M103" s="146"/>
      <c r="N103" s="138"/>
      <c r="O103" s="138"/>
      <c r="P103" s="138"/>
      <c r="Q103" s="138"/>
      <c r="R103" s="147"/>
      <c r="S103" s="139"/>
      <c r="T103" s="148"/>
      <c r="U103" s="148"/>
      <c r="V103" s="148"/>
      <c r="W103" s="146"/>
      <c r="X103" s="139"/>
      <c r="Y103" s="139"/>
      <c r="Z103" s="139"/>
      <c r="AA103" s="137"/>
      <c r="AB103" s="151"/>
      <c r="AC103" s="129"/>
      <c r="AD103" s="137"/>
      <c r="AE103" s="152"/>
      <c r="AF103" s="158"/>
      <c r="AG103" s="772"/>
      <c r="AH103" s="775"/>
      <c r="AI103" s="775"/>
      <c r="AJ103" s="778"/>
      <c r="AK103" s="775"/>
      <c r="AL103" s="775"/>
      <c r="AM103" s="775"/>
      <c r="AN103" s="807"/>
      <c r="AO103" s="808"/>
      <c r="AP103" s="808"/>
      <c r="AQ103" s="806"/>
      <c r="AR103" s="806"/>
      <c r="AS103" s="806"/>
      <c r="AT103" s="806"/>
      <c r="AU103" s="795"/>
      <c r="AV103" s="795"/>
      <c r="AW103" s="795"/>
      <c r="AX103" s="797"/>
      <c r="AY103" s="159"/>
    </row>
    <row r="104" spans="1:51" ht="27.75" hidden="1" customHeight="1" x14ac:dyDescent="0.25">
      <c r="A104" s="912"/>
      <c r="B104" s="1155"/>
      <c r="C104" s="838"/>
      <c r="D104" s="136" t="s">
        <v>43</v>
      </c>
      <c r="E104" s="142"/>
      <c r="F104" s="143"/>
      <c r="G104" s="144"/>
      <c r="H104" s="144"/>
      <c r="I104" s="144"/>
      <c r="J104" s="138"/>
      <c r="K104" s="137"/>
      <c r="L104" s="138"/>
      <c r="M104" s="146"/>
      <c r="N104" s="138"/>
      <c r="O104" s="138">
        <f>+O100</f>
        <v>0</v>
      </c>
      <c r="P104" s="138"/>
      <c r="Q104" s="138">
        <v>1</v>
      </c>
      <c r="R104" s="147">
        <v>2</v>
      </c>
      <c r="S104" s="139"/>
      <c r="T104" s="148"/>
      <c r="U104" s="148"/>
      <c r="V104" s="148"/>
      <c r="W104" s="146"/>
      <c r="X104" s="139"/>
      <c r="Y104" s="139"/>
      <c r="Z104" s="139"/>
      <c r="AA104" s="137"/>
      <c r="AB104" s="151"/>
      <c r="AC104" s="129"/>
      <c r="AD104" s="137">
        <v>1</v>
      </c>
      <c r="AE104" s="152">
        <v>2</v>
      </c>
      <c r="AF104" s="158"/>
      <c r="AG104" s="772"/>
      <c r="AH104" s="775"/>
      <c r="AI104" s="775"/>
      <c r="AJ104" s="778"/>
      <c r="AK104" s="775"/>
      <c r="AL104" s="775"/>
      <c r="AM104" s="775"/>
      <c r="AN104" s="807"/>
      <c r="AO104" s="808"/>
      <c r="AP104" s="808"/>
      <c r="AQ104" s="806"/>
      <c r="AR104" s="806"/>
      <c r="AS104" s="806"/>
      <c r="AT104" s="806"/>
      <c r="AU104" s="795"/>
      <c r="AV104" s="795"/>
      <c r="AW104" s="795"/>
      <c r="AX104" s="797"/>
      <c r="AY104" s="159"/>
    </row>
    <row r="105" spans="1:51" ht="27.75" hidden="1" customHeight="1" thickBot="1" x14ac:dyDescent="0.3">
      <c r="A105" s="912"/>
      <c r="B105" s="1155"/>
      <c r="C105" s="838"/>
      <c r="D105" s="140" t="s">
        <v>45</v>
      </c>
      <c r="E105" s="142"/>
      <c r="F105" s="143"/>
      <c r="G105" s="144"/>
      <c r="H105" s="144"/>
      <c r="I105" s="144"/>
      <c r="J105" s="138"/>
      <c r="K105" s="137"/>
      <c r="L105" s="138"/>
      <c r="M105" s="146"/>
      <c r="N105" s="138"/>
      <c r="O105" s="138">
        <f>+O101</f>
        <v>0</v>
      </c>
      <c r="P105" s="138"/>
      <c r="Q105" s="138" t="e">
        <f>+Q104*$Q$11/$Q$10</f>
        <v>#REF!</v>
      </c>
      <c r="R105" s="138" t="e">
        <f>+R104*$R$11/$R$10</f>
        <v>#REF!</v>
      </c>
      <c r="S105" s="139"/>
      <c r="T105" s="148"/>
      <c r="U105" s="148"/>
      <c r="V105" s="148"/>
      <c r="W105" s="146"/>
      <c r="X105" s="139"/>
      <c r="Y105" s="139"/>
      <c r="Z105" s="139"/>
      <c r="AA105" s="137"/>
      <c r="AB105" s="151"/>
      <c r="AC105" s="129"/>
      <c r="AD105" s="137" t="e">
        <f>+AD104*$AD$11/$AD$10</f>
        <v>#REF!</v>
      </c>
      <c r="AE105" s="137" t="e">
        <f>+AE104*$AE$11/$AE$10</f>
        <v>#REF!</v>
      </c>
      <c r="AF105" s="158"/>
      <c r="AG105" s="773"/>
      <c r="AH105" s="776"/>
      <c r="AI105" s="776"/>
      <c r="AJ105" s="779"/>
      <c r="AK105" s="776"/>
      <c r="AL105" s="776"/>
      <c r="AM105" s="776"/>
      <c r="AN105" s="807"/>
      <c r="AO105" s="808"/>
      <c r="AP105" s="808"/>
      <c r="AQ105" s="806"/>
      <c r="AR105" s="806"/>
      <c r="AS105" s="806"/>
      <c r="AT105" s="806"/>
      <c r="AU105" s="795"/>
      <c r="AV105" s="795"/>
      <c r="AW105" s="795"/>
      <c r="AX105" s="798"/>
      <c r="AY105" s="159"/>
    </row>
    <row r="106" spans="1:51" ht="18" hidden="1" customHeight="1" x14ac:dyDescent="0.25">
      <c r="A106" s="912"/>
      <c r="B106" s="1155"/>
      <c r="C106" s="838" t="s">
        <v>389</v>
      </c>
      <c r="D106" s="141" t="s">
        <v>41</v>
      </c>
      <c r="E106" s="142"/>
      <c r="F106" s="143"/>
      <c r="G106" s="144"/>
      <c r="H106" s="144"/>
      <c r="I106" s="144"/>
      <c r="J106" s="138"/>
      <c r="K106" s="137"/>
      <c r="L106" s="138"/>
      <c r="M106" s="146"/>
      <c r="N106" s="138">
        <v>1</v>
      </c>
      <c r="O106" s="138">
        <v>1</v>
      </c>
      <c r="P106" s="138">
        <v>1</v>
      </c>
      <c r="Q106" s="138">
        <v>1</v>
      </c>
      <c r="R106" s="147">
        <v>1</v>
      </c>
      <c r="S106" s="139"/>
      <c r="T106" s="148"/>
      <c r="U106" s="148"/>
      <c r="V106" s="148"/>
      <c r="W106" s="146"/>
      <c r="X106" s="139"/>
      <c r="Y106" s="139"/>
      <c r="Z106" s="139"/>
      <c r="AA106" s="137">
        <v>1</v>
      </c>
      <c r="AB106" s="151">
        <v>1</v>
      </c>
      <c r="AC106" s="129">
        <v>1</v>
      </c>
      <c r="AD106" s="137">
        <v>1</v>
      </c>
      <c r="AE106" s="152">
        <v>1</v>
      </c>
      <c r="AF106" s="158"/>
      <c r="AG106" s="771" t="s">
        <v>389</v>
      </c>
      <c r="AH106" s="774" t="s">
        <v>384</v>
      </c>
      <c r="AI106" s="774" t="s">
        <v>384</v>
      </c>
      <c r="AJ106" s="774" t="s">
        <v>385</v>
      </c>
      <c r="AK106" s="774" t="s">
        <v>315</v>
      </c>
      <c r="AL106" s="774" t="s">
        <v>70</v>
      </c>
      <c r="AM106" s="774" t="s">
        <v>316</v>
      </c>
      <c r="AN106" s="807">
        <v>75776</v>
      </c>
      <c r="AO106" s="808">
        <v>37102</v>
      </c>
      <c r="AP106" s="808">
        <v>38674</v>
      </c>
      <c r="AQ106" s="806" t="s">
        <v>317</v>
      </c>
      <c r="AR106" s="806" t="s">
        <v>317</v>
      </c>
      <c r="AS106" s="806" t="s">
        <v>317</v>
      </c>
      <c r="AT106" s="806" t="s">
        <v>317</v>
      </c>
      <c r="AU106" s="795" t="s">
        <v>317</v>
      </c>
      <c r="AV106" s="795" t="s">
        <v>317</v>
      </c>
      <c r="AW106" s="795" t="s">
        <v>317</v>
      </c>
      <c r="AX106" s="796">
        <v>75776</v>
      </c>
      <c r="AY106" s="159"/>
    </row>
    <row r="107" spans="1:51" ht="18" hidden="1" customHeight="1" x14ac:dyDescent="0.25">
      <c r="A107" s="912"/>
      <c r="B107" s="1155"/>
      <c r="C107" s="838"/>
      <c r="D107" s="132" t="s">
        <v>3</v>
      </c>
      <c r="E107" s="142"/>
      <c r="F107" s="143"/>
      <c r="G107" s="144"/>
      <c r="H107" s="144"/>
      <c r="I107" s="144"/>
      <c r="J107" s="138"/>
      <c r="K107" s="137"/>
      <c r="L107" s="138"/>
      <c r="M107" s="146"/>
      <c r="N107" s="154">
        <f>+N106*$N$11/$N$10</f>
        <v>5482727.2727272725</v>
      </c>
      <c r="O107" s="138">
        <f>+O106*$O$11/$O$10</f>
        <v>5482727.2727272725</v>
      </c>
      <c r="P107" s="138" t="e">
        <f>+P106*$P$11/$P$10</f>
        <v>#REF!</v>
      </c>
      <c r="Q107" s="138" t="e">
        <f>+Q106*$Q$11/$Q$10</f>
        <v>#REF!</v>
      </c>
      <c r="R107" s="138" t="e">
        <f>+R106*$R$11/$R$10</f>
        <v>#REF!</v>
      </c>
      <c r="S107" s="139"/>
      <c r="T107" s="148"/>
      <c r="U107" s="148"/>
      <c r="V107" s="148"/>
      <c r="W107" s="146"/>
      <c r="X107" s="139"/>
      <c r="Y107" s="139"/>
      <c r="Z107" s="139"/>
      <c r="AA107" s="157">
        <f>+AA106*$AA$11/$AA$10</f>
        <v>11929863.636363637</v>
      </c>
      <c r="AB107" s="137">
        <f>+AB106*$AB$11/$AB$10</f>
        <v>7953242.4242424238</v>
      </c>
      <c r="AC107" s="137" t="e">
        <f>+AC106*$AC$11/$AC$10</f>
        <v>#REF!</v>
      </c>
      <c r="AD107" s="137" t="e">
        <f>+AD106*$AD$11/$AD$10</f>
        <v>#REF!</v>
      </c>
      <c r="AE107" s="137" t="e">
        <f>+AE106*$AE$11/$AE$10</f>
        <v>#REF!</v>
      </c>
      <c r="AF107" s="158"/>
      <c r="AG107" s="772"/>
      <c r="AH107" s="775"/>
      <c r="AI107" s="775"/>
      <c r="AJ107" s="775"/>
      <c r="AK107" s="775"/>
      <c r="AL107" s="775"/>
      <c r="AM107" s="775"/>
      <c r="AN107" s="807"/>
      <c r="AO107" s="808"/>
      <c r="AP107" s="808"/>
      <c r="AQ107" s="806"/>
      <c r="AR107" s="806"/>
      <c r="AS107" s="806"/>
      <c r="AT107" s="806"/>
      <c r="AU107" s="795"/>
      <c r="AV107" s="795"/>
      <c r="AW107" s="795"/>
      <c r="AX107" s="797"/>
      <c r="AY107" s="159"/>
    </row>
    <row r="108" spans="1:51" ht="27" hidden="1" customHeight="1" x14ac:dyDescent="0.25">
      <c r="A108" s="912"/>
      <c r="B108" s="1155"/>
      <c r="C108" s="838"/>
      <c r="D108" s="136" t="s">
        <v>42</v>
      </c>
      <c r="E108" s="142"/>
      <c r="F108" s="143"/>
      <c r="G108" s="144"/>
      <c r="H108" s="144"/>
      <c r="I108" s="144"/>
      <c r="J108" s="138"/>
      <c r="K108" s="137"/>
      <c r="L108" s="138"/>
      <c r="M108" s="146"/>
      <c r="N108" s="138"/>
      <c r="O108" s="138"/>
      <c r="P108" s="138"/>
      <c r="Q108" s="138"/>
      <c r="R108" s="147"/>
      <c r="S108" s="139"/>
      <c r="T108" s="148"/>
      <c r="U108" s="148"/>
      <c r="V108" s="148"/>
      <c r="W108" s="146"/>
      <c r="X108" s="139"/>
      <c r="Y108" s="139"/>
      <c r="Z108" s="139"/>
      <c r="AA108" s="137"/>
      <c r="AB108" s="151"/>
      <c r="AC108" s="129"/>
      <c r="AD108" s="137"/>
      <c r="AE108" s="152"/>
      <c r="AF108" s="158"/>
      <c r="AG108" s="772"/>
      <c r="AH108" s="775"/>
      <c r="AI108" s="775"/>
      <c r="AJ108" s="775"/>
      <c r="AK108" s="775"/>
      <c r="AL108" s="775"/>
      <c r="AM108" s="775"/>
      <c r="AN108" s="807"/>
      <c r="AO108" s="808"/>
      <c r="AP108" s="808"/>
      <c r="AQ108" s="806"/>
      <c r="AR108" s="806"/>
      <c r="AS108" s="806"/>
      <c r="AT108" s="806"/>
      <c r="AU108" s="795"/>
      <c r="AV108" s="795"/>
      <c r="AW108" s="795"/>
      <c r="AX108" s="797"/>
      <c r="AY108" s="159"/>
    </row>
    <row r="109" spans="1:51" ht="27" hidden="1" customHeight="1" x14ac:dyDescent="0.25">
      <c r="A109" s="912"/>
      <c r="B109" s="1155"/>
      <c r="C109" s="838"/>
      <c r="D109" s="132" t="s">
        <v>4</v>
      </c>
      <c r="E109" s="142"/>
      <c r="F109" s="143"/>
      <c r="G109" s="144"/>
      <c r="H109" s="144"/>
      <c r="I109" s="144"/>
      <c r="J109" s="138"/>
      <c r="K109" s="137"/>
      <c r="L109" s="138"/>
      <c r="M109" s="146"/>
      <c r="N109" s="138"/>
      <c r="O109" s="138"/>
      <c r="P109" s="138"/>
      <c r="Q109" s="138"/>
      <c r="R109" s="147"/>
      <c r="S109" s="139"/>
      <c r="T109" s="148"/>
      <c r="U109" s="148"/>
      <c r="V109" s="148"/>
      <c r="W109" s="146"/>
      <c r="X109" s="139"/>
      <c r="Y109" s="139"/>
      <c r="Z109" s="139"/>
      <c r="AA109" s="137"/>
      <c r="AB109" s="151"/>
      <c r="AC109" s="129"/>
      <c r="AD109" s="137"/>
      <c r="AE109" s="152"/>
      <c r="AF109" s="158"/>
      <c r="AG109" s="772"/>
      <c r="AH109" s="775"/>
      <c r="AI109" s="775"/>
      <c r="AJ109" s="775"/>
      <c r="AK109" s="775"/>
      <c r="AL109" s="775"/>
      <c r="AM109" s="775"/>
      <c r="AN109" s="807"/>
      <c r="AO109" s="808"/>
      <c r="AP109" s="808"/>
      <c r="AQ109" s="806"/>
      <c r="AR109" s="806"/>
      <c r="AS109" s="806"/>
      <c r="AT109" s="806"/>
      <c r="AU109" s="795"/>
      <c r="AV109" s="795"/>
      <c r="AW109" s="795"/>
      <c r="AX109" s="797"/>
      <c r="AY109" s="159"/>
    </row>
    <row r="110" spans="1:51" ht="27" hidden="1" customHeight="1" x14ac:dyDescent="0.25">
      <c r="A110" s="912"/>
      <c r="B110" s="1155"/>
      <c r="C110" s="838"/>
      <c r="D110" s="136" t="s">
        <v>43</v>
      </c>
      <c r="E110" s="142"/>
      <c r="F110" s="143"/>
      <c r="G110" s="144"/>
      <c r="H110" s="144"/>
      <c r="I110" s="144"/>
      <c r="J110" s="138"/>
      <c r="K110" s="137"/>
      <c r="L110" s="138"/>
      <c r="M110" s="146"/>
      <c r="N110" s="138"/>
      <c r="O110" s="138">
        <f>+O106</f>
        <v>1</v>
      </c>
      <c r="P110" s="138">
        <v>1</v>
      </c>
      <c r="Q110" s="138">
        <v>1</v>
      </c>
      <c r="R110" s="147">
        <v>1</v>
      </c>
      <c r="S110" s="139"/>
      <c r="T110" s="148"/>
      <c r="U110" s="148"/>
      <c r="V110" s="148"/>
      <c r="W110" s="146"/>
      <c r="X110" s="139"/>
      <c r="Y110" s="139"/>
      <c r="Z110" s="139"/>
      <c r="AA110" s="137"/>
      <c r="AB110" s="137">
        <f>+AB106</f>
        <v>1</v>
      </c>
      <c r="AC110" s="129">
        <v>1</v>
      </c>
      <c r="AD110" s="137">
        <v>1</v>
      </c>
      <c r="AE110" s="152">
        <v>1</v>
      </c>
      <c r="AF110" s="158"/>
      <c r="AG110" s="772"/>
      <c r="AH110" s="775"/>
      <c r="AI110" s="775"/>
      <c r="AJ110" s="775"/>
      <c r="AK110" s="775"/>
      <c r="AL110" s="775"/>
      <c r="AM110" s="775"/>
      <c r="AN110" s="807"/>
      <c r="AO110" s="808"/>
      <c r="AP110" s="808"/>
      <c r="AQ110" s="806"/>
      <c r="AR110" s="806"/>
      <c r="AS110" s="806"/>
      <c r="AT110" s="806"/>
      <c r="AU110" s="795"/>
      <c r="AV110" s="795"/>
      <c r="AW110" s="795"/>
      <c r="AX110" s="797"/>
      <c r="AY110" s="159"/>
    </row>
    <row r="111" spans="1:51" ht="27.75" hidden="1" customHeight="1" thickBot="1" x14ac:dyDescent="0.3">
      <c r="A111" s="912"/>
      <c r="B111" s="1155"/>
      <c r="C111" s="838"/>
      <c r="D111" s="140" t="s">
        <v>45</v>
      </c>
      <c r="E111" s="142"/>
      <c r="F111" s="143"/>
      <c r="G111" s="144"/>
      <c r="H111" s="144"/>
      <c r="I111" s="144"/>
      <c r="J111" s="138"/>
      <c r="K111" s="137"/>
      <c r="L111" s="138"/>
      <c r="M111" s="146"/>
      <c r="N111" s="138"/>
      <c r="O111" s="138">
        <f>+O107</f>
        <v>5482727.2727272725</v>
      </c>
      <c r="P111" s="138" t="e">
        <f>+P110*$P$11/$P$10</f>
        <v>#REF!</v>
      </c>
      <c r="Q111" s="138" t="e">
        <f>+Q110*$Q$11/$Q$10</f>
        <v>#REF!</v>
      </c>
      <c r="R111" s="138" t="e">
        <f>+R110*$R$11/$R$10</f>
        <v>#REF!</v>
      </c>
      <c r="S111" s="139"/>
      <c r="T111" s="148"/>
      <c r="U111" s="148"/>
      <c r="V111" s="148"/>
      <c r="W111" s="146"/>
      <c r="X111" s="139"/>
      <c r="Y111" s="139"/>
      <c r="Z111" s="139"/>
      <c r="AA111" s="137"/>
      <c r="AB111" s="137">
        <f>+AB107</f>
        <v>7953242.4242424238</v>
      </c>
      <c r="AC111" s="137" t="e">
        <f>+AC110*$AC$11/$AC$10</f>
        <v>#REF!</v>
      </c>
      <c r="AD111" s="137" t="e">
        <f>+AD110*$AD$11/$AD$10</f>
        <v>#REF!</v>
      </c>
      <c r="AE111" s="137" t="e">
        <f>+AE110*$AE$11/$AE$10</f>
        <v>#REF!</v>
      </c>
      <c r="AF111" s="158"/>
      <c r="AG111" s="773"/>
      <c r="AH111" s="776"/>
      <c r="AI111" s="776"/>
      <c r="AJ111" s="776"/>
      <c r="AK111" s="776"/>
      <c r="AL111" s="776"/>
      <c r="AM111" s="776"/>
      <c r="AN111" s="807"/>
      <c r="AO111" s="808"/>
      <c r="AP111" s="808"/>
      <c r="AQ111" s="806"/>
      <c r="AR111" s="806"/>
      <c r="AS111" s="806"/>
      <c r="AT111" s="806"/>
      <c r="AU111" s="795"/>
      <c r="AV111" s="795"/>
      <c r="AW111" s="795"/>
      <c r="AX111" s="798"/>
      <c r="AY111" s="159"/>
    </row>
    <row r="112" spans="1:51" ht="18" customHeight="1" x14ac:dyDescent="0.25">
      <c r="A112" s="912"/>
      <c r="B112" s="1155"/>
      <c r="C112" s="838" t="s">
        <v>390</v>
      </c>
      <c r="D112" s="141" t="s">
        <v>41</v>
      </c>
      <c r="E112" s="142"/>
      <c r="F112" s="143"/>
      <c r="G112" s="144"/>
      <c r="H112" s="144">
        <v>1</v>
      </c>
      <c r="I112" s="144">
        <v>1</v>
      </c>
      <c r="J112" s="138">
        <v>1</v>
      </c>
      <c r="K112" s="145">
        <v>1</v>
      </c>
      <c r="L112" s="138"/>
      <c r="M112" s="146"/>
      <c r="N112" s="138"/>
      <c r="O112" s="138"/>
      <c r="P112" s="138"/>
      <c r="Q112" s="138">
        <v>1</v>
      </c>
      <c r="R112" s="147">
        <v>1</v>
      </c>
      <c r="S112" s="139"/>
      <c r="T112" s="148"/>
      <c r="U112" s="148">
        <v>1</v>
      </c>
      <c r="V112" s="148">
        <v>1</v>
      </c>
      <c r="W112" s="146">
        <v>1</v>
      </c>
      <c r="X112" s="150">
        <v>1</v>
      </c>
      <c r="Y112" s="139"/>
      <c r="Z112" s="139"/>
      <c r="AA112" s="137"/>
      <c r="AB112" s="151"/>
      <c r="AC112" s="129"/>
      <c r="AD112" s="137">
        <v>1</v>
      </c>
      <c r="AE112" s="152">
        <v>1</v>
      </c>
      <c r="AF112" s="1145" t="s">
        <v>391</v>
      </c>
      <c r="AG112" s="771" t="s">
        <v>390</v>
      </c>
      <c r="AH112" s="774" t="s">
        <v>392</v>
      </c>
      <c r="AI112" s="774" t="s">
        <v>393</v>
      </c>
      <c r="AJ112" s="777" t="s">
        <v>314</v>
      </c>
      <c r="AK112" s="774" t="s">
        <v>315</v>
      </c>
      <c r="AL112" s="774" t="s">
        <v>70</v>
      </c>
      <c r="AM112" s="774" t="s">
        <v>316</v>
      </c>
      <c r="AN112" s="807">
        <v>83774</v>
      </c>
      <c r="AO112" s="808">
        <v>40068</v>
      </c>
      <c r="AP112" s="808">
        <v>43706</v>
      </c>
      <c r="AQ112" s="806" t="s">
        <v>317</v>
      </c>
      <c r="AR112" s="806" t="s">
        <v>317</v>
      </c>
      <c r="AS112" s="806" t="s">
        <v>317</v>
      </c>
      <c r="AT112" s="806" t="s">
        <v>317</v>
      </c>
      <c r="AU112" s="795" t="s">
        <v>317</v>
      </c>
      <c r="AV112" s="795" t="s">
        <v>317</v>
      </c>
      <c r="AW112" s="795" t="s">
        <v>317</v>
      </c>
      <c r="AX112" s="796">
        <v>83774</v>
      </c>
      <c r="AY112" s="159"/>
    </row>
    <row r="113" spans="1:51" ht="18.75" customHeight="1" x14ac:dyDescent="0.25">
      <c r="A113" s="912"/>
      <c r="B113" s="1155"/>
      <c r="C113" s="838"/>
      <c r="D113" s="132" t="s">
        <v>3</v>
      </c>
      <c r="E113" s="142"/>
      <c r="F113" s="143"/>
      <c r="G113" s="144"/>
      <c r="H113" s="144">
        <f>+H112*$H$11/$H$10</f>
        <v>5272055.0458715595</v>
      </c>
      <c r="I113" s="144" t="e">
        <f>+I112*$I$11/$I$10</f>
        <v>#REF!</v>
      </c>
      <c r="J113" s="138" t="e">
        <f>+J112*$J$11/$J$10</f>
        <v>#REF!</v>
      </c>
      <c r="K113" s="137"/>
      <c r="L113" s="138"/>
      <c r="M113" s="146"/>
      <c r="N113" s="138"/>
      <c r="O113" s="138"/>
      <c r="P113" s="138"/>
      <c r="Q113" s="138" t="e">
        <f>+Q112*$Q$11/$Q$10</f>
        <v>#REF!</v>
      </c>
      <c r="R113" s="138" t="e">
        <f>+R112*$R$11/$R$10</f>
        <v>#REF!</v>
      </c>
      <c r="S113" s="139"/>
      <c r="T113" s="148"/>
      <c r="U113" s="144">
        <f>+U112*$U$11/$U$10</f>
        <v>23726153.846153848</v>
      </c>
      <c r="V113" s="155" t="e">
        <f>+V112*$V$11/$V$10</f>
        <v>#REF!</v>
      </c>
      <c r="W113" s="138" t="e">
        <f>+W112*$W$11/$W$10</f>
        <v>#REF!</v>
      </c>
      <c r="X113" s="139"/>
      <c r="Y113" s="139"/>
      <c r="Z113" s="139"/>
      <c r="AA113" s="137"/>
      <c r="AB113" s="151"/>
      <c r="AC113" s="129"/>
      <c r="AD113" s="137" t="e">
        <f>+AD112*$AD$11/$AD$10</f>
        <v>#REF!</v>
      </c>
      <c r="AE113" s="137" t="e">
        <f>+AE112*$AE$11/$AE$10</f>
        <v>#REF!</v>
      </c>
      <c r="AF113" s="1146"/>
      <c r="AG113" s="772"/>
      <c r="AH113" s="775"/>
      <c r="AI113" s="775"/>
      <c r="AJ113" s="778"/>
      <c r="AK113" s="775"/>
      <c r="AL113" s="775"/>
      <c r="AM113" s="775"/>
      <c r="AN113" s="807"/>
      <c r="AO113" s="808"/>
      <c r="AP113" s="808"/>
      <c r="AQ113" s="806"/>
      <c r="AR113" s="806"/>
      <c r="AS113" s="806"/>
      <c r="AT113" s="806"/>
      <c r="AU113" s="795"/>
      <c r="AV113" s="795"/>
      <c r="AW113" s="795"/>
      <c r="AX113" s="797"/>
      <c r="AY113" s="159"/>
    </row>
    <row r="114" spans="1:51" ht="27.75" customHeight="1" x14ac:dyDescent="0.25">
      <c r="A114" s="912"/>
      <c r="B114" s="1155"/>
      <c r="C114" s="838"/>
      <c r="D114" s="136" t="s">
        <v>42</v>
      </c>
      <c r="E114" s="142"/>
      <c r="F114" s="143"/>
      <c r="G114" s="144"/>
      <c r="H114" s="144"/>
      <c r="I114" s="144"/>
      <c r="J114" s="138"/>
      <c r="K114" s="137"/>
      <c r="L114" s="138"/>
      <c r="M114" s="146"/>
      <c r="N114" s="138"/>
      <c r="O114" s="138"/>
      <c r="P114" s="138"/>
      <c r="Q114" s="138"/>
      <c r="R114" s="147"/>
      <c r="S114" s="139"/>
      <c r="T114" s="148"/>
      <c r="U114" s="148"/>
      <c r="V114" s="148"/>
      <c r="W114" s="146"/>
      <c r="X114" s="139"/>
      <c r="Y114" s="139"/>
      <c r="Z114" s="139"/>
      <c r="AA114" s="137"/>
      <c r="AB114" s="151"/>
      <c r="AC114" s="129"/>
      <c r="AD114" s="137"/>
      <c r="AE114" s="152"/>
      <c r="AF114" s="1146"/>
      <c r="AG114" s="772"/>
      <c r="AH114" s="775"/>
      <c r="AI114" s="775"/>
      <c r="AJ114" s="778"/>
      <c r="AK114" s="775"/>
      <c r="AL114" s="775"/>
      <c r="AM114" s="775"/>
      <c r="AN114" s="807"/>
      <c r="AO114" s="808"/>
      <c r="AP114" s="808"/>
      <c r="AQ114" s="806"/>
      <c r="AR114" s="806"/>
      <c r="AS114" s="806"/>
      <c r="AT114" s="806"/>
      <c r="AU114" s="795"/>
      <c r="AV114" s="795"/>
      <c r="AW114" s="795"/>
      <c r="AX114" s="797"/>
      <c r="AY114" s="159"/>
    </row>
    <row r="115" spans="1:51" ht="27.75" customHeight="1" x14ac:dyDescent="0.25">
      <c r="A115" s="912"/>
      <c r="B115" s="1155"/>
      <c r="C115" s="838"/>
      <c r="D115" s="132" t="s">
        <v>4</v>
      </c>
      <c r="E115" s="142"/>
      <c r="F115" s="143"/>
      <c r="G115" s="144"/>
      <c r="H115" s="144"/>
      <c r="I115" s="144"/>
      <c r="J115" s="138"/>
      <c r="K115" s="137"/>
      <c r="L115" s="138"/>
      <c r="M115" s="146"/>
      <c r="N115" s="138"/>
      <c r="O115" s="138"/>
      <c r="P115" s="138"/>
      <c r="Q115" s="138"/>
      <c r="R115" s="147"/>
      <c r="S115" s="139"/>
      <c r="T115" s="148"/>
      <c r="U115" s="148"/>
      <c r="V115" s="148"/>
      <c r="W115" s="146"/>
      <c r="X115" s="139"/>
      <c r="Y115" s="139"/>
      <c r="Z115" s="139"/>
      <c r="AA115" s="137"/>
      <c r="AB115" s="151"/>
      <c r="AC115" s="129"/>
      <c r="AD115" s="137"/>
      <c r="AE115" s="152"/>
      <c r="AF115" s="1146"/>
      <c r="AG115" s="772"/>
      <c r="AH115" s="775"/>
      <c r="AI115" s="775"/>
      <c r="AJ115" s="778"/>
      <c r="AK115" s="775"/>
      <c r="AL115" s="775"/>
      <c r="AM115" s="775"/>
      <c r="AN115" s="807"/>
      <c r="AO115" s="808"/>
      <c r="AP115" s="808"/>
      <c r="AQ115" s="806"/>
      <c r="AR115" s="806"/>
      <c r="AS115" s="806"/>
      <c r="AT115" s="806"/>
      <c r="AU115" s="795"/>
      <c r="AV115" s="795"/>
      <c r="AW115" s="795"/>
      <c r="AX115" s="797"/>
      <c r="AY115" s="159"/>
    </row>
    <row r="116" spans="1:51" ht="27.75" customHeight="1" x14ac:dyDescent="0.25">
      <c r="A116" s="912"/>
      <c r="B116" s="1155"/>
      <c r="C116" s="838"/>
      <c r="D116" s="136" t="s">
        <v>43</v>
      </c>
      <c r="E116" s="142"/>
      <c r="F116" s="143"/>
      <c r="G116" s="144"/>
      <c r="H116" s="144">
        <v>1</v>
      </c>
      <c r="I116" s="144">
        <v>1</v>
      </c>
      <c r="J116" s="138">
        <v>1</v>
      </c>
      <c r="K116" s="137"/>
      <c r="L116" s="138"/>
      <c r="M116" s="146"/>
      <c r="N116" s="138"/>
      <c r="O116" s="138"/>
      <c r="P116" s="138"/>
      <c r="Q116" s="138">
        <v>1</v>
      </c>
      <c r="R116" s="147">
        <v>1</v>
      </c>
      <c r="S116" s="139"/>
      <c r="T116" s="148"/>
      <c r="U116" s="148">
        <v>1</v>
      </c>
      <c r="V116" s="148">
        <v>1</v>
      </c>
      <c r="W116" s="146">
        <v>1</v>
      </c>
      <c r="X116" s="139"/>
      <c r="Y116" s="139"/>
      <c r="Z116" s="139"/>
      <c r="AA116" s="137"/>
      <c r="AB116" s="151"/>
      <c r="AC116" s="129"/>
      <c r="AD116" s="137">
        <v>1</v>
      </c>
      <c r="AE116" s="152">
        <v>1</v>
      </c>
      <c r="AF116" s="1146"/>
      <c r="AG116" s="772"/>
      <c r="AH116" s="775"/>
      <c r="AI116" s="775"/>
      <c r="AJ116" s="778"/>
      <c r="AK116" s="775"/>
      <c r="AL116" s="775"/>
      <c r="AM116" s="775"/>
      <c r="AN116" s="807"/>
      <c r="AO116" s="808"/>
      <c r="AP116" s="808"/>
      <c r="AQ116" s="806"/>
      <c r="AR116" s="806"/>
      <c r="AS116" s="806"/>
      <c r="AT116" s="806"/>
      <c r="AU116" s="795"/>
      <c r="AV116" s="795"/>
      <c r="AW116" s="795"/>
      <c r="AX116" s="797"/>
      <c r="AY116" s="159"/>
    </row>
    <row r="117" spans="1:51" ht="27.75" customHeight="1" thickBot="1" x14ac:dyDescent="0.3">
      <c r="A117" s="912"/>
      <c r="B117" s="1155"/>
      <c r="C117" s="838"/>
      <c r="D117" s="140" t="s">
        <v>45</v>
      </c>
      <c r="E117" s="142"/>
      <c r="F117" s="143"/>
      <c r="G117" s="144"/>
      <c r="H117" s="144">
        <f>+H116*$H$11/$H$10</f>
        <v>5272055.0458715595</v>
      </c>
      <c r="I117" s="144" t="e">
        <f>+I116*$I$11/$I$10</f>
        <v>#REF!</v>
      </c>
      <c r="J117" s="138" t="e">
        <f>+J116*$J$11/$J$10</f>
        <v>#REF!</v>
      </c>
      <c r="K117" s="137"/>
      <c r="L117" s="138"/>
      <c r="M117" s="146"/>
      <c r="N117" s="138"/>
      <c r="O117" s="138"/>
      <c r="P117" s="138"/>
      <c r="Q117" s="138" t="e">
        <f>+Q116*$Q$11/$Q$10</f>
        <v>#REF!</v>
      </c>
      <c r="R117" s="138" t="e">
        <f>+R116*$R$11/$R$10</f>
        <v>#REF!</v>
      </c>
      <c r="S117" s="139"/>
      <c r="T117" s="148"/>
      <c r="U117" s="144">
        <f>+U116*$U$11/$U$10</f>
        <v>23726153.846153848</v>
      </c>
      <c r="V117" s="155" t="e">
        <f>+V116*$V$11/$V$10</f>
        <v>#REF!</v>
      </c>
      <c r="W117" s="138" t="e">
        <f>+W116*$W$11/$W$10</f>
        <v>#REF!</v>
      </c>
      <c r="X117" s="139"/>
      <c r="Y117" s="139"/>
      <c r="Z117" s="139"/>
      <c r="AA117" s="137"/>
      <c r="AB117" s="151"/>
      <c r="AC117" s="129"/>
      <c r="AD117" s="137" t="e">
        <f>+AD116*$AD$11/$AD$10</f>
        <v>#REF!</v>
      </c>
      <c r="AE117" s="137" t="e">
        <f>+AE116*$AE$11/$AE$10</f>
        <v>#REF!</v>
      </c>
      <c r="AF117" s="1147"/>
      <c r="AG117" s="773"/>
      <c r="AH117" s="776"/>
      <c r="AI117" s="776"/>
      <c r="AJ117" s="779"/>
      <c r="AK117" s="776"/>
      <c r="AL117" s="776"/>
      <c r="AM117" s="776"/>
      <c r="AN117" s="807"/>
      <c r="AO117" s="808"/>
      <c r="AP117" s="808"/>
      <c r="AQ117" s="806"/>
      <c r="AR117" s="806"/>
      <c r="AS117" s="806"/>
      <c r="AT117" s="806"/>
      <c r="AU117" s="795"/>
      <c r="AV117" s="795"/>
      <c r="AW117" s="795"/>
      <c r="AX117" s="798"/>
      <c r="AY117" s="159"/>
    </row>
    <row r="118" spans="1:51" ht="18" customHeight="1" x14ac:dyDescent="0.25">
      <c r="A118" s="912"/>
      <c r="B118" s="1155"/>
      <c r="C118" s="1127" t="s">
        <v>394</v>
      </c>
      <c r="D118" s="141" t="s">
        <v>41</v>
      </c>
      <c r="E118" s="142"/>
      <c r="F118" s="143"/>
      <c r="G118" s="144">
        <v>1</v>
      </c>
      <c r="H118" s="144">
        <v>2</v>
      </c>
      <c r="I118" s="148">
        <v>3</v>
      </c>
      <c r="J118" s="138">
        <v>5</v>
      </c>
      <c r="K118" s="145">
        <v>7</v>
      </c>
      <c r="L118" s="138"/>
      <c r="M118" s="146">
        <v>1</v>
      </c>
      <c r="N118" s="138">
        <v>1</v>
      </c>
      <c r="O118" s="138">
        <v>2</v>
      </c>
      <c r="P118" s="138">
        <v>4</v>
      </c>
      <c r="Q118" s="138">
        <v>4</v>
      </c>
      <c r="R118" s="147">
        <v>5</v>
      </c>
      <c r="S118" s="139"/>
      <c r="T118" s="148">
        <v>1</v>
      </c>
      <c r="U118" s="148">
        <v>2</v>
      </c>
      <c r="V118" s="148">
        <v>3</v>
      </c>
      <c r="W118" s="149">
        <v>5</v>
      </c>
      <c r="X118" s="150">
        <v>7</v>
      </c>
      <c r="Y118" s="139"/>
      <c r="Z118" s="139">
        <v>1</v>
      </c>
      <c r="AA118" s="137">
        <v>1</v>
      </c>
      <c r="AB118" s="151">
        <v>2</v>
      </c>
      <c r="AC118" s="129">
        <v>4</v>
      </c>
      <c r="AD118" s="137">
        <v>4</v>
      </c>
      <c r="AE118" s="152">
        <v>5</v>
      </c>
      <c r="AF118" s="1142" t="s">
        <v>395</v>
      </c>
      <c r="AG118" s="771" t="s">
        <v>394</v>
      </c>
      <c r="AH118" s="774" t="s">
        <v>396</v>
      </c>
      <c r="AI118" s="774" t="s">
        <v>397</v>
      </c>
      <c r="AJ118" s="777" t="s">
        <v>314</v>
      </c>
      <c r="AK118" s="774" t="s">
        <v>315</v>
      </c>
      <c r="AL118" s="774" t="s">
        <v>70</v>
      </c>
      <c r="AM118" s="774" t="s">
        <v>316</v>
      </c>
      <c r="AN118" s="807">
        <v>254469</v>
      </c>
      <c r="AO118" s="808">
        <v>120116</v>
      </c>
      <c r="AP118" s="808">
        <v>134352</v>
      </c>
      <c r="AQ118" s="806" t="s">
        <v>317</v>
      </c>
      <c r="AR118" s="806" t="s">
        <v>317</v>
      </c>
      <c r="AS118" s="806" t="s">
        <v>317</v>
      </c>
      <c r="AT118" s="806" t="s">
        <v>317</v>
      </c>
      <c r="AU118" s="795" t="s">
        <v>317</v>
      </c>
      <c r="AV118" s="795" t="s">
        <v>317</v>
      </c>
      <c r="AW118" s="795" t="s">
        <v>317</v>
      </c>
      <c r="AX118" s="796">
        <v>254469</v>
      </c>
      <c r="AY118" s="159"/>
    </row>
    <row r="119" spans="1:51" ht="18" x14ac:dyDescent="0.25">
      <c r="A119" s="912"/>
      <c r="B119" s="1155"/>
      <c r="C119" s="1127"/>
      <c r="D119" s="132" t="s">
        <v>3</v>
      </c>
      <c r="E119" s="142"/>
      <c r="F119" s="143"/>
      <c r="G119" s="144">
        <f>+G118*$G$11/$G$10</f>
        <v>5272055.0458715595</v>
      </c>
      <c r="H119" s="144">
        <f>+H118*$H$11/$H$10</f>
        <v>10544110.091743119</v>
      </c>
      <c r="I119" s="144" t="e">
        <f>+I118*$I$11/$I$10</f>
        <v>#REF!</v>
      </c>
      <c r="J119" s="138" t="e">
        <f>+J118*$J$11/$J$10</f>
        <v>#REF!</v>
      </c>
      <c r="K119" s="137"/>
      <c r="L119" s="138"/>
      <c r="M119" s="153" t="e">
        <f>+M118*$M$11/$M$10</f>
        <v>#REF!</v>
      </c>
      <c r="N119" s="154">
        <f>+N118*$N$11/$N$10</f>
        <v>5482727.2727272725</v>
      </c>
      <c r="O119" s="138">
        <f>+O118*$O$11/$O$10</f>
        <v>10965454.545454545</v>
      </c>
      <c r="P119" s="138" t="e">
        <f>+P118*$P$11/$P$10</f>
        <v>#REF!</v>
      </c>
      <c r="Q119" s="138" t="e">
        <f>+Q118*$Q$11/$Q$10</f>
        <v>#REF!</v>
      </c>
      <c r="R119" s="138" t="e">
        <f>+R118*$R$11/$R$10</f>
        <v>#REF!</v>
      </c>
      <c r="S119" s="139"/>
      <c r="T119" s="144">
        <f>+T118*$T$11/$T$10</f>
        <v>0</v>
      </c>
      <c r="U119" s="144">
        <f>+U118*$U$11/$U$10</f>
        <v>47452307.692307696</v>
      </c>
      <c r="V119" s="155" t="e">
        <f>+V118*$V$11/$V$10</f>
        <v>#REF!</v>
      </c>
      <c r="W119" s="138" t="e">
        <f>+W118*$W$11/$W$10</f>
        <v>#REF!</v>
      </c>
      <c r="X119" s="139"/>
      <c r="Y119" s="139"/>
      <c r="Z119" s="156">
        <f>+Z118*$Z$11/$Z$10</f>
        <v>12780000</v>
      </c>
      <c r="AA119" s="157">
        <f>+AA118*$AA$11/$AA$10</f>
        <v>11929863.636363637</v>
      </c>
      <c r="AB119" s="137">
        <f>+AB118*$AB$11/$AB$10</f>
        <v>15906484.848484848</v>
      </c>
      <c r="AC119" s="137" t="e">
        <f>+AC118*$AC$11/$AC$10</f>
        <v>#REF!</v>
      </c>
      <c r="AD119" s="137" t="e">
        <f>+AD118*$AD$11/$AD$10</f>
        <v>#REF!</v>
      </c>
      <c r="AE119" s="137" t="e">
        <f>+AE118*$AE$11/$AE$10</f>
        <v>#REF!</v>
      </c>
      <c r="AF119" s="1143"/>
      <c r="AG119" s="772"/>
      <c r="AH119" s="775"/>
      <c r="AI119" s="775"/>
      <c r="AJ119" s="778"/>
      <c r="AK119" s="775"/>
      <c r="AL119" s="775"/>
      <c r="AM119" s="775"/>
      <c r="AN119" s="807"/>
      <c r="AO119" s="808"/>
      <c r="AP119" s="808"/>
      <c r="AQ119" s="806"/>
      <c r="AR119" s="806"/>
      <c r="AS119" s="806"/>
      <c r="AT119" s="806"/>
      <c r="AU119" s="795"/>
      <c r="AV119" s="795"/>
      <c r="AW119" s="795"/>
      <c r="AX119" s="797"/>
      <c r="AY119" s="159"/>
    </row>
    <row r="120" spans="1:51" ht="27" x14ac:dyDescent="0.25">
      <c r="A120" s="912"/>
      <c r="B120" s="1155"/>
      <c r="C120" s="1127"/>
      <c r="D120" s="136" t="s">
        <v>42</v>
      </c>
      <c r="E120" s="142"/>
      <c r="F120" s="143"/>
      <c r="G120" s="144"/>
      <c r="H120" s="144"/>
      <c r="I120" s="144"/>
      <c r="J120" s="138"/>
      <c r="K120" s="137"/>
      <c r="L120" s="138"/>
      <c r="M120" s="146"/>
      <c r="N120" s="138"/>
      <c r="O120" s="138"/>
      <c r="P120" s="138"/>
      <c r="Q120" s="138"/>
      <c r="R120" s="147"/>
      <c r="S120" s="139"/>
      <c r="T120" s="148"/>
      <c r="U120" s="148"/>
      <c r="V120" s="148"/>
      <c r="W120" s="146"/>
      <c r="X120" s="139"/>
      <c r="Y120" s="139"/>
      <c r="Z120" s="139"/>
      <c r="AA120" s="137"/>
      <c r="AB120" s="151"/>
      <c r="AC120" s="129"/>
      <c r="AD120" s="137"/>
      <c r="AE120" s="152"/>
      <c r="AF120" s="1143"/>
      <c r="AG120" s="772"/>
      <c r="AH120" s="775"/>
      <c r="AI120" s="775"/>
      <c r="AJ120" s="778"/>
      <c r="AK120" s="775"/>
      <c r="AL120" s="775"/>
      <c r="AM120" s="775"/>
      <c r="AN120" s="807"/>
      <c r="AO120" s="808"/>
      <c r="AP120" s="808"/>
      <c r="AQ120" s="806"/>
      <c r="AR120" s="806"/>
      <c r="AS120" s="806"/>
      <c r="AT120" s="806"/>
      <c r="AU120" s="795"/>
      <c r="AV120" s="795"/>
      <c r="AW120" s="795"/>
      <c r="AX120" s="797"/>
      <c r="AY120" s="159"/>
    </row>
    <row r="121" spans="1:51" ht="27" x14ac:dyDescent="0.25">
      <c r="A121" s="912"/>
      <c r="B121" s="1155"/>
      <c r="C121" s="1127"/>
      <c r="D121" s="132" t="s">
        <v>4</v>
      </c>
      <c r="E121" s="142"/>
      <c r="F121" s="143"/>
      <c r="G121" s="144"/>
      <c r="H121" s="144"/>
      <c r="I121" s="144"/>
      <c r="J121" s="138"/>
      <c r="K121" s="137"/>
      <c r="L121" s="138"/>
      <c r="M121" s="146"/>
      <c r="N121" s="138"/>
      <c r="O121" s="138"/>
      <c r="P121" s="138"/>
      <c r="Q121" s="138"/>
      <c r="R121" s="147"/>
      <c r="S121" s="139"/>
      <c r="T121" s="144">
        <f>+T118*$T$13/$T$10</f>
        <v>1355400</v>
      </c>
      <c r="U121" s="123">
        <f>($U$13/5)</f>
        <v>14532248.6</v>
      </c>
      <c r="V121" s="148"/>
      <c r="W121" s="146"/>
      <c r="X121" s="139"/>
      <c r="Y121" s="139"/>
      <c r="Z121" s="139"/>
      <c r="AA121" s="137"/>
      <c r="AB121" s="151"/>
      <c r="AC121" s="129"/>
      <c r="AD121" s="137"/>
      <c r="AE121" s="152"/>
      <c r="AF121" s="1143"/>
      <c r="AG121" s="772"/>
      <c r="AH121" s="775"/>
      <c r="AI121" s="775"/>
      <c r="AJ121" s="778"/>
      <c r="AK121" s="775"/>
      <c r="AL121" s="775"/>
      <c r="AM121" s="775"/>
      <c r="AN121" s="807"/>
      <c r="AO121" s="808"/>
      <c r="AP121" s="808"/>
      <c r="AQ121" s="806"/>
      <c r="AR121" s="806"/>
      <c r="AS121" s="806"/>
      <c r="AT121" s="806"/>
      <c r="AU121" s="795"/>
      <c r="AV121" s="795"/>
      <c r="AW121" s="795"/>
      <c r="AX121" s="797"/>
      <c r="AY121" s="159"/>
    </row>
    <row r="122" spans="1:51" ht="27" x14ac:dyDescent="0.25">
      <c r="A122" s="912"/>
      <c r="B122" s="1155"/>
      <c r="C122" s="1127"/>
      <c r="D122" s="136" t="s">
        <v>43</v>
      </c>
      <c r="E122" s="142"/>
      <c r="F122" s="143"/>
      <c r="G122" s="144">
        <v>1</v>
      </c>
      <c r="H122" s="144">
        <v>2</v>
      </c>
      <c r="I122" s="144">
        <v>2</v>
      </c>
      <c r="J122" s="138">
        <v>5</v>
      </c>
      <c r="K122" s="137"/>
      <c r="L122" s="138"/>
      <c r="M122" s="146"/>
      <c r="N122" s="138"/>
      <c r="O122" s="138">
        <f>+O118</f>
        <v>2</v>
      </c>
      <c r="P122" s="138">
        <v>2</v>
      </c>
      <c r="Q122" s="138">
        <v>4</v>
      </c>
      <c r="R122" s="147">
        <v>5</v>
      </c>
      <c r="S122" s="139"/>
      <c r="T122" s="148">
        <v>1</v>
      </c>
      <c r="U122" s="148">
        <v>2</v>
      </c>
      <c r="V122" s="148">
        <v>2</v>
      </c>
      <c r="W122" s="146">
        <v>5</v>
      </c>
      <c r="X122" s="139"/>
      <c r="Y122" s="139"/>
      <c r="Z122" s="139"/>
      <c r="AA122" s="137"/>
      <c r="AB122" s="137">
        <f>+AB118</f>
        <v>2</v>
      </c>
      <c r="AC122" s="129">
        <v>2</v>
      </c>
      <c r="AD122" s="137">
        <v>4</v>
      </c>
      <c r="AE122" s="152">
        <v>4</v>
      </c>
      <c r="AF122" s="1143"/>
      <c r="AG122" s="772"/>
      <c r="AH122" s="775"/>
      <c r="AI122" s="775"/>
      <c r="AJ122" s="778"/>
      <c r="AK122" s="775"/>
      <c r="AL122" s="775"/>
      <c r="AM122" s="775"/>
      <c r="AN122" s="807"/>
      <c r="AO122" s="808"/>
      <c r="AP122" s="808"/>
      <c r="AQ122" s="806"/>
      <c r="AR122" s="806"/>
      <c r="AS122" s="806"/>
      <c r="AT122" s="806"/>
      <c r="AU122" s="795"/>
      <c r="AV122" s="795"/>
      <c r="AW122" s="795"/>
      <c r="AX122" s="797"/>
      <c r="AY122" s="159"/>
    </row>
    <row r="123" spans="1:51" ht="27.75" thickBot="1" x14ac:dyDescent="0.3">
      <c r="A123" s="912"/>
      <c r="B123" s="1155"/>
      <c r="C123" s="1127"/>
      <c r="D123" s="140" t="s">
        <v>45</v>
      </c>
      <c r="E123" s="142"/>
      <c r="F123" s="143"/>
      <c r="G123" s="144">
        <f>+G122*$G$11/$G$10</f>
        <v>5272055.0458715595</v>
      </c>
      <c r="H123" s="144">
        <f>+H122*$H$11/$H$10</f>
        <v>10544110.091743119</v>
      </c>
      <c r="I123" s="144" t="e">
        <f>+I122*$I$11/$I$10</f>
        <v>#REF!</v>
      </c>
      <c r="J123" s="138" t="e">
        <f>+J122*$J$11/$J$10</f>
        <v>#REF!</v>
      </c>
      <c r="K123" s="137"/>
      <c r="L123" s="138"/>
      <c r="M123" s="146"/>
      <c r="N123" s="138"/>
      <c r="O123" s="138">
        <f>+O119</f>
        <v>10965454.545454545</v>
      </c>
      <c r="P123" s="138" t="e">
        <f>+P122*$P$11/$P$10</f>
        <v>#REF!</v>
      </c>
      <c r="Q123" s="138" t="e">
        <f>+Q122*$Q$11/$Q$10</f>
        <v>#REF!</v>
      </c>
      <c r="R123" s="138" t="e">
        <f>+R122*$R$11/$R$10</f>
        <v>#REF!</v>
      </c>
      <c r="S123" s="139"/>
      <c r="T123" s="144">
        <f>+T122*$T$11/$T$10</f>
        <v>0</v>
      </c>
      <c r="U123" s="144">
        <f>+U122*$U$11/$U$10</f>
        <v>47452307.692307696</v>
      </c>
      <c r="V123" s="155" t="e">
        <f>+V122*$V$11/$V$10</f>
        <v>#REF!</v>
      </c>
      <c r="W123" s="138" t="e">
        <f>+W122*$W$11/$W$10</f>
        <v>#REF!</v>
      </c>
      <c r="X123" s="139"/>
      <c r="Y123" s="139"/>
      <c r="Z123" s="139"/>
      <c r="AA123" s="137"/>
      <c r="AB123" s="137">
        <f>+AB119</f>
        <v>15906484.848484848</v>
      </c>
      <c r="AC123" s="137" t="e">
        <f>+AC122*$AC$11/$AC$10</f>
        <v>#REF!</v>
      </c>
      <c r="AD123" s="137" t="e">
        <f>+AD122*$AD$11/$AD$10</f>
        <v>#REF!</v>
      </c>
      <c r="AE123" s="137" t="e">
        <f>+AE122*$AE$11/$AE$10</f>
        <v>#REF!</v>
      </c>
      <c r="AF123" s="1144"/>
      <c r="AG123" s="773"/>
      <c r="AH123" s="776"/>
      <c r="AI123" s="776"/>
      <c r="AJ123" s="779"/>
      <c r="AK123" s="776"/>
      <c r="AL123" s="776"/>
      <c r="AM123" s="776"/>
      <c r="AN123" s="807"/>
      <c r="AO123" s="808"/>
      <c r="AP123" s="808"/>
      <c r="AQ123" s="806"/>
      <c r="AR123" s="806"/>
      <c r="AS123" s="806"/>
      <c r="AT123" s="806"/>
      <c r="AU123" s="795"/>
      <c r="AV123" s="795"/>
      <c r="AW123" s="795"/>
      <c r="AX123" s="798"/>
      <c r="AY123" s="159"/>
    </row>
    <row r="124" spans="1:51" ht="18" hidden="1" customHeight="1" x14ac:dyDescent="0.25">
      <c r="A124" s="912"/>
      <c r="B124" s="1155"/>
      <c r="C124" s="838" t="s">
        <v>330</v>
      </c>
      <c r="D124" s="141" t="s">
        <v>41</v>
      </c>
      <c r="E124" s="142"/>
      <c r="F124" s="143"/>
      <c r="G124" s="144"/>
      <c r="H124" s="144"/>
      <c r="I124" s="144"/>
      <c r="J124" s="138"/>
      <c r="K124" s="137"/>
      <c r="L124" s="138"/>
      <c r="M124" s="146"/>
      <c r="N124" s="138"/>
      <c r="O124" s="138"/>
      <c r="P124" s="138"/>
      <c r="Q124" s="138"/>
      <c r="R124" s="147"/>
      <c r="S124" s="139"/>
      <c r="T124" s="148"/>
      <c r="U124" s="148"/>
      <c r="V124" s="148"/>
      <c r="W124" s="146"/>
      <c r="X124" s="139"/>
      <c r="Y124" s="139"/>
      <c r="Z124" s="139"/>
      <c r="AA124" s="137"/>
      <c r="AB124" s="151"/>
      <c r="AC124" s="129"/>
      <c r="AD124" s="137"/>
      <c r="AE124" s="152"/>
      <c r="AF124" s="158"/>
      <c r="AG124" s="771" t="s">
        <v>330</v>
      </c>
      <c r="AH124" s="774" t="s">
        <v>350</v>
      </c>
      <c r="AI124" s="774" t="s">
        <v>350</v>
      </c>
      <c r="AJ124" s="777" t="s">
        <v>351</v>
      </c>
      <c r="AK124" s="774" t="s">
        <v>315</v>
      </c>
      <c r="AL124" s="774" t="s">
        <v>70</v>
      </c>
      <c r="AM124" s="774" t="s">
        <v>316</v>
      </c>
      <c r="AN124" s="807">
        <v>22438</v>
      </c>
      <c r="AO124" s="808">
        <v>9562</v>
      </c>
      <c r="AP124" s="808">
        <v>9141</v>
      </c>
      <c r="AQ124" s="806" t="s">
        <v>317</v>
      </c>
      <c r="AR124" s="806" t="s">
        <v>317</v>
      </c>
      <c r="AS124" s="806" t="s">
        <v>317</v>
      </c>
      <c r="AT124" s="806" t="s">
        <v>317</v>
      </c>
      <c r="AU124" s="795" t="s">
        <v>317</v>
      </c>
      <c r="AV124" s="795" t="s">
        <v>317</v>
      </c>
      <c r="AW124" s="795" t="s">
        <v>317</v>
      </c>
      <c r="AX124" s="796">
        <v>22438</v>
      </c>
      <c r="AY124" s="159"/>
    </row>
    <row r="125" spans="1:51" ht="18.75" hidden="1" customHeight="1" x14ac:dyDescent="0.25">
      <c r="A125" s="912"/>
      <c r="B125" s="1155"/>
      <c r="C125" s="838"/>
      <c r="D125" s="132" t="s">
        <v>3</v>
      </c>
      <c r="E125" s="142"/>
      <c r="F125" s="143"/>
      <c r="G125" s="144"/>
      <c r="H125" s="144"/>
      <c r="I125" s="144"/>
      <c r="J125" s="138"/>
      <c r="K125" s="137"/>
      <c r="L125" s="138"/>
      <c r="M125" s="146"/>
      <c r="N125" s="138"/>
      <c r="O125" s="138"/>
      <c r="P125" s="138"/>
      <c r="Q125" s="138"/>
      <c r="R125" s="147"/>
      <c r="S125" s="139"/>
      <c r="T125" s="148"/>
      <c r="U125" s="148"/>
      <c r="V125" s="148"/>
      <c r="W125" s="146"/>
      <c r="X125" s="139"/>
      <c r="Y125" s="139"/>
      <c r="Z125" s="139"/>
      <c r="AA125" s="137"/>
      <c r="AB125" s="151"/>
      <c r="AC125" s="129"/>
      <c r="AD125" s="137"/>
      <c r="AE125" s="152"/>
      <c r="AF125" s="158"/>
      <c r="AG125" s="772"/>
      <c r="AH125" s="775"/>
      <c r="AI125" s="775"/>
      <c r="AJ125" s="778"/>
      <c r="AK125" s="775"/>
      <c r="AL125" s="775"/>
      <c r="AM125" s="775"/>
      <c r="AN125" s="807"/>
      <c r="AO125" s="808"/>
      <c r="AP125" s="808"/>
      <c r="AQ125" s="806"/>
      <c r="AR125" s="806"/>
      <c r="AS125" s="806"/>
      <c r="AT125" s="806"/>
      <c r="AU125" s="795"/>
      <c r="AV125" s="795"/>
      <c r="AW125" s="795"/>
      <c r="AX125" s="797"/>
      <c r="AY125" s="159"/>
    </row>
    <row r="126" spans="1:51" ht="27.75" hidden="1" customHeight="1" x14ac:dyDescent="0.25">
      <c r="A126" s="912"/>
      <c r="B126" s="1155"/>
      <c r="C126" s="838"/>
      <c r="D126" s="136" t="s">
        <v>42</v>
      </c>
      <c r="E126" s="142"/>
      <c r="F126" s="143"/>
      <c r="G126" s="144"/>
      <c r="H126" s="144"/>
      <c r="I126" s="144"/>
      <c r="J126" s="138"/>
      <c r="K126" s="137"/>
      <c r="L126" s="138"/>
      <c r="M126" s="146"/>
      <c r="N126" s="138"/>
      <c r="O126" s="138"/>
      <c r="P126" s="138"/>
      <c r="Q126" s="138"/>
      <c r="R126" s="147"/>
      <c r="S126" s="139"/>
      <c r="T126" s="148"/>
      <c r="U126" s="148"/>
      <c r="V126" s="148"/>
      <c r="W126" s="146"/>
      <c r="X126" s="139"/>
      <c r="Y126" s="139"/>
      <c r="Z126" s="139"/>
      <c r="AA126" s="137"/>
      <c r="AB126" s="151"/>
      <c r="AC126" s="129"/>
      <c r="AD126" s="137"/>
      <c r="AE126" s="152"/>
      <c r="AF126" s="158"/>
      <c r="AG126" s="772"/>
      <c r="AH126" s="775"/>
      <c r="AI126" s="775"/>
      <c r="AJ126" s="778"/>
      <c r="AK126" s="775"/>
      <c r="AL126" s="775"/>
      <c r="AM126" s="775"/>
      <c r="AN126" s="807"/>
      <c r="AO126" s="808"/>
      <c r="AP126" s="808"/>
      <c r="AQ126" s="806"/>
      <c r="AR126" s="806"/>
      <c r="AS126" s="806"/>
      <c r="AT126" s="806"/>
      <c r="AU126" s="795"/>
      <c r="AV126" s="795"/>
      <c r="AW126" s="795"/>
      <c r="AX126" s="797"/>
      <c r="AY126" s="159"/>
    </row>
    <row r="127" spans="1:51" ht="27.75" hidden="1" customHeight="1" x14ac:dyDescent="0.25">
      <c r="A127" s="912"/>
      <c r="B127" s="1155"/>
      <c r="C127" s="838"/>
      <c r="D127" s="132" t="s">
        <v>4</v>
      </c>
      <c r="E127" s="142"/>
      <c r="F127" s="143"/>
      <c r="G127" s="144"/>
      <c r="H127" s="144"/>
      <c r="I127" s="144"/>
      <c r="J127" s="138"/>
      <c r="K127" s="137"/>
      <c r="L127" s="138"/>
      <c r="M127" s="146"/>
      <c r="N127" s="138"/>
      <c r="O127" s="138"/>
      <c r="P127" s="138"/>
      <c r="Q127" s="138"/>
      <c r="R127" s="147"/>
      <c r="S127" s="139"/>
      <c r="T127" s="148"/>
      <c r="U127" s="148"/>
      <c r="V127" s="148"/>
      <c r="W127" s="146"/>
      <c r="X127" s="139"/>
      <c r="Y127" s="139"/>
      <c r="Z127" s="139"/>
      <c r="AA127" s="137"/>
      <c r="AB127" s="151"/>
      <c r="AC127" s="129"/>
      <c r="AD127" s="137"/>
      <c r="AE127" s="152"/>
      <c r="AF127" s="158"/>
      <c r="AG127" s="772"/>
      <c r="AH127" s="775"/>
      <c r="AI127" s="775"/>
      <c r="AJ127" s="778"/>
      <c r="AK127" s="775"/>
      <c r="AL127" s="775"/>
      <c r="AM127" s="775"/>
      <c r="AN127" s="807"/>
      <c r="AO127" s="808"/>
      <c r="AP127" s="808"/>
      <c r="AQ127" s="806"/>
      <c r="AR127" s="806"/>
      <c r="AS127" s="806"/>
      <c r="AT127" s="806"/>
      <c r="AU127" s="795"/>
      <c r="AV127" s="795"/>
      <c r="AW127" s="795"/>
      <c r="AX127" s="797"/>
      <c r="AY127" s="159"/>
    </row>
    <row r="128" spans="1:51" ht="27.75" hidden="1" customHeight="1" x14ac:dyDescent="0.25">
      <c r="A128" s="912"/>
      <c r="B128" s="1155"/>
      <c r="C128" s="838"/>
      <c r="D128" s="136" t="s">
        <v>43</v>
      </c>
      <c r="E128" s="142"/>
      <c r="F128" s="143"/>
      <c r="G128" s="144"/>
      <c r="H128" s="144"/>
      <c r="I128" s="144"/>
      <c r="J128" s="138"/>
      <c r="K128" s="137"/>
      <c r="L128" s="138"/>
      <c r="M128" s="146"/>
      <c r="N128" s="138"/>
      <c r="O128" s="138"/>
      <c r="P128" s="138"/>
      <c r="Q128" s="138"/>
      <c r="R128" s="147"/>
      <c r="S128" s="139"/>
      <c r="T128" s="148"/>
      <c r="U128" s="148"/>
      <c r="V128" s="148"/>
      <c r="W128" s="146"/>
      <c r="X128" s="139"/>
      <c r="Y128" s="139"/>
      <c r="Z128" s="139"/>
      <c r="AA128" s="137"/>
      <c r="AB128" s="151"/>
      <c r="AC128" s="129"/>
      <c r="AD128" s="137"/>
      <c r="AE128" s="152"/>
      <c r="AF128" s="158"/>
      <c r="AG128" s="772"/>
      <c r="AH128" s="775"/>
      <c r="AI128" s="775"/>
      <c r="AJ128" s="778"/>
      <c r="AK128" s="775"/>
      <c r="AL128" s="775"/>
      <c r="AM128" s="775"/>
      <c r="AN128" s="807"/>
      <c r="AO128" s="808"/>
      <c r="AP128" s="808"/>
      <c r="AQ128" s="806"/>
      <c r="AR128" s="806"/>
      <c r="AS128" s="806"/>
      <c r="AT128" s="806"/>
      <c r="AU128" s="795"/>
      <c r="AV128" s="795"/>
      <c r="AW128" s="795"/>
      <c r="AX128" s="797"/>
      <c r="AY128" s="159"/>
    </row>
    <row r="129" spans="1:51" ht="27.75" hidden="1" customHeight="1" thickBot="1" x14ac:dyDescent="0.3">
      <c r="A129" s="912"/>
      <c r="B129" s="1155"/>
      <c r="C129" s="838"/>
      <c r="D129" s="140" t="s">
        <v>45</v>
      </c>
      <c r="E129" s="142"/>
      <c r="F129" s="143"/>
      <c r="G129" s="144"/>
      <c r="H129" s="144"/>
      <c r="I129" s="144"/>
      <c r="J129" s="138"/>
      <c r="K129" s="137"/>
      <c r="L129" s="138"/>
      <c r="M129" s="146"/>
      <c r="N129" s="138"/>
      <c r="O129" s="138"/>
      <c r="P129" s="138"/>
      <c r="Q129" s="138"/>
      <c r="R129" s="147"/>
      <c r="S129" s="139"/>
      <c r="T129" s="148"/>
      <c r="U129" s="148"/>
      <c r="V129" s="148"/>
      <c r="W129" s="146"/>
      <c r="X129" s="139"/>
      <c r="Y129" s="139"/>
      <c r="Z129" s="139"/>
      <c r="AA129" s="137"/>
      <c r="AB129" s="151"/>
      <c r="AC129" s="129"/>
      <c r="AD129" s="137"/>
      <c r="AE129" s="152"/>
      <c r="AF129" s="158"/>
      <c r="AG129" s="773"/>
      <c r="AH129" s="776"/>
      <c r="AI129" s="776"/>
      <c r="AJ129" s="779"/>
      <c r="AK129" s="776"/>
      <c r="AL129" s="776"/>
      <c r="AM129" s="776"/>
      <c r="AN129" s="807"/>
      <c r="AO129" s="808"/>
      <c r="AP129" s="808"/>
      <c r="AQ129" s="806"/>
      <c r="AR129" s="806"/>
      <c r="AS129" s="806"/>
      <c r="AT129" s="806"/>
      <c r="AU129" s="795"/>
      <c r="AV129" s="795"/>
      <c r="AW129" s="795"/>
      <c r="AX129" s="798"/>
      <c r="AY129" s="159"/>
    </row>
    <row r="130" spans="1:51" ht="59.25" customHeight="1" x14ac:dyDescent="0.25">
      <c r="A130" s="912"/>
      <c r="B130" s="1155"/>
      <c r="C130" s="1127" t="s">
        <v>398</v>
      </c>
      <c r="D130" s="141" t="s">
        <v>41</v>
      </c>
      <c r="E130" s="142"/>
      <c r="F130" s="143"/>
      <c r="G130" s="144"/>
      <c r="H130" s="144"/>
      <c r="I130" s="148">
        <v>1</v>
      </c>
      <c r="J130" s="138">
        <v>3</v>
      </c>
      <c r="K130" s="160">
        <v>7</v>
      </c>
      <c r="L130" s="138"/>
      <c r="M130" s="146">
        <v>1</v>
      </c>
      <c r="N130" s="138">
        <v>1</v>
      </c>
      <c r="O130" s="138">
        <v>1</v>
      </c>
      <c r="P130" s="138">
        <v>1</v>
      </c>
      <c r="Q130" s="138">
        <v>1</v>
      </c>
      <c r="R130" s="147">
        <v>1</v>
      </c>
      <c r="S130" s="139"/>
      <c r="T130" s="148"/>
      <c r="U130" s="148"/>
      <c r="V130" s="148">
        <v>1</v>
      </c>
      <c r="W130" s="149">
        <v>3</v>
      </c>
      <c r="X130" s="161">
        <v>7</v>
      </c>
      <c r="Y130" s="139"/>
      <c r="Z130" s="139">
        <v>1</v>
      </c>
      <c r="AA130" s="137">
        <v>1</v>
      </c>
      <c r="AB130" s="151">
        <v>1</v>
      </c>
      <c r="AC130" s="129">
        <v>1</v>
      </c>
      <c r="AD130" s="137">
        <v>1</v>
      </c>
      <c r="AE130" s="152">
        <v>1</v>
      </c>
      <c r="AF130" s="1141" t="s">
        <v>399</v>
      </c>
      <c r="AG130" s="771" t="s">
        <v>398</v>
      </c>
      <c r="AH130" s="774" t="s">
        <v>400</v>
      </c>
      <c r="AI130" s="774" t="s">
        <v>401</v>
      </c>
      <c r="AJ130" s="777" t="s">
        <v>402</v>
      </c>
      <c r="AK130" s="774" t="s">
        <v>315</v>
      </c>
      <c r="AL130" s="774" t="s">
        <v>403</v>
      </c>
      <c r="AM130" s="774" t="s">
        <v>316</v>
      </c>
      <c r="AN130" s="807">
        <v>372618</v>
      </c>
      <c r="AO130" s="808">
        <v>179866</v>
      </c>
      <c r="AP130" s="808">
        <v>192751</v>
      </c>
      <c r="AQ130" s="806" t="s">
        <v>317</v>
      </c>
      <c r="AR130" s="806" t="s">
        <v>317</v>
      </c>
      <c r="AS130" s="806" t="s">
        <v>317</v>
      </c>
      <c r="AT130" s="806" t="s">
        <v>317</v>
      </c>
      <c r="AU130" s="795" t="s">
        <v>317</v>
      </c>
      <c r="AV130" s="795" t="s">
        <v>317</v>
      </c>
      <c r="AW130" s="795" t="s">
        <v>317</v>
      </c>
      <c r="AX130" s="796">
        <v>372618</v>
      </c>
      <c r="AY130" s="159"/>
    </row>
    <row r="131" spans="1:51" ht="47.25" customHeight="1" x14ac:dyDescent="0.25">
      <c r="A131" s="912"/>
      <c r="B131" s="1155"/>
      <c r="C131" s="1127"/>
      <c r="D131" s="132" t="s">
        <v>3</v>
      </c>
      <c r="E131" s="142"/>
      <c r="F131" s="143"/>
      <c r="G131" s="144"/>
      <c r="H131" s="144"/>
      <c r="I131" s="144" t="e">
        <f>+I130*$I$11/$I$10</f>
        <v>#REF!</v>
      </c>
      <c r="J131" s="138" t="e">
        <f>+J130*$J$11/$J$10</f>
        <v>#REF!</v>
      </c>
      <c r="K131" s="137"/>
      <c r="L131" s="138"/>
      <c r="M131" s="153" t="e">
        <f>+M130*$M$11/$M$10</f>
        <v>#REF!</v>
      </c>
      <c r="N131" s="154">
        <f>+N130*$N$11/$N$10</f>
        <v>5482727.2727272725</v>
      </c>
      <c r="O131" s="138">
        <f>+O130*$O$11/$O$10</f>
        <v>5482727.2727272725</v>
      </c>
      <c r="P131" s="138" t="e">
        <f>+P130*$P$11/$P$10</f>
        <v>#REF!</v>
      </c>
      <c r="Q131" s="138" t="e">
        <f>+Q130*$Q$11/$Q$10</f>
        <v>#REF!</v>
      </c>
      <c r="R131" s="138" t="e">
        <f>+R130*$R$11/$R$10</f>
        <v>#REF!</v>
      </c>
      <c r="S131" s="139"/>
      <c r="T131" s="148"/>
      <c r="U131" s="148"/>
      <c r="V131" s="155" t="e">
        <f>+V130*$V$11/$V$10</f>
        <v>#REF!</v>
      </c>
      <c r="W131" s="138" t="e">
        <f>+W130*$W$11/$W$10</f>
        <v>#REF!</v>
      </c>
      <c r="X131" s="139"/>
      <c r="Y131" s="139"/>
      <c r="Z131" s="156">
        <f>+Z130*$Z$11/$Z$10</f>
        <v>12780000</v>
      </c>
      <c r="AA131" s="157">
        <f>+AA130*$AA$11/$AA$10</f>
        <v>11929863.636363637</v>
      </c>
      <c r="AB131" s="137">
        <f>+AB130*$AB$11/$AB$10</f>
        <v>7953242.4242424238</v>
      </c>
      <c r="AC131" s="137" t="e">
        <f>+AC130*$AC$11/$AC$10</f>
        <v>#REF!</v>
      </c>
      <c r="AD131" s="137" t="e">
        <f>+AD130*$AD$11/$AD$10</f>
        <v>#REF!</v>
      </c>
      <c r="AE131" s="137" t="e">
        <f>+AE130*$AE$11/$AE$10</f>
        <v>#REF!</v>
      </c>
      <c r="AF131" s="1141"/>
      <c r="AG131" s="772"/>
      <c r="AH131" s="775"/>
      <c r="AI131" s="775"/>
      <c r="AJ131" s="778"/>
      <c r="AK131" s="775"/>
      <c r="AL131" s="775"/>
      <c r="AM131" s="775"/>
      <c r="AN131" s="807"/>
      <c r="AO131" s="808"/>
      <c r="AP131" s="808"/>
      <c r="AQ131" s="806"/>
      <c r="AR131" s="806"/>
      <c r="AS131" s="806"/>
      <c r="AT131" s="806"/>
      <c r="AU131" s="795"/>
      <c r="AV131" s="795"/>
      <c r="AW131" s="795"/>
      <c r="AX131" s="797"/>
      <c r="AY131" s="159"/>
    </row>
    <row r="132" spans="1:51" ht="47.25" customHeight="1" x14ac:dyDescent="0.25">
      <c r="A132" s="912"/>
      <c r="B132" s="1155"/>
      <c r="C132" s="1127"/>
      <c r="D132" s="136" t="s">
        <v>42</v>
      </c>
      <c r="E132" s="142"/>
      <c r="F132" s="143"/>
      <c r="G132" s="144"/>
      <c r="H132" s="144"/>
      <c r="I132" s="144"/>
      <c r="J132" s="138"/>
      <c r="K132" s="137"/>
      <c r="L132" s="138"/>
      <c r="M132" s="146"/>
      <c r="N132" s="138"/>
      <c r="O132" s="138"/>
      <c r="P132" s="138"/>
      <c r="Q132" s="138"/>
      <c r="R132" s="147"/>
      <c r="S132" s="139"/>
      <c r="T132" s="148"/>
      <c r="U132" s="148"/>
      <c r="V132" s="148"/>
      <c r="W132" s="146"/>
      <c r="X132" s="139"/>
      <c r="Y132" s="139"/>
      <c r="Z132" s="139"/>
      <c r="AA132" s="137"/>
      <c r="AB132" s="151"/>
      <c r="AC132" s="129"/>
      <c r="AD132" s="137"/>
      <c r="AE132" s="152"/>
      <c r="AF132" s="1141"/>
      <c r="AG132" s="772"/>
      <c r="AH132" s="775"/>
      <c r="AI132" s="775"/>
      <c r="AJ132" s="778"/>
      <c r="AK132" s="775"/>
      <c r="AL132" s="775"/>
      <c r="AM132" s="775"/>
      <c r="AN132" s="807"/>
      <c r="AO132" s="808"/>
      <c r="AP132" s="808"/>
      <c r="AQ132" s="806"/>
      <c r="AR132" s="806"/>
      <c r="AS132" s="806"/>
      <c r="AT132" s="806"/>
      <c r="AU132" s="795"/>
      <c r="AV132" s="795"/>
      <c r="AW132" s="795"/>
      <c r="AX132" s="797"/>
      <c r="AY132" s="159"/>
    </row>
    <row r="133" spans="1:51" ht="47.25" customHeight="1" x14ac:dyDescent="0.25">
      <c r="A133" s="912"/>
      <c r="B133" s="1155"/>
      <c r="C133" s="1127"/>
      <c r="D133" s="132" t="s">
        <v>4</v>
      </c>
      <c r="E133" s="142"/>
      <c r="F133" s="143"/>
      <c r="G133" s="144"/>
      <c r="H133" s="144"/>
      <c r="I133" s="144"/>
      <c r="J133" s="138"/>
      <c r="K133" s="137"/>
      <c r="L133" s="138"/>
      <c r="M133" s="146"/>
      <c r="N133" s="138"/>
      <c r="O133" s="138"/>
      <c r="P133" s="138"/>
      <c r="Q133" s="138"/>
      <c r="R133" s="147"/>
      <c r="S133" s="139"/>
      <c r="T133" s="148"/>
      <c r="U133" s="148"/>
      <c r="V133" s="148"/>
      <c r="W133" s="146"/>
      <c r="X133" s="139"/>
      <c r="Y133" s="139"/>
      <c r="Z133" s="139"/>
      <c r="AA133" s="137"/>
      <c r="AB133" s="151"/>
      <c r="AC133" s="129"/>
      <c r="AD133" s="137"/>
      <c r="AE133" s="152"/>
      <c r="AF133" s="1141"/>
      <c r="AG133" s="772"/>
      <c r="AH133" s="775"/>
      <c r="AI133" s="775"/>
      <c r="AJ133" s="778"/>
      <c r="AK133" s="775"/>
      <c r="AL133" s="775"/>
      <c r="AM133" s="775"/>
      <c r="AN133" s="807"/>
      <c r="AO133" s="808"/>
      <c r="AP133" s="808"/>
      <c r="AQ133" s="806"/>
      <c r="AR133" s="806"/>
      <c r="AS133" s="806"/>
      <c r="AT133" s="806"/>
      <c r="AU133" s="795"/>
      <c r="AV133" s="795"/>
      <c r="AW133" s="795"/>
      <c r="AX133" s="797"/>
      <c r="AY133" s="159"/>
    </row>
    <row r="134" spans="1:51" ht="47.25" customHeight="1" x14ac:dyDescent="0.25">
      <c r="A134" s="912"/>
      <c r="B134" s="1155"/>
      <c r="C134" s="1127"/>
      <c r="D134" s="136" t="s">
        <v>43</v>
      </c>
      <c r="E134" s="142"/>
      <c r="F134" s="143"/>
      <c r="G134" s="144"/>
      <c r="H134" s="144"/>
      <c r="I134" s="144">
        <v>1</v>
      </c>
      <c r="J134" s="138">
        <v>3</v>
      </c>
      <c r="K134" s="137"/>
      <c r="L134" s="138"/>
      <c r="M134" s="146"/>
      <c r="N134" s="138"/>
      <c r="O134" s="138">
        <f>+O130</f>
        <v>1</v>
      </c>
      <c r="P134" s="138">
        <v>1</v>
      </c>
      <c r="Q134" s="138">
        <v>1</v>
      </c>
      <c r="R134" s="147">
        <v>1</v>
      </c>
      <c r="S134" s="139"/>
      <c r="T134" s="148"/>
      <c r="U134" s="148"/>
      <c r="V134" s="148">
        <v>1</v>
      </c>
      <c r="W134" s="146">
        <v>3</v>
      </c>
      <c r="X134" s="139"/>
      <c r="Y134" s="139"/>
      <c r="Z134" s="139"/>
      <c r="AA134" s="137"/>
      <c r="AB134" s="137">
        <f>+AB130</f>
        <v>1</v>
      </c>
      <c r="AC134" s="129">
        <v>1</v>
      </c>
      <c r="AD134" s="137">
        <v>1</v>
      </c>
      <c r="AE134" s="152">
        <v>1</v>
      </c>
      <c r="AF134" s="1141"/>
      <c r="AG134" s="772"/>
      <c r="AH134" s="775"/>
      <c r="AI134" s="775"/>
      <c r="AJ134" s="778"/>
      <c r="AK134" s="775"/>
      <c r="AL134" s="775"/>
      <c r="AM134" s="775"/>
      <c r="AN134" s="807"/>
      <c r="AO134" s="808"/>
      <c r="AP134" s="808"/>
      <c r="AQ134" s="806"/>
      <c r="AR134" s="806"/>
      <c r="AS134" s="806"/>
      <c r="AT134" s="806"/>
      <c r="AU134" s="795"/>
      <c r="AV134" s="795"/>
      <c r="AW134" s="795"/>
      <c r="AX134" s="797"/>
      <c r="AY134" s="159"/>
    </row>
    <row r="135" spans="1:51" ht="47.25" customHeight="1" thickBot="1" x14ac:dyDescent="0.3">
      <c r="A135" s="912"/>
      <c r="B135" s="1155"/>
      <c r="C135" s="1127"/>
      <c r="D135" s="140" t="s">
        <v>45</v>
      </c>
      <c r="E135" s="142"/>
      <c r="F135" s="143"/>
      <c r="G135" s="144"/>
      <c r="H135" s="144"/>
      <c r="I135" s="144" t="e">
        <f>+I134*$I$11/$I$10</f>
        <v>#REF!</v>
      </c>
      <c r="J135" s="138" t="e">
        <f>+J134*$J$11/$J$10</f>
        <v>#REF!</v>
      </c>
      <c r="K135" s="137"/>
      <c r="L135" s="138"/>
      <c r="M135" s="146"/>
      <c r="N135" s="138"/>
      <c r="O135" s="138">
        <f>+O131</f>
        <v>5482727.2727272725</v>
      </c>
      <c r="P135" s="138" t="e">
        <f>+P134*$P$11/$P$10</f>
        <v>#REF!</v>
      </c>
      <c r="Q135" s="138" t="e">
        <f>+Q134*$Q$11/$Q$10</f>
        <v>#REF!</v>
      </c>
      <c r="R135" s="138" t="e">
        <f>+R134*$R$11/$R$10</f>
        <v>#REF!</v>
      </c>
      <c r="S135" s="139"/>
      <c r="T135" s="148"/>
      <c r="U135" s="148"/>
      <c r="V135" s="155" t="e">
        <f>+V134*$V$11/$V$10</f>
        <v>#REF!</v>
      </c>
      <c r="W135" s="138" t="e">
        <f>+W134*$W$11/$W$10</f>
        <v>#REF!</v>
      </c>
      <c r="X135" s="139"/>
      <c r="Y135" s="139"/>
      <c r="Z135" s="139"/>
      <c r="AA135" s="137"/>
      <c r="AB135" s="137">
        <f>+AB131</f>
        <v>7953242.4242424238</v>
      </c>
      <c r="AC135" s="137" t="e">
        <f>+AC134*$AC$11/$AC$10</f>
        <v>#REF!</v>
      </c>
      <c r="AD135" s="137" t="e">
        <f>+AD134*$AD$11/$AD$10</f>
        <v>#REF!</v>
      </c>
      <c r="AE135" s="137" t="e">
        <f>+AE134*$AE$11/$AE$10</f>
        <v>#REF!</v>
      </c>
      <c r="AF135" s="1141"/>
      <c r="AG135" s="773"/>
      <c r="AH135" s="776"/>
      <c r="AI135" s="776"/>
      <c r="AJ135" s="779"/>
      <c r="AK135" s="776"/>
      <c r="AL135" s="776"/>
      <c r="AM135" s="776"/>
      <c r="AN135" s="807"/>
      <c r="AO135" s="808"/>
      <c r="AP135" s="808"/>
      <c r="AQ135" s="806"/>
      <c r="AR135" s="806"/>
      <c r="AS135" s="806"/>
      <c r="AT135" s="806"/>
      <c r="AU135" s="795"/>
      <c r="AV135" s="795"/>
      <c r="AW135" s="795"/>
      <c r="AX135" s="798"/>
      <c r="AY135" s="159"/>
    </row>
    <row r="136" spans="1:51" ht="50.25" customHeight="1" x14ac:dyDescent="0.25">
      <c r="A136" s="912"/>
      <c r="B136" s="1155"/>
      <c r="C136" s="838" t="s">
        <v>404</v>
      </c>
      <c r="D136" s="141" t="s">
        <v>41</v>
      </c>
      <c r="E136" s="142"/>
      <c r="F136" s="143"/>
      <c r="G136" s="144"/>
      <c r="H136" s="144"/>
      <c r="I136" s="148">
        <v>1</v>
      </c>
      <c r="J136" s="138">
        <v>2</v>
      </c>
      <c r="K136" s="145">
        <v>2</v>
      </c>
      <c r="L136" s="138"/>
      <c r="M136" s="146">
        <v>1</v>
      </c>
      <c r="N136" s="138">
        <v>2</v>
      </c>
      <c r="O136" s="138">
        <v>3</v>
      </c>
      <c r="P136" s="138">
        <v>3</v>
      </c>
      <c r="Q136" s="138">
        <v>3</v>
      </c>
      <c r="R136" s="147">
        <v>3</v>
      </c>
      <c r="S136" s="139"/>
      <c r="T136" s="148"/>
      <c r="U136" s="148"/>
      <c r="V136" s="148">
        <v>1</v>
      </c>
      <c r="W136" s="149">
        <v>2</v>
      </c>
      <c r="X136" s="150">
        <v>2</v>
      </c>
      <c r="Y136" s="139"/>
      <c r="Z136" s="139">
        <v>1</v>
      </c>
      <c r="AA136" s="137">
        <v>2</v>
      </c>
      <c r="AB136" s="151">
        <v>3</v>
      </c>
      <c r="AC136" s="129">
        <v>3</v>
      </c>
      <c r="AD136" s="137">
        <v>3</v>
      </c>
      <c r="AE136" s="152">
        <v>3</v>
      </c>
      <c r="AF136" s="1115" t="s">
        <v>405</v>
      </c>
      <c r="AG136" s="771" t="s">
        <v>404</v>
      </c>
      <c r="AH136" s="774" t="s">
        <v>406</v>
      </c>
      <c r="AI136" s="774" t="s">
        <v>407</v>
      </c>
      <c r="AJ136" s="777" t="s">
        <v>338</v>
      </c>
      <c r="AK136" s="774" t="s">
        <v>315</v>
      </c>
      <c r="AL136" s="774" t="s">
        <v>408</v>
      </c>
      <c r="AM136" s="774" t="s">
        <v>316</v>
      </c>
      <c r="AN136" s="807">
        <v>621368</v>
      </c>
      <c r="AO136" s="808">
        <v>303282</v>
      </c>
      <c r="AP136" s="808">
        <v>318086</v>
      </c>
      <c r="AQ136" s="806" t="s">
        <v>317</v>
      </c>
      <c r="AR136" s="806" t="s">
        <v>317</v>
      </c>
      <c r="AS136" s="806" t="s">
        <v>317</v>
      </c>
      <c r="AT136" s="806" t="s">
        <v>317</v>
      </c>
      <c r="AU136" s="795" t="s">
        <v>317</v>
      </c>
      <c r="AV136" s="795" t="s">
        <v>317</v>
      </c>
      <c r="AW136" s="795" t="s">
        <v>317</v>
      </c>
      <c r="AX136" s="796">
        <v>621368</v>
      </c>
      <c r="AY136" s="159"/>
    </row>
    <row r="137" spans="1:51" ht="50.25" customHeight="1" x14ac:dyDescent="0.25">
      <c r="A137" s="912"/>
      <c r="B137" s="1155"/>
      <c r="C137" s="838"/>
      <c r="D137" s="132" t="s">
        <v>3</v>
      </c>
      <c r="E137" s="142"/>
      <c r="F137" s="143"/>
      <c r="G137" s="144"/>
      <c r="H137" s="144"/>
      <c r="I137" s="144" t="e">
        <f>+I136*$I$11/$I$10</f>
        <v>#REF!</v>
      </c>
      <c r="J137" s="138" t="e">
        <f>+J136*$J$11/$J$10</f>
        <v>#REF!</v>
      </c>
      <c r="K137" s="137"/>
      <c r="L137" s="138"/>
      <c r="M137" s="153" t="e">
        <f>+M136*$M$11/$M$10</f>
        <v>#REF!</v>
      </c>
      <c r="N137" s="154">
        <f>+N136*$N$11/$N$10</f>
        <v>10965454.545454545</v>
      </c>
      <c r="O137" s="138">
        <f>+O136*$O$11/$O$10</f>
        <v>16448181.818181818</v>
      </c>
      <c r="P137" s="138" t="e">
        <f>+P136*$P$11/$P$10</f>
        <v>#REF!</v>
      </c>
      <c r="Q137" s="138" t="e">
        <f>+Q136*$Q$11/$Q$10</f>
        <v>#REF!</v>
      </c>
      <c r="R137" s="138" t="e">
        <f>+R136*$R$11/$R$10</f>
        <v>#REF!</v>
      </c>
      <c r="S137" s="139"/>
      <c r="T137" s="148"/>
      <c r="U137" s="148"/>
      <c r="V137" s="155" t="e">
        <f>+V136*$V$11/$V$10</f>
        <v>#REF!</v>
      </c>
      <c r="W137" s="138" t="e">
        <f>+W136*$W$11/$W$10</f>
        <v>#REF!</v>
      </c>
      <c r="X137" s="139"/>
      <c r="Y137" s="139"/>
      <c r="Z137" s="156">
        <f>+Z136*$Z$11/$Z$10</f>
        <v>12780000</v>
      </c>
      <c r="AA137" s="157">
        <f>+AA136*$AA$11/$AA$10</f>
        <v>23859727.272727273</v>
      </c>
      <c r="AB137" s="137">
        <f>+AB136*$AB$11/$AB$10</f>
        <v>23859727.272727273</v>
      </c>
      <c r="AC137" s="137" t="e">
        <f>+AC136*$AC$11/$AC$10</f>
        <v>#REF!</v>
      </c>
      <c r="AD137" s="137" t="e">
        <f>+AD136*$AD$11/$AD$10</f>
        <v>#REF!</v>
      </c>
      <c r="AE137" s="137" t="e">
        <f>+AE136*$AE$11/$AE$10</f>
        <v>#REF!</v>
      </c>
      <c r="AF137" s="1115"/>
      <c r="AG137" s="772"/>
      <c r="AH137" s="775"/>
      <c r="AI137" s="775"/>
      <c r="AJ137" s="778"/>
      <c r="AK137" s="775"/>
      <c r="AL137" s="775"/>
      <c r="AM137" s="775"/>
      <c r="AN137" s="807"/>
      <c r="AO137" s="808"/>
      <c r="AP137" s="808"/>
      <c r="AQ137" s="806"/>
      <c r="AR137" s="806"/>
      <c r="AS137" s="806"/>
      <c r="AT137" s="806"/>
      <c r="AU137" s="795"/>
      <c r="AV137" s="795"/>
      <c r="AW137" s="795"/>
      <c r="AX137" s="797"/>
      <c r="AY137" s="159"/>
    </row>
    <row r="138" spans="1:51" ht="50.25" customHeight="1" x14ac:dyDescent="0.25">
      <c r="A138" s="912"/>
      <c r="B138" s="1155"/>
      <c r="C138" s="838"/>
      <c r="D138" s="136" t="s">
        <v>42</v>
      </c>
      <c r="E138" s="142"/>
      <c r="F138" s="143"/>
      <c r="G138" s="144"/>
      <c r="H138" s="144"/>
      <c r="I138" s="144"/>
      <c r="J138" s="138"/>
      <c r="K138" s="137"/>
      <c r="L138" s="138"/>
      <c r="M138" s="146"/>
      <c r="N138" s="138"/>
      <c r="O138" s="138"/>
      <c r="P138" s="138"/>
      <c r="Q138" s="138"/>
      <c r="R138" s="147"/>
      <c r="S138" s="139"/>
      <c r="T138" s="148"/>
      <c r="U138" s="148"/>
      <c r="V138" s="148"/>
      <c r="W138" s="146"/>
      <c r="X138" s="139"/>
      <c r="Y138" s="139"/>
      <c r="Z138" s="139"/>
      <c r="AA138" s="137"/>
      <c r="AB138" s="151"/>
      <c r="AC138" s="129"/>
      <c r="AD138" s="162"/>
      <c r="AE138" s="152"/>
      <c r="AF138" s="1115"/>
      <c r="AG138" s="772"/>
      <c r="AH138" s="775"/>
      <c r="AI138" s="775"/>
      <c r="AJ138" s="778"/>
      <c r="AK138" s="775"/>
      <c r="AL138" s="775"/>
      <c r="AM138" s="775"/>
      <c r="AN138" s="807"/>
      <c r="AO138" s="808"/>
      <c r="AP138" s="808"/>
      <c r="AQ138" s="806"/>
      <c r="AR138" s="806"/>
      <c r="AS138" s="806"/>
      <c r="AT138" s="806"/>
      <c r="AU138" s="795"/>
      <c r="AV138" s="795"/>
      <c r="AW138" s="795"/>
      <c r="AX138" s="797"/>
      <c r="AY138" s="159"/>
    </row>
    <row r="139" spans="1:51" ht="50.25" customHeight="1" x14ac:dyDescent="0.25">
      <c r="A139" s="912"/>
      <c r="B139" s="1155"/>
      <c r="C139" s="838"/>
      <c r="D139" s="132" t="s">
        <v>4</v>
      </c>
      <c r="E139" s="142"/>
      <c r="F139" s="143"/>
      <c r="G139" s="144"/>
      <c r="H139" s="144"/>
      <c r="I139" s="144"/>
      <c r="J139" s="138"/>
      <c r="K139" s="137"/>
      <c r="L139" s="138"/>
      <c r="M139" s="146"/>
      <c r="N139" s="138"/>
      <c r="O139" s="138"/>
      <c r="P139" s="138"/>
      <c r="Q139" s="138"/>
      <c r="R139" s="147"/>
      <c r="S139" s="139"/>
      <c r="T139" s="148"/>
      <c r="U139" s="148"/>
      <c r="V139" s="148"/>
      <c r="W139" s="146"/>
      <c r="X139" s="139"/>
      <c r="Y139" s="139"/>
      <c r="Z139" s="139"/>
      <c r="AA139" s="137"/>
      <c r="AB139" s="151"/>
      <c r="AC139" s="129"/>
      <c r="AD139" s="162"/>
      <c r="AE139" s="152"/>
      <c r="AF139" s="1115"/>
      <c r="AG139" s="772"/>
      <c r="AH139" s="775"/>
      <c r="AI139" s="775"/>
      <c r="AJ139" s="778"/>
      <c r="AK139" s="775"/>
      <c r="AL139" s="775"/>
      <c r="AM139" s="775"/>
      <c r="AN139" s="807"/>
      <c r="AO139" s="808"/>
      <c r="AP139" s="808"/>
      <c r="AQ139" s="806"/>
      <c r="AR139" s="806"/>
      <c r="AS139" s="806"/>
      <c r="AT139" s="806"/>
      <c r="AU139" s="795"/>
      <c r="AV139" s="795"/>
      <c r="AW139" s="795"/>
      <c r="AX139" s="797"/>
      <c r="AY139" s="159"/>
    </row>
    <row r="140" spans="1:51" ht="50.25" customHeight="1" x14ac:dyDescent="0.25">
      <c r="A140" s="912"/>
      <c r="B140" s="1155"/>
      <c r="C140" s="838"/>
      <c r="D140" s="136" t="s">
        <v>43</v>
      </c>
      <c r="E140" s="142"/>
      <c r="F140" s="143"/>
      <c r="G140" s="144"/>
      <c r="H140" s="144"/>
      <c r="I140" s="144">
        <v>1</v>
      </c>
      <c r="J140" s="138">
        <v>1</v>
      </c>
      <c r="K140" s="137"/>
      <c r="L140" s="138"/>
      <c r="M140" s="146"/>
      <c r="N140" s="138"/>
      <c r="O140" s="138">
        <f>+O136</f>
        <v>3</v>
      </c>
      <c r="P140" s="138">
        <v>3</v>
      </c>
      <c r="Q140" s="138">
        <v>3</v>
      </c>
      <c r="R140" s="147">
        <v>3</v>
      </c>
      <c r="S140" s="139"/>
      <c r="T140" s="148"/>
      <c r="U140" s="148"/>
      <c r="V140" s="148">
        <v>1</v>
      </c>
      <c r="W140" s="146">
        <v>2</v>
      </c>
      <c r="X140" s="139"/>
      <c r="Y140" s="139"/>
      <c r="Z140" s="139"/>
      <c r="AA140" s="137"/>
      <c r="AB140" s="137">
        <f>+AB136</f>
        <v>3</v>
      </c>
      <c r="AC140" s="129">
        <v>3</v>
      </c>
      <c r="AD140" s="162">
        <v>3</v>
      </c>
      <c r="AE140" s="152">
        <v>3</v>
      </c>
      <c r="AF140" s="1115"/>
      <c r="AG140" s="772"/>
      <c r="AH140" s="775"/>
      <c r="AI140" s="775"/>
      <c r="AJ140" s="778"/>
      <c r="AK140" s="775"/>
      <c r="AL140" s="775"/>
      <c r="AM140" s="775"/>
      <c r="AN140" s="807"/>
      <c r="AO140" s="808"/>
      <c r="AP140" s="808"/>
      <c r="AQ140" s="806"/>
      <c r="AR140" s="806"/>
      <c r="AS140" s="806"/>
      <c r="AT140" s="806"/>
      <c r="AU140" s="795"/>
      <c r="AV140" s="795"/>
      <c r="AW140" s="795"/>
      <c r="AX140" s="797"/>
      <c r="AY140" s="159"/>
    </row>
    <row r="141" spans="1:51" ht="50.25" customHeight="1" thickBot="1" x14ac:dyDescent="0.3">
      <c r="A141" s="912"/>
      <c r="B141" s="1155"/>
      <c r="C141" s="838"/>
      <c r="D141" s="140" t="s">
        <v>45</v>
      </c>
      <c r="E141" s="142"/>
      <c r="F141" s="143"/>
      <c r="G141" s="144"/>
      <c r="H141" s="144"/>
      <c r="I141" s="144" t="e">
        <f>+I140*$I$11/$I$10</f>
        <v>#REF!</v>
      </c>
      <c r="J141" s="138" t="e">
        <f>+J140*$J$11/$J$10</f>
        <v>#REF!</v>
      </c>
      <c r="K141" s="137"/>
      <c r="L141" s="138"/>
      <c r="M141" s="146"/>
      <c r="N141" s="138"/>
      <c r="O141" s="138">
        <f>+O137</f>
        <v>16448181.818181818</v>
      </c>
      <c r="P141" s="138" t="e">
        <f>+P140*$P$11/$P$10</f>
        <v>#REF!</v>
      </c>
      <c r="Q141" s="138" t="e">
        <f>+Q140*$Q$11/$Q$10</f>
        <v>#REF!</v>
      </c>
      <c r="R141" s="138" t="e">
        <f>+R140*$R$11/$R$10</f>
        <v>#REF!</v>
      </c>
      <c r="S141" s="139"/>
      <c r="T141" s="148"/>
      <c r="U141" s="148"/>
      <c r="V141" s="155" t="e">
        <f>+V140*$V$11/$V$10</f>
        <v>#REF!</v>
      </c>
      <c r="W141" s="138" t="e">
        <f>+W140*$W$11/$W$10</f>
        <v>#REF!</v>
      </c>
      <c r="X141" s="139"/>
      <c r="Y141" s="139"/>
      <c r="Z141" s="139"/>
      <c r="AA141" s="137"/>
      <c r="AB141" s="137">
        <f>+AB137</f>
        <v>23859727.272727273</v>
      </c>
      <c r="AC141" s="137" t="e">
        <f>+AC140*$AC$11/$AC$10</f>
        <v>#REF!</v>
      </c>
      <c r="AD141" s="137" t="e">
        <f>+AD140*$AD$11/$AD$10</f>
        <v>#REF!</v>
      </c>
      <c r="AE141" s="137" t="e">
        <f>+AE140*$AE$11/$AE$10</f>
        <v>#REF!</v>
      </c>
      <c r="AF141" s="1115"/>
      <c r="AG141" s="773"/>
      <c r="AH141" s="776"/>
      <c r="AI141" s="776"/>
      <c r="AJ141" s="779"/>
      <c r="AK141" s="776"/>
      <c r="AL141" s="776"/>
      <c r="AM141" s="776"/>
      <c r="AN141" s="807"/>
      <c r="AO141" s="808"/>
      <c r="AP141" s="808"/>
      <c r="AQ141" s="806"/>
      <c r="AR141" s="806"/>
      <c r="AS141" s="806"/>
      <c r="AT141" s="806"/>
      <c r="AU141" s="795"/>
      <c r="AV141" s="795"/>
      <c r="AW141" s="795"/>
      <c r="AX141" s="798"/>
      <c r="AY141" s="159"/>
    </row>
    <row r="142" spans="1:51" ht="18" customHeight="1" x14ac:dyDescent="0.25">
      <c r="A142" s="912"/>
      <c r="B142" s="1155"/>
      <c r="C142" s="838" t="s">
        <v>409</v>
      </c>
      <c r="D142" s="141" t="s">
        <v>41</v>
      </c>
      <c r="E142" s="142"/>
      <c r="F142" s="143"/>
      <c r="G142" s="144">
        <v>104</v>
      </c>
      <c r="H142" s="144">
        <v>96</v>
      </c>
      <c r="I142" s="144">
        <v>86</v>
      </c>
      <c r="J142" s="138">
        <v>76</v>
      </c>
      <c r="K142" s="145">
        <v>66</v>
      </c>
      <c r="L142" s="138"/>
      <c r="M142" s="146">
        <v>55</v>
      </c>
      <c r="N142" s="138">
        <v>44</v>
      </c>
      <c r="O142" s="138">
        <v>33</v>
      </c>
      <c r="P142" s="138">
        <v>22</v>
      </c>
      <c r="Q142" s="138">
        <v>11</v>
      </c>
      <c r="R142" s="147">
        <v>0</v>
      </c>
      <c r="S142" s="139"/>
      <c r="T142" s="148"/>
      <c r="U142" s="148"/>
      <c r="V142" s="148"/>
      <c r="W142" s="146"/>
      <c r="X142" s="139"/>
      <c r="Y142" s="139"/>
      <c r="Z142" s="139"/>
      <c r="AA142" s="137"/>
      <c r="AB142" s="151">
        <v>33</v>
      </c>
      <c r="AC142" s="129"/>
      <c r="AD142" s="162"/>
      <c r="AE142" s="152"/>
      <c r="AF142" s="1114"/>
      <c r="AG142" s="881"/>
      <c r="AH142" s="774"/>
      <c r="AI142" s="774"/>
      <c r="AJ142" s="777"/>
      <c r="AK142" s="774"/>
      <c r="AL142" s="774"/>
      <c r="AM142" s="774" t="s">
        <v>316</v>
      </c>
      <c r="AN142" s="808">
        <v>7804660</v>
      </c>
      <c r="AO142" s="796">
        <v>3721767</v>
      </c>
      <c r="AP142" s="796">
        <v>4082893</v>
      </c>
      <c r="AQ142" s="806" t="s">
        <v>317</v>
      </c>
      <c r="AR142" s="806" t="s">
        <v>317</v>
      </c>
      <c r="AS142" s="806" t="s">
        <v>317</v>
      </c>
      <c r="AT142" s="806" t="s">
        <v>317</v>
      </c>
      <c r="AU142" s="795" t="s">
        <v>317</v>
      </c>
      <c r="AV142" s="795" t="s">
        <v>317</v>
      </c>
      <c r="AW142" s="795" t="s">
        <v>317</v>
      </c>
      <c r="AX142" s="796">
        <v>7804660</v>
      </c>
      <c r="AY142" s="159"/>
    </row>
    <row r="143" spans="1:51" ht="18" x14ac:dyDescent="0.25">
      <c r="A143" s="912"/>
      <c r="B143" s="1155"/>
      <c r="C143" s="838"/>
      <c r="D143" s="132" t="s">
        <v>3</v>
      </c>
      <c r="E143" s="142"/>
      <c r="F143" s="143"/>
      <c r="G143" s="144">
        <f>+G142*$G$11/$G$10</f>
        <v>548293724.77064216</v>
      </c>
      <c r="H143" s="144">
        <f>+H142*$H$11/$H$10</f>
        <v>506117284.40366971</v>
      </c>
      <c r="I143" s="144" t="e">
        <f>+I142*$I$11/$I$10</f>
        <v>#REF!</v>
      </c>
      <c r="J143" s="138" t="e">
        <f>+J142*$J$11/$J$10</f>
        <v>#REF!</v>
      </c>
      <c r="K143" s="137"/>
      <c r="L143" s="138"/>
      <c r="M143" s="153" t="e">
        <f>+M142*$M$11/$M$10</f>
        <v>#REF!</v>
      </c>
      <c r="N143" s="154">
        <f>+N142*$N$11/$N$10</f>
        <v>241240000</v>
      </c>
      <c r="O143" s="138">
        <f>+O142*$O$11/$O$10</f>
        <v>180930000</v>
      </c>
      <c r="P143" s="138" t="e">
        <f>+P142*$P$11/$P$10</f>
        <v>#REF!</v>
      </c>
      <c r="Q143" s="138" t="e">
        <f>+Q142*$Q$11/$Q$10</f>
        <v>#REF!</v>
      </c>
      <c r="R143" s="147"/>
      <c r="S143" s="139"/>
      <c r="T143" s="148"/>
      <c r="U143" s="144"/>
      <c r="V143" s="148"/>
      <c r="W143" s="146"/>
      <c r="X143" s="139"/>
      <c r="Y143" s="139"/>
      <c r="Z143" s="156"/>
      <c r="AA143" s="137"/>
      <c r="AB143" s="137">
        <f>+AB142*$AB$11/$AB$10</f>
        <v>262457000</v>
      </c>
      <c r="AC143" s="137" t="e">
        <f>+AC142*$AC$11/$AC$10</f>
        <v>#REF!</v>
      </c>
      <c r="AD143" s="162"/>
      <c r="AE143" s="152"/>
      <c r="AF143" s="1114"/>
      <c r="AG143" s="882"/>
      <c r="AH143" s="775"/>
      <c r="AI143" s="775"/>
      <c r="AJ143" s="778"/>
      <c r="AK143" s="775"/>
      <c r="AL143" s="775"/>
      <c r="AM143" s="775"/>
      <c r="AN143" s="808"/>
      <c r="AO143" s="797"/>
      <c r="AP143" s="797"/>
      <c r="AQ143" s="806"/>
      <c r="AR143" s="806"/>
      <c r="AS143" s="806"/>
      <c r="AT143" s="806"/>
      <c r="AU143" s="795"/>
      <c r="AV143" s="795"/>
      <c r="AW143" s="795"/>
      <c r="AX143" s="797"/>
      <c r="AY143" s="159"/>
    </row>
    <row r="144" spans="1:51" ht="27" x14ac:dyDescent="0.25">
      <c r="A144" s="912"/>
      <c r="B144" s="1155"/>
      <c r="C144" s="838"/>
      <c r="D144" s="136" t="s">
        <v>42</v>
      </c>
      <c r="E144" s="142"/>
      <c r="F144" s="143"/>
      <c r="G144" s="144"/>
      <c r="H144" s="144"/>
      <c r="I144" s="144"/>
      <c r="J144" s="138"/>
      <c r="K144" s="137"/>
      <c r="L144" s="138"/>
      <c r="M144" s="146"/>
      <c r="N144" s="138"/>
      <c r="O144" s="138"/>
      <c r="P144" s="138"/>
      <c r="Q144" s="138"/>
      <c r="R144" s="147"/>
      <c r="S144" s="139"/>
      <c r="T144" s="148"/>
      <c r="U144" s="148"/>
      <c r="V144" s="148"/>
      <c r="W144" s="146"/>
      <c r="X144" s="139"/>
      <c r="Y144" s="139"/>
      <c r="Z144" s="139"/>
      <c r="AA144" s="137"/>
      <c r="AB144" s="151"/>
      <c r="AC144" s="129"/>
      <c r="AD144" s="162"/>
      <c r="AE144" s="152"/>
      <c r="AF144" s="1114"/>
      <c r="AG144" s="882"/>
      <c r="AH144" s="775"/>
      <c r="AI144" s="775"/>
      <c r="AJ144" s="778"/>
      <c r="AK144" s="775"/>
      <c r="AL144" s="775"/>
      <c r="AM144" s="775"/>
      <c r="AN144" s="808"/>
      <c r="AO144" s="797"/>
      <c r="AP144" s="797"/>
      <c r="AQ144" s="806"/>
      <c r="AR144" s="806"/>
      <c r="AS144" s="806"/>
      <c r="AT144" s="806"/>
      <c r="AU144" s="795"/>
      <c r="AV144" s="795"/>
      <c r="AW144" s="795"/>
      <c r="AX144" s="797"/>
      <c r="AY144" s="159"/>
    </row>
    <row r="145" spans="1:51" ht="23.25" customHeight="1" x14ac:dyDescent="0.25">
      <c r="A145" s="912"/>
      <c r="B145" s="1155"/>
      <c r="C145" s="838"/>
      <c r="D145" s="132" t="s">
        <v>4</v>
      </c>
      <c r="E145" s="142"/>
      <c r="F145" s="143"/>
      <c r="G145" s="144"/>
      <c r="H145" s="144"/>
      <c r="I145" s="144"/>
      <c r="J145" s="138"/>
      <c r="K145" s="137"/>
      <c r="L145" s="138"/>
      <c r="M145" s="146"/>
      <c r="N145" s="138"/>
      <c r="O145" s="138"/>
      <c r="P145" s="138"/>
      <c r="Q145" s="138"/>
      <c r="R145" s="147"/>
      <c r="S145" s="139"/>
      <c r="T145" s="148"/>
      <c r="U145" s="148"/>
      <c r="V145" s="148"/>
      <c r="W145" s="146"/>
      <c r="X145" s="139"/>
      <c r="Y145" s="139"/>
      <c r="Z145" s="139"/>
      <c r="AA145" s="137"/>
      <c r="AB145" s="151"/>
      <c r="AC145" s="129"/>
      <c r="AD145" s="162"/>
      <c r="AE145" s="152"/>
      <c r="AF145" s="1114"/>
      <c r="AG145" s="882"/>
      <c r="AH145" s="775"/>
      <c r="AI145" s="775"/>
      <c r="AJ145" s="778"/>
      <c r="AK145" s="775"/>
      <c r="AL145" s="775"/>
      <c r="AM145" s="775"/>
      <c r="AN145" s="808"/>
      <c r="AO145" s="797"/>
      <c r="AP145" s="797"/>
      <c r="AQ145" s="806"/>
      <c r="AR145" s="806"/>
      <c r="AS145" s="806"/>
      <c r="AT145" s="806"/>
      <c r="AU145" s="795"/>
      <c r="AV145" s="795"/>
      <c r="AW145" s="795"/>
      <c r="AX145" s="797"/>
      <c r="AY145" s="159"/>
    </row>
    <row r="146" spans="1:51" ht="18" customHeight="1" x14ac:dyDescent="0.25">
      <c r="A146" s="912"/>
      <c r="B146" s="1155"/>
      <c r="C146" s="838"/>
      <c r="D146" s="136" t="s">
        <v>43</v>
      </c>
      <c r="E146" s="142"/>
      <c r="F146" s="143"/>
      <c r="G146" s="144">
        <v>104</v>
      </c>
      <c r="H146" s="144">
        <v>96</v>
      </c>
      <c r="I146" s="144">
        <v>86</v>
      </c>
      <c r="J146" s="138">
        <v>76</v>
      </c>
      <c r="K146" s="137"/>
      <c r="L146" s="138"/>
      <c r="M146" s="146"/>
      <c r="N146" s="138"/>
      <c r="O146" s="138">
        <f>+O142</f>
        <v>33</v>
      </c>
      <c r="P146" s="138">
        <v>22</v>
      </c>
      <c r="Q146" s="138">
        <v>11</v>
      </c>
      <c r="R146" s="147">
        <v>0</v>
      </c>
      <c r="S146" s="139"/>
      <c r="T146" s="148"/>
      <c r="U146" s="148"/>
      <c r="V146" s="148"/>
      <c r="W146" s="146"/>
      <c r="X146" s="139"/>
      <c r="Y146" s="139"/>
      <c r="Z146" s="139"/>
      <c r="AA146" s="137"/>
      <c r="AB146" s="137">
        <f>+AB142</f>
        <v>33</v>
      </c>
      <c r="AC146" s="129"/>
      <c r="AD146" s="162"/>
      <c r="AE146" s="152"/>
      <c r="AF146" s="1114"/>
      <c r="AG146" s="882"/>
      <c r="AH146" s="775"/>
      <c r="AI146" s="775"/>
      <c r="AJ146" s="778"/>
      <c r="AK146" s="775"/>
      <c r="AL146" s="775"/>
      <c r="AM146" s="775"/>
      <c r="AN146" s="808"/>
      <c r="AO146" s="797"/>
      <c r="AP146" s="797"/>
      <c r="AQ146" s="806"/>
      <c r="AR146" s="806"/>
      <c r="AS146" s="806"/>
      <c r="AT146" s="806"/>
      <c r="AU146" s="795"/>
      <c r="AV146" s="795"/>
      <c r="AW146" s="795"/>
      <c r="AX146" s="797"/>
      <c r="AY146" s="159"/>
    </row>
    <row r="147" spans="1:51" ht="18.75" customHeight="1" thickBot="1" x14ac:dyDescent="0.3">
      <c r="A147" s="912"/>
      <c r="B147" s="1155"/>
      <c r="C147" s="838"/>
      <c r="D147" s="140" t="s">
        <v>45</v>
      </c>
      <c r="E147" s="142"/>
      <c r="F147" s="143"/>
      <c r="G147" s="144">
        <f>+G146*$G$11/$G$10</f>
        <v>548293724.77064216</v>
      </c>
      <c r="H147" s="144">
        <f>+H146*$H$11/$H$10</f>
        <v>506117284.40366971</v>
      </c>
      <c r="I147" s="144" t="e">
        <f>+I146*$I$11/$I$10</f>
        <v>#REF!</v>
      </c>
      <c r="J147" s="138" t="e">
        <f>+J146*$J$11/$J$10</f>
        <v>#REF!</v>
      </c>
      <c r="K147" s="137"/>
      <c r="L147" s="138"/>
      <c r="M147" s="146"/>
      <c r="N147" s="138"/>
      <c r="O147" s="138">
        <f>+O143</f>
        <v>180930000</v>
      </c>
      <c r="P147" s="138" t="e">
        <f>+P146*$P$11/$P$10</f>
        <v>#REF!</v>
      </c>
      <c r="Q147" s="138" t="e">
        <f>+Q146*$Q$11/$Q$10</f>
        <v>#REF!</v>
      </c>
      <c r="R147" s="147"/>
      <c r="S147" s="139"/>
      <c r="T147" s="148"/>
      <c r="U147" s="144"/>
      <c r="V147" s="148"/>
      <c r="W147" s="146"/>
      <c r="X147" s="139"/>
      <c r="Y147" s="139"/>
      <c r="Z147" s="139"/>
      <c r="AA147" s="137"/>
      <c r="AB147" s="137">
        <f>+AB143</f>
        <v>262457000</v>
      </c>
      <c r="AC147" s="129"/>
      <c r="AD147" s="162"/>
      <c r="AE147" s="152"/>
      <c r="AF147" s="1114"/>
      <c r="AG147" s="883"/>
      <c r="AH147" s="776"/>
      <c r="AI147" s="776"/>
      <c r="AJ147" s="779"/>
      <c r="AK147" s="776"/>
      <c r="AL147" s="776"/>
      <c r="AM147" s="776"/>
      <c r="AN147" s="808"/>
      <c r="AO147" s="798"/>
      <c r="AP147" s="798"/>
      <c r="AQ147" s="806"/>
      <c r="AR147" s="806"/>
      <c r="AS147" s="806"/>
      <c r="AT147" s="806"/>
      <c r="AU147" s="795"/>
      <c r="AV147" s="795"/>
      <c r="AW147" s="795"/>
      <c r="AX147" s="798"/>
      <c r="AY147" s="159"/>
    </row>
    <row r="148" spans="1:51" ht="19.350000000000001" customHeight="1" x14ac:dyDescent="0.25">
      <c r="A148" s="912"/>
      <c r="B148" s="1155"/>
      <c r="C148" s="838" t="s">
        <v>410</v>
      </c>
      <c r="D148" s="141" t="s">
        <v>41</v>
      </c>
      <c r="E148" s="142"/>
      <c r="F148" s="143"/>
      <c r="G148" s="163">
        <f>+G16+G22+G64+G76+G118+G142</f>
        <v>109</v>
      </c>
      <c r="H148" s="163">
        <f>+H16+H22+H46+H64+H76+H88+H112+H118+H142</f>
        <v>109</v>
      </c>
      <c r="I148" s="163">
        <f>+I16+I22+I34+I46+I64+I70+I76+I82+I88+I112+I118+I130+I136+I142</f>
        <v>109</v>
      </c>
      <c r="J148" s="164">
        <f>+J16+J22+J34+J40+J46+J64+J70+J76+J82+J88+J112+J118+J130+J136+J142</f>
        <v>109</v>
      </c>
      <c r="K148" s="145">
        <v>109</v>
      </c>
      <c r="L148" s="138"/>
      <c r="M148" s="146">
        <f>+M16+M34+M46+M64+M76+M82+M88+M118+M130+M136+M142</f>
        <v>66</v>
      </c>
      <c r="N148" s="147">
        <f>+N16+N34+N46+N64+N70+N76+N82+N88+N94+N106+N118+N130+N136+N142</f>
        <v>66</v>
      </c>
      <c r="O148" s="138">
        <v>66</v>
      </c>
      <c r="P148" s="138">
        <v>66</v>
      </c>
      <c r="Q148" s="138">
        <f t="shared" ref="Q148:Q153" si="1">+Q16+Q22+Q28+Q34+Q46+Q58+Q64+Q70+Q76+Q82+Q88+Q94+Q100+Q106+Q112+Q118+Q130+Q136+Q142</f>
        <v>66</v>
      </c>
      <c r="R148" s="138">
        <f>+R16+R22+R28+R34+R40+R46+R58+R64+R70+R76+R82+R88+R94+R100+R106+R112+R118+R130+R136+R142</f>
        <v>66</v>
      </c>
      <c r="S148" s="139"/>
      <c r="T148" s="148">
        <f>+T16+T22+T64+T76+T118</f>
        <v>5</v>
      </c>
      <c r="U148" s="163">
        <f>+U16+U22+U46+U64+U76+U88+U112+U118+U142</f>
        <v>13</v>
      </c>
      <c r="V148" s="163">
        <f>+V16+V22+V34+V46+V64+V70+V76+V82+V88+V112+V118+V130+V136+V142</f>
        <v>23</v>
      </c>
      <c r="W148" s="164">
        <f>+W16+W22+W34+W40+W46+W64+W70+W76+W82+W88+W112+W118+W130+W136+W142</f>
        <v>33</v>
      </c>
      <c r="X148" s="150">
        <v>43</v>
      </c>
      <c r="Y148" s="139"/>
      <c r="Z148" s="139">
        <f>+Z16+Z34+Z46+Z64+Z76+Z82+Z88+Z118+Z130+Z136</f>
        <v>11</v>
      </c>
      <c r="AA148" s="152">
        <f>+AA16+AA34+AA46+AA64+AA70+AA76+AA82+AA88+AA94+AA106+AA118+AA130+AA136+AA142</f>
        <v>22</v>
      </c>
      <c r="AB148" s="151">
        <v>33</v>
      </c>
      <c r="AC148" s="129">
        <f>+AC16+AC22+AC28+AC34+AC46+AC58+AC64+AC70+AC76+AC82+AC88+AC94+AC106+AC118+AC130+AC136</f>
        <v>44</v>
      </c>
      <c r="AD148" s="137">
        <f t="shared" ref="AD148:AD153" si="2">+AD16+AD22+AD28+AD34+AD46+AD58+AD64+AD70+AD76+AD82+AD88+AD94+AD100+AD106+AD112+AD118+AD130+AD136+AD142</f>
        <v>55</v>
      </c>
      <c r="AE148" s="137">
        <f>+AE16+AE22+AE28+AE34+AE40+AE46+AE58+AE64+AE70+AE76+AE82+AE88+AE94+AE100+AE106+AE112+AE118+AE130+AE136+AE142</f>
        <v>66</v>
      </c>
      <c r="AF148" s="158"/>
      <c r="AG148" s="817"/>
      <c r="AH148" s="818"/>
      <c r="AI148" s="818"/>
      <c r="AJ148" s="777"/>
      <c r="AK148" s="818"/>
      <c r="AL148" s="827"/>
      <c r="AM148" s="827" t="s">
        <v>316</v>
      </c>
      <c r="AN148" s="808">
        <v>7804660</v>
      </c>
      <c r="AO148" s="796">
        <v>3721767</v>
      </c>
      <c r="AP148" s="796">
        <v>4082893</v>
      </c>
      <c r="AQ148" s="795" t="s">
        <v>317</v>
      </c>
      <c r="AR148" s="795" t="s">
        <v>317</v>
      </c>
      <c r="AS148" s="795" t="s">
        <v>317</v>
      </c>
      <c r="AT148" s="795" t="s">
        <v>317</v>
      </c>
      <c r="AU148" s="795" t="s">
        <v>317</v>
      </c>
      <c r="AV148" s="795" t="s">
        <v>317</v>
      </c>
      <c r="AW148" s="795" t="s">
        <v>317</v>
      </c>
      <c r="AX148" s="796">
        <v>7804660</v>
      </c>
      <c r="AY148" s="159"/>
    </row>
    <row r="149" spans="1:51" ht="18" x14ac:dyDescent="0.25">
      <c r="A149" s="912"/>
      <c r="B149" s="1155"/>
      <c r="C149" s="838"/>
      <c r="D149" s="132" t="s">
        <v>3</v>
      </c>
      <c r="E149" s="142"/>
      <c r="F149" s="143"/>
      <c r="G149" s="163">
        <f t="shared" ref="G149:G153" si="3">+G17+G23+G65+G77+G119+G143</f>
        <v>574654000</v>
      </c>
      <c r="H149" s="163">
        <f t="shared" ref="H149:H153" si="4">+H17+H23+H47+H65+H77+H89+H113+H119+H143</f>
        <v>574654000</v>
      </c>
      <c r="I149" s="163" t="e">
        <f t="shared" ref="I149:I153" si="5">+I17+I23+I35+I47+I65+I71+I77+I83+I89+I113+I119+I131+I137+I143</f>
        <v>#REF!</v>
      </c>
      <c r="J149" s="164" t="e">
        <f t="shared" ref="J149:J153" si="6">+J17+J23+J35+J41+J47+J65+J71+J77+J83+J89+J113+J119+J131+J137+J143</f>
        <v>#REF!</v>
      </c>
      <c r="K149" s="137"/>
      <c r="L149" s="138"/>
      <c r="M149" s="153" t="e">
        <f>+M17+M35+M47+M65+M77+M83+M89+M119+M131+M137+M143</f>
        <v>#REF!</v>
      </c>
      <c r="N149" s="147">
        <f>+N17+N35+N47+N65+N71+N77+N83+N89+N95+N107+N119+N131+N137+N143</f>
        <v>361860000</v>
      </c>
      <c r="O149" s="138">
        <f>+O148*$O$11/$O$10</f>
        <v>361860000</v>
      </c>
      <c r="P149" s="138" t="e">
        <f>+P148*$P$11/$P$10</f>
        <v>#REF!</v>
      </c>
      <c r="Q149" s="138" t="e">
        <f t="shared" si="1"/>
        <v>#REF!</v>
      </c>
      <c r="R149" s="138" t="e">
        <f t="shared" ref="R149:R153" si="7">+R17+R23+R29+R35+R41+R47+R59+R65+R71+R77+R83+R89+R95+R101+R107+R113+R119+R131+R137+R143</f>
        <v>#REF!</v>
      </c>
      <c r="S149" s="139"/>
      <c r="T149" s="148">
        <f t="shared" ref="T149:T153" si="8">+T17+T23+T65+T77+T119</f>
        <v>0</v>
      </c>
      <c r="U149" s="163">
        <f t="shared" ref="U149:U153" si="9">+U17+U23+U47+U65+U77+U89+U113+U119+U143</f>
        <v>308440000.00000006</v>
      </c>
      <c r="V149" s="163" t="e">
        <f t="shared" ref="V149:V153" si="10">+V17+V23+V35+V47+V65+V71+V77+V83+V89+V113+V119+V131+V137+V143</f>
        <v>#REF!</v>
      </c>
      <c r="W149" s="164" t="e">
        <f t="shared" ref="W149:W153" si="11">+W17+W23+W35+W41+W47+W65+W71+W77+W83+W89+W113+W119+W131+W137+W143</f>
        <v>#REF!</v>
      </c>
      <c r="X149" s="139"/>
      <c r="Y149" s="139"/>
      <c r="Z149" s="156">
        <f>+Z17+Z35+Z47+Z65+Z77+Z83+Z89+Z119+Z131+Z137+Z143</f>
        <v>140580000</v>
      </c>
      <c r="AA149" s="152">
        <f>+AA17+AA35+AA47+AA65+AA71+AA77+AA83+AA89+AA95+AA107+AA119+AA131+AA137+AA143</f>
        <v>262456999.99999994</v>
      </c>
      <c r="AB149" s="137">
        <f>+AB17+AB35+AB47+AB51+AB59+AB65+AB71+AB77+AB83+AB89+AB95+AB107+AB119+AB131+AB137</f>
        <v>278363484.84848487</v>
      </c>
      <c r="AC149" s="137" t="e">
        <f>+AC148*$AC$11/$AC$10</f>
        <v>#REF!</v>
      </c>
      <c r="AD149" s="137" t="e">
        <f t="shared" si="2"/>
        <v>#REF!</v>
      </c>
      <c r="AE149" s="137" t="e">
        <f t="shared" ref="AE149:AE152" si="12">+AE17+AE23+AE29+AE35+AE41+AE47+AE59+AE65+AE71+AE77+AE83+AE89+AE95+AE101+AE107+AE113+AE119+AE131+AE137+AE143</f>
        <v>#REF!</v>
      </c>
      <c r="AF149" s="158"/>
      <c r="AG149" s="817"/>
      <c r="AH149" s="818"/>
      <c r="AI149" s="818"/>
      <c r="AJ149" s="778"/>
      <c r="AK149" s="818"/>
      <c r="AL149" s="827"/>
      <c r="AM149" s="827"/>
      <c r="AN149" s="808"/>
      <c r="AO149" s="797"/>
      <c r="AP149" s="797"/>
      <c r="AQ149" s="795"/>
      <c r="AR149" s="795"/>
      <c r="AS149" s="795"/>
      <c r="AT149" s="795"/>
      <c r="AU149" s="795"/>
      <c r="AV149" s="795"/>
      <c r="AW149" s="795"/>
      <c r="AX149" s="797"/>
      <c r="AY149" s="159"/>
    </row>
    <row r="150" spans="1:51" ht="27" x14ac:dyDescent="0.25">
      <c r="A150" s="912"/>
      <c r="B150" s="1155"/>
      <c r="C150" s="838"/>
      <c r="D150" s="136" t="s">
        <v>42</v>
      </c>
      <c r="E150" s="142"/>
      <c r="F150" s="143"/>
      <c r="G150" s="163">
        <f t="shared" si="3"/>
        <v>0</v>
      </c>
      <c r="H150" s="163">
        <f t="shared" si="4"/>
        <v>0</v>
      </c>
      <c r="I150" s="163">
        <f t="shared" si="5"/>
        <v>0</v>
      </c>
      <c r="J150" s="164">
        <f t="shared" si="6"/>
        <v>0</v>
      </c>
      <c r="K150" s="137"/>
      <c r="L150" s="138"/>
      <c r="M150" s="138"/>
      <c r="N150" s="138"/>
      <c r="O150" s="138"/>
      <c r="P150" s="138"/>
      <c r="Q150" s="138">
        <f t="shared" si="1"/>
        <v>0</v>
      </c>
      <c r="R150" s="138">
        <f t="shared" si="7"/>
        <v>0</v>
      </c>
      <c r="S150" s="139"/>
      <c r="T150" s="148">
        <f t="shared" si="8"/>
        <v>0</v>
      </c>
      <c r="U150" s="163">
        <f t="shared" si="9"/>
        <v>0</v>
      </c>
      <c r="V150" s="163">
        <f t="shared" si="10"/>
        <v>0</v>
      </c>
      <c r="W150" s="164">
        <f t="shared" si="11"/>
        <v>0</v>
      </c>
      <c r="X150" s="139"/>
      <c r="Y150" s="139"/>
      <c r="Z150" s="139"/>
      <c r="AA150" s="165"/>
      <c r="AB150" s="151"/>
      <c r="AC150" s="129"/>
      <c r="AD150" s="137">
        <f t="shared" si="2"/>
        <v>0</v>
      </c>
      <c r="AE150" s="137">
        <f t="shared" si="12"/>
        <v>0</v>
      </c>
      <c r="AF150" s="158"/>
      <c r="AG150" s="817"/>
      <c r="AH150" s="818"/>
      <c r="AI150" s="818"/>
      <c r="AJ150" s="778"/>
      <c r="AK150" s="818"/>
      <c r="AL150" s="827"/>
      <c r="AM150" s="827"/>
      <c r="AN150" s="808"/>
      <c r="AO150" s="797"/>
      <c r="AP150" s="797"/>
      <c r="AQ150" s="795"/>
      <c r="AR150" s="795"/>
      <c r="AS150" s="795"/>
      <c r="AT150" s="795"/>
      <c r="AU150" s="795"/>
      <c r="AV150" s="795"/>
      <c r="AW150" s="795"/>
      <c r="AX150" s="797"/>
      <c r="AY150" s="159"/>
    </row>
    <row r="151" spans="1:51" ht="27" x14ac:dyDescent="0.25">
      <c r="A151" s="912"/>
      <c r="B151" s="1155"/>
      <c r="C151" s="838"/>
      <c r="D151" s="132" t="s">
        <v>4</v>
      </c>
      <c r="E151" s="142"/>
      <c r="F151" s="143"/>
      <c r="G151" s="163">
        <f t="shared" si="3"/>
        <v>0</v>
      </c>
      <c r="H151" s="163">
        <f t="shared" si="4"/>
        <v>0</v>
      </c>
      <c r="I151" s="163">
        <f t="shared" si="5"/>
        <v>0</v>
      </c>
      <c r="J151" s="164">
        <f t="shared" si="6"/>
        <v>0</v>
      </c>
      <c r="K151" s="137"/>
      <c r="L151" s="138"/>
      <c r="M151" s="138"/>
      <c r="N151" s="138"/>
      <c r="O151" s="138"/>
      <c r="P151" s="138"/>
      <c r="Q151" s="138">
        <f t="shared" si="1"/>
        <v>0</v>
      </c>
      <c r="R151" s="138">
        <f t="shared" si="7"/>
        <v>0</v>
      </c>
      <c r="S151" s="139"/>
      <c r="T151" s="166">
        <f t="shared" si="8"/>
        <v>6777000</v>
      </c>
      <c r="U151" s="163">
        <f t="shared" si="9"/>
        <v>72661243</v>
      </c>
      <c r="V151" s="163">
        <f t="shared" si="10"/>
        <v>0</v>
      </c>
      <c r="W151" s="164">
        <f t="shared" si="11"/>
        <v>0</v>
      </c>
      <c r="X151" s="139"/>
      <c r="Y151" s="139"/>
      <c r="Z151" s="139"/>
      <c r="AA151" s="165"/>
      <c r="AB151" s="151"/>
      <c r="AC151" s="129"/>
      <c r="AD151" s="137">
        <f t="shared" si="2"/>
        <v>0</v>
      </c>
      <c r="AE151" s="137">
        <f t="shared" si="12"/>
        <v>0</v>
      </c>
      <c r="AF151" s="158"/>
      <c r="AG151" s="817"/>
      <c r="AH151" s="818"/>
      <c r="AI151" s="818"/>
      <c r="AJ151" s="778"/>
      <c r="AK151" s="818"/>
      <c r="AL151" s="827"/>
      <c r="AM151" s="827"/>
      <c r="AN151" s="808"/>
      <c r="AO151" s="797"/>
      <c r="AP151" s="797"/>
      <c r="AQ151" s="795"/>
      <c r="AR151" s="795"/>
      <c r="AS151" s="795"/>
      <c r="AT151" s="795"/>
      <c r="AU151" s="795"/>
      <c r="AV151" s="795"/>
      <c r="AW151" s="795"/>
      <c r="AX151" s="797"/>
      <c r="AY151" s="159"/>
    </row>
    <row r="152" spans="1:51" ht="27" x14ac:dyDescent="0.25">
      <c r="A152" s="912"/>
      <c r="B152" s="1155"/>
      <c r="C152" s="838"/>
      <c r="D152" s="136" t="s">
        <v>43</v>
      </c>
      <c r="E152" s="142"/>
      <c r="F152" s="143"/>
      <c r="G152" s="163">
        <f t="shared" si="3"/>
        <v>109</v>
      </c>
      <c r="H152" s="163">
        <f t="shared" si="4"/>
        <v>109</v>
      </c>
      <c r="I152" s="163">
        <f t="shared" si="5"/>
        <v>108</v>
      </c>
      <c r="J152" s="164">
        <f t="shared" si="6"/>
        <v>107</v>
      </c>
      <c r="K152" s="137"/>
      <c r="L152" s="138"/>
      <c r="M152" s="138"/>
      <c r="N152" s="138"/>
      <c r="O152" s="138">
        <f>+O148</f>
        <v>66</v>
      </c>
      <c r="P152" s="138">
        <v>66</v>
      </c>
      <c r="Q152" s="138">
        <f t="shared" si="1"/>
        <v>66</v>
      </c>
      <c r="R152" s="138">
        <f t="shared" si="7"/>
        <v>66</v>
      </c>
      <c r="S152" s="139"/>
      <c r="T152" s="148">
        <f t="shared" si="8"/>
        <v>5</v>
      </c>
      <c r="U152" s="163">
        <f t="shared" si="9"/>
        <v>13</v>
      </c>
      <c r="V152" s="163">
        <f t="shared" si="10"/>
        <v>22</v>
      </c>
      <c r="W152" s="164">
        <f t="shared" si="11"/>
        <v>33</v>
      </c>
      <c r="X152" s="139"/>
      <c r="Y152" s="139"/>
      <c r="Z152" s="139"/>
      <c r="AA152" s="165"/>
      <c r="AB152" s="137">
        <f>+AB148</f>
        <v>33</v>
      </c>
      <c r="AC152" s="129">
        <v>44</v>
      </c>
      <c r="AD152" s="137">
        <f t="shared" si="2"/>
        <v>55</v>
      </c>
      <c r="AE152" s="137">
        <f t="shared" si="12"/>
        <v>65</v>
      </c>
      <c r="AF152" s="158"/>
      <c r="AG152" s="817"/>
      <c r="AH152" s="818"/>
      <c r="AI152" s="818"/>
      <c r="AJ152" s="778"/>
      <c r="AK152" s="818"/>
      <c r="AL152" s="827"/>
      <c r="AM152" s="827"/>
      <c r="AN152" s="808"/>
      <c r="AO152" s="797"/>
      <c r="AP152" s="797"/>
      <c r="AQ152" s="795"/>
      <c r="AR152" s="795"/>
      <c r="AS152" s="795"/>
      <c r="AT152" s="795"/>
      <c r="AU152" s="795"/>
      <c r="AV152" s="795"/>
      <c r="AW152" s="795"/>
      <c r="AX152" s="797"/>
      <c r="AY152" s="159"/>
    </row>
    <row r="153" spans="1:51" ht="27.75" thickBot="1" x14ac:dyDescent="0.3">
      <c r="A153" s="913"/>
      <c r="B153" s="1156"/>
      <c r="C153" s="838"/>
      <c r="D153" s="140" t="s">
        <v>45</v>
      </c>
      <c r="E153" s="142"/>
      <c r="F153" s="143"/>
      <c r="G153" s="163">
        <f t="shared" si="3"/>
        <v>574654000</v>
      </c>
      <c r="H153" s="163">
        <f t="shared" si="4"/>
        <v>574654000</v>
      </c>
      <c r="I153" s="163" t="e">
        <f t="shared" si="5"/>
        <v>#REF!</v>
      </c>
      <c r="J153" s="164" t="e">
        <f t="shared" si="6"/>
        <v>#REF!</v>
      </c>
      <c r="K153" s="137"/>
      <c r="L153" s="138"/>
      <c r="M153" s="138"/>
      <c r="N153" s="138"/>
      <c r="O153" s="138">
        <f>+O149</f>
        <v>361860000</v>
      </c>
      <c r="P153" s="138" t="e">
        <f>+P152*$P$11/$P$10</f>
        <v>#REF!</v>
      </c>
      <c r="Q153" s="138" t="e">
        <f t="shared" si="1"/>
        <v>#REF!</v>
      </c>
      <c r="R153" s="138" t="e">
        <f t="shared" si="7"/>
        <v>#REF!</v>
      </c>
      <c r="S153" s="139"/>
      <c r="T153" s="148">
        <f t="shared" si="8"/>
        <v>0</v>
      </c>
      <c r="U153" s="163">
        <f t="shared" si="9"/>
        <v>308440000.00000006</v>
      </c>
      <c r="V153" s="163" t="e">
        <f t="shared" si="10"/>
        <v>#REF!</v>
      </c>
      <c r="W153" s="164" t="e">
        <f t="shared" si="11"/>
        <v>#REF!</v>
      </c>
      <c r="X153" s="139"/>
      <c r="Y153" s="139"/>
      <c r="Z153" s="139"/>
      <c r="AA153" s="165"/>
      <c r="AB153" s="137">
        <f>+AB149</f>
        <v>278363484.84848487</v>
      </c>
      <c r="AC153" s="137" t="e">
        <f>+AC152*$AC$11/$AC$10</f>
        <v>#REF!</v>
      </c>
      <c r="AD153" s="137" t="e">
        <f t="shared" si="2"/>
        <v>#REF!</v>
      </c>
      <c r="AE153" s="137" t="e">
        <f>+AE21+AE27+AE33+AE39+AE45+AE51+AE63+AE69+AE75+AE81+AE87+AE93+AE99+AE105+AE111+AE117+AE123+AE135+AE141+AE147</f>
        <v>#REF!</v>
      </c>
      <c r="AF153" s="167"/>
      <c r="AG153" s="817"/>
      <c r="AH153" s="818"/>
      <c r="AI153" s="818"/>
      <c r="AJ153" s="779"/>
      <c r="AK153" s="818"/>
      <c r="AL153" s="827"/>
      <c r="AM153" s="827"/>
      <c r="AN153" s="808"/>
      <c r="AO153" s="798"/>
      <c r="AP153" s="798"/>
      <c r="AQ153" s="795"/>
      <c r="AR153" s="795"/>
      <c r="AS153" s="795"/>
      <c r="AT153" s="795"/>
      <c r="AU153" s="795"/>
      <c r="AV153" s="795"/>
      <c r="AW153" s="795"/>
      <c r="AX153" s="798"/>
      <c r="AY153" s="159"/>
    </row>
    <row r="154" spans="1:51" ht="18" customHeight="1" x14ac:dyDescent="0.25">
      <c r="A154" s="814">
        <v>2</v>
      </c>
      <c r="B154" s="1135" t="s">
        <v>288</v>
      </c>
      <c r="C154" s="838" t="s">
        <v>411</v>
      </c>
      <c r="D154" s="141" t="s">
        <v>41</v>
      </c>
      <c r="E154" s="168" t="e">
        <f>+[4]INVERSIÓN!U16</f>
        <v>#REF!</v>
      </c>
      <c r="F154" s="168" t="e">
        <f>+[4]INVERSIÓN!V16</f>
        <v>#REF!</v>
      </c>
      <c r="G154" s="169">
        <f>+[5]INVERSIÓN!V16</f>
        <v>77</v>
      </c>
      <c r="H154" s="169">
        <f>+[5]INVERSIÓN!X16</f>
        <v>77</v>
      </c>
      <c r="I154" s="169" t="e">
        <f>+#REF!</f>
        <v>#REF!</v>
      </c>
      <c r="J154" s="170" t="e">
        <f>+#REF!</f>
        <v>#REF!</v>
      </c>
      <c r="K154" s="171">
        <v>77</v>
      </c>
      <c r="L154" s="170"/>
      <c r="M154" s="170" t="e">
        <f t="shared" ref="M154:M159" si="13">+F154</f>
        <v>#REF!</v>
      </c>
      <c r="N154" s="172">
        <f>+[6]INVERSIÓN!K16</f>
        <v>20</v>
      </c>
      <c r="O154" s="170">
        <f>+[6]INVERSIÓN!M16</f>
        <v>20</v>
      </c>
      <c r="P154" s="170" t="e">
        <f>+[4]INVERSIÓN!O16</f>
        <v>#REF!</v>
      </c>
      <c r="Q154" s="170" t="e">
        <f>+[4]INVERSIÓN!Q16</f>
        <v>#REF!</v>
      </c>
      <c r="R154" s="173" t="e">
        <f>+[4]INVERSIÓN!S16</f>
        <v>#REF!</v>
      </c>
      <c r="S154" s="1128" t="s">
        <v>412</v>
      </c>
      <c r="T154" s="174">
        <f>+[5]INVERSIÓN!W16</f>
        <v>5</v>
      </c>
      <c r="U154" s="174">
        <f>+[5]INVERSIÓN!DR16</f>
        <v>11</v>
      </c>
      <c r="V154" s="174" t="e">
        <f>+#REF!</f>
        <v>#REF!</v>
      </c>
      <c r="W154" s="175" t="e">
        <f>+#REF!</f>
        <v>#REF!</v>
      </c>
      <c r="X154" s="176">
        <v>32</v>
      </c>
      <c r="Y154" s="177"/>
      <c r="Z154" s="177">
        <f>+[6]INVERSIÓN!J16</f>
        <v>0</v>
      </c>
      <c r="AA154" s="178">
        <f>+[6]INVERSIÓN!DX16</f>
        <v>2</v>
      </c>
      <c r="AB154" s="179">
        <f>+[6]INVERSIÓN!DY16</f>
        <v>2</v>
      </c>
      <c r="AC154" s="180" t="e">
        <f>+[4]INVERSIÓN!P16</f>
        <v>#REF!</v>
      </c>
      <c r="AD154" s="178" t="e">
        <f>+[4]INVERSIÓN!R16</f>
        <v>#REF!</v>
      </c>
      <c r="AE154" s="181" t="e">
        <f>+[4]INVERSIÓN!EB16</f>
        <v>#REF!</v>
      </c>
      <c r="AF154" s="1123" t="s">
        <v>413</v>
      </c>
      <c r="AG154" s="1138" t="s">
        <v>414</v>
      </c>
      <c r="AH154" s="774" t="s">
        <v>415</v>
      </c>
      <c r="AI154" s="774" t="s">
        <v>416</v>
      </c>
      <c r="AJ154" s="777" t="s">
        <v>417</v>
      </c>
      <c r="AK154" s="774" t="s">
        <v>315</v>
      </c>
      <c r="AL154" s="774" t="s">
        <v>70</v>
      </c>
      <c r="AM154" s="774" t="s">
        <v>316</v>
      </c>
      <c r="AN154" s="808">
        <v>7804660</v>
      </c>
      <c r="AO154" s="796">
        <v>3721767</v>
      </c>
      <c r="AP154" s="796">
        <v>4082893</v>
      </c>
      <c r="AQ154" s="795" t="s">
        <v>317</v>
      </c>
      <c r="AR154" s="795" t="s">
        <v>317</v>
      </c>
      <c r="AS154" s="795" t="s">
        <v>317</v>
      </c>
      <c r="AT154" s="795" t="s">
        <v>317</v>
      </c>
      <c r="AU154" s="795" t="s">
        <v>317</v>
      </c>
      <c r="AV154" s="795" t="s">
        <v>317</v>
      </c>
      <c r="AW154" s="795" t="s">
        <v>317</v>
      </c>
      <c r="AX154" s="796">
        <v>7804660</v>
      </c>
      <c r="AY154" s="159"/>
    </row>
    <row r="155" spans="1:51" ht="18" x14ac:dyDescent="0.25">
      <c r="A155" s="815"/>
      <c r="B155" s="1136"/>
      <c r="C155" s="838"/>
      <c r="D155" s="132" t="s">
        <v>3</v>
      </c>
      <c r="E155" s="168" t="e">
        <f>+[4]INVERSIÓN!U17</f>
        <v>#REF!</v>
      </c>
      <c r="F155" s="168" t="e">
        <f>+[4]INVERSIÓN!V17</f>
        <v>#REF!</v>
      </c>
      <c r="G155" s="169">
        <f>+[5]INVERSIÓN!V17</f>
        <v>198130000</v>
      </c>
      <c r="H155" s="169">
        <f>+[5]INVERSIÓN!X17</f>
        <v>198130000</v>
      </c>
      <c r="I155" s="169" t="e">
        <f>+#REF!</f>
        <v>#REF!</v>
      </c>
      <c r="J155" s="170" t="e">
        <f>+#REF!</f>
        <v>#REF!</v>
      </c>
      <c r="K155" s="182"/>
      <c r="L155" s="183"/>
      <c r="M155" s="170" t="e">
        <f t="shared" si="13"/>
        <v>#REF!</v>
      </c>
      <c r="N155" s="172">
        <f>+[6]INVERSIÓN!K17</f>
        <v>142884000</v>
      </c>
      <c r="O155" s="170">
        <f>+[6]INVERSIÓN!M17</f>
        <v>142884000</v>
      </c>
      <c r="P155" s="170" t="e">
        <f>+[4]INVERSIÓN!O17</f>
        <v>#REF!</v>
      </c>
      <c r="Q155" s="170" t="e">
        <f>+[4]INVERSIÓN!Q17</f>
        <v>#REF!</v>
      </c>
      <c r="R155" s="173" t="e">
        <f>+[4]INVERSIÓN!S17</f>
        <v>#REF!</v>
      </c>
      <c r="S155" s="1129"/>
      <c r="T155" s="174">
        <f>+[5]INVERSIÓN!W17</f>
        <v>0</v>
      </c>
      <c r="U155" s="174">
        <f>+[5]INVERSIÓN!DR17</f>
        <v>129690000</v>
      </c>
      <c r="V155" s="174" t="e">
        <f>+#REF!</f>
        <v>#REF!</v>
      </c>
      <c r="W155" s="175" t="e">
        <f>+#REF!</f>
        <v>#REF!</v>
      </c>
      <c r="X155" s="184"/>
      <c r="Y155" s="184"/>
      <c r="Z155" s="177">
        <f>+[6]INVERSIÓN!J17</f>
        <v>0</v>
      </c>
      <c r="AA155" s="178">
        <f>+[6]INVERSIÓN!DX17</f>
        <v>71774000</v>
      </c>
      <c r="AB155" s="179">
        <f>+[6]INVERSIÓN!DY17</f>
        <v>71774000</v>
      </c>
      <c r="AC155" s="180" t="e">
        <f>+[4]INVERSIÓN!P17</f>
        <v>#REF!</v>
      </c>
      <c r="AD155" s="178" t="e">
        <f>+[4]INVERSIÓN!R17</f>
        <v>#REF!</v>
      </c>
      <c r="AE155" s="181" t="e">
        <f>+[4]INVERSIÓN!EB17</f>
        <v>#REF!</v>
      </c>
      <c r="AF155" s="1124"/>
      <c r="AG155" s="1139"/>
      <c r="AH155" s="775"/>
      <c r="AI155" s="775"/>
      <c r="AJ155" s="778"/>
      <c r="AK155" s="775"/>
      <c r="AL155" s="775"/>
      <c r="AM155" s="775"/>
      <c r="AN155" s="808"/>
      <c r="AO155" s="797"/>
      <c r="AP155" s="797"/>
      <c r="AQ155" s="795"/>
      <c r="AR155" s="795"/>
      <c r="AS155" s="795"/>
      <c r="AT155" s="795"/>
      <c r="AU155" s="795"/>
      <c r="AV155" s="795"/>
      <c r="AW155" s="795"/>
      <c r="AX155" s="797"/>
      <c r="AY155" s="159"/>
    </row>
    <row r="156" spans="1:51" ht="27" x14ac:dyDescent="0.25">
      <c r="A156" s="815"/>
      <c r="B156" s="1136"/>
      <c r="C156" s="838"/>
      <c r="D156" s="136" t="s">
        <v>42</v>
      </c>
      <c r="E156" s="168" t="e">
        <f>+[4]INVERSIÓN!U18</f>
        <v>#REF!</v>
      </c>
      <c r="F156" s="168" t="e">
        <f>+[4]INVERSIÓN!V18</f>
        <v>#REF!</v>
      </c>
      <c r="G156" s="169">
        <v>0</v>
      </c>
      <c r="H156" s="169">
        <v>0</v>
      </c>
      <c r="I156" s="169" t="e">
        <f>+#REF!</f>
        <v>#REF!</v>
      </c>
      <c r="J156" s="170" t="e">
        <f>+#REF!</f>
        <v>#REF!</v>
      </c>
      <c r="K156" s="137"/>
      <c r="L156" s="138"/>
      <c r="M156" s="170" t="e">
        <f t="shared" si="13"/>
        <v>#REF!</v>
      </c>
      <c r="N156" s="172">
        <f>+[6]INVERSIÓN!K18</f>
        <v>0</v>
      </c>
      <c r="O156" s="170">
        <f>+[6]INVERSIÓN!M18</f>
        <v>0</v>
      </c>
      <c r="P156" s="170" t="e">
        <f>+[4]INVERSIÓN!O18</f>
        <v>#REF!</v>
      </c>
      <c r="Q156" s="170" t="e">
        <f>+[4]INVERSIÓN!Q18</f>
        <v>#REF!</v>
      </c>
      <c r="R156" s="173" t="e">
        <f>+[4]INVERSIÓN!S18</f>
        <v>#REF!</v>
      </c>
      <c r="S156" s="1129"/>
      <c r="T156" s="174">
        <v>0</v>
      </c>
      <c r="U156" s="174">
        <v>0</v>
      </c>
      <c r="V156" s="174" t="e">
        <f>+#REF!</f>
        <v>#REF!</v>
      </c>
      <c r="W156" s="175" t="e">
        <f>+#REF!</f>
        <v>#REF!</v>
      </c>
      <c r="X156" s="152"/>
      <c r="Y156" s="152"/>
      <c r="Z156" s="177">
        <f>+[6]INVERSIÓN!J18</f>
        <v>0</v>
      </c>
      <c r="AA156" s="178">
        <f>+[6]INVERSIÓN!DX18</f>
        <v>0</v>
      </c>
      <c r="AB156" s="179">
        <f>+[6]INVERSIÓN!DY18</f>
        <v>0</v>
      </c>
      <c r="AC156" s="180" t="e">
        <f>+[4]INVERSIÓN!P18</f>
        <v>#REF!</v>
      </c>
      <c r="AD156" s="178" t="e">
        <f>+[4]INVERSIÓN!R18</f>
        <v>#REF!</v>
      </c>
      <c r="AE156" s="181" t="e">
        <f>+[4]INVERSIÓN!EB18</f>
        <v>#REF!</v>
      </c>
      <c r="AF156" s="1124"/>
      <c r="AG156" s="1139"/>
      <c r="AH156" s="775"/>
      <c r="AI156" s="775"/>
      <c r="AJ156" s="778"/>
      <c r="AK156" s="775"/>
      <c r="AL156" s="775"/>
      <c r="AM156" s="775"/>
      <c r="AN156" s="808"/>
      <c r="AO156" s="797"/>
      <c r="AP156" s="797"/>
      <c r="AQ156" s="795"/>
      <c r="AR156" s="795"/>
      <c r="AS156" s="795"/>
      <c r="AT156" s="795"/>
      <c r="AU156" s="795"/>
      <c r="AV156" s="795"/>
      <c r="AW156" s="795"/>
      <c r="AX156" s="797"/>
      <c r="AY156" s="159"/>
    </row>
    <row r="157" spans="1:51" ht="27" x14ac:dyDescent="0.25">
      <c r="A157" s="815"/>
      <c r="B157" s="1136"/>
      <c r="C157" s="838"/>
      <c r="D157" s="132" t="s">
        <v>4</v>
      </c>
      <c r="E157" s="168" t="e">
        <f>+[4]INVERSIÓN!U19</f>
        <v>#REF!</v>
      </c>
      <c r="F157" s="168" t="e">
        <f>+[4]INVERSIÓN!V19</f>
        <v>#REF!</v>
      </c>
      <c r="G157" s="169">
        <f>+[5]INVERSIÓN!V19</f>
        <v>41858171</v>
      </c>
      <c r="H157" s="169">
        <f>+[5]INVERSIÓN!X19</f>
        <v>41858171</v>
      </c>
      <c r="I157" s="169" t="e">
        <f>+#REF!</f>
        <v>#REF!</v>
      </c>
      <c r="J157" s="170" t="e">
        <f>+#REF!</f>
        <v>#REF!</v>
      </c>
      <c r="K157" s="137"/>
      <c r="L157" s="138"/>
      <c r="M157" s="170" t="e">
        <f t="shared" si="13"/>
        <v>#REF!</v>
      </c>
      <c r="N157" s="172">
        <f>+[6]INVERSIÓN!K19</f>
        <v>0</v>
      </c>
      <c r="O157" s="170">
        <f>+[6]INVERSIÓN!M19</f>
        <v>0</v>
      </c>
      <c r="P157" s="170" t="e">
        <f>+[4]INVERSIÓN!O19</f>
        <v>#REF!</v>
      </c>
      <c r="Q157" s="170" t="e">
        <f>+[4]INVERSIÓN!Q19</f>
        <v>#REF!</v>
      </c>
      <c r="R157" s="173" t="e">
        <f>+[4]INVERSIÓN!S19</f>
        <v>#REF!</v>
      </c>
      <c r="S157" s="1129"/>
      <c r="T157" s="174">
        <f>+[5]INVERSIÓN!W19</f>
        <v>0</v>
      </c>
      <c r="U157" s="174">
        <f>+[5]INVERSIÓN!DR19</f>
        <v>19427343</v>
      </c>
      <c r="V157" s="174" t="e">
        <f>+#REF!</f>
        <v>#REF!</v>
      </c>
      <c r="W157" s="175" t="e">
        <f>+#REF!</f>
        <v>#REF!</v>
      </c>
      <c r="X157" s="152"/>
      <c r="Y157" s="152"/>
      <c r="Z157" s="177">
        <f>+[6]INVERSIÓN!J19</f>
        <v>0</v>
      </c>
      <c r="AA157" s="178">
        <f>+[6]INVERSIÓN!DX19</f>
        <v>0</v>
      </c>
      <c r="AB157" s="179">
        <f>+[6]INVERSIÓN!DY19</f>
        <v>0</v>
      </c>
      <c r="AC157" s="180" t="e">
        <f>+[4]INVERSIÓN!P19</f>
        <v>#REF!</v>
      </c>
      <c r="AD157" s="178" t="e">
        <f>+[4]INVERSIÓN!R19</f>
        <v>#REF!</v>
      </c>
      <c r="AE157" s="181" t="e">
        <f>+[4]INVERSIÓN!EB19</f>
        <v>#REF!</v>
      </c>
      <c r="AF157" s="1124"/>
      <c r="AG157" s="1139"/>
      <c r="AH157" s="775"/>
      <c r="AI157" s="775"/>
      <c r="AJ157" s="778"/>
      <c r="AK157" s="775"/>
      <c r="AL157" s="775"/>
      <c r="AM157" s="775"/>
      <c r="AN157" s="808"/>
      <c r="AO157" s="797"/>
      <c r="AP157" s="797"/>
      <c r="AQ157" s="795"/>
      <c r="AR157" s="795"/>
      <c r="AS157" s="795"/>
      <c r="AT157" s="795"/>
      <c r="AU157" s="795"/>
      <c r="AV157" s="795"/>
      <c r="AW157" s="795"/>
      <c r="AX157" s="797"/>
      <c r="AY157" s="159"/>
    </row>
    <row r="158" spans="1:51" ht="27" x14ac:dyDescent="0.25">
      <c r="A158" s="815"/>
      <c r="B158" s="1136"/>
      <c r="C158" s="838"/>
      <c r="D158" s="136" t="s">
        <v>43</v>
      </c>
      <c r="E158" s="168" t="e">
        <f>+[4]INVERSIÓN!U20</f>
        <v>#REF!</v>
      </c>
      <c r="F158" s="168" t="e">
        <f>+[4]INVERSIÓN!V20</f>
        <v>#REF!</v>
      </c>
      <c r="G158" s="169">
        <f>+[5]INVERSIÓN!V20</f>
        <v>77</v>
      </c>
      <c r="H158" s="169">
        <f>+[5]INVERSIÓN!X20</f>
        <v>77</v>
      </c>
      <c r="I158" s="169" t="e">
        <f>+#REF!</f>
        <v>#REF!</v>
      </c>
      <c r="J158" s="170" t="e">
        <f>+#REF!</f>
        <v>#REF!</v>
      </c>
      <c r="K158" s="137"/>
      <c r="L158" s="138"/>
      <c r="M158" s="170" t="e">
        <f t="shared" si="13"/>
        <v>#REF!</v>
      </c>
      <c r="N158" s="172">
        <f>+[6]INVERSIÓN!K20</f>
        <v>20</v>
      </c>
      <c r="O158" s="170">
        <f>+[6]INVERSIÓN!M20</f>
        <v>20</v>
      </c>
      <c r="P158" s="170" t="e">
        <f>+[4]INVERSIÓN!O20</f>
        <v>#REF!</v>
      </c>
      <c r="Q158" s="170" t="e">
        <f>+[4]INVERSIÓN!Q20</f>
        <v>#REF!</v>
      </c>
      <c r="R158" s="173" t="e">
        <f>+[4]INVERSIÓN!S20</f>
        <v>#REF!</v>
      </c>
      <c r="S158" s="1129"/>
      <c r="T158" s="174">
        <f>+[5]INVERSIÓN!W20</f>
        <v>5</v>
      </c>
      <c r="U158" s="174">
        <f>+[5]INVERSIÓN!DR20</f>
        <v>11</v>
      </c>
      <c r="V158" s="174" t="e">
        <f>+#REF!</f>
        <v>#REF!</v>
      </c>
      <c r="W158" s="175" t="e">
        <f>+#REF!</f>
        <v>#REF!</v>
      </c>
      <c r="X158" s="152"/>
      <c r="Y158" s="152"/>
      <c r="Z158" s="177">
        <f>+[6]INVERSIÓN!J20</f>
        <v>0</v>
      </c>
      <c r="AA158" s="178">
        <f>+[6]INVERSIÓN!DX20</f>
        <v>2</v>
      </c>
      <c r="AB158" s="179">
        <f>+[6]INVERSIÓN!DY20</f>
        <v>2</v>
      </c>
      <c r="AC158" s="180" t="e">
        <f>+[4]INVERSIÓN!P20</f>
        <v>#REF!</v>
      </c>
      <c r="AD158" s="178" t="e">
        <f>+[4]INVERSIÓN!R20</f>
        <v>#REF!</v>
      </c>
      <c r="AE158" s="181" t="e">
        <f>+[4]INVERSIÓN!EB20</f>
        <v>#REF!</v>
      </c>
      <c r="AF158" s="1124"/>
      <c r="AG158" s="1139"/>
      <c r="AH158" s="775"/>
      <c r="AI158" s="775"/>
      <c r="AJ158" s="778"/>
      <c r="AK158" s="775"/>
      <c r="AL158" s="775"/>
      <c r="AM158" s="775"/>
      <c r="AN158" s="808"/>
      <c r="AO158" s="797"/>
      <c r="AP158" s="797"/>
      <c r="AQ158" s="795"/>
      <c r="AR158" s="795"/>
      <c r="AS158" s="795"/>
      <c r="AT158" s="795"/>
      <c r="AU158" s="795"/>
      <c r="AV158" s="795"/>
      <c r="AW158" s="795"/>
      <c r="AX158" s="797"/>
      <c r="AY158" s="159"/>
    </row>
    <row r="159" spans="1:51" ht="27.75" thickBot="1" x14ac:dyDescent="0.3">
      <c r="A159" s="815"/>
      <c r="B159" s="1136"/>
      <c r="C159" s="838"/>
      <c r="D159" s="140" t="s">
        <v>45</v>
      </c>
      <c r="E159" s="168" t="e">
        <f>+[4]INVERSIÓN!U21</f>
        <v>#REF!</v>
      </c>
      <c r="F159" s="168" t="e">
        <f>+[4]INVERSIÓN!V21</f>
        <v>#REF!</v>
      </c>
      <c r="G159" s="169">
        <f>+[5]INVERSIÓN!V21</f>
        <v>239988171</v>
      </c>
      <c r="H159" s="169">
        <f>+[5]INVERSIÓN!X21</f>
        <v>239988171</v>
      </c>
      <c r="I159" s="169" t="e">
        <f>+#REF!</f>
        <v>#REF!</v>
      </c>
      <c r="J159" s="170" t="e">
        <f>+#REF!</f>
        <v>#REF!</v>
      </c>
      <c r="K159" s="185"/>
      <c r="L159" s="186"/>
      <c r="M159" s="170" t="e">
        <f t="shared" si="13"/>
        <v>#REF!</v>
      </c>
      <c r="N159" s="172">
        <f>+[6]INVERSIÓN!K21</f>
        <v>142884000</v>
      </c>
      <c r="O159" s="170">
        <f>+[6]INVERSIÓN!M21</f>
        <v>142884000</v>
      </c>
      <c r="P159" s="170" t="e">
        <f>+[4]INVERSIÓN!O21</f>
        <v>#REF!</v>
      </c>
      <c r="Q159" s="170" t="e">
        <f>+[4]INVERSIÓN!Q21</f>
        <v>#REF!</v>
      </c>
      <c r="R159" s="173" t="e">
        <f>+[4]INVERSIÓN!S21</f>
        <v>#REF!</v>
      </c>
      <c r="S159" s="1129"/>
      <c r="T159" s="174">
        <f>+[5]INVERSIÓN!W21</f>
        <v>0</v>
      </c>
      <c r="U159" s="174">
        <f>+[5]INVERSIÓN!DR21</f>
        <v>149117343</v>
      </c>
      <c r="V159" s="174" t="e">
        <f>+#REF!</f>
        <v>#REF!</v>
      </c>
      <c r="W159" s="175" t="e">
        <f>+#REF!</f>
        <v>#REF!</v>
      </c>
      <c r="X159" s="177"/>
      <c r="Y159" s="177"/>
      <c r="Z159" s="177">
        <f>+[6]INVERSIÓN!J21</f>
        <v>0</v>
      </c>
      <c r="AA159" s="178">
        <f>+[6]INVERSIÓN!DX21</f>
        <v>71774000</v>
      </c>
      <c r="AB159" s="179">
        <f>+[6]INVERSIÓN!DY21</f>
        <v>71774000</v>
      </c>
      <c r="AC159" s="180" t="e">
        <f>+[4]INVERSIÓN!P21</f>
        <v>#REF!</v>
      </c>
      <c r="AD159" s="178" t="e">
        <f>+[4]INVERSIÓN!R21</f>
        <v>#REF!</v>
      </c>
      <c r="AE159" s="181" t="e">
        <f>+[4]INVERSIÓN!EB21</f>
        <v>#REF!</v>
      </c>
      <c r="AF159" s="1124"/>
      <c r="AG159" s="1140"/>
      <c r="AH159" s="776"/>
      <c r="AI159" s="776"/>
      <c r="AJ159" s="779"/>
      <c r="AK159" s="776"/>
      <c r="AL159" s="776"/>
      <c r="AM159" s="776"/>
      <c r="AN159" s="808"/>
      <c r="AO159" s="798"/>
      <c r="AP159" s="798"/>
      <c r="AQ159" s="795"/>
      <c r="AR159" s="795"/>
      <c r="AS159" s="795"/>
      <c r="AT159" s="795"/>
      <c r="AU159" s="795"/>
      <c r="AV159" s="795"/>
      <c r="AW159" s="795"/>
      <c r="AX159" s="798"/>
      <c r="AY159" s="159"/>
    </row>
    <row r="160" spans="1:51" ht="18" customHeight="1" x14ac:dyDescent="0.25">
      <c r="A160" s="815"/>
      <c r="B160" s="1136"/>
      <c r="C160" s="838" t="s">
        <v>319</v>
      </c>
      <c r="D160" s="141" t="s">
        <v>41</v>
      </c>
      <c r="E160" s="142"/>
      <c r="F160" s="143"/>
      <c r="G160" s="144"/>
      <c r="H160" s="144"/>
      <c r="I160" s="144">
        <v>3</v>
      </c>
      <c r="J160" s="138">
        <v>3</v>
      </c>
      <c r="K160" s="145">
        <v>3</v>
      </c>
      <c r="L160" s="138"/>
      <c r="M160" s="138"/>
      <c r="N160" s="138"/>
      <c r="O160" s="138"/>
      <c r="P160" s="138"/>
      <c r="Q160" s="138"/>
      <c r="R160" s="173">
        <f>+[5]INVERSIÓN!S22</f>
        <v>2500</v>
      </c>
      <c r="S160" s="1129"/>
      <c r="T160" s="148"/>
      <c r="U160" s="148"/>
      <c r="V160" s="148">
        <v>3</v>
      </c>
      <c r="W160" s="146">
        <v>3</v>
      </c>
      <c r="X160" s="150">
        <v>3</v>
      </c>
      <c r="Y160" s="139"/>
      <c r="Z160" s="139"/>
      <c r="AA160" s="165"/>
      <c r="AB160" s="151"/>
      <c r="AC160" s="129"/>
      <c r="AD160" s="162"/>
      <c r="AE160" s="181" t="e">
        <f>+[5]INVERSIÓN!EB22</f>
        <v>#REF!</v>
      </c>
      <c r="AF160" s="1125" t="s">
        <v>418</v>
      </c>
      <c r="AG160" s="771" t="s">
        <v>319</v>
      </c>
      <c r="AH160" s="774" t="s">
        <v>419</v>
      </c>
      <c r="AI160" s="774" t="s">
        <v>420</v>
      </c>
      <c r="AJ160" s="777" t="s">
        <v>417</v>
      </c>
      <c r="AK160" s="774" t="s">
        <v>315</v>
      </c>
      <c r="AL160" s="774" t="s">
        <v>70</v>
      </c>
      <c r="AM160" s="774" t="s">
        <v>316</v>
      </c>
      <c r="AN160" s="807">
        <v>475275</v>
      </c>
      <c r="AO160" s="808">
        <v>255912</v>
      </c>
      <c r="AP160" s="808">
        <v>300846</v>
      </c>
      <c r="AQ160" s="806" t="s">
        <v>317</v>
      </c>
      <c r="AR160" s="806" t="s">
        <v>317</v>
      </c>
      <c r="AS160" s="806" t="s">
        <v>317</v>
      </c>
      <c r="AT160" s="806" t="s">
        <v>317</v>
      </c>
      <c r="AU160" s="795" t="s">
        <v>317</v>
      </c>
      <c r="AV160" s="795" t="s">
        <v>317</v>
      </c>
      <c r="AW160" s="795" t="s">
        <v>317</v>
      </c>
      <c r="AX160" s="796">
        <v>475275</v>
      </c>
      <c r="AY160" s="159"/>
    </row>
    <row r="161" spans="1:51" ht="18.75" customHeight="1" x14ac:dyDescent="0.25">
      <c r="A161" s="815"/>
      <c r="B161" s="1136"/>
      <c r="C161" s="838"/>
      <c r="D161" s="132" t="s">
        <v>3</v>
      </c>
      <c r="E161" s="142"/>
      <c r="F161" s="143"/>
      <c r="G161" s="144"/>
      <c r="H161" s="144"/>
      <c r="I161" s="144" t="e">
        <f>+I160*$I$155/$I$154</f>
        <v>#REF!</v>
      </c>
      <c r="J161" s="138" t="e">
        <f>+J160*$J$155/$J$154</f>
        <v>#REF!</v>
      </c>
      <c r="K161" s="137"/>
      <c r="L161" s="138"/>
      <c r="M161" s="138"/>
      <c r="N161" s="138"/>
      <c r="O161" s="138"/>
      <c r="P161" s="138"/>
      <c r="Q161" s="138"/>
      <c r="R161" s="173">
        <f>+[5]INVERSIÓN!S23</f>
        <v>13280000</v>
      </c>
      <c r="S161" s="1129"/>
      <c r="T161" s="148"/>
      <c r="U161" s="148"/>
      <c r="V161" s="144" t="e">
        <f>+V160*$V$155/$V$154</f>
        <v>#REF!</v>
      </c>
      <c r="W161" s="138" t="e">
        <f>+W160*$W$155/$W$154</f>
        <v>#REF!</v>
      </c>
      <c r="X161" s="139"/>
      <c r="Y161" s="139"/>
      <c r="Z161" s="139"/>
      <c r="AA161" s="165"/>
      <c r="AB161" s="151"/>
      <c r="AC161" s="129"/>
      <c r="AD161" s="162"/>
      <c r="AE161" s="181" t="e">
        <f>+[5]INVERSIÓN!EB23</f>
        <v>#REF!</v>
      </c>
      <c r="AF161" s="1125"/>
      <c r="AG161" s="772"/>
      <c r="AH161" s="775"/>
      <c r="AI161" s="775"/>
      <c r="AJ161" s="778"/>
      <c r="AK161" s="775"/>
      <c r="AL161" s="775"/>
      <c r="AM161" s="775"/>
      <c r="AN161" s="807"/>
      <c r="AO161" s="808"/>
      <c r="AP161" s="808"/>
      <c r="AQ161" s="806"/>
      <c r="AR161" s="806"/>
      <c r="AS161" s="806"/>
      <c r="AT161" s="806"/>
      <c r="AU161" s="795"/>
      <c r="AV161" s="795"/>
      <c r="AW161" s="795"/>
      <c r="AX161" s="797"/>
      <c r="AY161" s="159"/>
    </row>
    <row r="162" spans="1:51" ht="18" customHeight="1" x14ac:dyDescent="0.25">
      <c r="A162" s="815"/>
      <c r="B162" s="1136"/>
      <c r="C162" s="838"/>
      <c r="D162" s="136" t="s">
        <v>42</v>
      </c>
      <c r="E162" s="142"/>
      <c r="F162" s="143"/>
      <c r="G162" s="144"/>
      <c r="H162" s="144"/>
      <c r="I162" s="144"/>
      <c r="J162" s="138"/>
      <c r="K162" s="137"/>
      <c r="L162" s="138"/>
      <c r="M162" s="138"/>
      <c r="N162" s="138"/>
      <c r="O162" s="138"/>
      <c r="P162" s="138"/>
      <c r="Q162" s="138"/>
      <c r="R162" s="173" t="e">
        <f>+[5]INVERSIÓN!S24</f>
        <v>#REF!</v>
      </c>
      <c r="S162" s="1129"/>
      <c r="T162" s="148"/>
      <c r="U162" s="148"/>
      <c r="V162" s="148"/>
      <c r="W162" s="146"/>
      <c r="X162" s="139"/>
      <c r="Y162" s="139"/>
      <c r="Z162" s="139"/>
      <c r="AA162" s="165"/>
      <c r="AB162" s="151"/>
      <c r="AC162" s="129"/>
      <c r="AD162" s="162"/>
      <c r="AE162" s="181" t="e">
        <f>+[5]INVERSIÓN!EB24</f>
        <v>#REF!</v>
      </c>
      <c r="AF162" s="1125"/>
      <c r="AG162" s="772"/>
      <c r="AH162" s="775"/>
      <c r="AI162" s="775"/>
      <c r="AJ162" s="778"/>
      <c r="AK162" s="775"/>
      <c r="AL162" s="775"/>
      <c r="AM162" s="775"/>
      <c r="AN162" s="807"/>
      <c r="AO162" s="808"/>
      <c r="AP162" s="808"/>
      <c r="AQ162" s="806"/>
      <c r="AR162" s="806"/>
      <c r="AS162" s="806"/>
      <c r="AT162" s="806"/>
      <c r="AU162" s="795"/>
      <c r="AV162" s="795"/>
      <c r="AW162" s="795"/>
      <c r="AX162" s="797"/>
      <c r="AY162" s="159"/>
    </row>
    <row r="163" spans="1:51" ht="27.75" customHeight="1" x14ac:dyDescent="0.25">
      <c r="A163" s="815"/>
      <c r="B163" s="1136"/>
      <c r="C163" s="838"/>
      <c r="D163" s="132" t="s">
        <v>4</v>
      </c>
      <c r="E163" s="142"/>
      <c r="F163" s="143"/>
      <c r="G163" s="144"/>
      <c r="H163" s="144"/>
      <c r="I163" s="144"/>
      <c r="J163" s="138"/>
      <c r="K163" s="137"/>
      <c r="L163" s="138"/>
      <c r="M163" s="138"/>
      <c r="N163" s="138"/>
      <c r="O163" s="138"/>
      <c r="P163" s="138"/>
      <c r="Q163" s="138"/>
      <c r="R163" s="173" t="e">
        <f>+[5]INVERSIÓN!S25</f>
        <v>#REF!</v>
      </c>
      <c r="S163" s="1129"/>
      <c r="T163" s="148"/>
      <c r="U163" s="148"/>
      <c r="V163" s="148"/>
      <c r="W163" s="146"/>
      <c r="X163" s="139"/>
      <c r="Y163" s="139"/>
      <c r="Z163" s="139"/>
      <c r="AA163" s="165"/>
      <c r="AB163" s="151"/>
      <c r="AC163" s="129"/>
      <c r="AD163" s="162"/>
      <c r="AE163" s="181" t="e">
        <f>+[5]INVERSIÓN!EB25</f>
        <v>#REF!</v>
      </c>
      <c r="AF163" s="1125"/>
      <c r="AG163" s="772"/>
      <c r="AH163" s="775"/>
      <c r="AI163" s="775"/>
      <c r="AJ163" s="778"/>
      <c r="AK163" s="775"/>
      <c r="AL163" s="775"/>
      <c r="AM163" s="775"/>
      <c r="AN163" s="807"/>
      <c r="AO163" s="808"/>
      <c r="AP163" s="808"/>
      <c r="AQ163" s="806"/>
      <c r="AR163" s="806"/>
      <c r="AS163" s="806"/>
      <c r="AT163" s="806"/>
      <c r="AU163" s="795"/>
      <c r="AV163" s="795"/>
      <c r="AW163" s="795"/>
      <c r="AX163" s="797"/>
      <c r="AY163" s="159"/>
    </row>
    <row r="164" spans="1:51" ht="27.75" customHeight="1" x14ac:dyDescent="0.25">
      <c r="A164" s="815"/>
      <c r="B164" s="1136"/>
      <c r="C164" s="838"/>
      <c r="D164" s="136" t="s">
        <v>43</v>
      </c>
      <c r="E164" s="142"/>
      <c r="F164" s="143"/>
      <c r="G164" s="144"/>
      <c r="H164" s="144"/>
      <c r="I164" s="144">
        <v>3</v>
      </c>
      <c r="J164" s="138">
        <v>3</v>
      </c>
      <c r="K164" s="137"/>
      <c r="L164" s="138"/>
      <c r="M164" s="138"/>
      <c r="N164" s="138"/>
      <c r="O164" s="138"/>
      <c r="P164" s="138"/>
      <c r="Q164" s="138"/>
      <c r="R164" s="173">
        <f>+[5]INVERSIÓN!S26</f>
        <v>2500</v>
      </c>
      <c r="S164" s="1129"/>
      <c r="T164" s="148"/>
      <c r="U164" s="148"/>
      <c r="V164" s="148">
        <v>3</v>
      </c>
      <c r="W164" s="146">
        <v>3</v>
      </c>
      <c r="X164" s="139"/>
      <c r="Y164" s="139"/>
      <c r="Z164" s="139"/>
      <c r="AA164" s="165"/>
      <c r="AB164" s="151"/>
      <c r="AC164" s="129"/>
      <c r="AD164" s="162"/>
      <c r="AE164" s="181" t="e">
        <f>+[5]INVERSIÓN!EB26</f>
        <v>#REF!</v>
      </c>
      <c r="AF164" s="1125"/>
      <c r="AG164" s="772"/>
      <c r="AH164" s="775"/>
      <c r="AI164" s="775"/>
      <c r="AJ164" s="778"/>
      <c r="AK164" s="775"/>
      <c r="AL164" s="775"/>
      <c r="AM164" s="775"/>
      <c r="AN164" s="807"/>
      <c r="AO164" s="808"/>
      <c r="AP164" s="808"/>
      <c r="AQ164" s="806"/>
      <c r="AR164" s="806"/>
      <c r="AS164" s="806"/>
      <c r="AT164" s="806"/>
      <c r="AU164" s="795"/>
      <c r="AV164" s="795"/>
      <c r="AW164" s="795"/>
      <c r="AX164" s="797"/>
      <c r="AY164" s="159"/>
    </row>
    <row r="165" spans="1:51" ht="27.75" customHeight="1" thickBot="1" x14ac:dyDescent="0.3">
      <c r="A165" s="815"/>
      <c r="B165" s="1136"/>
      <c r="C165" s="838"/>
      <c r="D165" s="140" t="s">
        <v>45</v>
      </c>
      <c r="E165" s="142"/>
      <c r="F165" s="143"/>
      <c r="G165" s="144"/>
      <c r="H165" s="144"/>
      <c r="I165" s="144" t="e">
        <f>+I164*$I$155/$I$154</f>
        <v>#REF!</v>
      </c>
      <c r="J165" s="138" t="e">
        <f>+J164*$J$155/$J$154</f>
        <v>#REF!</v>
      </c>
      <c r="K165" s="137"/>
      <c r="L165" s="138"/>
      <c r="M165" s="138"/>
      <c r="N165" s="138"/>
      <c r="O165" s="138"/>
      <c r="P165" s="138"/>
      <c r="Q165" s="138"/>
      <c r="R165" s="173">
        <f>+[5]INVERSIÓN!S27</f>
        <v>13280000</v>
      </c>
      <c r="S165" s="1129"/>
      <c r="T165" s="148"/>
      <c r="U165" s="148"/>
      <c r="V165" s="144" t="e">
        <f>+V164*$V$155/$V$154</f>
        <v>#REF!</v>
      </c>
      <c r="W165" s="138" t="e">
        <f>+W164*$W$155/$W$154</f>
        <v>#REF!</v>
      </c>
      <c r="X165" s="139"/>
      <c r="Y165" s="139"/>
      <c r="Z165" s="139"/>
      <c r="AA165" s="165"/>
      <c r="AB165" s="151"/>
      <c r="AC165" s="129"/>
      <c r="AD165" s="162"/>
      <c r="AE165" s="181" t="e">
        <f>+[5]INVERSIÓN!EB27</f>
        <v>#REF!</v>
      </c>
      <c r="AF165" s="1126"/>
      <c r="AG165" s="773"/>
      <c r="AH165" s="776"/>
      <c r="AI165" s="776"/>
      <c r="AJ165" s="779"/>
      <c r="AK165" s="776"/>
      <c r="AL165" s="776"/>
      <c r="AM165" s="776"/>
      <c r="AN165" s="807"/>
      <c r="AO165" s="808"/>
      <c r="AP165" s="808"/>
      <c r="AQ165" s="806"/>
      <c r="AR165" s="806"/>
      <c r="AS165" s="806"/>
      <c r="AT165" s="806"/>
      <c r="AU165" s="795"/>
      <c r="AV165" s="795"/>
      <c r="AW165" s="795"/>
      <c r="AX165" s="798"/>
      <c r="AY165" s="159"/>
    </row>
    <row r="166" spans="1:51" ht="18" customHeight="1" x14ac:dyDescent="0.25">
      <c r="A166" s="815"/>
      <c r="B166" s="1136"/>
      <c r="C166" s="1127" t="s">
        <v>334</v>
      </c>
      <c r="D166" s="141" t="s">
        <v>41</v>
      </c>
      <c r="E166" s="142"/>
      <c r="F166" s="143"/>
      <c r="G166" s="144"/>
      <c r="H166" s="144">
        <v>1</v>
      </c>
      <c r="I166" s="144">
        <v>2</v>
      </c>
      <c r="J166" s="138">
        <v>3</v>
      </c>
      <c r="K166" s="145">
        <v>6</v>
      </c>
      <c r="L166" s="138"/>
      <c r="M166" s="138"/>
      <c r="N166" s="138"/>
      <c r="O166" s="138"/>
      <c r="P166" s="138"/>
      <c r="Q166" s="138"/>
      <c r="R166" s="173">
        <f>+[5]INVERSIÓN!S28</f>
        <v>0.05</v>
      </c>
      <c r="S166" s="1129"/>
      <c r="T166" s="148">
        <v>1</v>
      </c>
      <c r="U166" s="148">
        <v>1</v>
      </c>
      <c r="V166" s="148">
        <v>2</v>
      </c>
      <c r="W166" s="146">
        <v>3</v>
      </c>
      <c r="X166" s="150">
        <v>6</v>
      </c>
      <c r="Y166" s="139"/>
      <c r="Z166" s="139"/>
      <c r="AA166" s="165"/>
      <c r="AB166" s="151"/>
      <c r="AC166" s="129"/>
      <c r="AD166" s="162"/>
      <c r="AE166" s="181" t="e">
        <f>+[5]INVERSIÓN!EB28</f>
        <v>#REF!</v>
      </c>
      <c r="AF166" s="1131" t="s">
        <v>421</v>
      </c>
      <c r="AG166" s="771" t="s">
        <v>334</v>
      </c>
      <c r="AH166" s="774" t="s">
        <v>422</v>
      </c>
      <c r="AI166" s="774" t="s">
        <v>423</v>
      </c>
      <c r="AJ166" s="777" t="s">
        <v>417</v>
      </c>
      <c r="AK166" s="774" t="s">
        <v>315</v>
      </c>
      <c r="AL166" s="774" t="s">
        <v>70</v>
      </c>
      <c r="AM166" s="774" t="s">
        <v>316</v>
      </c>
      <c r="AN166" s="807">
        <v>163231</v>
      </c>
      <c r="AO166" s="808">
        <v>77499</v>
      </c>
      <c r="AP166" s="808">
        <v>85731</v>
      </c>
      <c r="AQ166" s="806" t="s">
        <v>317</v>
      </c>
      <c r="AR166" s="806" t="s">
        <v>317</v>
      </c>
      <c r="AS166" s="806" t="s">
        <v>317</v>
      </c>
      <c r="AT166" s="806" t="s">
        <v>317</v>
      </c>
      <c r="AU166" s="795" t="s">
        <v>317</v>
      </c>
      <c r="AV166" s="795" t="s">
        <v>317</v>
      </c>
      <c r="AW166" s="795" t="s">
        <v>317</v>
      </c>
      <c r="AX166" s="796">
        <v>163231</v>
      </c>
      <c r="AY166" s="159"/>
    </row>
    <row r="167" spans="1:51" ht="18.75" customHeight="1" x14ac:dyDescent="0.25">
      <c r="A167" s="815"/>
      <c r="B167" s="1136"/>
      <c r="C167" s="1127"/>
      <c r="D167" s="132" t="s">
        <v>3</v>
      </c>
      <c r="E167" s="142"/>
      <c r="F167" s="143"/>
      <c r="G167" s="144"/>
      <c r="H167" s="144">
        <f>+H166*$H$155/$H$154</f>
        <v>2573116.8831168832</v>
      </c>
      <c r="I167" s="144" t="e">
        <f>+I166*$I$155/$I$154</f>
        <v>#REF!</v>
      </c>
      <c r="J167" s="138" t="e">
        <f>+J166*$J$155/$J$154</f>
        <v>#REF!</v>
      </c>
      <c r="K167" s="137"/>
      <c r="L167" s="138"/>
      <c r="M167" s="138"/>
      <c r="N167" s="138"/>
      <c r="O167" s="138"/>
      <c r="P167" s="138"/>
      <c r="Q167" s="138"/>
      <c r="R167" s="173">
        <f>+[5]INVERSIÓN!S29</f>
        <v>95347000</v>
      </c>
      <c r="S167" s="1129"/>
      <c r="T167" s="148"/>
      <c r="U167" s="144">
        <f>+U166*$U$155/$U$154</f>
        <v>11790000</v>
      </c>
      <c r="V167" s="144" t="e">
        <f>+V166*$V$155/$V$154</f>
        <v>#REF!</v>
      </c>
      <c r="W167" s="138" t="e">
        <f>+W166*$W$155/$W$154</f>
        <v>#REF!</v>
      </c>
      <c r="X167" s="139"/>
      <c r="Y167" s="139"/>
      <c r="Z167" s="139"/>
      <c r="AA167" s="165"/>
      <c r="AB167" s="151"/>
      <c r="AC167" s="129"/>
      <c r="AD167" s="162"/>
      <c r="AE167" s="181" t="e">
        <f>+[5]INVERSIÓN!EB29</f>
        <v>#REF!</v>
      </c>
      <c r="AF167" s="1132"/>
      <c r="AG167" s="772"/>
      <c r="AH167" s="775"/>
      <c r="AI167" s="775"/>
      <c r="AJ167" s="778"/>
      <c r="AK167" s="775"/>
      <c r="AL167" s="775"/>
      <c r="AM167" s="775"/>
      <c r="AN167" s="807"/>
      <c r="AO167" s="808"/>
      <c r="AP167" s="808"/>
      <c r="AQ167" s="806"/>
      <c r="AR167" s="806"/>
      <c r="AS167" s="806"/>
      <c r="AT167" s="806"/>
      <c r="AU167" s="795"/>
      <c r="AV167" s="795"/>
      <c r="AW167" s="795"/>
      <c r="AX167" s="797"/>
      <c r="AY167" s="159"/>
    </row>
    <row r="168" spans="1:51" ht="18" customHeight="1" x14ac:dyDescent="0.25">
      <c r="A168" s="815"/>
      <c r="B168" s="1136"/>
      <c r="C168" s="1127"/>
      <c r="D168" s="136" t="s">
        <v>42</v>
      </c>
      <c r="E168" s="142"/>
      <c r="F168" s="143"/>
      <c r="G168" s="144"/>
      <c r="H168" s="144"/>
      <c r="I168" s="144"/>
      <c r="J168" s="138"/>
      <c r="K168" s="137"/>
      <c r="L168" s="138"/>
      <c r="M168" s="138"/>
      <c r="N168" s="138"/>
      <c r="O168" s="138"/>
      <c r="P168" s="138"/>
      <c r="Q168" s="138"/>
      <c r="R168" s="173" t="e">
        <f>+[5]INVERSIÓN!S30</f>
        <v>#REF!</v>
      </c>
      <c r="S168" s="1129"/>
      <c r="T168" s="148"/>
      <c r="U168" s="148"/>
      <c r="V168" s="148"/>
      <c r="W168" s="146"/>
      <c r="X168" s="139"/>
      <c r="Y168" s="139"/>
      <c r="Z168" s="139"/>
      <c r="AA168" s="165"/>
      <c r="AB168" s="151"/>
      <c r="AC168" s="129"/>
      <c r="AD168" s="162"/>
      <c r="AE168" s="181" t="e">
        <f>+[5]INVERSIÓN!EB30</f>
        <v>#REF!</v>
      </c>
      <c r="AF168" s="1132"/>
      <c r="AG168" s="772"/>
      <c r="AH168" s="775"/>
      <c r="AI168" s="775"/>
      <c r="AJ168" s="778"/>
      <c r="AK168" s="775"/>
      <c r="AL168" s="775"/>
      <c r="AM168" s="775"/>
      <c r="AN168" s="807"/>
      <c r="AO168" s="808"/>
      <c r="AP168" s="808"/>
      <c r="AQ168" s="806"/>
      <c r="AR168" s="806"/>
      <c r="AS168" s="806"/>
      <c r="AT168" s="806"/>
      <c r="AU168" s="795"/>
      <c r="AV168" s="795"/>
      <c r="AW168" s="795"/>
      <c r="AX168" s="797"/>
      <c r="AY168" s="159"/>
    </row>
    <row r="169" spans="1:51" ht="27.75" customHeight="1" x14ac:dyDescent="0.25">
      <c r="A169" s="815"/>
      <c r="B169" s="1136"/>
      <c r="C169" s="1127"/>
      <c r="D169" s="132" t="s">
        <v>4</v>
      </c>
      <c r="E169" s="142"/>
      <c r="F169" s="143"/>
      <c r="G169" s="144"/>
      <c r="H169" s="144"/>
      <c r="I169" s="144"/>
      <c r="J169" s="138"/>
      <c r="K169" s="137"/>
      <c r="L169" s="138"/>
      <c r="M169" s="138"/>
      <c r="N169" s="138"/>
      <c r="O169" s="138"/>
      <c r="P169" s="138"/>
      <c r="Q169" s="138"/>
      <c r="R169" s="173" t="e">
        <f>+[5]INVERSIÓN!S31</f>
        <v>#REF!</v>
      </c>
      <c r="S169" s="1129"/>
      <c r="T169" s="148"/>
      <c r="U169" s="187">
        <f>+$U$157/8</f>
        <v>2428417.875</v>
      </c>
      <c r="V169" s="148"/>
      <c r="W169" s="146"/>
      <c r="X169" s="139"/>
      <c r="Y169" s="139"/>
      <c r="Z169" s="139"/>
      <c r="AA169" s="165"/>
      <c r="AB169" s="151"/>
      <c r="AC169" s="129"/>
      <c r="AD169" s="162"/>
      <c r="AE169" s="181" t="e">
        <f>+[5]INVERSIÓN!EB31</f>
        <v>#REF!</v>
      </c>
      <c r="AF169" s="1132"/>
      <c r="AG169" s="772"/>
      <c r="AH169" s="775"/>
      <c r="AI169" s="775"/>
      <c r="AJ169" s="778"/>
      <c r="AK169" s="775"/>
      <c r="AL169" s="775"/>
      <c r="AM169" s="775"/>
      <c r="AN169" s="807"/>
      <c r="AO169" s="808"/>
      <c r="AP169" s="808"/>
      <c r="AQ169" s="806"/>
      <c r="AR169" s="806"/>
      <c r="AS169" s="806"/>
      <c r="AT169" s="806"/>
      <c r="AU169" s="795"/>
      <c r="AV169" s="795"/>
      <c r="AW169" s="795"/>
      <c r="AX169" s="797"/>
      <c r="AY169" s="159"/>
    </row>
    <row r="170" spans="1:51" ht="27.75" customHeight="1" x14ac:dyDescent="0.25">
      <c r="A170" s="815"/>
      <c r="B170" s="1136"/>
      <c r="C170" s="1127"/>
      <c r="D170" s="136" t="s">
        <v>43</v>
      </c>
      <c r="E170" s="142"/>
      <c r="F170" s="143"/>
      <c r="G170" s="144"/>
      <c r="H170" s="144">
        <v>1</v>
      </c>
      <c r="I170" s="144">
        <v>2</v>
      </c>
      <c r="J170" s="138">
        <v>3</v>
      </c>
      <c r="K170" s="137"/>
      <c r="L170" s="138"/>
      <c r="M170" s="138"/>
      <c r="N170" s="138"/>
      <c r="O170" s="138"/>
      <c r="P170" s="138"/>
      <c r="Q170" s="138"/>
      <c r="R170" s="173">
        <f>+[5]INVERSIÓN!S32</f>
        <v>0.05</v>
      </c>
      <c r="S170" s="1129"/>
      <c r="T170" s="148">
        <v>1</v>
      </c>
      <c r="U170" s="148">
        <v>1</v>
      </c>
      <c r="V170" s="148">
        <v>2</v>
      </c>
      <c r="W170" s="146">
        <v>3</v>
      </c>
      <c r="X170" s="139"/>
      <c r="Y170" s="139"/>
      <c r="Z170" s="139"/>
      <c r="AA170" s="165"/>
      <c r="AB170" s="151"/>
      <c r="AC170" s="129"/>
      <c r="AD170" s="162"/>
      <c r="AE170" s="181" t="e">
        <f>+[5]INVERSIÓN!EB32</f>
        <v>#REF!</v>
      </c>
      <c r="AF170" s="1132"/>
      <c r="AG170" s="772"/>
      <c r="AH170" s="775"/>
      <c r="AI170" s="775"/>
      <c r="AJ170" s="778"/>
      <c r="AK170" s="775"/>
      <c r="AL170" s="775"/>
      <c r="AM170" s="775"/>
      <c r="AN170" s="807"/>
      <c r="AO170" s="808"/>
      <c r="AP170" s="808"/>
      <c r="AQ170" s="806"/>
      <c r="AR170" s="806"/>
      <c r="AS170" s="806"/>
      <c r="AT170" s="806"/>
      <c r="AU170" s="795"/>
      <c r="AV170" s="795"/>
      <c r="AW170" s="795"/>
      <c r="AX170" s="797"/>
      <c r="AY170" s="159"/>
    </row>
    <row r="171" spans="1:51" ht="27.75" customHeight="1" thickBot="1" x14ac:dyDescent="0.3">
      <c r="A171" s="815"/>
      <c r="B171" s="1136"/>
      <c r="C171" s="1127"/>
      <c r="D171" s="140" t="s">
        <v>45</v>
      </c>
      <c r="E171" s="142"/>
      <c r="F171" s="143"/>
      <c r="G171" s="144"/>
      <c r="H171" s="144">
        <f>+H170*$H$155/$H$154</f>
        <v>2573116.8831168832</v>
      </c>
      <c r="I171" s="144" t="e">
        <f>+I170*$I$155/$I$154</f>
        <v>#REF!</v>
      </c>
      <c r="J171" s="138" t="e">
        <f>+J170*$J$155/$J$154</f>
        <v>#REF!</v>
      </c>
      <c r="K171" s="137"/>
      <c r="L171" s="138"/>
      <c r="M171" s="138"/>
      <c r="N171" s="138"/>
      <c r="O171" s="138"/>
      <c r="P171" s="138"/>
      <c r="Q171" s="138"/>
      <c r="R171" s="173">
        <f>+[5]INVERSIÓN!S33</f>
        <v>95347000</v>
      </c>
      <c r="S171" s="1129"/>
      <c r="T171" s="148"/>
      <c r="U171" s="144">
        <f>+U170*$U$155/$U$154</f>
        <v>11790000</v>
      </c>
      <c r="V171" s="144" t="e">
        <f>+V170*$V$155/$V$154</f>
        <v>#REF!</v>
      </c>
      <c r="W171" s="138" t="e">
        <f>+W170*$W$155/$W$154</f>
        <v>#REF!</v>
      </c>
      <c r="X171" s="139"/>
      <c r="Y171" s="139"/>
      <c r="Z171" s="139"/>
      <c r="AA171" s="165"/>
      <c r="AB171" s="151"/>
      <c r="AC171" s="129"/>
      <c r="AD171" s="162"/>
      <c r="AE171" s="181" t="e">
        <f>+[5]INVERSIÓN!EB33</f>
        <v>#REF!</v>
      </c>
      <c r="AF171" s="1133"/>
      <c r="AG171" s="773"/>
      <c r="AH171" s="776"/>
      <c r="AI171" s="776"/>
      <c r="AJ171" s="779"/>
      <c r="AK171" s="776"/>
      <c r="AL171" s="776"/>
      <c r="AM171" s="776"/>
      <c r="AN171" s="807"/>
      <c r="AO171" s="808"/>
      <c r="AP171" s="808"/>
      <c r="AQ171" s="806"/>
      <c r="AR171" s="806"/>
      <c r="AS171" s="806"/>
      <c r="AT171" s="806"/>
      <c r="AU171" s="795"/>
      <c r="AV171" s="795"/>
      <c r="AW171" s="795"/>
      <c r="AX171" s="798"/>
      <c r="AY171" s="159"/>
    </row>
    <row r="172" spans="1:51" ht="18" customHeight="1" x14ac:dyDescent="0.25">
      <c r="A172" s="815"/>
      <c r="B172" s="1136"/>
      <c r="C172" s="838" t="s">
        <v>339</v>
      </c>
      <c r="D172" s="141" t="s">
        <v>41</v>
      </c>
      <c r="E172" s="142"/>
      <c r="F172" s="143"/>
      <c r="G172" s="144"/>
      <c r="H172" s="144"/>
      <c r="I172" s="144">
        <v>1</v>
      </c>
      <c r="J172" s="138">
        <v>1</v>
      </c>
      <c r="K172" s="145">
        <v>1</v>
      </c>
      <c r="L172" s="138"/>
      <c r="M172" s="138"/>
      <c r="N172" s="138"/>
      <c r="O172" s="138">
        <v>1</v>
      </c>
      <c r="P172" s="138">
        <v>1</v>
      </c>
      <c r="Q172" s="138">
        <v>1</v>
      </c>
      <c r="R172" s="147">
        <v>1</v>
      </c>
      <c r="S172" s="1129"/>
      <c r="T172" s="148"/>
      <c r="U172" s="148"/>
      <c r="V172" s="148">
        <v>1</v>
      </c>
      <c r="W172" s="146">
        <v>1</v>
      </c>
      <c r="X172" s="150">
        <v>1</v>
      </c>
      <c r="Y172" s="139"/>
      <c r="Z172" s="139"/>
      <c r="AA172" s="165"/>
      <c r="AB172" s="188">
        <v>1</v>
      </c>
      <c r="AC172" s="129">
        <v>1</v>
      </c>
      <c r="AD172" s="137">
        <v>1</v>
      </c>
      <c r="AE172" s="152">
        <v>1</v>
      </c>
      <c r="AF172" s="1134" t="s">
        <v>424</v>
      </c>
      <c r="AG172" s="771" t="s">
        <v>341</v>
      </c>
      <c r="AH172" s="774" t="s">
        <v>425</v>
      </c>
      <c r="AI172" s="774" t="s">
        <v>426</v>
      </c>
      <c r="AJ172" s="777" t="s">
        <v>417</v>
      </c>
      <c r="AK172" s="774" t="s">
        <v>315</v>
      </c>
      <c r="AL172" s="774" t="s">
        <v>70</v>
      </c>
      <c r="AM172" s="774" t="s">
        <v>316</v>
      </c>
      <c r="AN172" s="807">
        <v>22438</v>
      </c>
      <c r="AO172" s="808">
        <v>53075</v>
      </c>
      <c r="AP172" s="808">
        <v>53484</v>
      </c>
      <c r="AQ172" s="806" t="s">
        <v>317</v>
      </c>
      <c r="AR172" s="806" t="s">
        <v>317</v>
      </c>
      <c r="AS172" s="806" t="s">
        <v>317</v>
      </c>
      <c r="AT172" s="806" t="s">
        <v>317</v>
      </c>
      <c r="AU172" s="795" t="s">
        <v>317</v>
      </c>
      <c r="AV172" s="795" t="s">
        <v>317</v>
      </c>
      <c r="AW172" s="795" t="s">
        <v>317</v>
      </c>
      <c r="AX172" s="796">
        <v>22438</v>
      </c>
      <c r="AY172" s="159"/>
    </row>
    <row r="173" spans="1:51" ht="18" customHeight="1" x14ac:dyDescent="0.25">
      <c r="A173" s="815"/>
      <c r="B173" s="1136"/>
      <c r="C173" s="838"/>
      <c r="D173" s="132" t="s">
        <v>3</v>
      </c>
      <c r="E173" s="142"/>
      <c r="F173" s="143"/>
      <c r="G173" s="144"/>
      <c r="H173" s="144"/>
      <c r="I173" s="144" t="e">
        <f>+I172*$I$155/$I$154</f>
        <v>#REF!</v>
      </c>
      <c r="J173" s="138" t="e">
        <f>+J172*$J$155/$J$154</f>
        <v>#REF!</v>
      </c>
      <c r="K173" s="137"/>
      <c r="L173" s="138"/>
      <c r="M173" s="138"/>
      <c r="N173" s="138"/>
      <c r="O173" s="138">
        <f>+O172*$O$155/$O$154</f>
        <v>7144200</v>
      </c>
      <c r="P173" s="138" t="e">
        <f>+P172*$P$155/$P$154</f>
        <v>#REF!</v>
      </c>
      <c r="Q173" s="138" t="e">
        <f>+Q172*$Q$155/$Q$154</f>
        <v>#REF!</v>
      </c>
      <c r="R173" s="138" t="e">
        <f>+R172*$R$155/$R$154</f>
        <v>#REF!</v>
      </c>
      <c r="S173" s="1129"/>
      <c r="T173" s="148"/>
      <c r="U173" s="148"/>
      <c r="V173" s="144" t="e">
        <f>+V172*$V$155/$V$154</f>
        <v>#REF!</v>
      </c>
      <c r="W173" s="138" t="e">
        <f>+W172*$W$155/$W$154</f>
        <v>#REF!</v>
      </c>
      <c r="X173" s="139"/>
      <c r="Y173" s="139"/>
      <c r="Z173" s="139"/>
      <c r="AA173" s="165"/>
      <c r="AB173" s="137">
        <f>+AB172*$AB$155/$AB$154</f>
        <v>35887000</v>
      </c>
      <c r="AC173" s="137" t="e">
        <f>+AC172*$AC$155/$AC$154</f>
        <v>#REF!</v>
      </c>
      <c r="AD173" s="137" t="e">
        <f>+AD172*$AD$155/$AD$154</f>
        <v>#REF!</v>
      </c>
      <c r="AE173" s="137" t="e">
        <f>+AE172*$AE$155/$AE$154</f>
        <v>#REF!</v>
      </c>
      <c r="AF173" s="1125"/>
      <c r="AG173" s="772"/>
      <c r="AH173" s="775"/>
      <c r="AI173" s="775"/>
      <c r="AJ173" s="778"/>
      <c r="AK173" s="775"/>
      <c r="AL173" s="775"/>
      <c r="AM173" s="775"/>
      <c r="AN173" s="807"/>
      <c r="AO173" s="808"/>
      <c r="AP173" s="808"/>
      <c r="AQ173" s="806"/>
      <c r="AR173" s="806"/>
      <c r="AS173" s="806"/>
      <c r="AT173" s="806"/>
      <c r="AU173" s="795"/>
      <c r="AV173" s="795"/>
      <c r="AW173" s="795"/>
      <c r="AX173" s="797"/>
      <c r="AY173" s="159"/>
    </row>
    <row r="174" spans="1:51" ht="18" customHeight="1" x14ac:dyDescent="0.25">
      <c r="A174" s="815"/>
      <c r="B174" s="1136"/>
      <c r="C174" s="838"/>
      <c r="D174" s="136" t="s">
        <v>42</v>
      </c>
      <c r="E174" s="142"/>
      <c r="F174" s="143"/>
      <c r="G174" s="144"/>
      <c r="H174" s="144"/>
      <c r="I174" s="144"/>
      <c r="J174" s="138"/>
      <c r="K174" s="137"/>
      <c r="L174" s="138"/>
      <c r="M174" s="138"/>
      <c r="N174" s="138"/>
      <c r="O174" s="138"/>
      <c r="P174" s="138"/>
      <c r="Q174" s="138"/>
      <c r="R174" s="147"/>
      <c r="S174" s="1129"/>
      <c r="T174" s="148"/>
      <c r="U174" s="148"/>
      <c r="V174" s="148"/>
      <c r="W174" s="146"/>
      <c r="X174" s="139"/>
      <c r="Y174" s="139"/>
      <c r="Z174" s="139"/>
      <c r="AA174" s="165"/>
      <c r="AB174" s="151"/>
      <c r="AC174" s="129"/>
      <c r="AD174" s="137"/>
      <c r="AE174" s="152"/>
      <c r="AF174" s="1125"/>
      <c r="AG174" s="772"/>
      <c r="AH174" s="775"/>
      <c r="AI174" s="775"/>
      <c r="AJ174" s="778"/>
      <c r="AK174" s="775"/>
      <c r="AL174" s="775"/>
      <c r="AM174" s="775"/>
      <c r="AN174" s="807"/>
      <c r="AO174" s="808"/>
      <c r="AP174" s="808"/>
      <c r="AQ174" s="806"/>
      <c r="AR174" s="806"/>
      <c r="AS174" s="806"/>
      <c r="AT174" s="806"/>
      <c r="AU174" s="795"/>
      <c r="AV174" s="795"/>
      <c r="AW174" s="795"/>
      <c r="AX174" s="797"/>
      <c r="AY174" s="159"/>
    </row>
    <row r="175" spans="1:51" ht="27" customHeight="1" x14ac:dyDescent="0.25">
      <c r="A175" s="815"/>
      <c r="B175" s="1136"/>
      <c r="C175" s="838"/>
      <c r="D175" s="132" t="s">
        <v>4</v>
      </c>
      <c r="E175" s="142"/>
      <c r="F175" s="143"/>
      <c r="G175" s="144"/>
      <c r="H175" s="144"/>
      <c r="I175" s="144"/>
      <c r="J175" s="138"/>
      <c r="K175" s="137"/>
      <c r="L175" s="138"/>
      <c r="M175" s="138"/>
      <c r="N175" s="138"/>
      <c r="O175" s="138"/>
      <c r="P175" s="138"/>
      <c r="Q175" s="138"/>
      <c r="R175" s="147"/>
      <c r="S175" s="1129"/>
      <c r="T175" s="148"/>
      <c r="U175" s="148"/>
      <c r="V175" s="148"/>
      <c r="W175" s="146"/>
      <c r="X175" s="139"/>
      <c r="Y175" s="139"/>
      <c r="Z175" s="139"/>
      <c r="AA175" s="165"/>
      <c r="AB175" s="151"/>
      <c r="AC175" s="129"/>
      <c r="AD175" s="137"/>
      <c r="AE175" s="152"/>
      <c r="AF175" s="1125"/>
      <c r="AG175" s="772"/>
      <c r="AH175" s="775"/>
      <c r="AI175" s="775"/>
      <c r="AJ175" s="778"/>
      <c r="AK175" s="775"/>
      <c r="AL175" s="775"/>
      <c r="AM175" s="775"/>
      <c r="AN175" s="807"/>
      <c r="AO175" s="808"/>
      <c r="AP175" s="808"/>
      <c r="AQ175" s="806"/>
      <c r="AR175" s="806"/>
      <c r="AS175" s="806"/>
      <c r="AT175" s="806"/>
      <c r="AU175" s="795"/>
      <c r="AV175" s="795"/>
      <c r="AW175" s="795"/>
      <c r="AX175" s="797"/>
      <c r="AY175" s="159"/>
    </row>
    <row r="176" spans="1:51" ht="27" customHeight="1" x14ac:dyDescent="0.25">
      <c r="A176" s="815"/>
      <c r="B176" s="1136"/>
      <c r="C176" s="838"/>
      <c r="D176" s="136" t="s">
        <v>43</v>
      </c>
      <c r="E176" s="142"/>
      <c r="F176" s="143"/>
      <c r="G176" s="144"/>
      <c r="H176" s="144"/>
      <c r="I176" s="144">
        <v>1</v>
      </c>
      <c r="J176" s="138">
        <v>1</v>
      </c>
      <c r="K176" s="137"/>
      <c r="L176" s="138"/>
      <c r="M176" s="138"/>
      <c r="N176" s="138"/>
      <c r="O176" s="138">
        <f>+O172</f>
        <v>1</v>
      </c>
      <c r="P176" s="138">
        <v>1</v>
      </c>
      <c r="Q176" s="138">
        <v>1</v>
      </c>
      <c r="R176" s="147">
        <v>1</v>
      </c>
      <c r="S176" s="1129"/>
      <c r="T176" s="148"/>
      <c r="U176" s="148"/>
      <c r="V176" s="148">
        <v>1</v>
      </c>
      <c r="W176" s="146">
        <v>1</v>
      </c>
      <c r="X176" s="139"/>
      <c r="Y176" s="139"/>
      <c r="Z176" s="139"/>
      <c r="AA176" s="165"/>
      <c r="AB176" s="137">
        <f>+AB172</f>
        <v>1</v>
      </c>
      <c r="AC176" s="129">
        <v>1</v>
      </c>
      <c r="AD176" s="137">
        <v>1</v>
      </c>
      <c r="AE176" s="152">
        <v>1</v>
      </c>
      <c r="AF176" s="1125"/>
      <c r="AG176" s="772"/>
      <c r="AH176" s="775"/>
      <c r="AI176" s="775"/>
      <c r="AJ176" s="778"/>
      <c r="AK176" s="775"/>
      <c r="AL176" s="775"/>
      <c r="AM176" s="775"/>
      <c r="AN176" s="807"/>
      <c r="AO176" s="808"/>
      <c r="AP176" s="808"/>
      <c r="AQ176" s="806"/>
      <c r="AR176" s="806"/>
      <c r="AS176" s="806"/>
      <c r="AT176" s="806"/>
      <c r="AU176" s="795"/>
      <c r="AV176" s="795"/>
      <c r="AW176" s="795"/>
      <c r="AX176" s="797"/>
      <c r="AY176" s="159"/>
    </row>
    <row r="177" spans="1:51" ht="27.75" customHeight="1" thickBot="1" x14ac:dyDescent="0.3">
      <c r="A177" s="815"/>
      <c r="B177" s="1136"/>
      <c r="C177" s="838"/>
      <c r="D177" s="140" t="s">
        <v>45</v>
      </c>
      <c r="E177" s="142"/>
      <c r="F177" s="143"/>
      <c r="G177" s="144"/>
      <c r="H177" s="144"/>
      <c r="I177" s="144" t="e">
        <f>+I176*$I$155/$I$154</f>
        <v>#REF!</v>
      </c>
      <c r="J177" s="138" t="e">
        <f>+J176*$J$155/$J$154</f>
        <v>#REF!</v>
      </c>
      <c r="K177" s="137"/>
      <c r="L177" s="138"/>
      <c r="M177" s="138"/>
      <c r="N177" s="138"/>
      <c r="O177" s="138">
        <f>+O173</f>
        <v>7144200</v>
      </c>
      <c r="P177" s="138" t="e">
        <f>+P176*$P$155/$P$154</f>
        <v>#REF!</v>
      </c>
      <c r="Q177" s="138" t="e">
        <f>+Q176*$Q$155/$Q$154</f>
        <v>#REF!</v>
      </c>
      <c r="R177" s="138" t="e">
        <f>+R176*$R$155/$R$154</f>
        <v>#REF!</v>
      </c>
      <c r="S177" s="1129"/>
      <c r="T177" s="148"/>
      <c r="U177" s="148"/>
      <c r="V177" s="148"/>
      <c r="W177" s="138" t="e">
        <f>+W176*$W$155/$W$154</f>
        <v>#REF!</v>
      </c>
      <c r="X177" s="139"/>
      <c r="Y177" s="139"/>
      <c r="Z177" s="139"/>
      <c r="AA177" s="165"/>
      <c r="AB177" s="137">
        <f>+AB173</f>
        <v>35887000</v>
      </c>
      <c r="AC177" s="137" t="e">
        <f>+AC176*$AC$155/$AC$154</f>
        <v>#REF!</v>
      </c>
      <c r="AD177" s="137" t="e">
        <f>+AD176*$AD$155/$AD$154</f>
        <v>#REF!</v>
      </c>
      <c r="AE177" s="137" t="e">
        <f>+AE176*$AE$155/$AE$154</f>
        <v>#REF!</v>
      </c>
      <c r="AF177" s="1125"/>
      <c r="AG177" s="773"/>
      <c r="AH177" s="776"/>
      <c r="AI177" s="776"/>
      <c r="AJ177" s="779"/>
      <c r="AK177" s="776"/>
      <c r="AL177" s="776"/>
      <c r="AM177" s="776"/>
      <c r="AN177" s="807"/>
      <c r="AO177" s="808"/>
      <c r="AP177" s="808"/>
      <c r="AQ177" s="806"/>
      <c r="AR177" s="806"/>
      <c r="AS177" s="806"/>
      <c r="AT177" s="806"/>
      <c r="AU177" s="795"/>
      <c r="AV177" s="795"/>
      <c r="AW177" s="795"/>
      <c r="AX177" s="798"/>
      <c r="AY177" s="159"/>
    </row>
    <row r="178" spans="1:51" ht="18" hidden="1" customHeight="1" x14ac:dyDescent="0.25">
      <c r="A178" s="815"/>
      <c r="B178" s="1136"/>
      <c r="C178" s="838" t="s">
        <v>345</v>
      </c>
      <c r="D178" s="141" t="s">
        <v>41</v>
      </c>
      <c r="E178" s="142"/>
      <c r="F178" s="143"/>
      <c r="G178" s="144"/>
      <c r="H178" s="144"/>
      <c r="I178" s="144"/>
      <c r="J178" s="138"/>
      <c r="K178" s="137"/>
      <c r="L178" s="138"/>
      <c r="M178" s="138"/>
      <c r="N178" s="138"/>
      <c r="O178" s="138"/>
      <c r="P178" s="138"/>
      <c r="Q178" s="138"/>
      <c r="R178" s="147"/>
      <c r="S178" s="1129"/>
      <c r="T178" s="148"/>
      <c r="U178" s="148"/>
      <c r="V178" s="148"/>
      <c r="W178" s="146"/>
      <c r="X178" s="139"/>
      <c r="Y178" s="139"/>
      <c r="Z178" s="139"/>
      <c r="AA178" s="165"/>
      <c r="AB178" s="151"/>
      <c r="AC178" s="129"/>
      <c r="AD178" s="137"/>
      <c r="AE178" s="152"/>
      <c r="AF178" s="189"/>
      <c r="AG178" s="771" t="s">
        <v>345</v>
      </c>
      <c r="AH178" s="774" t="s">
        <v>350</v>
      </c>
      <c r="AI178" s="774" t="s">
        <v>350</v>
      </c>
      <c r="AJ178" s="774" t="s">
        <v>350</v>
      </c>
      <c r="AK178" s="774" t="s">
        <v>315</v>
      </c>
      <c r="AL178" s="774" t="s">
        <v>70</v>
      </c>
      <c r="AM178" s="774" t="s">
        <v>316</v>
      </c>
      <c r="AN178" s="807">
        <v>392220</v>
      </c>
      <c r="AO178" s="808">
        <v>194318</v>
      </c>
      <c r="AP178" s="808">
        <v>207625</v>
      </c>
      <c r="AQ178" s="806" t="s">
        <v>317</v>
      </c>
      <c r="AR178" s="806" t="s">
        <v>317</v>
      </c>
      <c r="AS178" s="806" t="s">
        <v>317</v>
      </c>
      <c r="AT178" s="806" t="s">
        <v>317</v>
      </c>
      <c r="AU178" s="795" t="s">
        <v>317</v>
      </c>
      <c r="AV178" s="795" t="s">
        <v>317</v>
      </c>
      <c r="AW178" s="795" t="s">
        <v>317</v>
      </c>
      <c r="AX178" s="796">
        <v>392220</v>
      </c>
      <c r="AY178" s="159"/>
    </row>
    <row r="179" spans="1:51" ht="18.75" hidden="1" customHeight="1" x14ac:dyDescent="0.25">
      <c r="A179" s="815"/>
      <c r="B179" s="1136"/>
      <c r="C179" s="838"/>
      <c r="D179" s="132" t="s">
        <v>3</v>
      </c>
      <c r="E179" s="142"/>
      <c r="F179" s="143"/>
      <c r="G179" s="144"/>
      <c r="H179" s="144"/>
      <c r="I179" s="144"/>
      <c r="J179" s="138"/>
      <c r="K179" s="137"/>
      <c r="L179" s="138"/>
      <c r="M179" s="138"/>
      <c r="N179" s="138"/>
      <c r="O179" s="138"/>
      <c r="P179" s="138"/>
      <c r="Q179" s="138"/>
      <c r="R179" s="147"/>
      <c r="S179" s="1129"/>
      <c r="T179" s="148"/>
      <c r="U179" s="148"/>
      <c r="V179" s="148"/>
      <c r="W179" s="146"/>
      <c r="X179" s="139"/>
      <c r="Y179" s="139"/>
      <c r="Z179" s="139"/>
      <c r="AA179" s="165"/>
      <c r="AB179" s="151"/>
      <c r="AC179" s="129"/>
      <c r="AD179" s="137"/>
      <c r="AE179" s="152"/>
      <c r="AF179" s="189"/>
      <c r="AG179" s="772"/>
      <c r="AH179" s="775"/>
      <c r="AI179" s="775"/>
      <c r="AJ179" s="775"/>
      <c r="AK179" s="775"/>
      <c r="AL179" s="775"/>
      <c r="AM179" s="775"/>
      <c r="AN179" s="807"/>
      <c r="AO179" s="808"/>
      <c r="AP179" s="808"/>
      <c r="AQ179" s="806"/>
      <c r="AR179" s="806"/>
      <c r="AS179" s="806"/>
      <c r="AT179" s="806"/>
      <c r="AU179" s="795"/>
      <c r="AV179" s="795"/>
      <c r="AW179" s="795"/>
      <c r="AX179" s="797"/>
      <c r="AY179" s="159"/>
    </row>
    <row r="180" spans="1:51" ht="18" hidden="1" customHeight="1" x14ac:dyDescent="0.25">
      <c r="A180" s="815"/>
      <c r="B180" s="1136"/>
      <c r="C180" s="838"/>
      <c r="D180" s="136" t="s">
        <v>42</v>
      </c>
      <c r="E180" s="142"/>
      <c r="F180" s="143"/>
      <c r="G180" s="144"/>
      <c r="H180" s="144"/>
      <c r="I180" s="144"/>
      <c r="J180" s="138"/>
      <c r="K180" s="137"/>
      <c r="L180" s="138"/>
      <c r="M180" s="138"/>
      <c r="N180" s="138"/>
      <c r="O180" s="138"/>
      <c r="P180" s="138"/>
      <c r="Q180" s="138"/>
      <c r="R180" s="147"/>
      <c r="S180" s="1129"/>
      <c r="T180" s="148"/>
      <c r="U180" s="148"/>
      <c r="V180" s="148"/>
      <c r="W180" s="146"/>
      <c r="X180" s="139"/>
      <c r="Y180" s="139"/>
      <c r="Z180" s="139"/>
      <c r="AA180" s="165"/>
      <c r="AB180" s="151"/>
      <c r="AC180" s="129"/>
      <c r="AD180" s="137"/>
      <c r="AE180" s="152"/>
      <c r="AF180" s="189"/>
      <c r="AG180" s="772"/>
      <c r="AH180" s="775"/>
      <c r="AI180" s="775"/>
      <c r="AJ180" s="775"/>
      <c r="AK180" s="775"/>
      <c r="AL180" s="775"/>
      <c r="AM180" s="775"/>
      <c r="AN180" s="807"/>
      <c r="AO180" s="808"/>
      <c r="AP180" s="808"/>
      <c r="AQ180" s="806"/>
      <c r="AR180" s="806"/>
      <c r="AS180" s="806"/>
      <c r="AT180" s="806"/>
      <c r="AU180" s="795"/>
      <c r="AV180" s="795"/>
      <c r="AW180" s="795"/>
      <c r="AX180" s="797"/>
      <c r="AY180" s="159"/>
    </row>
    <row r="181" spans="1:51" ht="27.75" hidden="1" customHeight="1" x14ac:dyDescent="0.25">
      <c r="A181" s="815"/>
      <c r="B181" s="1136"/>
      <c r="C181" s="838"/>
      <c r="D181" s="132" t="s">
        <v>4</v>
      </c>
      <c r="E181" s="142"/>
      <c r="F181" s="143"/>
      <c r="G181" s="144"/>
      <c r="H181" s="144"/>
      <c r="I181" s="144"/>
      <c r="J181" s="138"/>
      <c r="K181" s="137"/>
      <c r="L181" s="138"/>
      <c r="M181" s="138"/>
      <c r="N181" s="138"/>
      <c r="O181" s="138"/>
      <c r="P181" s="138"/>
      <c r="Q181" s="138"/>
      <c r="R181" s="147"/>
      <c r="S181" s="1129"/>
      <c r="T181" s="148"/>
      <c r="U181" s="148"/>
      <c r="V181" s="148"/>
      <c r="W181" s="146"/>
      <c r="X181" s="139"/>
      <c r="Y181" s="139"/>
      <c r="Z181" s="139"/>
      <c r="AA181" s="165"/>
      <c r="AB181" s="151"/>
      <c r="AC181" s="129"/>
      <c r="AD181" s="137"/>
      <c r="AE181" s="152"/>
      <c r="AF181" s="189"/>
      <c r="AG181" s="772"/>
      <c r="AH181" s="775"/>
      <c r="AI181" s="775"/>
      <c r="AJ181" s="775"/>
      <c r="AK181" s="775"/>
      <c r="AL181" s="775"/>
      <c r="AM181" s="775"/>
      <c r="AN181" s="807"/>
      <c r="AO181" s="808"/>
      <c r="AP181" s="808"/>
      <c r="AQ181" s="806"/>
      <c r="AR181" s="806"/>
      <c r="AS181" s="806"/>
      <c r="AT181" s="806"/>
      <c r="AU181" s="795"/>
      <c r="AV181" s="795"/>
      <c r="AW181" s="795"/>
      <c r="AX181" s="797"/>
      <c r="AY181" s="159"/>
    </row>
    <row r="182" spans="1:51" ht="27.75" hidden="1" customHeight="1" x14ac:dyDescent="0.25">
      <c r="A182" s="815"/>
      <c r="B182" s="1136"/>
      <c r="C182" s="838"/>
      <c r="D182" s="136" t="s">
        <v>43</v>
      </c>
      <c r="E182" s="142"/>
      <c r="F182" s="143"/>
      <c r="G182" s="144"/>
      <c r="H182" s="144"/>
      <c r="I182" s="144"/>
      <c r="J182" s="138"/>
      <c r="K182" s="137"/>
      <c r="L182" s="138"/>
      <c r="M182" s="138"/>
      <c r="N182" s="138"/>
      <c r="O182" s="138"/>
      <c r="P182" s="138"/>
      <c r="Q182" s="138"/>
      <c r="R182" s="147"/>
      <c r="S182" s="1129"/>
      <c r="T182" s="148"/>
      <c r="U182" s="148"/>
      <c r="V182" s="148"/>
      <c r="W182" s="146"/>
      <c r="X182" s="139"/>
      <c r="Y182" s="139"/>
      <c r="Z182" s="139"/>
      <c r="AA182" s="165"/>
      <c r="AB182" s="151"/>
      <c r="AC182" s="129"/>
      <c r="AD182" s="137"/>
      <c r="AE182" s="152"/>
      <c r="AF182" s="189"/>
      <c r="AG182" s="772"/>
      <c r="AH182" s="775"/>
      <c r="AI182" s="775"/>
      <c r="AJ182" s="775"/>
      <c r="AK182" s="775"/>
      <c r="AL182" s="775"/>
      <c r="AM182" s="775"/>
      <c r="AN182" s="807"/>
      <c r="AO182" s="808"/>
      <c r="AP182" s="808"/>
      <c r="AQ182" s="806"/>
      <c r="AR182" s="806"/>
      <c r="AS182" s="806"/>
      <c r="AT182" s="806"/>
      <c r="AU182" s="795"/>
      <c r="AV182" s="795"/>
      <c r="AW182" s="795"/>
      <c r="AX182" s="797"/>
      <c r="AY182" s="159"/>
    </row>
    <row r="183" spans="1:51" ht="27.75" hidden="1" customHeight="1" thickBot="1" x14ac:dyDescent="0.3">
      <c r="A183" s="815"/>
      <c r="B183" s="1136"/>
      <c r="C183" s="838"/>
      <c r="D183" s="140" t="s">
        <v>45</v>
      </c>
      <c r="E183" s="142"/>
      <c r="F183" s="143"/>
      <c r="G183" s="144"/>
      <c r="H183" s="144"/>
      <c r="I183" s="144"/>
      <c r="J183" s="138"/>
      <c r="K183" s="137"/>
      <c r="L183" s="138"/>
      <c r="M183" s="138"/>
      <c r="N183" s="138"/>
      <c r="O183" s="138"/>
      <c r="P183" s="138"/>
      <c r="Q183" s="138"/>
      <c r="R183" s="147"/>
      <c r="S183" s="1129"/>
      <c r="T183" s="148"/>
      <c r="U183" s="148"/>
      <c r="V183" s="148"/>
      <c r="W183" s="146"/>
      <c r="X183" s="139"/>
      <c r="Y183" s="139"/>
      <c r="Z183" s="139"/>
      <c r="AA183" s="165"/>
      <c r="AB183" s="151"/>
      <c r="AC183" s="129"/>
      <c r="AD183" s="137"/>
      <c r="AE183" s="152"/>
      <c r="AF183" s="189"/>
      <c r="AG183" s="773"/>
      <c r="AH183" s="776"/>
      <c r="AI183" s="776"/>
      <c r="AJ183" s="776"/>
      <c r="AK183" s="776"/>
      <c r="AL183" s="776"/>
      <c r="AM183" s="776"/>
      <c r="AN183" s="807"/>
      <c r="AO183" s="808"/>
      <c r="AP183" s="808"/>
      <c r="AQ183" s="806"/>
      <c r="AR183" s="806"/>
      <c r="AS183" s="806"/>
      <c r="AT183" s="806"/>
      <c r="AU183" s="795"/>
      <c r="AV183" s="795"/>
      <c r="AW183" s="795"/>
      <c r="AX183" s="798"/>
      <c r="AY183" s="159"/>
    </row>
    <row r="184" spans="1:51" ht="18" hidden="1" customHeight="1" x14ac:dyDescent="0.25">
      <c r="A184" s="815"/>
      <c r="B184" s="1136"/>
      <c r="C184" s="838" t="s">
        <v>324</v>
      </c>
      <c r="D184" s="141" t="s">
        <v>41</v>
      </c>
      <c r="E184" s="142"/>
      <c r="F184" s="143"/>
      <c r="G184" s="144"/>
      <c r="H184" s="144"/>
      <c r="I184" s="144"/>
      <c r="J184" s="138"/>
      <c r="K184" s="137"/>
      <c r="L184" s="138"/>
      <c r="M184" s="138"/>
      <c r="N184" s="138"/>
      <c r="O184" s="138"/>
      <c r="P184" s="138"/>
      <c r="Q184" s="138"/>
      <c r="R184" s="147"/>
      <c r="S184" s="1129"/>
      <c r="T184" s="148"/>
      <c r="U184" s="148"/>
      <c r="V184" s="148"/>
      <c r="W184" s="146"/>
      <c r="X184" s="139"/>
      <c r="Y184" s="139"/>
      <c r="Z184" s="139"/>
      <c r="AA184" s="165"/>
      <c r="AB184" s="151"/>
      <c r="AC184" s="129"/>
      <c r="AD184" s="137"/>
      <c r="AE184" s="152"/>
      <c r="AF184" s="189"/>
      <c r="AG184" s="771" t="s">
        <v>324</v>
      </c>
      <c r="AH184" s="774" t="s">
        <v>350</v>
      </c>
      <c r="AI184" s="774" t="s">
        <v>350</v>
      </c>
      <c r="AJ184" s="774" t="s">
        <v>350</v>
      </c>
      <c r="AK184" s="774" t="s">
        <v>315</v>
      </c>
      <c r="AL184" s="774" t="s">
        <v>70</v>
      </c>
      <c r="AM184" s="774" t="s">
        <v>316</v>
      </c>
      <c r="AN184" s="807">
        <v>22438</v>
      </c>
      <c r="AO184" s="808">
        <v>181364</v>
      </c>
      <c r="AP184" s="808">
        <v>191238</v>
      </c>
      <c r="AQ184" s="806" t="s">
        <v>317</v>
      </c>
      <c r="AR184" s="806" t="s">
        <v>317</v>
      </c>
      <c r="AS184" s="806" t="s">
        <v>317</v>
      </c>
      <c r="AT184" s="806" t="s">
        <v>317</v>
      </c>
      <c r="AU184" s="795" t="s">
        <v>317</v>
      </c>
      <c r="AV184" s="795" t="s">
        <v>317</v>
      </c>
      <c r="AW184" s="795" t="s">
        <v>317</v>
      </c>
      <c r="AX184" s="796">
        <v>22438</v>
      </c>
      <c r="AY184" s="159"/>
    </row>
    <row r="185" spans="1:51" ht="18.75" hidden="1" customHeight="1" x14ac:dyDescent="0.25">
      <c r="A185" s="815"/>
      <c r="B185" s="1136"/>
      <c r="C185" s="838"/>
      <c r="D185" s="132" t="s">
        <v>3</v>
      </c>
      <c r="E185" s="142"/>
      <c r="F185" s="143"/>
      <c r="G185" s="144"/>
      <c r="H185" s="144"/>
      <c r="I185" s="144"/>
      <c r="J185" s="138"/>
      <c r="K185" s="137"/>
      <c r="L185" s="138"/>
      <c r="M185" s="138"/>
      <c r="N185" s="138"/>
      <c r="O185" s="138"/>
      <c r="P185" s="138"/>
      <c r="Q185" s="138"/>
      <c r="R185" s="147"/>
      <c r="S185" s="1129"/>
      <c r="T185" s="148"/>
      <c r="U185" s="148"/>
      <c r="V185" s="148"/>
      <c r="W185" s="146"/>
      <c r="X185" s="139"/>
      <c r="Y185" s="139"/>
      <c r="Z185" s="139"/>
      <c r="AA185" s="165"/>
      <c r="AB185" s="151"/>
      <c r="AC185" s="129"/>
      <c r="AD185" s="137"/>
      <c r="AE185" s="152"/>
      <c r="AF185" s="189"/>
      <c r="AG185" s="772"/>
      <c r="AH185" s="775"/>
      <c r="AI185" s="775"/>
      <c r="AJ185" s="775"/>
      <c r="AK185" s="775"/>
      <c r="AL185" s="775"/>
      <c r="AM185" s="775"/>
      <c r="AN185" s="807"/>
      <c r="AO185" s="808"/>
      <c r="AP185" s="808"/>
      <c r="AQ185" s="806"/>
      <c r="AR185" s="806"/>
      <c r="AS185" s="806"/>
      <c r="AT185" s="806"/>
      <c r="AU185" s="795"/>
      <c r="AV185" s="795"/>
      <c r="AW185" s="795"/>
      <c r="AX185" s="797"/>
      <c r="AY185" s="159"/>
    </row>
    <row r="186" spans="1:51" ht="18" hidden="1" customHeight="1" x14ac:dyDescent="0.25">
      <c r="A186" s="815"/>
      <c r="B186" s="1136"/>
      <c r="C186" s="838"/>
      <c r="D186" s="136" t="s">
        <v>42</v>
      </c>
      <c r="E186" s="142"/>
      <c r="F186" s="143"/>
      <c r="G186" s="144"/>
      <c r="H186" s="144"/>
      <c r="I186" s="144"/>
      <c r="J186" s="138"/>
      <c r="K186" s="137"/>
      <c r="L186" s="138"/>
      <c r="M186" s="138"/>
      <c r="N186" s="138"/>
      <c r="O186" s="138"/>
      <c r="P186" s="138"/>
      <c r="Q186" s="138"/>
      <c r="R186" s="147"/>
      <c r="S186" s="1129"/>
      <c r="T186" s="148"/>
      <c r="U186" s="148"/>
      <c r="V186" s="148"/>
      <c r="W186" s="146"/>
      <c r="X186" s="139"/>
      <c r="Y186" s="139"/>
      <c r="Z186" s="139"/>
      <c r="AA186" s="165"/>
      <c r="AB186" s="151"/>
      <c r="AC186" s="129"/>
      <c r="AD186" s="137"/>
      <c r="AE186" s="152"/>
      <c r="AF186" s="189"/>
      <c r="AG186" s="772"/>
      <c r="AH186" s="775"/>
      <c r="AI186" s="775"/>
      <c r="AJ186" s="775"/>
      <c r="AK186" s="775"/>
      <c r="AL186" s="775"/>
      <c r="AM186" s="775"/>
      <c r="AN186" s="807"/>
      <c r="AO186" s="808"/>
      <c r="AP186" s="808"/>
      <c r="AQ186" s="806"/>
      <c r="AR186" s="806"/>
      <c r="AS186" s="806"/>
      <c r="AT186" s="806"/>
      <c r="AU186" s="795"/>
      <c r="AV186" s="795"/>
      <c r="AW186" s="795"/>
      <c r="AX186" s="797"/>
      <c r="AY186" s="159"/>
    </row>
    <row r="187" spans="1:51" ht="27.75" hidden="1" customHeight="1" x14ac:dyDescent="0.25">
      <c r="A187" s="815"/>
      <c r="B187" s="1136"/>
      <c r="C187" s="838"/>
      <c r="D187" s="132" t="s">
        <v>4</v>
      </c>
      <c r="E187" s="142"/>
      <c r="F187" s="143"/>
      <c r="G187" s="144"/>
      <c r="H187" s="144"/>
      <c r="I187" s="144"/>
      <c r="J187" s="138"/>
      <c r="K187" s="137"/>
      <c r="L187" s="138"/>
      <c r="M187" s="138"/>
      <c r="N187" s="138"/>
      <c r="O187" s="138"/>
      <c r="P187" s="138"/>
      <c r="Q187" s="138"/>
      <c r="R187" s="147"/>
      <c r="S187" s="1129"/>
      <c r="T187" s="148"/>
      <c r="U187" s="148"/>
      <c r="V187" s="148"/>
      <c r="W187" s="146"/>
      <c r="X187" s="139"/>
      <c r="Y187" s="139"/>
      <c r="Z187" s="139"/>
      <c r="AA187" s="165"/>
      <c r="AB187" s="151"/>
      <c r="AC187" s="129"/>
      <c r="AD187" s="137"/>
      <c r="AE187" s="152"/>
      <c r="AF187" s="189"/>
      <c r="AG187" s="772"/>
      <c r="AH187" s="775"/>
      <c r="AI187" s="775"/>
      <c r="AJ187" s="775"/>
      <c r="AK187" s="775"/>
      <c r="AL187" s="775"/>
      <c r="AM187" s="775"/>
      <c r="AN187" s="807"/>
      <c r="AO187" s="808"/>
      <c r="AP187" s="808"/>
      <c r="AQ187" s="806"/>
      <c r="AR187" s="806"/>
      <c r="AS187" s="806"/>
      <c r="AT187" s="806"/>
      <c r="AU187" s="795"/>
      <c r="AV187" s="795"/>
      <c r="AW187" s="795"/>
      <c r="AX187" s="797"/>
      <c r="AY187" s="159"/>
    </row>
    <row r="188" spans="1:51" ht="27.75" hidden="1" customHeight="1" x14ac:dyDescent="0.25">
      <c r="A188" s="815"/>
      <c r="B188" s="1136"/>
      <c r="C188" s="838"/>
      <c r="D188" s="136" t="s">
        <v>43</v>
      </c>
      <c r="E188" s="142"/>
      <c r="F188" s="143"/>
      <c r="G188" s="144"/>
      <c r="H188" s="144"/>
      <c r="I188" s="144"/>
      <c r="J188" s="138"/>
      <c r="K188" s="137"/>
      <c r="L188" s="138"/>
      <c r="M188" s="138"/>
      <c r="N188" s="138"/>
      <c r="O188" s="138"/>
      <c r="P188" s="138"/>
      <c r="Q188" s="138"/>
      <c r="R188" s="147"/>
      <c r="S188" s="1129"/>
      <c r="T188" s="148"/>
      <c r="U188" s="148"/>
      <c r="V188" s="148"/>
      <c r="W188" s="146"/>
      <c r="X188" s="139"/>
      <c r="Y188" s="139"/>
      <c r="Z188" s="139"/>
      <c r="AA188" s="165"/>
      <c r="AB188" s="151"/>
      <c r="AC188" s="129"/>
      <c r="AD188" s="137"/>
      <c r="AE188" s="152"/>
      <c r="AF188" s="189"/>
      <c r="AG188" s="772"/>
      <c r="AH188" s="775"/>
      <c r="AI188" s="775"/>
      <c r="AJ188" s="775"/>
      <c r="AK188" s="775"/>
      <c r="AL188" s="775"/>
      <c r="AM188" s="775"/>
      <c r="AN188" s="807"/>
      <c r="AO188" s="808"/>
      <c r="AP188" s="808"/>
      <c r="AQ188" s="806"/>
      <c r="AR188" s="806"/>
      <c r="AS188" s="806"/>
      <c r="AT188" s="806"/>
      <c r="AU188" s="795"/>
      <c r="AV188" s="795"/>
      <c r="AW188" s="795"/>
      <c r="AX188" s="797"/>
      <c r="AY188" s="159"/>
    </row>
    <row r="189" spans="1:51" ht="27.75" hidden="1" customHeight="1" thickBot="1" x14ac:dyDescent="0.3">
      <c r="A189" s="815"/>
      <c r="B189" s="1136"/>
      <c r="C189" s="838"/>
      <c r="D189" s="140" t="s">
        <v>45</v>
      </c>
      <c r="E189" s="142"/>
      <c r="F189" s="143"/>
      <c r="G189" s="144"/>
      <c r="H189" s="144"/>
      <c r="I189" s="144"/>
      <c r="J189" s="138"/>
      <c r="K189" s="137"/>
      <c r="L189" s="138"/>
      <c r="M189" s="138"/>
      <c r="N189" s="138"/>
      <c r="O189" s="138"/>
      <c r="P189" s="138"/>
      <c r="Q189" s="138"/>
      <c r="R189" s="147"/>
      <c r="S189" s="1129"/>
      <c r="T189" s="148"/>
      <c r="U189" s="148"/>
      <c r="V189" s="148"/>
      <c r="W189" s="146"/>
      <c r="X189" s="139"/>
      <c r="Y189" s="139"/>
      <c r="Z189" s="139"/>
      <c r="AA189" s="165"/>
      <c r="AB189" s="151"/>
      <c r="AC189" s="129"/>
      <c r="AD189" s="137"/>
      <c r="AE189" s="152"/>
      <c r="AF189" s="189"/>
      <c r="AG189" s="773"/>
      <c r="AH189" s="776"/>
      <c r="AI189" s="776"/>
      <c r="AJ189" s="776"/>
      <c r="AK189" s="776"/>
      <c r="AL189" s="776"/>
      <c r="AM189" s="776"/>
      <c r="AN189" s="807"/>
      <c r="AO189" s="808"/>
      <c r="AP189" s="808"/>
      <c r="AQ189" s="806"/>
      <c r="AR189" s="806"/>
      <c r="AS189" s="806"/>
      <c r="AT189" s="806"/>
      <c r="AU189" s="795"/>
      <c r="AV189" s="795"/>
      <c r="AW189" s="795"/>
      <c r="AX189" s="798"/>
      <c r="AY189" s="159"/>
    </row>
    <row r="190" spans="1:51" ht="18" hidden="1" customHeight="1" x14ac:dyDescent="0.25">
      <c r="A190" s="815"/>
      <c r="B190" s="1136"/>
      <c r="C190" s="838" t="s">
        <v>352</v>
      </c>
      <c r="D190" s="141" t="s">
        <v>41</v>
      </c>
      <c r="E190" s="142"/>
      <c r="F190" s="143"/>
      <c r="G190" s="144"/>
      <c r="H190" s="144"/>
      <c r="I190" s="144"/>
      <c r="J190" s="138"/>
      <c r="K190" s="137"/>
      <c r="L190" s="138"/>
      <c r="M190" s="138"/>
      <c r="N190" s="138"/>
      <c r="O190" s="138"/>
      <c r="P190" s="138"/>
      <c r="Q190" s="138"/>
      <c r="R190" s="147"/>
      <c r="S190" s="1129"/>
      <c r="T190" s="148"/>
      <c r="U190" s="148"/>
      <c r="V190" s="148"/>
      <c r="W190" s="146"/>
      <c r="X190" s="139"/>
      <c r="Y190" s="139"/>
      <c r="Z190" s="139"/>
      <c r="AA190" s="165"/>
      <c r="AB190" s="151"/>
      <c r="AC190" s="129"/>
      <c r="AD190" s="137"/>
      <c r="AE190" s="152"/>
      <c r="AF190" s="189"/>
      <c r="AG190" s="771" t="s">
        <v>352</v>
      </c>
      <c r="AH190" s="774" t="s">
        <v>350</v>
      </c>
      <c r="AI190" s="774" t="s">
        <v>350</v>
      </c>
      <c r="AJ190" s="774" t="s">
        <v>350</v>
      </c>
      <c r="AK190" s="774" t="s">
        <v>315</v>
      </c>
      <c r="AL190" s="774" t="s">
        <v>70</v>
      </c>
      <c r="AM190" s="774" t="s">
        <v>316</v>
      </c>
      <c r="AN190" s="807">
        <v>186383</v>
      </c>
      <c r="AO190" s="808">
        <v>86612</v>
      </c>
      <c r="AP190" s="808">
        <v>92493</v>
      </c>
      <c r="AQ190" s="806" t="s">
        <v>317</v>
      </c>
      <c r="AR190" s="806" t="s">
        <v>317</v>
      </c>
      <c r="AS190" s="806" t="s">
        <v>317</v>
      </c>
      <c r="AT190" s="806" t="s">
        <v>317</v>
      </c>
      <c r="AU190" s="795" t="s">
        <v>317</v>
      </c>
      <c r="AV190" s="795" t="s">
        <v>317</v>
      </c>
      <c r="AW190" s="795" t="s">
        <v>317</v>
      </c>
      <c r="AX190" s="796">
        <v>186383</v>
      </c>
      <c r="AY190" s="159"/>
    </row>
    <row r="191" spans="1:51" ht="18.75" hidden="1" customHeight="1" x14ac:dyDescent="0.25">
      <c r="A191" s="815"/>
      <c r="B191" s="1136"/>
      <c r="C191" s="838"/>
      <c r="D191" s="132" t="s">
        <v>3</v>
      </c>
      <c r="E191" s="142"/>
      <c r="F191" s="143"/>
      <c r="G191" s="144"/>
      <c r="H191" s="144"/>
      <c r="I191" s="144"/>
      <c r="J191" s="138"/>
      <c r="K191" s="137"/>
      <c r="L191" s="138"/>
      <c r="M191" s="138"/>
      <c r="N191" s="138"/>
      <c r="O191" s="138"/>
      <c r="P191" s="138"/>
      <c r="Q191" s="138"/>
      <c r="R191" s="147"/>
      <c r="S191" s="1129"/>
      <c r="T191" s="148"/>
      <c r="U191" s="148"/>
      <c r="V191" s="148"/>
      <c r="W191" s="146"/>
      <c r="X191" s="139"/>
      <c r="Y191" s="139"/>
      <c r="Z191" s="139"/>
      <c r="AA191" s="165"/>
      <c r="AB191" s="151"/>
      <c r="AC191" s="129"/>
      <c r="AD191" s="137"/>
      <c r="AE191" s="152"/>
      <c r="AF191" s="189"/>
      <c r="AG191" s="772"/>
      <c r="AH191" s="775"/>
      <c r="AI191" s="775"/>
      <c r="AJ191" s="775"/>
      <c r="AK191" s="775"/>
      <c r="AL191" s="775"/>
      <c r="AM191" s="775"/>
      <c r="AN191" s="807"/>
      <c r="AO191" s="808"/>
      <c r="AP191" s="808"/>
      <c r="AQ191" s="806"/>
      <c r="AR191" s="806"/>
      <c r="AS191" s="806"/>
      <c r="AT191" s="806"/>
      <c r="AU191" s="795"/>
      <c r="AV191" s="795"/>
      <c r="AW191" s="795"/>
      <c r="AX191" s="797"/>
      <c r="AY191" s="159"/>
    </row>
    <row r="192" spans="1:51" ht="18" hidden="1" customHeight="1" x14ac:dyDescent="0.25">
      <c r="A192" s="815"/>
      <c r="B192" s="1136"/>
      <c r="C192" s="838"/>
      <c r="D192" s="136" t="s">
        <v>42</v>
      </c>
      <c r="E192" s="142"/>
      <c r="F192" s="143"/>
      <c r="G192" s="144"/>
      <c r="H192" s="144"/>
      <c r="I192" s="144"/>
      <c r="J192" s="138"/>
      <c r="K192" s="137"/>
      <c r="L192" s="138"/>
      <c r="M192" s="138"/>
      <c r="N192" s="138"/>
      <c r="O192" s="138"/>
      <c r="P192" s="138"/>
      <c r="Q192" s="138"/>
      <c r="R192" s="147"/>
      <c r="S192" s="1129"/>
      <c r="T192" s="148"/>
      <c r="U192" s="148"/>
      <c r="V192" s="148"/>
      <c r="W192" s="146"/>
      <c r="X192" s="139"/>
      <c r="Y192" s="139"/>
      <c r="Z192" s="139"/>
      <c r="AA192" s="165"/>
      <c r="AB192" s="151"/>
      <c r="AC192" s="129"/>
      <c r="AD192" s="137"/>
      <c r="AE192" s="152"/>
      <c r="AF192" s="189"/>
      <c r="AG192" s="772"/>
      <c r="AH192" s="775"/>
      <c r="AI192" s="775"/>
      <c r="AJ192" s="775"/>
      <c r="AK192" s="775"/>
      <c r="AL192" s="775"/>
      <c r="AM192" s="775"/>
      <c r="AN192" s="807"/>
      <c r="AO192" s="808"/>
      <c r="AP192" s="808"/>
      <c r="AQ192" s="806"/>
      <c r="AR192" s="806"/>
      <c r="AS192" s="806"/>
      <c r="AT192" s="806"/>
      <c r="AU192" s="795"/>
      <c r="AV192" s="795"/>
      <c r="AW192" s="795"/>
      <c r="AX192" s="797"/>
      <c r="AY192" s="159"/>
    </row>
    <row r="193" spans="1:51" ht="27.75" hidden="1" customHeight="1" x14ac:dyDescent="0.25">
      <c r="A193" s="815"/>
      <c r="B193" s="1136"/>
      <c r="C193" s="838"/>
      <c r="D193" s="132" t="s">
        <v>4</v>
      </c>
      <c r="E193" s="142"/>
      <c r="F193" s="143"/>
      <c r="G193" s="144"/>
      <c r="H193" s="144"/>
      <c r="I193" s="144"/>
      <c r="J193" s="138"/>
      <c r="K193" s="137"/>
      <c r="L193" s="138"/>
      <c r="M193" s="138"/>
      <c r="N193" s="138"/>
      <c r="O193" s="138"/>
      <c r="P193" s="138"/>
      <c r="Q193" s="138"/>
      <c r="R193" s="147"/>
      <c r="S193" s="1129"/>
      <c r="T193" s="148"/>
      <c r="U193" s="148"/>
      <c r="V193" s="148"/>
      <c r="W193" s="146"/>
      <c r="X193" s="139"/>
      <c r="Y193" s="139"/>
      <c r="Z193" s="139"/>
      <c r="AA193" s="165"/>
      <c r="AB193" s="151"/>
      <c r="AC193" s="129"/>
      <c r="AD193" s="137"/>
      <c r="AE193" s="152"/>
      <c r="AF193" s="189"/>
      <c r="AG193" s="772"/>
      <c r="AH193" s="775"/>
      <c r="AI193" s="775"/>
      <c r="AJ193" s="775"/>
      <c r="AK193" s="775"/>
      <c r="AL193" s="775"/>
      <c r="AM193" s="775"/>
      <c r="AN193" s="807"/>
      <c r="AO193" s="808"/>
      <c r="AP193" s="808"/>
      <c r="AQ193" s="806"/>
      <c r="AR193" s="806"/>
      <c r="AS193" s="806"/>
      <c r="AT193" s="806"/>
      <c r="AU193" s="795"/>
      <c r="AV193" s="795"/>
      <c r="AW193" s="795"/>
      <c r="AX193" s="797"/>
      <c r="AY193" s="159"/>
    </row>
    <row r="194" spans="1:51" ht="27.75" hidden="1" customHeight="1" x14ac:dyDescent="0.25">
      <c r="A194" s="815"/>
      <c r="B194" s="1136"/>
      <c r="C194" s="838"/>
      <c r="D194" s="136" t="s">
        <v>43</v>
      </c>
      <c r="E194" s="142"/>
      <c r="F194" s="143"/>
      <c r="G194" s="144"/>
      <c r="H194" s="144"/>
      <c r="I194" s="144"/>
      <c r="J194" s="138"/>
      <c r="K194" s="137"/>
      <c r="L194" s="138"/>
      <c r="M194" s="138"/>
      <c r="N194" s="138"/>
      <c r="O194" s="138"/>
      <c r="P194" s="138"/>
      <c r="Q194" s="138"/>
      <c r="R194" s="147"/>
      <c r="S194" s="1129"/>
      <c r="T194" s="148"/>
      <c r="U194" s="148"/>
      <c r="V194" s="148"/>
      <c r="W194" s="146"/>
      <c r="X194" s="139"/>
      <c r="Y194" s="139"/>
      <c r="Z194" s="139"/>
      <c r="AA194" s="165"/>
      <c r="AB194" s="151"/>
      <c r="AC194" s="129"/>
      <c r="AD194" s="137"/>
      <c r="AE194" s="152"/>
      <c r="AF194" s="189"/>
      <c r="AG194" s="772"/>
      <c r="AH194" s="775"/>
      <c r="AI194" s="775"/>
      <c r="AJ194" s="775"/>
      <c r="AK194" s="775"/>
      <c r="AL194" s="775"/>
      <c r="AM194" s="775"/>
      <c r="AN194" s="807"/>
      <c r="AO194" s="808"/>
      <c r="AP194" s="808"/>
      <c r="AQ194" s="806"/>
      <c r="AR194" s="806"/>
      <c r="AS194" s="806"/>
      <c r="AT194" s="806"/>
      <c r="AU194" s="795"/>
      <c r="AV194" s="795"/>
      <c r="AW194" s="795"/>
      <c r="AX194" s="797"/>
      <c r="AY194" s="159"/>
    </row>
    <row r="195" spans="1:51" ht="27.75" hidden="1" customHeight="1" thickBot="1" x14ac:dyDescent="0.3">
      <c r="A195" s="815"/>
      <c r="B195" s="1136"/>
      <c r="C195" s="838"/>
      <c r="D195" s="140" t="s">
        <v>45</v>
      </c>
      <c r="E195" s="142"/>
      <c r="F195" s="143"/>
      <c r="G195" s="144"/>
      <c r="H195" s="144"/>
      <c r="I195" s="144"/>
      <c r="J195" s="138"/>
      <c r="K195" s="137"/>
      <c r="L195" s="138"/>
      <c r="M195" s="138"/>
      <c r="N195" s="138"/>
      <c r="O195" s="138"/>
      <c r="P195" s="138"/>
      <c r="Q195" s="138"/>
      <c r="R195" s="147"/>
      <c r="S195" s="1129"/>
      <c r="T195" s="148"/>
      <c r="U195" s="148"/>
      <c r="V195" s="148"/>
      <c r="W195" s="146"/>
      <c r="X195" s="139"/>
      <c r="Y195" s="139"/>
      <c r="Z195" s="139"/>
      <c r="AA195" s="165"/>
      <c r="AB195" s="151"/>
      <c r="AC195" s="129"/>
      <c r="AD195" s="137"/>
      <c r="AE195" s="152"/>
      <c r="AF195" s="189"/>
      <c r="AG195" s="773"/>
      <c r="AH195" s="776"/>
      <c r="AI195" s="776"/>
      <c r="AJ195" s="776"/>
      <c r="AK195" s="776"/>
      <c r="AL195" s="776"/>
      <c r="AM195" s="776"/>
      <c r="AN195" s="807"/>
      <c r="AO195" s="808"/>
      <c r="AP195" s="808"/>
      <c r="AQ195" s="806"/>
      <c r="AR195" s="806"/>
      <c r="AS195" s="806"/>
      <c r="AT195" s="806"/>
      <c r="AU195" s="795"/>
      <c r="AV195" s="795"/>
      <c r="AW195" s="795"/>
      <c r="AX195" s="798"/>
      <c r="AY195" s="159"/>
    </row>
    <row r="196" spans="1:51" ht="18" customHeight="1" x14ac:dyDescent="0.25">
      <c r="A196" s="815"/>
      <c r="B196" s="1136"/>
      <c r="C196" s="838" t="s">
        <v>356</v>
      </c>
      <c r="D196" s="141" t="s">
        <v>41</v>
      </c>
      <c r="E196" s="142"/>
      <c r="F196" s="143"/>
      <c r="G196" s="144">
        <v>1</v>
      </c>
      <c r="H196" s="144">
        <v>1</v>
      </c>
      <c r="I196" s="144">
        <v>1</v>
      </c>
      <c r="J196" s="138">
        <v>1</v>
      </c>
      <c r="K196" s="145">
        <v>1</v>
      </c>
      <c r="L196" s="138"/>
      <c r="M196" s="138"/>
      <c r="N196" s="138"/>
      <c r="O196" s="138"/>
      <c r="P196" s="138"/>
      <c r="Q196" s="138"/>
      <c r="R196" s="147">
        <v>1</v>
      </c>
      <c r="S196" s="1129"/>
      <c r="T196" s="148">
        <v>1</v>
      </c>
      <c r="U196" s="148">
        <v>1</v>
      </c>
      <c r="V196" s="148">
        <v>1</v>
      </c>
      <c r="W196" s="146">
        <v>1</v>
      </c>
      <c r="X196" s="150">
        <v>1</v>
      </c>
      <c r="Y196" s="139"/>
      <c r="Z196" s="139"/>
      <c r="AA196" s="165"/>
      <c r="AB196" s="151"/>
      <c r="AC196" s="129"/>
      <c r="AD196" s="137"/>
      <c r="AE196" s="152">
        <v>1</v>
      </c>
      <c r="AF196" s="1128" t="s">
        <v>427</v>
      </c>
      <c r="AG196" s="771" t="s">
        <v>356</v>
      </c>
      <c r="AH196" s="774" t="s">
        <v>363</v>
      </c>
      <c r="AI196" s="774" t="s">
        <v>428</v>
      </c>
      <c r="AJ196" s="777" t="s">
        <v>417</v>
      </c>
      <c r="AK196" s="774" t="s">
        <v>315</v>
      </c>
      <c r="AL196" s="774" t="s">
        <v>70</v>
      </c>
      <c r="AM196" s="774" t="s">
        <v>316</v>
      </c>
      <c r="AN196" s="807">
        <v>735606</v>
      </c>
      <c r="AO196" s="808">
        <v>354354</v>
      </c>
      <c r="AP196" s="808">
        <v>381252</v>
      </c>
      <c r="AQ196" s="806" t="s">
        <v>317</v>
      </c>
      <c r="AR196" s="806" t="s">
        <v>317</v>
      </c>
      <c r="AS196" s="806" t="s">
        <v>317</v>
      </c>
      <c r="AT196" s="806" t="s">
        <v>317</v>
      </c>
      <c r="AU196" s="795" t="s">
        <v>317</v>
      </c>
      <c r="AV196" s="795" t="s">
        <v>317</v>
      </c>
      <c r="AW196" s="795" t="s">
        <v>317</v>
      </c>
      <c r="AX196" s="796">
        <v>270280</v>
      </c>
      <c r="AY196" s="159"/>
    </row>
    <row r="197" spans="1:51" ht="18.75" customHeight="1" x14ac:dyDescent="0.25">
      <c r="A197" s="815"/>
      <c r="B197" s="1136"/>
      <c r="C197" s="838"/>
      <c r="D197" s="132" t="s">
        <v>3</v>
      </c>
      <c r="E197" s="142"/>
      <c r="F197" s="143"/>
      <c r="G197" s="144">
        <f>+G196*$G$155/$G$154</f>
        <v>2573116.8831168832</v>
      </c>
      <c r="H197" s="144">
        <f>+H196*$H$155/$H$154</f>
        <v>2573116.8831168832</v>
      </c>
      <c r="I197" s="144" t="e">
        <f>+I196*$I$155/$I$154</f>
        <v>#REF!</v>
      </c>
      <c r="J197" s="138" t="e">
        <f>+J196*$J$155/$J$154</f>
        <v>#REF!</v>
      </c>
      <c r="K197" s="137"/>
      <c r="L197" s="138"/>
      <c r="M197" s="138"/>
      <c r="N197" s="138"/>
      <c r="O197" s="138"/>
      <c r="P197" s="138"/>
      <c r="Q197" s="138"/>
      <c r="R197" s="138" t="e">
        <f>+R196*$R$155/$R$154</f>
        <v>#REF!</v>
      </c>
      <c r="S197" s="1129"/>
      <c r="T197" s="144">
        <f>+T196*$T$155/$T$154</f>
        <v>0</v>
      </c>
      <c r="U197" s="144">
        <f>+U196*$U$155/$U$154</f>
        <v>11790000</v>
      </c>
      <c r="V197" s="144" t="e">
        <f>+V196*$V$155/$V$154</f>
        <v>#REF!</v>
      </c>
      <c r="W197" s="138" t="e">
        <f>+W196*$W$155/$W$154</f>
        <v>#REF!</v>
      </c>
      <c r="X197" s="139"/>
      <c r="Y197" s="139"/>
      <c r="Z197" s="139"/>
      <c r="AA197" s="165"/>
      <c r="AB197" s="151"/>
      <c r="AC197" s="129"/>
      <c r="AD197" s="137"/>
      <c r="AE197" s="137" t="e">
        <f>+AE196*$AE$155/$AE$154</f>
        <v>#REF!</v>
      </c>
      <c r="AF197" s="1129"/>
      <c r="AG197" s="772"/>
      <c r="AH197" s="775"/>
      <c r="AI197" s="775"/>
      <c r="AJ197" s="778"/>
      <c r="AK197" s="775"/>
      <c r="AL197" s="775"/>
      <c r="AM197" s="775"/>
      <c r="AN197" s="807"/>
      <c r="AO197" s="808"/>
      <c r="AP197" s="808"/>
      <c r="AQ197" s="806"/>
      <c r="AR197" s="806"/>
      <c r="AS197" s="806"/>
      <c r="AT197" s="806"/>
      <c r="AU197" s="795"/>
      <c r="AV197" s="795"/>
      <c r="AW197" s="795"/>
      <c r="AX197" s="797"/>
      <c r="AY197" s="159"/>
    </row>
    <row r="198" spans="1:51" ht="27.75" customHeight="1" x14ac:dyDescent="0.25">
      <c r="A198" s="815"/>
      <c r="B198" s="1136"/>
      <c r="C198" s="838"/>
      <c r="D198" s="136" t="s">
        <v>42</v>
      </c>
      <c r="E198" s="142"/>
      <c r="F198" s="143"/>
      <c r="G198" s="144"/>
      <c r="H198" s="144"/>
      <c r="I198" s="144"/>
      <c r="J198" s="138"/>
      <c r="K198" s="137"/>
      <c r="L198" s="138"/>
      <c r="M198" s="138"/>
      <c r="N198" s="138"/>
      <c r="O198" s="138"/>
      <c r="P198" s="138"/>
      <c r="Q198" s="138"/>
      <c r="R198" s="147"/>
      <c r="S198" s="1129"/>
      <c r="T198" s="148"/>
      <c r="U198" s="148"/>
      <c r="V198" s="148"/>
      <c r="W198" s="146"/>
      <c r="X198" s="139"/>
      <c r="Y198" s="139"/>
      <c r="Z198" s="139"/>
      <c r="AA198" s="165"/>
      <c r="AB198" s="151"/>
      <c r="AC198" s="129"/>
      <c r="AD198" s="137"/>
      <c r="AE198" s="152"/>
      <c r="AF198" s="1129"/>
      <c r="AG198" s="772"/>
      <c r="AH198" s="775"/>
      <c r="AI198" s="775"/>
      <c r="AJ198" s="778"/>
      <c r="AK198" s="775"/>
      <c r="AL198" s="775"/>
      <c r="AM198" s="775"/>
      <c r="AN198" s="807"/>
      <c r="AO198" s="808"/>
      <c r="AP198" s="808"/>
      <c r="AQ198" s="806"/>
      <c r="AR198" s="806"/>
      <c r="AS198" s="806"/>
      <c r="AT198" s="806"/>
      <c r="AU198" s="795"/>
      <c r="AV198" s="795"/>
      <c r="AW198" s="795"/>
      <c r="AX198" s="797"/>
      <c r="AY198" s="159"/>
    </row>
    <row r="199" spans="1:51" ht="27.75" customHeight="1" x14ac:dyDescent="0.25">
      <c r="A199" s="815"/>
      <c r="B199" s="1136"/>
      <c r="C199" s="838"/>
      <c r="D199" s="132" t="s">
        <v>4</v>
      </c>
      <c r="E199" s="142"/>
      <c r="F199" s="143"/>
      <c r="G199" s="144"/>
      <c r="H199" s="144"/>
      <c r="I199" s="144"/>
      <c r="J199" s="138"/>
      <c r="K199" s="137"/>
      <c r="L199" s="138"/>
      <c r="M199" s="138"/>
      <c r="N199" s="138"/>
      <c r="O199" s="138"/>
      <c r="P199" s="138"/>
      <c r="Q199" s="138"/>
      <c r="R199" s="147"/>
      <c r="S199" s="1129"/>
      <c r="T199" s="148"/>
      <c r="U199" s="187">
        <f>+$U$157/8</f>
        <v>2428417.875</v>
      </c>
      <c r="V199" s="148"/>
      <c r="W199" s="146"/>
      <c r="X199" s="139"/>
      <c r="Y199" s="139"/>
      <c r="Z199" s="139"/>
      <c r="AA199" s="165"/>
      <c r="AB199" s="151"/>
      <c r="AC199" s="129"/>
      <c r="AD199" s="137"/>
      <c r="AE199" s="152"/>
      <c r="AF199" s="1129"/>
      <c r="AG199" s="772"/>
      <c r="AH199" s="775"/>
      <c r="AI199" s="775"/>
      <c r="AJ199" s="778"/>
      <c r="AK199" s="775"/>
      <c r="AL199" s="775"/>
      <c r="AM199" s="775"/>
      <c r="AN199" s="807"/>
      <c r="AO199" s="808"/>
      <c r="AP199" s="808"/>
      <c r="AQ199" s="806"/>
      <c r="AR199" s="806"/>
      <c r="AS199" s="806"/>
      <c r="AT199" s="806"/>
      <c r="AU199" s="795"/>
      <c r="AV199" s="795"/>
      <c r="AW199" s="795"/>
      <c r="AX199" s="797"/>
      <c r="AY199" s="159"/>
    </row>
    <row r="200" spans="1:51" ht="27.75" customHeight="1" x14ac:dyDescent="0.25">
      <c r="A200" s="815"/>
      <c r="B200" s="1136"/>
      <c r="C200" s="838"/>
      <c r="D200" s="136" t="s">
        <v>43</v>
      </c>
      <c r="E200" s="142"/>
      <c r="F200" s="143"/>
      <c r="G200" s="144">
        <v>1</v>
      </c>
      <c r="H200" s="144">
        <v>1</v>
      </c>
      <c r="I200" s="144">
        <v>1</v>
      </c>
      <c r="J200" s="138">
        <v>1</v>
      </c>
      <c r="K200" s="137"/>
      <c r="L200" s="138"/>
      <c r="M200" s="138"/>
      <c r="N200" s="138"/>
      <c r="O200" s="138"/>
      <c r="P200" s="138"/>
      <c r="Q200" s="138"/>
      <c r="R200" s="147">
        <v>1</v>
      </c>
      <c r="S200" s="1129"/>
      <c r="T200" s="148">
        <v>1</v>
      </c>
      <c r="U200" s="148">
        <v>1</v>
      </c>
      <c r="V200" s="148">
        <v>1</v>
      </c>
      <c r="W200" s="146">
        <v>1</v>
      </c>
      <c r="X200" s="139"/>
      <c r="Y200" s="139"/>
      <c r="Z200" s="139"/>
      <c r="AA200" s="165"/>
      <c r="AB200" s="151"/>
      <c r="AC200" s="129"/>
      <c r="AD200" s="137"/>
      <c r="AE200" s="152">
        <v>1</v>
      </c>
      <c r="AF200" s="1129"/>
      <c r="AG200" s="772"/>
      <c r="AH200" s="775"/>
      <c r="AI200" s="775"/>
      <c r="AJ200" s="778"/>
      <c r="AK200" s="775"/>
      <c r="AL200" s="775"/>
      <c r="AM200" s="775"/>
      <c r="AN200" s="807"/>
      <c r="AO200" s="808"/>
      <c r="AP200" s="808"/>
      <c r="AQ200" s="806"/>
      <c r="AR200" s="806"/>
      <c r="AS200" s="806"/>
      <c r="AT200" s="806"/>
      <c r="AU200" s="795"/>
      <c r="AV200" s="795"/>
      <c r="AW200" s="795"/>
      <c r="AX200" s="797"/>
      <c r="AY200" s="159"/>
    </row>
    <row r="201" spans="1:51" ht="27.75" customHeight="1" thickBot="1" x14ac:dyDescent="0.3">
      <c r="A201" s="815"/>
      <c r="B201" s="1136"/>
      <c r="C201" s="838"/>
      <c r="D201" s="140" t="s">
        <v>45</v>
      </c>
      <c r="E201" s="142"/>
      <c r="F201" s="143"/>
      <c r="G201" s="144"/>
      <c r="H201" s="144">
        <f>+H200*$H$155/$H$154</f>
        <v>2573116.8831168832</v>
      </c>
      <c r="I201" s="144" t="e">
        <f>+I200*$I$155/$I$154</f>
        <v>#REF!</v>
      </c>
      <c r="J201" s="138" t="e">
        <f>+J200*$J$155/$J$154</f>
        <v>#REF!</v>
      </c>
      <c r="K201" s="137"/>
      <c r="L201" s="138"/>
      <c r="M201" s="138"/>
      <c r="N201" s="138"/>
      <c r="O201" s="138"/>
      <c r="P201" s="138"/>
      <c r="Q201" s="138"/>
      <c r="R201" s="138" t="e">
        <f>+R200*$R$155/$R$154</f>
        <v>#REF!</v>
      </c>
      <c r="S201" s="1129"/>
      <c r="T201" s="144">
        <f>+T200*$T$155/$T$154</f>
        <v>0</v>
      </c>
      <c r="U201" s="144">
        <f>+U200*$U$155/$U$154</f>
        <v>11790000</v>
      </c>
      <c r="V201" s="144" t="e">
        <f>+V200*$V$155/$V$154</f>
        <v>#REF!</v>
      </c>
      <c r="W201" s="138" t="e">
        <f>+W200*$W$155/$W$154</f>
        <v>#REF!</v>
      </c>
      <c r="X201" s="139"/>
      <c r="Y201" s="139"/>
      <c r="Z201" s="139"/>
      <c r="AA201" s="165"/>
      <c r="AB201" s="151"/>
      <c r="AC201" s="129"/>
      <c r="AD201" s="137"/>
      <c r="AE201" s="137" t="e">
        <f>+AE200*$AE$155/$AE$154</f>
        <v>#REF!</v>
      </c>
      <c r="AF201" s="1130"/>
      <c r="AG201" s="773"/>
      <c r="AH201" s="776"/>
      <c r="AI201" s="776"/>
      <c r="AJ201" s="779"/>
      <c r="AK201" s="776"/>
      <c r="AL201" s="776"/>
      <c r="AM201" s="776"/>
      <c r="AN201" s="807"/>
      <c r="AO201" s="808"/>
      <c r="AP201" s="808"/>
      <c r="AQ201" s="806"/>
      <c r="AR201" s="806"/>
      <c r="AS201" s="806"/>
      <c r="AT201" s="806"/>
      <c r="AU201" s="795"/>
      <c r="AV201" s="795"/>
      <c r="AW201" s="795"/>
      <c r="AX201" s="798"/>
      <c r="AY201" s="159"/>
    </row>
    <row r="202" spans="1:51" ht="18" customHeight="1" x14ac:dyDescent="0.25">
      <c r="A202" s="815"/>
      <c r="B202" s="1136"/>
      <c r="C202" s="838" t="s">
        <v>361</v>
      </c>
      <c r="D202" s="141" t="s">
        <v>41</v>
      </c>
      <c r="E202" s="142"/>
      <c r="F202" s="143"/>
      <c r="G202" s="144"/>
      <c r="H202" s="144"/>
      <c r="I202" s="144">
        <v>1</v>
      </c>
      <c r="J202" s="138">
        <v>1</v>
      </c>
      <c r="K202" s="145">
        <v>1</v>
      </c>
      <c r="L202" s="138"/>
      <c r="M202" s="138"/>
      <c r="N202" s="138"/>
      <c r="O202" s="138"/>
      <c r="P202" s="138"/>
      <c r="Q202" s="138"/>
      <c r="R202" s="147">
        <v>3</v>
      </c>
      <c r="S202" s="1129"/>
      <c r="T202" s="148"/>
      <c r="U202" s="148"/>
      <c r="V202" s="148">
        <v>1</v>
      </c>
      <c r="W202" s="146">
        <v>1</v>
      </c>
      <c r="X202" s="150">
        <v>1</v>
      </c>
      <c r="Y202" s="139"/>
      <c r="Z202" s="139"/>
      <c r="AA202" s="165"/>
      <c r="AB202" s="151"/>
      <c r="AC202" s="129"/>
      <c r="AD202" s="137"/>
      <c r="AE202" s="152">
        <v>3</v>
      </c>
      <c r="AF202" s="1134" t="s">
        <v>429</v>
      </c>
      <c r="AG202" s="771" t="s">
        <v>361</v>
      </c>
      <c r="AH202" s="774" t="s">
        <v>430</v>
      </c>
      <c r="AI202" s="774" t="s">
        <v>431</v>
      </c>
      <c r="AJ202" s="777" t="s">
        <v>417</v>
      </c>
      <c r="AK202" s="774" t="s">
        <v>315</v>
      </c>
      <c r="AL202" s="774" t="s">
        <v>70</v>
      </c>
      <c r="AM202" s="774" t="s">
        <v>316</v>
      </c>
      <c r="AN202" s="807">
        <v>1230539</v>
      </c>
      <c r="AO202" s="808">
        <v>511137</v>
      </c>
      <c r="AP202" s="808">
        <v>556761</v>
      </c>
      <c r="AQ202" s="806" t="s">
        <v>317</v>
      </c>
      <c r="AR202" s="806" t="s">
        <v>317</v>
      </c>
      <c r="AS202" s="806" t="s">
        <v>317</v>
      </c>
      <c r="AT202" s="806" t="s">
        <v>317</v>
      </c>
      <c r="AU202" s="795" t="s">
        <v>317</v>
      </c>
      <c r="AV202" s="795" t="s">
        <v>317</v>
      </c>
      <c r="AW202" s="795" t="s">
        <v>317</v>
      </c>
      <c r="AX202" s="796">
        <v>1230539</v>
      </c>
      <c r="AY202" s="159"/>
    </row>
    <row r="203" spans="1:51" ht="18.75" customHeight="1" x14ac:dyDescent="0.25">
      <c r="A203" s="815"/>
      <c r="B203" s="1136"/>
      <c r="C203" s="838"/>
      <c r="D203" s="132" t="s">
        <v>3</v>
      </c>
      <c r="E203" s="142"/>
      <c r="F203" s="143"/>
      <c r="G203" s="144"/>
      <c r="H203" s="144"/>
      <c r="I203" s="144" t="e">
        <f>+I202*$I$155/$I$154</f>
        <v>#REF!</v>
      </c>
      <c r="J203" s="138" t="e">
        <f>+J202*$J$155/$J$154</f>
        <v>#REF!</v>
      </c>
      <c r="K203" s="137"/>
      <c r="L203" s="138"/>
      <c r="M203" s="138"/>
      <c r="N203" s="138"/>
      <c r="O203" s="138"/>
      <c r="P203" s="138"/>
      <c r="Q203" s="138"/>
      <c r="R203" s="138" t="e">
        <f>+R202*$R$155/$R$154</f>
        <v>#REF!</v>
      </c>
      <c r="S203" s="1129"/>
      <c r="T203" s="148"/>
      <c r="U203" s="148"/>
      <c r="V203" s="144" t="e">
        <f>+V202*$V$155/$V$154</f>
        <v>#REF!</v>
      </c>
      <c r="W203" s="138" t="e">
        <f>+W202*$W$155/$W$154</f>
        <v>#REF!</v>
      </c>
      <c r="X203" s="139"/>
      <c r="Y203" s="139"/>
      <c r="Z203" s="139"/>
      <c r="AA203" s="165"/>
      <c r="AB203" s="151"/>
      <c r="AC203" s="129"/>
      <c r="AD203" s="137"/>
      <c r="AE203" s="137" t="e">
        <f>+AE202*$AE$155/$AE$154</f>
        <v>#REF!</v>
      </c>
      <c r="AF203" s="1125"/>
      <c r="AG203" s="772"/>
      <c r="AH203" s="775"/>
      <c r="AI203" s="775"/>
      <c r="AJ203" s="778"/>
      <c r="AK203" s="775"/>
      <c r="AL203" s="775"/>
      <c r="AM203" s="775"/>
      <c r="AN203" s="807"/>
      <c r="AO203" s="808"/>
      <c r="AP203" s="808"/>
      <c r="AQ203" s="806"/>
      <c r="AR203" s="806"/>
      <c r="AS203" s="806"/>
      <c r="AT203" s="806"/>
      <c r="AU203" s="795"/>
      <c r="AV203" s="795"/>
      <c r="AW203" s="795"/>
      <c r="AX203" s="797"/>
      <c r="AY203" s="159"/>
    </row>
    <row r="204" spans="1:51" ht="27.75" customHeight="1" x14ac:dyDescent="0.25">
      <c r="A204" s="815"/>
      <c r="B204" s="1136"/>
      <c r="C204" s="838"/>
      <c r="D204" s="136" t="s">
        <v>42</v>
      </c>
      <c r="E204" s="142"/>
      <c r="F204" s="143"/>
      <c r="G204" s="144"/>
      <c r="H204" s="144"/>
      <c r="I204" s="144"/>
      <c r="J204" s="138"/>
      <c r="K204" s="137"/>
      <c r="L204" s="138"/>
      <c r="M204" s="138"/>
      <c r="N204" s="138"/>
      <c r="O204" s="138"/>
      <c r="P204" s="138"/>
      <c r="Q204" s="138"/>
      <c r="R204" s="147"/>
      <c r="S204" s="1129"/>
      <c r="T204" s="148"/>
      <c r="U204" s="148"/>
      <c r="V204" s="148"/>
      <c r="W204" s="146"/>
      <c r="X204" s="139"/>
      <c r="Y204" s="139"/>
      <c r="Z204" s="139"/>
      <c r="AA204" s="165"/>
      <c r="AB204" s="151"/>
      <c r="AC204" s="129"/>
      <c r="AD204" s="137"/>
      <c r="AE204" s="152"/>
      <c r="AF204" s="1125"/>
      <c r="AG204" s="772"/>
      <c r="AH204" s="775"/>
      <c r="AI204" s="775"/>
      <c r="AJ204" s="778"/>
      <c r="AK204" s="775"/>
      <c r="AL204" s="775"/>
      <c r="AM204" s="775"/>
      <c r="AN204" s="807"/>
      <c r="AO204" s="808"/>
      <c r="AP204" s="808"/>
      <c r="AQ204" s="806"/>
      <c r="AR204" s="806"/>
      <c r="AS204" s="806"/>
      <c r="AT204" s="806"/>
      <c r="AU204" s="795"/>
      <c r="AV204" s="795"/>
      <c r="AW204" s="795"/>
      <c r="AX204" s="797"/>
      <c r="AY204" s="159"/>
    </row>
    <row r="205" spans="1:51" ht="27.75" customHeight="1" x14ac:dyDescent="0.25">
      <c r="A205" s="815"/>
      <c r="B205" s="1136"/>
      <c r="C205" s="838"/>
      <c r="D205" s="132" t="s">
        <v>4</v>
      </c>
      <c r="E205" s="142"/>
      <c r="F205" s="143"/>
      <c r="G205" s="144"/>
      <c r="H205" s="144"/>
      <c r="I205" s="144"/>
      <c r="J205" s="138"/>
      <c r="K205" s="137"/>
      <c r="L205" s="138"/>
      <c r="M205" s="138"/>
      <c r="N205" s="138"/>
      <c r="O205" s="138"/>
      <c r="P205" s="138"/>
      <c r="Q205" s="138"/>
      <c r="R205" s="147"/>
      <c r="S205" s="1129"/>
      <c r="T205" s="148"/>
      <c r="U205" s="148"/>
      <c r="V205" s="148"/>
      <c r="W205" s="146"/>
      <c r="X205" s="139"/>
      <c r="Y205" s="139"/>
      <c r="Z205" s="139"/>
      <c r="AA205" s="165"/>
      <c r="AB205" s="151"/>
      <c r="AC205" s="129"/>
      <c r="AD205" s="137"/>
      <c r="AE205" s="152"/>
      <c r="AF205" s="1125"/>
      <c r="AG205" s="772"/>
      <c r="AH205" s="775"/>
      <c r="AI205" s="775"/>
      <c r="AJ205" s="778"/>
      <c r="AK205" s="775"/>
      <c r="AL205" s="775"/>
      <c r="AM205" s="775"/>
      <c r="AN205" s="807"/>
      <c r="AO205" s="808"/>
      <c r="AP205" s="808"/>
      <c r="AQ205" s="806"/>
      <c r="AR205" s="806"/>
      <c r="AS205" s="806"/>
      <c r="AT205" s="806"/>
      <c r="AU205" s="795"/>
      <c r="AV205" s="795"/>
      <c r="AW205" s="795"/>
      <c r="AX205" s="797"/>
      <c r="AY205" s="159"/>
    </row>
    <row r="206" spans="1:51" ht="27.75" customHeight="1" x14ac:dyDescent="0.25">
      <c r="A206" s="815"/>
      <c r="B206" s="1136"/>
      <c r="C206" s="838"/>
      <c r="D206" s="136" t="s">
        <v>43</v>
      </c>
      <c r="E206" s="142"/>
      <c r="F206" s="143"/>
      <c r="G206" s="144"/>
      <c r="H206" s="144"/>
      <c r="I206" s="144">
        <v>1</v>
      </c>
      <c r="J206" s="138">
        <v>1</v>
      </c>
      <c r="K206" s="137"/>
      <c r="L206" s="138"/>
      <c r="M206" s="138"/>
      <c r="N206" s="138"/>
      <c r="O206" s="138"/>
      <c r="P206" s="138"/>
      <c r="Q206" s="138"/>
      <c r="R206" s="147">
        <v>3</v>
      </c>
      <c r="S206" s="1129"/>
      <c r="T206" s="148"/>
      <c r="U206" s="148"/>
      <c r="V206" s="148">
        <v>1</v>
      </c>
      <c r="W206" s="146">
        <v>1</v>
      </c>
      <c r="X206" s="139"/>
      <c r="Y206" s="139"/>
      <c r="Z206" s="139"/>
      <c r="AA206" s="165"/>
      <c r="AB206" s="151"/>
      <c r="AC206" s="129"/>
      <c r="AD206" s="137"/>
      <c r="AE206" s="152">
        <v>3</v>
      </c>
      <c r="AF206" s="1125"/>
      <c r="AG206" s="772"/>
      <c r="AH206" s="775"/>
      <c r="AI206" s="775"/>
      <c r="AJ206" s="778"/>
      <c r="AK206" s="775"/>
      <c r="AL206" s="775"/>
      <c r="AM206" s="775"/>
      <c r="AN206" s="807"/>
      <c r="AO206" s="808"/>
      <c r="AP206" s="808"/>
      <c r="AQ206" s="806"/>
      <c r="AR206" s="806"/>
      <c r="AS206" s="806"/>
      <c r="AT206" s="806"/>
      <c r="AU206" s="795"/>
      <c r="AV206" s="795"/>
      <c r="AW206" s="795"/>
      <c r="AX206" s="797"/>
      <c r="AY206" s="159"/>
    </row>
    <row r="207" spans="1:51" ht="27.75" customHeight="1" thickBot="1" x14ac:dyDescent="0.3">
      <c r="A207" s="815"/>
      <c r="B207" s="1136"/>
      <c r="C207" s="838"/>
      <c r="D207" s="140" t="s">
        <v>45</v>
      </c>
      <c r="E207" s="142"/>
      <c r="F207" s="143"/>
      <c r="G207" s="144"/>
      <c r="H207" s="144"/>
      <c r="I207" s="144" t="e">
        <f>+I206*$I$155/$I$154</f>
        <v>#REF!</v>
      </c>
      <c r="J207" s="138" t="e">
        <f>+J206*$J$155/$J$154</f>
        <v>#REF!</v>
      </c>
      <c r="K207" s="137"/>
      <c r="L207" s="138"/>
      <c r="M207" s="138"/>
      <c r="N207" s="138"/>
      <c r="O207" s="138"/>
      <c r="P207" s="138"/>
      <c r="Q207" s="138"/>
      <c r="R207" s="138" t="e">
        <f>+R206*$R$155/$R$154</f>
        <v>#REF!</v>
      </c>
      <c r="S207" s="1129"/>
      <c r="T207" s="148"/>
      <c r="U207" s="148"/>
      <c r="V207" s="144" t="e">
        <f>+V206*$V$155/$V$154</f>
        <v>#REF!</v>
      </c>
      <c r="W207" s="138" t="e">
        <f>+W206*$W$155/$W$154</f>
        <v>#REF!</v>
      </c>
      <c r="X207" s="139"/>
      <c r="Y207" s="139"/>
      <c r="Z207" s="139"/>
      <c r="AA207" s="165"/>
      <c r="AB207" s="151"/>
      <c r="AC207" s="129"/>
      <c r="AD207" s="137"/>
      <c r="AE207" s="137" t="e">
        <f>+AE206*$AE$155/$AE$154</f>
        <v>#REF!</v>
      </c>
      <c r="AF207" s="1126"/>
      <c r="AG207" s="773"/>
      <c r="AH207" s="776"/>
      <c r="AI207" s="776"/>
      <c r="AJ207" s="779"/>
      <c r="AK207" s="776"/>
      <c r="AL207" s="776"/>
      <c r="AM207" s="776"/>
      <c r="AN207" s="807"/>
      <c r="AO207" s="808"/>
      <c r="AP207" s="808"/>
      <c r="AQ207" s="806"/>
      <c r="AR207" s="806"/>
      <c r="AS207" s="806"/>
      <c r="AT207" s="806"/>
      <c r="AU207" s="795"/>
      <c r="AV207" s="795"/>
      <c r="AW207" s="795"/>
      <c r="AX207" s="798"/>
      <c r="AY207" s="159"/>
    </row>
    <row r="208" spans="1:51" ht="18" customHeight="1" x14ac:dyDescent="0.25">
      <c r="A208" s="815"/>
      <c r="B208" s="1136"/>
      <c r="C208" s="838" t="s">
        <v>366</v>
      </c>
      <c r="D208" s="141" t="s">
        <v>41</v>
      </c>
      <c r="E208" s="142"/>
      <c r="F208" s="143"/>
      <c r="G208" s="144"/>
      <c r="H208" s="144">
        <v>3</v>
      </c>
      <c r="I208" s="144">
        <v>4</v>
      </c>
      <c r="J208" s="138">
        <v>5</v>
      </c>
      <c r="K208" s="145">
        <v>5</v>
      </c>
      <c r="L208" s="138"/>
      <c r="M208" s="138"/>
      <c r="N208" s="138"/>
      <c r="O208" s="138">
        <v>1</v>
      </c>
      <c r="P208" s="138">
        <v>1</v>
      </c>
      <c r="Q208" s="138">
        <v>1</v>
      </c>
      <c r="R208" s="147">
        <v>2</v>
      </c>
      <c r="S208" s="1129"/>
      <c r="T208" s="148"/>
      <c r="U208" s="148">
        <v>3</v>
      </c>
      <c r="V208" s="148">
        <v>4</v>
      </c>
      <c r="W208" s="146">
        <v>5</v>
      </c>
      <c r="X208" s="150">
        <v>5</v>
      </c>
      <c r="Y208" s="139"/>
      <c r="Z208" s="139"/>
      <c r="AA208" s="165"/>
      <c r="AB208" s="188">
        <v>1</v>
      </c>
      <c r="AC208" s="129">
        <v>1</v>
      </c>
      <c r="AD208" s="137">
        <v>1</v>
      </c>
      <c r="AE208" s="152">
        <v>2</v>
      </c>
      <c r="AF208" s="1128" t="s">
        <v>432</v>
      </c>
      <c r="AG208" s="771" t="s">
        <v>433</v>
      </c>
      <c r="AH208" s="774" t="s">
        <v>434</v>
      </c>
      <c r="AI208" s="774" t="s">
        <v>435</v>
      </c>
      <c r="AJ208" s="777" t="s">
        <v>417</v>
      </c>
      <c r="AK208" s="774" t="s">
        <v>315</v>
      </c>
      <c r="AL208" s="774" t="s">
        <v>70</v>
      </c>
      <c r="AM208" s="774" t="s">
        <v>316</v>
      </c>
      <c r="AN208" s="807">
        <v>388154</v>
      </c>
      <c r="AO208" s="808">
        <v>183971</v>
      </c>
      <c r="AP208" s="808">
        <v>204184</v>
      </c>
      <c r="AQ208" s="806" t="s">
        <v>317</v>
      </c>
      <c r="AR208" s="806" t="s">
        <v>317</v>
      </c>
      <c r="AS208" s="806" t="s">
        <v>317</v>
      </c>
      <c r="AT208" s="806" t="s">
        <v>317</v>
      </c>
      <c r="AU208" s="795" t="s">
        <v>317</v>
      </c>
      <c r="AV208" s="795" t="s">
        <v>317</v>
      </c>
      <c r="AW208" s="795" t="s">
        <v>317</v>
      </c>
      <c r="AX208" s="796">
        <v>388154</v>
      </c>
      <c r="AY208" s="159"/>
    </row>
    <row r="209" spans="1:51" ht="18" customHeight="1" x14ac:dyDescent="0.25">
      <c r="A209" s="815"/>
      <c r="B209" s="1136"/>
      <c r="C209" s="838"/>
      <c r="D209" s="132" t="s">
        <v>3</v>
      </c>
      <c r="E209" s="142"/>
      <c r="F209" s="143"/>
      <c r="G209" s="144"/>
      <c r="H209" s="144">
        <f>+H208*$H$155/$H$154</f>
        <v>7719350.6493506497</v>
      </c>
      <c r="I209" s="144" t="e">
        <f>+I208*$I$155/$I$154</f>
        <v>#REF!</v>
      </c>
      <c r="J209" s="138" t="e">
        <f>+J208*$J$155/$J$154</f>
        <v>#REF!</v>
      </c>
      <c r="K209" s="137"/>
      <c r="L209" s="138"/>
      <c r="M209" s="138"/>
      <c r="N209" s="138"/>
      <c r="O209" s="138">
        <f>+O208*$O$155/$O$154</f>
        <v>7144200</v>
      </c>
      <c r="P209" s="138" t="e">
        <f>+P208*$P$155/$P$154</f>
        <v>#REF!</v>
      </c>
      <c r="Q209" s="138" t="e">
        <f>+Q208*$Q$155/$Q$154</f>
        <v>#REF!</v>
      </c>
      <c r="R209" s="138" t="e">
        <f>+R208*$R$155/$R$154</f>
        <v>#REF!</v>
      </c>
      <c r="S209" s="1129"/>
      <c r="T209" s="148"/>
      <c r="U209" s="144">
        <f>+U208*$U$155/$U$154</f>
        <v>35370000</v>
      </c>
      <c r="V209" s="144" t="e">
        <f>+V208*$V$155/$V$154</f>
        <v>#REF!</v>
      </c>
      <c r="W209" s="138" t="e">
        <f>+W208*$W$155/$W$154</f>
        <v>#REF!</v>
      </c>
      <c r="X209" s="139"/>
      <c r="Y209" s="139"/>
      <c r="Z209" s="139"/>
      <c r="AA209" s="165"/>
      <c r="AB209" s="137">
        <f>+AB208*$AB$155/$AB$154</f>
        <v>35887000</v>
      </c>
      <c r="AC209" s="137" t="e">
        <f>+AC208*$AC$155/$AC$154</f>
        <v>#REF!</v>
      </c>
      <c r="AD209" s="137" t="e">
        <f>+AD208*$AD$155/$AD$154</f>
        <v>#REF!</v>
      </c>
      <c r="AE209" s="137" t="e">
        <f>+AE208*$AE$155/$AE$154</f>
        <v>#REF!</v>
      </c>
      <c r="AF209" s="1129"/>
      <c r="AG209" s="772"/>
      <c r="AH209" s="775"/>
      <c r="AI209" s="775"/>
      <c r="AJ209" s="778"/>
      <c r="AK209" s="775"/>
      <c r="AL209" s="775"/>
      <c r="AM209" s="775"/>
      <c r="AN209" s="807"/>
      <c r="AO209" s="808"/>
      <c r="AP209" s="808"/>
      <c r="AQ209" s="806"/>
      <c r="AR209" s="806"/>
      <c r="AS209" s="806"/>
      <c r="AT209" s="806"/>
      <c r="AU209" s="795"/>
      <c r="AV209" s="795"/>
      <c r="AW209" s="795"/>
      <c r="AX209" s="797"/>
      <c r="AY209" s="159"/>
    </row>
    <row r="210" spans="1:51" ht="27" customHeight="1" x14ac:dyDescent="0.25">
      <c r="A210" s="815"/>
      <c r="B210" s="1136"/>
      <c r="C210" s="838"/>
      <c r="D210" s="136" t="s">
        <v>42</v>
      </c>
      <c r="E210" s="142"/>
      <c r="F210" s="143"/>
      <c r="G210" s="144"/>
      <c r="H210" s="144"/>
      <c r="I210" s="144"/>
      <c r="J210" s="138"/>
      <c r="K210" s="137"/>
      <c r="L210" s="138"/>
      <c r="M210" s="138"/>
      <c r="N210" s="138"/>
      <c r="O210" s="138"/>
      <c r="P210" s="138"/>
      <c r="Q210" s="138"/>
      <c r="R210" s="147"/>
      <c r="S210" s="1129"/>
      <c r="T210" s="148"/>
      <c r="U210" s="148"/>
      <c r="V210" s="148"/>
      <c r="W210" s="146"/>
      <c r="X210" s="139"/>
      <c r="Y210" s="139"/>
      <c r="Z210" s="139"/>
      <c r="AA210" s="165"/>
      <c r="AB210" s="151"/>
      <c r="AC210" s="129"/>
      <c r="AD210" s="137"/>
      <c r="AE210" s="152"/>
      <c r="AF210" s="1129"/>
      <c r="AG210" s="772"/>
      <c r="AH210" s="775"/>
      <c r="AI210" s="775"/>
      <c r="AJ210" s="778"/>
      <c r="AK210" s="775"/>
      <c r="AL210" s="775"/>
      <c r="AM210" s="775"/>
      <c r="AN210" s="807"/>
      <c r="AO210" s="808"/>
      <c r="AP210" s="808"/>
      <c r="AQ210" s="806"/>
      <c r="AR210" s="806"/>
      <c r="AS210" s="806"/>
      <c r="AT210" s="806"/>
      <c r="AU210" s="795"/>
      <c r="AV210" s="795"/>
      <c r="AW210" s="795"/>
      <c r="AX210" s="797"/>
      <c r="AY210" s="159"/>
    </row>
    <row r="211" spans="1:51" ht="27" customHeight="1" x14ac:dyDescent="0.25">
      <c r="A211" s="815"/>
      <c r="B211" s="1136"/>
      <c r="C211" s="838"/>
      <c r="D211" s="132" t="s">
        <v>4</v>
      </c>
      <c r="E211" s="142"/>
      <c r="F211" s="143"/>
      <c r="G211" s="144"/>
      <c r="H211" s="144"/>
      <c r="I211" s="144"/>
      <c r="J211" s="138"/>
      <c r="K211" s="137"/>
      <c r="L211" s="138"/>
      <c r="M211" s="138"/>
      <c r="N211" s="138"/>
      <c r="O211" s="138"/>
      <c r="P211" s="138"/>
      <c r="Q211" s="138"/>
      <c r="R211" s="147"/>
      <c r="S211" s="1129"/>
      <c r="T211" s="148"/>
      <c r="U211" s="187">
        <f>+$U$157/8</f>
        <v>2428417.875</v>
      </c>
      <c r="V211" s="148"/>
      <c r="W211" s="146"/>
      <c r="X211" s="139"/>
      <c r="Y211" s="139"/>
      <c r="Z211" s="139"/>
      <c r="AA211" s="165"/>
      <c r="AB211" s="151"/>
      <c r="AC211" s="129"/>
      <c r="AD211" s="137"/>
      <c r="AE211" s="152"/>
      <c r="AF211" s="1129"/>
      <c r="AG211" s="772"/>
      <c r="AH211" s="775"/>
      <c r="AI211" s="775"/>
      <c r="AJ211" s="778"/>
      <c r="AK211" s="775"/>
      <c r="AL211" s="775"/>
      <c r="AM211" s="775"/>
      <c r="AN211" s="807"/>
      <c r="AO211" s="808"/>
      <c r="AP211" s="808"/>
      <c r="AQ211" s="806"/>
      <c r="AR211" s="806"/>
      <c r="AS211" s="806"/>
      <c r="AT211" s="806"/>
      <c r="AU211" s="795"/>
      <c r="AV211" s="795"/>
      <c r="AW211" s="795"/>
      <c r="AX211" s="797"/>
      <c r="AY211" s="159"/>
    </row>
    <row r="212" spans="1:51" ht="27" customHeight="1" x14ac:dyDescent="0.25">
      <c r="A212" s="815"/>
      <c r="B212" s="1136"/>
      <c r="C212" s="838"/>
      <c r="D212" s="136" t="s">
        <v>43</v>
      </c>
      <c r="E212" s="142"/>
      <c r="F212" s="143"/>
      <c r="G212" s="144"/>
      <c r="H212" s="144">
        <v>3</v>
      </c>
      <c r="I212" s="144">
        <v>4</v>
      </c>
      <c r="J212" s="138">
        <v>5</v>
      </c>
      <c r="K212" s="137"/>
      <c r="L212" s="138"/>
      <c r="M212" s="138"/>
      <c r="N212" s="138"/>
      <c r="O212" s="138">
        <f>+O208</f>
        <v>1</v>
      </c>
      <c r="P212" s="138">
        <v>1</v>
      </c>
      <c r="Q212" s="138">
        <v>1</v>
      </c>
      <c r="R212" s="147">
        <v>2</v>
      </c>
      <c r="S212" s="1129"/>
      <c r="T212" s="148"/>
      <c r="U212" s="148">
        <v>3</v>
      </c>
      <c r="V212" s="148">
        <v>4</v>
      </c>
      <c r="W212" s="146">
        <v>5</v>
      </c>
      <c r="X212" s="139"/>
      <c r="Y212" s="139"/>
      <c r="Z212" s="139"/>
      <c r="AA212" s="165"/>
      <c r="AB212" s="137">
        <f>+AB208</f>
        <v>1</v>
      </c>
      <c r="AC212" s="129">
        <v>1</v>
      </c>
      <c r="AD212" s="137">
        <v>1</v>
      </c>
      <c r="AE212" s="152">
        <v>2</v>
      </c>
      <c r="AF212" s="1129"/>
      <c r="AG212" s="772"/>
      <c r="AH212" s="775"/>
      <c r="AI212" s="775"/>
      <c r="AJ212" s="778"/>
      <c r="AK212" s="775"/>
      <c r="AL212" s="775"/>
      <c r="AM212" s="775"/>
      <c r="AN212" s="807"/>
      <c r="AO212" s="808"/>
      <c r="AP212" s="808"/>
      <c r="AQ212" s="806"/>
      <c r="AR212" s="806"/>
      <c r="AS212" s="806"/>
      <c r="AT212" s="806"/>
      <c r="AU212" s="795"/>
      <c r="AV212" s="795"/>
      <c r="AW212" s="795"/>
      <c r="AX212" s="797"/>
      <c r="AY212" s="159"/>
    </row>
    <row r="213" spans="1:51" ht="27.75" customHeight="1" thickBot="1" x14ac:dyDescent="0.3">
      <c r="A213" s="815"/>
      <c r="B213" s="1136"/>
      <c r="C213" s="838"/>
      <c r="D213" s="140" t="s">
        <v>45</v>
      </c>
      <c r="E213" s="142"/>
      <c r="F213" s="143"/>
      <c r="G213" s="144"/>
      <c r="H213" s="144">
        <f>+H212*$H$155/$H$154</f>
        <v>7719350.6493506497</v>
      </c>
      <c r="I213" s="144" t="e">
        <f>+I212*$I$155/$I$154</f>
        <v>#REF!</v>
      </c>
      <c r="J213" s="138" t="e">
        <f>+J212*$J$155/$J$154</f>
        <v>#REF!</v>
      </c>
      <c r="K213" s="137"/>
      <c r="L213" s="138"/>
      <c r="M213" s="138"/>
      <c r="N213" s="138"/>
      <c r="O213" s="138">
        <f>+O209</f>
        <v>7144200</v>
      </c>
      <c r="P213" s="138" t="e">
        <f>+P212*$P$155/$P$154</f>
        <v>#REF!</v>
      </c>
      <c r="Q213" s="138" t="e">
        <f>+Q212*$Q$155/$Q$154</f>
        <v>#REF!</v>
      </c>
      <c r="R213" s="138" t="e">
        <f>+R212*$R$155/$R$154</f>
        <v>#REF!</v>
      </c>
      <c r="S213" s="1129"/>
      <c r="T213" s="148"/>
      <c r="U213" s="144">
        <f>+U212*$U$155/$U$154</f>
        <v>35370000</v>
      </c>
      <c r="V213" s="144" t="e">
        <f>+V212*$V$155/$V$154</f>
        <v>#REF!</v>
      </c>
      <c r="W213" s="138" t="e">
        <f>+W212*$W$155/$W$154</f>
        <v>#REF!</v>
      </c>
      <c r="X213" s="139"/>
      <c r="Y213" s="139"/>
      <c r="Z213" s="139"/>
      <c r="AA213" s="165"/>
      <c r="AB213" s="137">
        <f>+AB209</f>
        <v>35887000</v>
      </c>
      <c r="AC213" s="137" t="e">
        <f>+AC212*$AC$155/$AC$154</f>
        <v>#REF!</v>
      </c>
      <c r="AD213" s="137" t="e">
        <f>+AD212*$AD$155/$AD$154</f>
        <v>#REF!</v>
      </c>
      <c r="AE213" s="137" t="e">
        <f>+AE212*$AE$155/$AE$154</f>
        <v>#REF!</v>
      </c>
      <c r="AF213" s="1130"/>
      <c r="AG213" s="773"/>
      <c r="AH213" s="776"/>
      <c r="AI213" s="776"/>
      <c r="AJ213" s="779"/>
      <c r="AK213" s="776"/>
      <c r="AL213" s="776"/>
      <c r="AM213" s="776"/>
      <c r="AN213" s="807"/>
      <c r="AO213" s="808"/>
      <c r="AP213" s="808"/>
      <c r="AQ213" s="806"/>
      <c r="AR213" s="806"/>
      <c r="AS213" s="806"/>
      <c r="AT213" s="806"/>
      <c r="AU213" s="795"/>
      <c r="AV213" s="795"/>
      <c r="AW213" s="795"/>
      <c r="AX213" s="798"/>
      <c r="AY213" s="159"/>
    </row>
    <row r="214" spans="1:51" ht="18" customHeight="1" x14ac:dyDescent="0.25">
      <c r="A214" s="815"/>
      <c r="B214" s="1136"/>
      <c r="C214" s="838" t="s">
        <v>371</v>
      </c>
      <c r="D214" s="141" t="s">
        <v>41</v>
      </c>
      <c r="E214" s="142"/>
      <c r="F214" s="143"/>
      <c r="G214" s="144">
        <v>1</v>
      </c>
      <c r="H214" s="144">
        <v>1</v>
      </c>
      <c r="I214" s="144">
        <v>1</v>
      </c>
      <c r="J214" s="138">
        <v>1</v>
      </c>
      <c r="K214" s="145">
        <v>1</v>
      </c>
      <c r="L214" s="138"/>
      <c r="M214" s="138"/>
      <c r="N214" s="138"/>
      <c r="O214" s="138"/>
      <c r="P214" s="138"/>
      <c r="Q214" s="138">
        <v>2</v>
      </c>
      <c r="R214" s="147">
        <v>2</v>
      </c>
      <c r="S214" s="1129"/>
      <c r="T214" s="148">
        <v>1</v>
      </c>
      <c r="U214" s="148">
        <v>1</v>
      </c>
      <c r="V214" s="148">
        <v>1</v>
      </c>
      <c r="W214" s="146">
        <v>1</v>
      </c>
      <c r="X214" s="150">
        <v>1</v>
      </c>
      <c r="Y214" s="139"/>
      <c r="Z214" s="139"/>
      <c r="AA214" s="165"/>
      <c r="AB214" s="151"/>
      <c r="AC214" s="129"/>
      <c r="AD214" s="137">
        <v>2</v>
      </c>
      <c r="AE214" s="152">
        <v>2</v>
      </c>
      <c r="AF214" s="1128" t="s">
        <v>436</v>
      </c>
      <c r="AG214" s="771" t="s">
        <v>437</v>
      </c>
      <c r="AH214" s="774" t="s">
        <v>438</v>
      </c>
      <c r="AI214" s="774" t="s">
        <v>439</v>
      </c>
      <c r="AJ214" s="777" t="s">
        <v>417</v>
      </c>
      <c r="AK214" s="774" t="s">
        <v>315</v>
      </c>
      <c r="AL214" s="774" t="s">
        <v>70</v>
      </c>
      <c r="AM214" s="774" t="s">
        <v>316</v>
      </c>
      <c r="AN214" s="807">
        <v>840955</v>
      </c>
      <c r="AO214" s="808">
        <v>396682</v>
      </c>
      <c r="AP214" s="808">
        <v>444273</v>
      </c>
      <c r="AQ214" s="806" t="s">
        <v>317</v>
      </c>
      <c r="AR214" s="806" t="s">
        <v>317</v>
      </c>
      <c r="AS214" s="806" t="s">
        <v>317</v>
      </c>
      <c r="AT214" s="806" t="s">
        <v>317</v>
      </c>
      <c r="AU214" s="795" t="s">
        <v>317</v>
      </c>
      <c r="AV214" s="795" t="s">
        <v>317</v>
      </c>
      <c r="AW214" s="795" t="s">
        <v>317</v>
      </c>
      <c r="AX214" s="796">
        <v>840955</v>
      </c>
      <c r="AY214" s="159"/>
    </row>
    <row r="215" spans="1:51" ht="18.75" customHeight="1" x14ac:dyDescent="0.25">
      <c r="A215" s="815"/>
      <c r="B215" s="1136"/>
      <c r="C215" s="838"/>
      <c r="D215" s="132" t="s">
        <v>3</v>
      </c>
      <c r="E215" s="142"/>
      <c r="F215" s="143"/>
      <c r="G215" s="144">
        <f>+G214*$G$155/$G$154</f>
        <v>2573116.8831168832</v>
      </c>
      <c r="H215" s="144">
        <f>+H214*$H$155/$H$154</f>
        <v>2573116.8831168832</v>
      </c>
      <c r="I215" s="144" t="e">
        <f>+I214*$I$155/$I$154</f>
        <v>#REF!</v>
      </c>
      <c r="J215" s="138" t="e">
        <f>+J214*$J$155/$J$154</f>
        <v>#REF!</v>
      </c>
      <c r="K215" s="137"/>
      <c r="L215" s="138"/>
      <c r="M215" s="138"/>
      <c r="N215" s="138"/>
      <c r="O215" s="138"/>
      <c r="P215" s="138"/>
      <c r="Q215" s="138" t="e">
        <f>+Q214*$Q$155/$Q$154</f>
        <v>#REF!</v>
      </c>
      <c r="R215" s="138" t="e">
        <f>+R214*$R$155/$R$154</f>
        <v>#REF!</v>
      </c>
      <c r="S215" s="1129"/>
      <c r="T215" s="144">
        <f>+T214*$T$155/$T$154</f>
        <v>0</v>
      </c>
      <c r="U215" s="144">
        <f>+U214*$U$155/$U$154</f>
        <v>11790000</v>
      </c>
      <c r="V215" s="144" t="e">
        <f>+V214*$V$155/$V$154</f>
        <v>#REF!</v>
      </c>
      <c r="W215" s="138" t="e">
        <f>+W214*$W$155/$W$154</f>
        <v>#REF!</v>
      </c>
      <c r="X215" s="139"/>
      <c r="Y215" s="139"/>
      <c r="Z215" s="139"/>
      <c r="AA215" s="165"/>
      <c r="AB215" s="151"/>
      <c r="AC215" s="129"/>
      <c r="AD215" s="137" t="e">
        <f>+AD214*$AD$155/$AD$154</f>
        <v>#REF!</v>
      </c>
      <c r="AE215" s="137" t="e">
        <f>+AE214*$AE$155/$AE$154</f>
        <v>#REF!</v>
      </c>
      <c r="AF215" s="1129"/>
      <c r="AG215" s="772"/>
      <c r="AH215" s="775"/>
      <c r="AI215" s="775"/>
      <c r="AJ215" s="778"/>
      <c r="AK215" s="775"/>
      <c r="AL215" s="775"/>
      <c r="AM215" s="775"/>
      <c r="AN215" s="807"/>
      <c r="AO215" s="808"/>
      <c r="AP215" s="808"/>
      <c r="AQ215" s="806"/>
      <c r="AR215" s="806"/>
      <c r="AS215" s="806"/>
      <c r="AT215" s="806"/>
      <c r="AU215" s="795"/>
      <c r="AV215" s="795"/>
      <c r="AW215" s="795"/>
      <c r="AX215" s="797"/>
      <c r="AY215" s="159"/>
    </row>
    <row r="216" spans="1:51" ht="27.75" customHeight="1" x14ac:dyDescent="0.25">
      <c r="A216" s="815"/>
      <c r="B216" s="1136"/>
      <c r="C216" s="838"/>
      <c r="D216" s="136" t="s">
        <v>42</v>
      </c>
      <c r="E216" s="142"/>
      <c r="F216" s="143"/>
      <c r="G216" s="144"/>
      <c r="H216" s="144"/>
      <c r="I216" s="144"/>
      <c r="J216" s="138"/>
      <c r="K216" s="137"/>
      <c r="L216" s="138"/>
      <c r="M216" s="138"/>
      <c r="N216" s="138"/>
      <c r="O216" s="138"/>
      <c r="P216" s="138"/>
      <c r="Q216" s="138"/>
      <c r="R216" s="147"/>
      <c r="S216" s="1129"/>
      <c r="T216" s="148"/>
      <c r="U216" s="148"/>
      <c r="V216" s="148"/>
      <c r="W216" s="146"/>
      <c r="X216" s="139"/>
      <c r="Y216" s="139"/>
      <c r="Z216" s="139"/>
      <c r="AA216" s="165"/>
      <c r="AB216" s="151"/>
      <c r="AC216" s="129"/>
      <c r="AD216" s="137"/>
      <c r="AE216" s="152"/>
      <c r="AF216" s="1129"/>
      <c r="AG216" s="772"/>
      <c r="AH216" s="775"/>
      <c r="AI216" s="775"/>
      <c r="AJ216" s="778"/>
      <c r="AK216" s="775"/>
      <c r="AL216" s="775"/>
      <c r="AM216" s="775"/>
      <c r="AN216" s="807"/>
      <c r="AO216" s="808"/>
      <c r="AP216" s="808"/>
      <c r="AQ216" s="806"/>
      <c r="AR216" s="806"/>
      <c r="AS216" s="806"/>
      <c r="AT216" s="806"/>
      <c r="AU216" s="795"/>
      <c r="AV216" s="795"/>
      <c r="AW216" s="795"/>
      <c r="AX216" s="797"/>
      <c r="AY216" s="159"/>
    </row>
    <row r="217" spans="1:51" ht="27.75" customHeight="1" x14ac:dyDescent="0.25">
      <c r="A217" s="815"/>
      <c r="B217" s="1136"/>
      <c r="C217" s="838"/>
      <c r="D217" s="132" t="s">
        <v>4</v>
      </c>
      <c r="E217" s="142"/>
      <c r="F217" s="143"/>
      <c r="G217" s="144"/>
      <c r="H217" s="144"/>
      <c r="I217" s="144"/>
      <c r="J217" s="138"/>
      <c r="K217" s="137"/>
      <c r="L217" s="138"/>
      <c r="M217" s="138"/>
      <c r="N217" s="138"/>
      <c r="O217" s="138"/>
      <c r="P217" s="138"/>
      <c r="Q217" s="138"/>
      <c r="R217" s="147"/>
      <c r="S217" s="1129"/>
      <c r="T217" s="148"/>
      <c r="U217" s="187">
        <f>+$U$157/8</f>
        <v>2428417.875</v>
      </c>
      <c r="V217" s="148"/>
      <c r="W217" s="146"/>
      <c r="X217" s="139"/>
      <c r="Y217" s="139"/>
      <c r="Z217" s="139"/>
      <c r="AA217" s="165"/>
      <c r="AB217" s="151"/>
      <c r="AC217" s="129"/>
      <c r="AD217" s="137"/>
      <c r="AE217" s="152"/>
      <c r="AF217" s="1129"/>
      <c r="AG217" s="772"/>
      <c r="AH217" s="775"/>
      <c r="AI217" s="775"/>
      <c r="AJ217" s="778"/>
      <c r="AK217" s="775"/>
      <c r="AL217" s="775"/>
      <c r="AM217" s="775"/>
      <c r="AN217" s="807"/>
      <c r="AO217" s="808"/>
      <c r="AP217" s="808"/>
      <c r="AQ217" s="806"/>
      <c r="AR217" s="806"/>
      <c r="AS217" s="806"/>
      <c r="AT217" s="806"/>
      <c r="AU217" s="795"/>
      <c r="AV217" s="795"/>
      <c r="AW217" s="795"/>
      <c r="AX217" s="797"/>
      <c r="AY217" s="159"/>
    </row>
    <row r="218" spans="1:51" ht="27.75" customHeight="1" x14ac:dyDescent="0.25">
      <c r="A218" s="815"/>
      <c r="B218" s="1136"/>
      <c r="C218" s="838"/>
      <c r="D218" s="136" t="s">
        <v>43</v>
      </c>
      <c r="E218" s="142"/>
      <c r="F218" s="143"/>
      <c r="G218" s="144">
        <v>1</v>
      </c>
      <c r="H218" s="144">
        <v>1</v>
      </c>
      <c r="I218" s="144">
        <v>1</v>
      </c>
      <c r="J218" s="138">
        <v>1</v>
      </c>
      <c r="K218" s="137"/>
      <c r="L218" s="138"/>
      <c r="M218" s="138"/>
      <c r="N218" s="138"/>
      <c r="O218" s="138"/>
      <c r="P218" s="138"/>
      <c r="Q218" s="138">
        <v>2</v>
      </c>
      <c r="R218" s="147">
        <v>2</v>
      </c>
      <c r="S218" s="1129"/>
      <c r="T218" s="148">
        <v>1</v>
      </c>
      <c r="U218" s="148">
        <v>1</v>
      </c>
      <c r="V218" s="148">
        <v>1</v>
      </c>
      <c r="W218" s="146">
        <v>1</v>
      </c>
      <c r="X218" s="139"/>
      <c r="Y218" s="139"/>
      <c r="Z218" s="139"/>
      <c r="AA218" s="165"/>
      <c r="AB218" s="151"/>
      <c r="AC218" s="129"/>
      <c r="AD218" s="137">
        <v>2</v>
      </c>
      <c r="AE218" s="152">
        <v>2</v>
      </c>
      <c r="AF218" s="1129"/>
      <c r="AG218" s="772"/>
      <c r="AH218" s="775"/>
      <c r="AI218" s="775"/>
      <c r="AJ218" s="778"/>
      <c r="AK218" s="775"/>
      <c r="AL218" s="775"/>
      <c r="AM218" s="775"/>
      <c r="AN218" s="807"/>
      <c r="AO218" s="808"/>
      <c r="AP218" s="808"/>
      <c r="AQ218" s="806"/>
      <c r="AR218" s="806"/>
      <c r="AS218" s="806"/>
      <c r="AT218" s="806"/>
      <c r="AU218" s="795"/>
      <c r="AV218" s="795"/>
      <c r="AW218" s="795"/>
      <c r="AX218" s="797"/>
      <c r="AY218" s="159"/>
    </row>
    <row r="219" spans="1:51" ht="27.75" customHeight="1" thickBot="1" x14ac:dyDescent="0.3">
      <c r="A219" s="815"/>
      <c r="B219" s="1136"/>
      <c r="C219" s="838"/>
      <c r="D219" s="140" t="s">
        <v>45</v>
      </c>
      <c r="E219" s="142"/>
      <c r="F219" s="143"/>
      <c r="G219" s="144">
        <f>+G218*$G$155/$G$154</f>
        <v>2573116.8831168832</v>
      </c>
      <c r="H219" s="144">
        <f>+H218*$H$155/$H$154</f>
        <v>2573116.8831168832</v>
      </c>
      <c r="I219" s="144" t="e">
        <f>+I218*$I$155/$I$154</f>
        <v>#REF!</v>
      </c>
      <c r="J219" s="138" t="e">
        <f>+J218*$J$155/$J$154</f>
        <v>#REF!</v>
      </c>
      <c r="K219" s="137"/>
      <c r="L219" s="138"/>
      <c r="M219" s="138"/>
      <c r="N219" s="138"/>
      <c r="O219" s="138"/>
      <c r="P219" s="138"/>
      <c r="Q219" s="138" t="e">
        <f>+Q218*$Q$155/$Q$154</f>
        <v>#REF!</v>
      </c>
      <c r="R219" s="138" t="e">
        <f>+R218*$R$155/$R$154</f>
        <v>#REF!</v>
      </c>
      <c r="S219" s="1129"/>
      <c r="T219" s="144">
        <f>+T218*$T$155/$T$154</f>
        <v>0</v>
      </c>
      <c r="U219" s="144">
        <f>+U218*$U$155/$U$154</f>
        <v>11790000</v>
      </c>
      <c r="V219" s="144" t="e">
        <f>+V218*$V$155/$V$154</f>
        <v>#REF!</v>
      </c>
      <c r="W219" s="138" t="e">
        <f>+W218*$W$155/$W$154</f>
        <v>#REF!</v>
      </c>
      <c r="X219" s="139"/>
      <c r="Y219" s="139"/>
      <c r="Z219" s="139"/>
      <c r="AA219" s="165"/>
      <c r="AB219" s="151"/>
      <c r="AC219" s="129"/>
      <c r="AD219" s="137" t="e">
        <f>+AD218*$AD$155/$AD$154</f>
        <v>#REF!</v>
      </c>
      <c r="AE219" s="137" t="e">
        <f>+AE218*$AE$155/$AE$154</f>
        <v>#REF!</v>
      </c>
      <c r="AF219" s="1130"/>
      <c r="AG219" s="773"/>
      <c r="AH219" s="776"/>
      <c r="AI219" s="776"/>
      <c r="AJ219" s="779"/>
      <c r="AK219" s="776"/>
      <c r="AL219" s="776"/>
      <c r="AM219" s="776"/>
      <c r="AN219" s="807"/>
      <c r="AO219" s="808"/>
      <c r="AP219" s="808"/>
      <c r="AQ219" s="806"/>
      <c r="AR219" s="806"/>
      <c r="AS219" s="806"/>
      <c r="AT219" s="806"/>
      <c r="AU219" s="795"/>
      <c r="AV219" s="795"/>
      <c r="AW219" s="795"/>
      <c r="AX219" s="798"/>
      <c r="AY219" s="159"/>
    </row>
    <row r="220" spans="1:51" ht="18" customHeight="1" x14ac:dyDescent="0.25">
      <c r="A220" s="815"/>
      <c r="B220" s="1136"/>
      <c r="C220" s="1127" t="s">
        <v>378</v>
      </c>
      <c r="D220" s="141" t="s">
        <v>41</v>
      </c>
      <c r="E220" s="142"/>
      <c r="F220" s="143"/>
      <c r="G220" s="144">
        <v>1</v>
      </c>
      <c r="H220" s="144">
        <v>1</v>
      </c>
      <c r="I220" s="144">
        <v>1</v>
      </c>
      <c r="J220" s="138">
        <v>2</v>
      </c>
      <c r="K220" s="145">
        <v>3</v>
      </c>
      <c r="L220" s="138"/>
      <c r="M220" s="138"/>
      <c r="N220" s="138"/>
      <c r="O220" s="138"/>
      <c r="P220" s="138"/>
      <c r="Q220" s="138">
        <v>1</v>
      </c>
      <c r="R220" s="147">
        <v>1</v>
      </c>
      <c r="S220" s="1129"/>
      <c r="T220" s="148">
        <v>1</v>
      </c>
      <c r="U220" s="148">
        <v>1</v>
      </c>
      <c r="V220" s="148">
        <v>1</v>
      </c>
      <c r="W220" s="146">
        <v>2</v>
      </c>
      <c r="X220" s="150">
        <v>3</v>
      </c>
      <c r="Y220" s="139"/>
      <c r="Z220" s="139"/>
      <c r="AA220" s="165"/>
      <c r="AB220" s="151"/>
      <c r="AC220" s="129"/>
      <c r="AD220" s="137">
        <v>1</v>
      </c>
      <c r="AE220" s="152">
        <v>1</v>
      </c>
      <c r="AF220" s="1131" t="s">
        <v>440</v>
      </c>
      <c r="AG220" s="771" t="s">
        <v>441</v>
      </c>
      <c r="AH220" s="774" t="s">
        <v>442</v>
      </c>
      <c r="AI220" s="774" t="s">
        <v>443</v>
      </c>
      <c r="AJ220" s="777" t="s">
        <v>417</v>
      </c>
      <c r="AK220" s="774" t="s">
        <v>315</v>
      </c>
      <c r="AL220" s="774" t="s">
        <v>444</v>
      </c>
      <c r="AM220" s="774" t="s">
        <v>316</v>
      </c>
      <c r="AN220" s="808">
        <v>1229903</v>
      </c>
      <c r="AO220" s="808">
        <v>579046</v>
      </c>
      <c r="AP220" s="808">
        <v>650857</v>
      </c>
      <c r="AQ220" s="806" t="s">
        <v>317</v>
      </c>
      <c r="AR220" s="806" t="s">
        <v>317</v>
      </c>
      <c r="AS220" s="806" t="s">
        <v>317</v>
      </c>
      <c r="AT220" s="806" t="s">
        <v>317</v>
      </c>
      <c r="AU220" s="795" t="s">
        <v>317</v>
      </c>
      <c r="AV220" s="795" t="s">
        <v>317</v>
      </c>
      <c r="AW220" s="795" t="s">
        <v>317</v>
      </c>
      <c r="AX220" s="796">
        <v>1229903</v>
      </c>
      <c r="AY220" s="159"/>
    </row>
    <row r="221" spans="1:51" ht="18.75" customHeight="1" x14ac:dyDescent="0.25">
      <c r="A221" s="815"/>
      <c r="B221" s="1136"/>
      <c r="C221" s="1127"/>
      <c r="D221" s="132" t="s">
        <v>3</v>
      </c>
      <c r="E221" s="142"/>
      <c r="F221" s="143"/>
      <c r="G221" s="144">
        <f>+G220*$G$155/$G$154</f>
        <v>2573116.8831168832</v>
      </c>
      <c r="H221" s="144">
        <f>+H220*$H$155/$H$154</f>
        <v>2573116.8831168832</v>
      </c>
      <c r="I221" s="144" t="e">
        <f>+I220*$I$155/$I$154</f>
        <v>#REF!</v>
      </c>
      <c r="J221" s="138" t="e">
        <f>+J220*$J$155/$J$154</f>
        <v>#REF!</v>
      </c>
      <c r="K221" s="137"/>
      <c r="L221" s="138"/>
      <c r="M221" s="138"/>
      <c r="N221" s="138"/>
      <c r="O221" s="138"/>
      <c r="P221" s="138"/>
      <c r="Q221" s="138" t="e">
        <f>+Q220*$Q$155/$Q$154</f>
        <v>#REF!</v>
      </c>
      <c r="R221" s="138" t="e">
        <f>+R220*$R$155/$R$154</f>
        <v>#REF!</v>
      </c>
      <c r="S221" s="1129"/>
      <c r="T221" s="144">
        <f>+T220*$T$155/$T$154</f>
        <v>0</v>
      </c>
      <c r="U221" s="144">
        <f>+U220*$U$155/$U$154</f>
        <v>11790000</v>
      </c>
      <c r="V221" s="144" t="e">
        <f>+V220*$V$155/$V$154</f>
        <v>#REF!</v>
      </c>
      <c r="W221" s="138" t="e">
        <f>+W220*$W$155/$W$154</f>
        <v>#REF!</v>
      </c>
      <c r="X221" s="139"/>
      <c r="Y221" s="139"/>
      <c r="Z221" s="139"/>
      <c r="AA221" s="165"/>
      <c r="AB221" s="151"/>
      <c r="AC221" s="129"/>
      <c r="AD221" s="137" t="e">
        <f>+AD220*$AD$155/$AD$154</f>
        <v>#REF!</v>
      </c>
      <c r="AE221" s="137" t="e">
        <f>+AE220*$AE$155/$AE$154</f>
        <v>#REF!</v>
      </c>
      <c r="AF221" s="1132"/>
      <c r="AG221" s="772"/>
      <c r="AH221" s="775"/>
      <c r="AI221" s="775"/>
      <c r="AJ221" s="778"/>
      <c r="AK221" s="775"/>
      <c r="AL221" s="775"/>
      <c r="AM221" s="775"/>
      <c r="AN221" s="808"/>
      <c r="AO221" s="808"/>
      <c r="AP221" s="808"/>
      <c r="AQ221" s="806"/>
      <c r="AR221" s="806"/>
      <c r="AS221" s="806"/>
      <c r="AT221" s="806"/>
      <c r="AU221" s="795"/>
      <c r="AV221" s="795"/>
      <c r="AW221" s="795"/>
      <c r="AX221" s="797"/>
      <c r="AY221" s="159"/>
    </row>
    <row r="222" spans="1:51" ht="27.75" customHeight="1" x14ac:dyDescent="0.25">
      <c r="A222" s="815"/>
      <c r="B222" s="1136"/>
      <c r="C222" s="1127"/>
      <c r="D222" s="136" t="s">
        <v>42</v>
      </c>
      <c r="E222" s="142"/>
      <c r="F222" s="143"/>
      <c r="G222" s="144"/>
      <c r="H222" s="144"/>
      <c r="I222" s="144"/>
      <c r="J222" s="138"/>
      <c r="K222" s="137"/>
      <c r="L222" s="138"/>
      <c r="M222" s="138"/>
      <c r="N222" s="138"/>
      <c r="O222" s="138"/>
      <c r="P222" s="138"/>
      <c r="Q222" s="138"/>
      <c r="R222" s="147"/>
      <c r="S222" s="1129"/>
      <c r="T222" s="148"/>
      <c r="U222" s="148"/>
      <c r="V222" s="148"/>
      <c r="W222" s="146"/>
      <c r="X222" s="139"/>
      <c r="Y222" s="139"/>
      <c r="Z222" s="139"/>
      <c r="AA222" s="165"/>
      <c r="AB222" s="151"/>
      <c r="AC222" s="129"/>
      <c r="AD222" s="137"/>
      <c r="AE222" s="152"/>
      <c r="AF222" s="1132"/>
      <c r="AG222" s="772"/>
      <c r="AH222" s="775"/>
      <c r="AI222" s="775"/>
      <c r="AJ222" s="778"/>
      <c r="AK222" s="775"/>
      <c r="AL222" s="775"/>
      <c r="AM222" s="775"/>
      <c r="AN222" s="808"/>
      <c r="AO222" s="808"/>
      <c r="AP222" s="808"/>
      <c r="AQ222" s="806"/>
      <c r="AR222" s="806"/>
      <c r="AS222" s="806"/>
      <c r="AT222" s="806"/>
      <c r="AU222" s="795"/>
      <c r="AV222" s="795"/>
      <c r="AW222" s="795"/>
      <c r="AX222" s="797"/>
      <c r="AY222" s="159"/>
    </row>
    <row r="223" spans="1:51" ht="27.75" customHeight="1" x14ac:dyDescent="0.25">
      <c r="A223" s="815"/>
      <c r="B223" s="1136"/>
      <c r="C223" s="1127"/>
      <c r="D223" s="132" t="s">
        <v>4</v>
      </c>
      <c r="E223" s="142"/>
      <c r="F223" s="143"/>
      <c r="G223" s="144"/>
      <c r="H223" s="144"/>
      <c r="I223" s="144"/>
      <c r="J223" s="138"/>
      <c r="K223" s="137"/>
      <c r="L223" s="138"/>
      <c r="M223" s="138"/>
      <c r="N223" s="138"/>
      <c r="O223" s="138"/>
      <c r="P223" s="138"/>
      <c r="Q223" s="138"/>
      <c r="R223" s="147"/>
      <c r="S223" s="1129"/>
      <c r="T223" s="148"/>
      <c r="U223" s="187">
        <f>+$U$157/8</f>
        <v>2428417.875</v>
      </c>
      <c r="V223" s="148"/>
      <c r="W223" s="146"/>
      <c r="X223" s="139"/>
      <c r="Y223" s="139"/>
      <c r="Z223" s="139"/>
      <c r="AA223" s="165"/>
      <c r="AB223" s="151"/>
      <c r="AC223" s="129"/>
      <c r="AD223" s="137"/>
      <c r="AE223" s="152"/>
      <c r="AF223" s="1132"/>
      <c r="AG223" s="772"/>
      <c r="AH223" s="775"/>
      <c r="AI223" s="775"/>
      <c r="AJ223" s="778"/>
      <c r="AK223" s="775"/>
      <c r="AL223" s="775"/>
      <c r="AM223" s="775"/>
      <c r="AN223" s="808"/>
      <c r="AO223" s="808"/>
      <c r="AP223" s="808"/>
      <c r="AQ223" s="806"/>
      <c r="AR223" s="806"/>
      <c r="AS223" s="806"/>
      <c r="AT223" s="806"/>
      <c r="AU223" s="795"/>
      <c r="AV223" s="795"/>
      <c r="AW223" s="795"/>
      <c r="AX223" s="797"/>
      <c r="AY223" s="159"/>
    </row>
    <row r="224" spans="1:51" ht="27.75" customHeight="1" x14ac:dyDescent="0.25">
      <c r="A224" s="815"/>
      <c r="B224" s="1136"/>
      <c r="C224" s="1127"/>
      <c r="D224" s="136" t="s">
        <v>43</v>
      </c>
      <c r="E224" s="142"/>
      <c r="F224" s="143"/>
      <c r="G224" s="144">
        <v>1</v>
      </c>
      <c r="H224" s="144">
        <v>1</v>
      </c>
      <c r="I224" s="144">
        <v>1</v>
      </c>
      <c r="J224" s="138">
        <v>2</v>
      </c>
      <c r="K224" s="137"/>
      <c r="L224" s="138"/>
      <c r="M224" s="138"/>
      <c r="N224" s="138"/>
      <c r="O224" s="138"/>
      <c r="P224" s="138"/>
      <c r="Q224" s="138">
        <v>1</v>
      </c>
      <c r="R224" s="147">
        <v>1</v>
      </c>
      <c r="S224" s="1129"/>
      <c r="T224" s="148">
        <v>1</v>
      </c>
      <c r="U224" s="148">
        <v>1</v>
      </c>
      <c r="V224" s="148">
        <v>1</v>
      </c>
      <c r="W224" s="146">
        <v>2</v>
      </c>
      <c r="X224" s="139"/>
      <c r="Y224" s="139"/>
      <c r="Z224" s="139"/>
      <c r="AA224" s="165"/>
      <c r="AB224" s="151"/>
      <c r="AC224" s="129"/>
      <c r="AD224" s="137">
        <v>1</v>
      </c>
      <c r="AE224" s="152">
        <v>1</v>
      </c>
      <c r="AF224" s="1132"/>
      <c r="AG224" s="772"/>
      <c r="AH224" s="775"/>
      <c r="AI224" s="775"/>
      <c r="AJ224" s="778"/>
      <c r="AK224" s="775"/>
      <c r="AL224" s="775"/>
      <c r="AM224" s="775"/>
      <c r="AN224" s="808"/>
      <c r="AO224" s="808"/>
      <c r="AP224" s="808"/>
      <c r="AQ224" s="806"/>
      <c r="AR224" s="806"/>
      <c r="AS224" s="806"/>
      <c r="AT224" s="806"/>
      <c r="AU224" s="795"/>
      <c r="AV224" s="795"/>
      <c r="AW224" s="795"/>
      <c r="AX224" s="797"/>
      <c r="AY224" s="159"/>
    </row>
    <row r="225" spans="1:51" ht="27.75" customHeight="1" thickBot="1" x14ac:dyDescent="0.3">
      <c r="A225" s="815"/>
      <c r="B225" s="1136"/>
      <c r="C225" s="1127"/>
      <c r="D225" s="140" t="s">
        <v>45</v>
      </c>
      <c r="E225" s="142"/>
      <c r="F225" s="143"/>
      <c r="G225" s="144">
        <f>+G224*$G$155/$G$154</f>
        <v>2573116.8831168832</v>
      </c>
      <c r="H225" s="144">
        <f>+H224*$H$155/$H$154</f>
        <v>2573116.8831168832</v>
      </c>
      <c r="I225" s="144" t="e">
        <f>+I224*$I$155/$I$154</f>
        <v>#REF!</v>
      </c>
      <c r="J225" s="138" t="e">
        <f>+J224*$J$155/$J$154</f>
        <v>#REF!</v>
      </c>
      <c r="K225" s="137"/>
      <c r="L225" s="138"/>
      <c r="M225" s="138"/>
      <c r="N225" s="138"/>
      <c r="O225" s="138"/>
      <c r="P225" s="138"/>
      <c r="Q225" s="138" t="e">
        <f>+Q224*$Q$155/$Q$154</f>
        <v>#REF!</v>
      </c>
      <c r="R225" s="138" t="e">
        <f>+R224*$R$155/$R$154</f>
        <v>#REF!</v>
      </c>
      <c r="S225" s="1129"/>
      <c r="T225" s="144">
        <f>+T224*$T$155/$T$154</f>
        <v>0</v>
      </c>
      <c r="U225" s="144">
        <f>+U224*$U$155/$U$154</f>
        <v>11790000</v>
      </c>
      <c r="V225" s="144" t="e">
        <f>+V224*$V$155/$V$154</f>
        <v>#REF!</v>
      </c>
      <c r="W225" s="138" t="e">
        <f>+W224*$W$155/$W$154</f>
        <v>#REF!</v>
      </c>
      <c r="X225" s="139"/>
      <c r="Y225" s="139"/>
      <c r="Z225" s="139"/>
      <c r="AA225" s="165"/>
      <c r="AB225" s="151"/>
      <c r="AC225" s="129"/>
      <c r="AD225" s="137" t="e">
        <f>+AD224*$AD$155/$AD$154</f>
        <v>#REF!</v>
      </c>
      <c r="AE225" s="137" t="e">
        <f>+AE224*$AE$155/$AE$154</f>
        <v>#REF!</v>
      </c>
      <c r="AF225" s="1133"/>
      <c r="AG225" s="773"/>
      <c r="AH225" s="776"/>
      <c r="AI225" s="776"/>
      <c r="AJ225" s="779"/>
      <c r="AK225" s="776"/>
      <c r="AL225" s="776"/>
      <c r="AM225" s="776"/>
      <c r="AN225" s="808"/>
      <c r="AO225" s="808"/>
      <c r="AP225" s="808"/>
      <c r="AQ225" s="806"/>
      <c r="AR225" s="806"/>
      <c r="AS225" s="806"/>
      <c r="AT225" s="806"/>
      <c r="AU225" s="795"/>
      <c r="AV225" s="795"/>
      <c r="AW225" s="795"/>
      <c r="AX225" s="798"/>
      <c r="AY225" s="159"/>
    </row>
    <row r="226" spans="1:51" ht="18" customHeight="1" x14ac:dyDescent="0.25">
      <c r="A226" s="815"/>
      <c r="B226" s="1136"/>
      <c r="C226" s="838" t="s">
        <v>383</v>
      </c>
      <c r="D226" s="141" t="s">
        <v>41</v>
      </c>
      <c r="E226" s="142"/>
      <c r="F226" s="143"/>
      <c r="G226" s="144">
        <v>1</v>
      </c>
      <c r="H226" s="144">
        <v>1</v>
      </c>
      <c r="I226" s="144">
        <v>1</v>
      </c>
      <c r="J226" s="138">
        <v>2</v>
      </c>
      <c r="K226" s="145">
        <v>2</v>
      </c>
      <c r="L226" s="138"/>
      <c r="M226" s="138"/>
      <c r="N226" s="138"/>
      <c r="O226" s="138"/>
      <c r="P226" s="138"/>
      <c r="Q226" s="138"/>
      <c r="R226" s="147">
        <v>1</v>
      </c>
      <c r="S226" s="1129"/>
      <c r="T226" s="148">
        <v>1</v>
      </c>
      <c r="U226" s="148">
        <v>1</v>
      </c>
      <c r="V226" s="148">
        <v>1</v>
      </c>
      <c r="W226" s="146">
        <v>2</v>
      </c>
      <c r="X226" s="150">
        <v>2</v>
      </c>
      <c r="Y226" s="139"/>
      <c r="Z226" s="139"/>
      <c r="AA226" s="165"/>
      <c r="AB226" s="151"/>
      <c r="AC226" s="129"/>
      <c r="AD226" s="137"/>
      <c r="AE226" s="152">
        <v>1</v>
      </c>
      <c r="AF226" s="1128" t="s">
        <v>445</v>
      </c>
      <c r="AG226" s="771" t="s">
        <v>446</v>
      </c>
      <c r="AH226" s="774" t="s">
        <v>447</v>
      </c>
      <c r="AI226" s="774" t="s">
        <v>448</v>
      </c>
      <c r="AJ226" s="777" t="s">
        <v>417</v>
      </c>
      <c r="AK226" s="774" t="s">
        <v>315</v>
      </c>
      <c r="AL226" s="774" t="s">
        <v>70</v>
      </c>
      <c r="AM226" s="774" t="s">
        <v>316</v>
      </c>
      <c r="AN226" s="848">
        <v>138605</v>
      </c>
      <c r="AO226" s="808">
        <v>65263</v>
      </c>
      <c r="AP226" s="808">
        <v>73342</v>
      </c>
      <c r="AQ226" s="806" t="s">
        <v>317</v>
      </c>
      <c r="AR226" s="806" t="s">
        <v>317</v>
      </c>
      <c r="AS226" s="806" t="s">
        <v>317</v>
      </c>
      <c r="AT226" s="806" t="s">
        <v>317</v>
      </c>
      <c r="AU226" s="795" t="s">
        <v>317</v>
      </c>
      <c r="AV226" s="795" t="s">
        <v>317</v>
      </c>
      <c r="AW226" s="795" t="s">
        <v>317</v>
      </c>
      <c r="AX226" s="796">
        <v>138605</v>
      </c>
      <c r="AY226" s="159"/>
    </row>
    <row r="227" spans="1:51" ht="18.75" customHeight="1" x14ac:dyDescent="0.25">
      <c r="A227" s="815"/>
      <c r="B227" s="1136"/>
      <c r="C227" s="838"/>
      <c r="D227" s="132" t="s">
        <v>3</v>
      </c>
      <c r="E227" s="142"/>
      <c r="F227" s="143"/>
      <c r="G227" s="144">
        <f>+G226*$G$155/$G$154</f>
        <v>2573116.8831168832</v>
      </c>
      <c r="H227" s="144">
        <f>+H226*$H$155/$H$154</f>
        <v>2573116.8831168832</v>
      </c>
      <c r="I227" s="144" t="e">
        <f>+I226*$I$155/$I$154</f>
        <v>#REF!</v>
      </c>
      <c r="J227" s="138" t="e">
        <f>+J226*$J$155/$J$154</f>
        <v>#REF!</v>
      </c>
      <c r="K227" s="137"/>
      <c r="L227" s="138"/>
      <c r="M227" s="138"/>
      <c r="N227" s="138"/>
      <c r="O227" s="138"/>
      <c r="P227" s="138"/>
      <c r="Q227" s="138"/>
      <c r="R227" s="138" t="e">
        <f>+R226*$R$155/$R$154</f>
        <v>#REF!</v>
      </c>
      <c r="S227" s="1129"/>
      <c r="T227" s="144">
        <f>+T226*$T$155/$T$154</f>
        <v>0</v>
      </c>
      <c r="U227" s="144">
        <f>+U226*$U$155/$U$154</f>
        <v>11790000</v>
      </c>
      <c r="V227" s="144" t="e">
        <f>+V226*$V$155/$V$154</f>
        <v>#REF!</v>
      </c>
      <c r="W227" s="138" t="e">
        <f>+W226*$W$155/$W$154</f>
        <v>#REF!</v>
      </c>
      <c r="X227" s="139"/>
      <c r="Y227" s="139"/>
      <c r="Z227" s="139"/>
      <c r="AA227" s="165"/>
      <c r="AB227" s="151"/>
      <c r="AC227" s="129"/>
      <c r="AD227" s="137"/>
      <c r="AE227" s="137" t="e">
        <f>+AE226*$AE$155/$AE$154</f>
        <v>#REF!</v>
      </c>
      <c r="AF227" s="1129"/>
      <c r="AG227" s="772"/>
      <c r="AH227" s="775"/>
      <c r="AI227" s="775"/>
      <c r="AJ227" s="778"/>
      <c r="AK227" s="775"/>
      <c r="AL227" s="775"/>
      <c r="AM227" s="775"/>
      <c r="AN227" s="849"/>
      <c r="AO227" s="808"/>
      <c r="AP227" s="808"/>
      <c r="AQ227" s="806"/>
      <c r="AR227" s="806"/>
      <c r="AS227" s="806"/>
      <c r="AT227" s="806"/>
      <c r="AU227" s="795"/>
      <c r="AV227" s="795"/>
      <c r="AW227" s="795"/>
      <c r="AX227" s="797"/>
      <c r="AY227" s="159"/>
    </row>
    <row r="228" spans="1:51" ht="27.75" customHeight="1" x14ac:dyDescent="0.25">
      <c r="A228" s="815"/>
      <c r="B228" s="1136"/>
      <c r="C228" s="838"/>
      <c r="D228" s="136" t="s">
        <v>42</v>
      </c>
      <c r="E228" s="142"/>
      <c r="F228" s="143"/>
      <c r="G228" s="144"/>
      <c r="H228" s="144"/>
      <c r="I228" s="144"/>
      <c r="J228" s="138"/>
      <c r="K228" s="137"/>
      <c r="L228" s="138"/>
      <c r="M228" s="138"/>
      <c r="N228" s="138"/>
      <c r="O228" s="138"/>
      <c r="P228" s="138"/>
      <c r="Q228" s="138"/>
      <c r="R228" s="147"/>
      <c r="S228" s="1129"/>
      <c r="T228" s="148"/>
      <c r="U228" s="148"/>
      <c r="V228" s="148"/>
      <c r="W228" s="146"/>
      <c r="X228" s="139"/>
      <c r="Y228" s="139"/>
      <c r="Z228" s="139"/>
      <c r="AA228" s="165"/>
      <c r="AB228" s="151"/>
      <c r="AC228" s="129"/>
      <c r="AD228" s="137"/>
      <c r="AE228" s="152"/>
      <c r="AF228" s="1129"/>
      <c r="AG228" s="772"/>
      <c r="AH228" s="775"/>
      <c r="AI228" s="775"/>
      <c r="AJ228" s="778"/>
      <c r="AK228" s="775"/>
      <c r="AL228" s="775"/>
      <c r="AM228" s="775"/>
      <c r="AN228" s="849"/>
      <c r="AO228" s="808"/>
      <c r="AP228" s="808"/>
      <c r="AQ228" s="806"/>
      <c r="AR228" s="806"/>
      <c r="AS228" s="806"/>
      <c r="AT228" s="806"/>
      <c r="AU228" s="795"/>
      <c r="AV228" s="795"/>
      <c r="AW228" s="795"/>
      <c r="AX228" s="797"/>
      <c r="AY228" s="159"/>
    </row>
    <row r="229" spans="1:51" ht="27.75" customHeight="1" x14ac:dyDescent="0.25">
      <c r="A229" s="815"/>
      <c r="B229" s="1136"/>
      <c r="C229" s="838"/>
      <c r="D229" s="132" t="s">
        <v>4</v>
      </c>
      <c r="E229" s="142"/>
      <c r="F229" s="143"/>
      <c r="G229" s="144"/>
      <c r="H229" s="144"/>
      <c r="I229" s="144"/>
      <c r="J229" s="138"/>
      <c r="K229" s="137"/>
      <c r="L229" s="138"/>
      <c r="M229" s="138"/>
      <c r="N229" s="138"/>
      <c r="O229" s="138"/>
      <c r="P229" s="138"/>
      <c r="Q229" s="138"/>
      <c r="R229" s="147"/>
      <c r="S229" s="1129"/>
      <c r="T229" s="148"/>
      <c r="U229" s="187">
        <f>+$U$157/8</f>
        <v>2428417.875</v>
      </c>
      <c r="V229" s="148"/>
      <c r="W229" s="146"/>
      <c r="X229" s="139"/>
      <c r="Y229" s="139"/>
      <c r="Z229" s="139"/>
      <c r="AA229" s="165"/>
      <c r="AB229" s="151"/>
      <c r="AC229" s="129"/>
      <c r="AD229" s="137"/>
      <c r="AE229" s="152"/>
      <c r="AF229" s="1129"/>
      <c r="AG229" s="772"/>
      <c r="AH229" s="775"/>
      <c r="AI229" s="775"/>
      <c r="AJ229" s="778"/>
      <c r="AK229" s="775"/>
      <c r="AL229" s="775"/>
      <c r="AM229" s="775"/>
      <c r="AN229" s="849"/>
      <c r="AO229" s="808"/>
      <c r="AP229" s="808"/>
      <c r="AQ229" s="806"/>
      <c r="AR229" s="806"/>
      <c r="AS229" s="806"/>
      <c r="AT229" s="806"/>
      <c r="AU229" s="795"/>
      <c r="AV229" s="795"/>
      <c r="AW229" s="795"/>
      <c r="AX229" s="797"/>
      <c r="AY229" s="159"/>
    </row>
    <row r="230" spans="1:51" ht="27.75" customHeight="1" x14ac:dyDescent="0.25">
      <c r="A230" s="815"/>
      <c r="B230" s="1136"/>
      <c r="C230" s="838"/>
      <c r="D230" s="136" t="s">
        <v>43</v>
      </c>
      <c r="E230" s="142"/>
      <c r="F230" s="143"/>
      <c r="G230" s="144">
        <v>1</v>
      </c>
      <c r="H230" s="144">
        <v>1</v>
      </c>
      <c r="I230" s="144">
        <v>1</v>
      </c>
      <c r="J230" s="138">
        <v>2</v>
      </c>
      <c r="K230" s="137"/>
      <c r="L230" s="138"/>
      <c r="M230" s="138"/>
      <c r="N230" s="138"/>
      <c r="O230" s="138"/>
      <c r="P230" s="138"/>
      <c r="Q230" s="138"/>
      <c r="R230" s="147">
        <v>1</v>
      </c>
      <c r="S230" s="1129"/>
      <c r="T230" s="148">
        <v>1</v>
      </c>
      <c r="U230" s="148">
        <v>1</v>
      </c>
      <c r="V230" s="148">
        <v>1</v>
      </c>
      <c r="W230" s="146">
        <v>2</v>
      </c>
      <c r="X230" s="139"/>
      <c r="Y230" s="139"/>
      <c r="Z230" s="139"/>
      <c r="AA230" s="165"/>
      <c r="AB230" s="151"/>
      <c r="AC230" s="129"/>
      <c r="AD230" s="137"/>
      <c r="AE230" s="152">
        <v>1</v>
      </c>
      <c r="AF230" s="1129"/>
      <c r="AG230" s="772"/>
      <c r="AH230" s="775"/>
      <c r="AI230" s="775"/>
      <c r="AJ230" s="778"/>
      <c r="AK230" s="775"/>
      <c r="AL230" s="775"/>
      <c r="AM230" s="775"/>
      <c r="AN230" s="849"/>
      <c r="AO230" s="808"/>
      <c r="AP230" s="808"/>
      <c r="AQ230" s="806"/>
      <c r="AR230" s="806"/>
      <c r="AS230" s="806"/>
      <c r="AT230" s="806"/>
      <c r="AU230" s="795"/>
      <c r="AV230" s="795"/>
      <c r="AW230" s="795"/>
      <c r="AX230" s="797"/>
      <c r="AY230" s="159"/>
    </row>
    <row r="231" spans="1:51" ht="27.75" customHeight="1" thickBot="1" x14ac:dyDescent="0.3">
      <c r="A231" s="815"/>
      <c r="B231" s="1136"/>
      <c r="C231" s="838"/>
      <c r="D231" s="140" t="s">
        <v>45</v>
      </c>
      <c r="E231" s="142"/>
      <c r="F231" s="143"/>
      <c r="G231" s="144">
        <f>+G230*$G$155/$G$154</f>
        <v>2573116.8831168832</v>
      </c>
      <c r="H231" s="144">
        <f>+H230*$H$155/$H$154</f>
        <v>2573116.8831168832</v>
      </c>
      <c r="I231" s="144" t="e">
        <f>+I230*$I$155/$I$154</f>
        <v>#REF!</v>
      </c>
      <c r="J231" s="138" t="e">
        <f>+J230*$J$155/$J$154</f>
        <v>#REF!</v>
      </c>
      <c r="K231" s="137"/>
      <c r="L231" s="138"/>
      <c r="M231" s="138"/>
      <c r="N231" s="138"/>
      <c r="O231" s="138"/>
      <c r="P231" s="138"/>
      <c r="Q231" s="138"/>
      <c r="R231" s="138" t="e">
        <f>+R230*$R$155/$R$154</f>
        <v>#REF!</v>
      </c>
      <c r="S231" s="1129"/>
      <c r="T231" s="144">
        <f>+T230*$T$155/$T$154</f>
        <v>0</v>
      </c>
      <c r="U231" s="144">
        <f>+U230*$U$155/$U$154</f>
        <v>11790000</v>
      </c>
      <c r="V231" s="144" t="e">
        <f>+V230*$V$155/$V$154</f>
        <v>#REF!</v>
      </c>
      <c r="W231" s="138" t="e">
        <f>+W230*$W$155/$W$154</f>
        <v>#REF!</v>
      </c>
      <c r="X231" s="139"/>
      <c r="Y231" s="139"/>
      <c r="Z231" s="139"/>
      <c r="AA231" s="165"/>
      <c r="AB231" s="151"/>
      <c r="AC231" s="129"/>
      <c r="AD231" s="137"/>
      <c r="AE231" s="137" t="e">
        <f>+AE230*$AE$155/$AE$154</f>
        <v>#REF!</v>
      </c>
      <c r="AF231" s="1130"/>
      <c r="AG231" s="773"/>
      <c r="AH231" s="776"/>
      <c r="AI231" s="776"/>
      <c r="AJ231" s="779"/>
      <c r="AK231" s="776"/>
      <c r="AL231" s="776"/>
      <c r="AM231" s="776"/>
      <c r="AN231" s="850"/>
      <c r="AO231" s="808"/>
      <c r="AP231" s="808"/>
      <c r="AQ231" s="806"/>
      <c r="AR231" s="806"/>
      <c r="AS231" s="806"/>
      <c r="AT231" s="806"/>
      <c r="AU231" s="795"/>
      <c r="AV231" s="795"/>
      <c r="AW231" s="795"/>
      <c r="AX231" s="798"/>
      <c r="AY231" s="159"/>
    </row>
    <row r="232" spans="1:51" ht="18" customHeight="1" x14ac:dyDescent="0.25">
      <c r="A232" s="815"/>
      <c r="B232" s="1136"/>
      <c r="C232" s="1127" t="s">
        <v>386</v>
      </c>
      <c r="D232" s="141" t="s">
        <v>41</v>
      </c>
      <c r="E232" s="142"/>
      <c r="F232" s="143"/>
      <c r="G232" s="144"/>
      <c r="H232" s="144">
        <v>2</v>
      </c>
      <c r="I232" s="144">
        <v>2</v>
      </c>
      <c r="J232" s="138">
        <v>2</v>
      </c>
      <c r="K232" s="145">
        <v>4</v>
      </c>
      <c r="L232" s="138"/>
      <c r="M232" s="138"/>
      <c r="N232" s="138"/>
      <c r="O232" s="138"/>
      <c r="P232" s="138"/>
      <c r="Q232" s="138"/>
      <c r="R232" s="147"/>
      <c r="S232" s="1129"/>
      <c r="T232" s="148"/>
      <c r="U232" s="148">
        <v>2</v>
      </c>
      <c r="V232" s="148">
        <v>2</v>
      </c>
      <c r="W232" s="146">
        <v>2</v>
      </c>
      <c r="X232" s="150">
        <v>4</v>
      </c>
      <c r="Y232" s="139"/>
      <c r="Z232" s="139"/>
      <c r="AA232" s="165"/>
      <c r="AB232" s="151"/>
      <c r="AC232" s="129"/>
      <c r="AD232" s="137"/>
      <c r="AE232" s="152"/>
      <c r="AF232" s="1131" t="s">
        <v>449</v>
      </c>
      <c r="AG232" s="771" t="s">
        <v>386</v>
      </c>
      <c r="AH232" s="774" t="s">
        <v>450</v>
      </c>
      <c r="AI232" s="774" t="s">
        <v>451</v>
      </c>
      <c r="AJ232" s="777" t="s">
        <v>417</v>
      </c>
      <c r="AK232" s="774" t="s">
        <v>315</v>
      </c>
      <c r="AL232" s="774" t="s">
        <v>70</v>
      </c>
      <c r="AM232" s="774" t="s">
        <v>316</v>
      </c>
      <c r="AN232" s="807">
        <v>153162</v>
      </c>
      <c r="AO232" s="808">
        <v>71661</v>
      </c>
      <c r="AP232" s="808">
        <v>81501</v>
      </c>
      <c r="AQ232" s="806" t="s">
        <v>317</v>
      </c>
      <c r="AR232" s="806" t="s">
        <v>317</v>
      </c>
      <c r="AS232" s="806" t="s">
        <v>317</v>
      </c>
      <c r="AT232" s="806" t="s">
        <v>317</v>
      </c>
      <c r="AU232" s="795" t="s">
        <v>317</v>
      </c>
      <c r="AV232" s="795" t="s">
        <v>317</v>
      </c>
      <c r="AW232" s="795" t="s">
        <v>317</v>
      </c>
      <c r="AX232" s="796">
        <v>153162</v>
      </c>
      <c r="AY232" s="159"/>
    </row>
    <row r="233" spans="1:51" ht="18.75" customHeight="1" x14ac:dyDescent="0.25">
      <c r="A233" s="815"/>
      <c r="B233" s="1136"/>
      <c r="C233" s="1127"/>
      <c r="D233" s="132" t="s">
        <v>3</v>
      </c>
      <c r="E233" s="142"/>
      <c r="F233" s="143"/>
      <c r="G233" s="144"/>
      <c r="H233" s="144">
        <f>+H232*$H$155/$H$154</f>
        <v>5146233.7662337665</v>
      </c>
      <c r="I233" s="144" t="e">
        <f>+I232*$I$155/$I$154</f>
        <v>#REF!</v>
      </c>
      <c r="J233" s="138" t="e">
        <f>+J232*$J$155/$J$154</f>
        <v>#REF!</v>
      </c>
      <c r="K233" s="137"/>
      <c r="L233" s="138"/>
      <c r="M233" s="138"/>
      <c r="N233" s="138"/>
      <c r="O233" s="138"/>
      <c r="P233" s="138"/>
      <c r="Q233" s="138"/>
      <c r="R233" s="147"/>
      <c r="S233" s="1129"/>
      <c r="T233" s="148"/>
      <c r="U233" s="144">
        <f>+U232*$U$155/$U$154</f>
        <v>23580000</v>
      </c>
      <c r="V233" s="144" t="e">
        <f>+V232*$V$155/$V$154</f>
        <v>#REF!</v>
      </c>
      <c r="W233" s="138" t="e">
        <f>+W232*$W$155/$W$154</f>
        <v>#REF!</v>
      </c>
      <c r="X233" s="139"/>
      <c r="Y233" s="139"/>
      <c r="Z233" s="139"/>
      <c r="AA233" s="165"/>
      <c r="AB233" s="151"/>
      <c r="AC233" s="129"/>
      <c r="AD233" s="137"/>
      <c r="AE233" s="152"/>
      <c r="AF233" s="1132"/>
      <c r="AG233" s="772"/>
      <c r="AH233" s="775"/>
      <c r="AI233" s="775"/>
      <c r="AJ233" s="778"/>
      <c r="AK233" s="775"/>
      <c r="AL233" s="775"/>
      <c r="AM233" s="775"/>
      <c r="AN233" s="807"/>
      <c r="AO233" s="808"/>
      <c r="AP233" s="808"/>
      <c r="AQ233" s="806"/>
      <c r="AR233" s="806"/>
      <c r="AS233" s="806"/>
      <c r="AT233" s="806"/>
      <c r="AU233" s="795"/>
      <c r="AV233" s="795"/>
      <c r="AW233" s="795"/>
      <c r="AX233" s="797"/>
      <c r="AY233" s="159"/>
    </row>
    <row r="234" spans="1:51" ht="27.75" customHeight="1" x14ac:dyDescent="0.25">
      <c r="A234" s="815"/>
      <c r="B234" s="1136"/>
      <c r="C234" s="1127"/>
      <c r="D234" s="136" t="s">
        <v>42</v>
      </c>
      <c r="E234" s="142"/>
      <c r="F234" s="143"/>
      <c r="G234" s="144"/>
      <c r="H234" s="144"/>
      <c r="I234" s="144"/>
      <c r="J234" s="138"/>
      <c r="K234" s="137"/>
      <c r="L234" s="138"/>
      <c r="M234" s="138"/>
      <c r="N234" s="138"/>
      <c r="O234" s="138"/>
      <c r="P234" s="138"/>
      <c r="Q234" s="138"/>
      <c r="R234" s="147"/>
      <c r="S234" s="1129"/>
      <c r="T234" s="148"/>
      <c r="U234" s="148"/>
      <c r="V234" s="148"/>
      <c r="W234" s="146"/>
      <c r="X234" s="139"/>
      <c r="Y234" s="139"/>
      <c r="Z234" s="139"/>
      <c r="AA234" s="165"/>
      <c r="AB234" s="151"/>
      <c r="AC234" s="129"/>
      <c r="AD234" s="137"/>
      <c r="AE234" s="152"/>
      <c r="AF234" s="1132"/>
      <c r="AG234" s="772"/>
      <c r="AH234" s="775"/>
      <c r="AI234" s="775"/>
      <c r="AJ234" s="778"/>
      <c r="AK234" s="775"/>
      <c r="AL234" s="775"/>
      <c r="AM234" s="775"/>
      <c r="AN234" s="807"/>
      <c r="AO234" s="808"/>
      <c r="AP234" s="808"/>
      <c r="AQ234" s="806"/>
      <c r="AR234" s="806"/>
      <c r="AS234" s="806"/>
      <c r="AT234" s="806"/>
      <c r="AU234" s="795"/>
      <c r="AV234" s="795"/>
      <c r="AW234" s="795"/>
      <c r="AX234" s="797"/>
      <c r="AY234" s="159"/>
    </row>
    <row r="235" spans="1:51" ht="27.75" customHeight="1" x14ac:dyDescent="0.25">
      <c r="A235" s="815"/>
      <c r="B235" s="1136"/>
      <c r="C235" s="1127"/>
      <c r="D235" s="132" t="s">
        <v>4</v>
      </c>
      <c r="E235" s="142"/>
      <c r="F235" s="143"/>
      <c r="G235" s="144"/>
      <c r="H235" s="144"/>
      <c r="I235" s="144"/>
      <c r="J235" s="138"/>
      <c r="K235" s="137"/>
      <c r="L235" s="138"/>
      <c r="M235" s="138"/>
      <c r="N235" s="138"/>
      <c r="O235" s="138"/>
      <c r="P235" s="138"/>
      <c r="Q235" s="138"/>
      <c r="R235" s="147"/>
      <c r="S235" s="1129"/>
      <c r="T235" s="148"/>
      <c r="U235" s="187">
        <f>+$U$157/8</f>
        <v>2428417.875</v>
      </c>
      <c r="V235" s="148"/>
      <c r="W235" s="146"/>
      <c r="X235" s="139"/>
      <c r="Y235" s="139"/>
      <c r="Z235" s="139"/>
      <c r="AA235" s="165"/>
      <c r="AB235" s="151"/>
      <c r="AC235" s="129"/>
      <c r="AD235" s="137"/>
      <c r="AE235" s="152"/>
      <c r="AF235" s="1132"/>
      <c r="AG235" s="772"/>
      <c r="AH235" s="775"/>
      <c r="AI235" s="775"/>
      <c r="AJ235" s="778"/>
      <c r="AK235" s="775"/>
      <c r="AL235" s="775"/>
      <c r="AM235" s="775"/>
      <c r="AN235" s="807"/>
      <c r="AO235" s="808"/>
      <c r="AP235" s="808"/>
      <c r="AQ235" s="806"/>
      <c r="AR235" s="806"/>
      <c r="AS235" s="806"/>
      <c r="AT235" s="806"/>
      <c r="AU235" s="795"/>
      <c r="AV235" s="795"/>
      <c r="AW235" s="795"/>
      <c r="AX235" s="797"/>
      <c r="AY235" s="159"/>
    </row>
    <row r="236" spans="1:51" ht="27.75" customHeight="1" x14ac:dyDescent="0.25">
      <c r="A236" s="815"/>
      <c r="B236" s="1136"/>
      <c r="C236" s="1127"/>
      <c r="D236" s="136" t="s">
        <v>43</v>
      </c>
      <c r="E236" s="142"/>
      <c r="F236" s="143"/>
      <c r="G236" s="144"/>
      <c r="H236" s="144">
        <v>2</v>
      </c>
      <c r="I236" s="144">
        <v>2</v>
      </c>
      <c r="J236" s="138">
        <v>2</v>
      </c>
      <c r="K236" s="137"/>
      <c r="L236" s="138"/>
      <c r="M236" s="138"/>
      <c r="N236" s="138"/>
      <c r="O236" s="138"/>
      <c r="P236" s="138"/>
      <c r="Q236" s="138"/>
      <c r="R236" s="147"/>
      <c r="S236" s="1129"/>
      <c r="T236" s="148"/>
      <c r="U236" s="148">
        <v>2</v>
      </c>
      <c r="V236" s="148">
        <v>2</v>
      </c>
      <c r="W236" s="146">
        <v>2</v>
      </c>
      <c r="X236" s="139"/>
      <c r="Y236" s="139"/>
      <c r="Z236" s="139"/>
      <c r="AA236" s="165"/>
      <c r="AB236" s="151"/>
      <c r="AC236" s="129"/>
      <c r="AD236" s="137"/>
      <c r="AE236" s="152"/>
      <c r="AF236" s="1132"/>
      <c r="AG236" s="772"/>
      <c r="AH236" s="775"/>
      <c r="AI236" s="775"/>
      <c r="AJ236" s="778"/>
      <c r="AK236" s="775"/>
      <c r="AL236" s="775"/>
      <c r="AM236" s="775"/>
      <c r="AN236" s="807"/>
      <c r="AO236" s="808"/>
      <c r="AP236" s="808"/>
      <c r="AQ236" s="806"/>
      <c r="AR236" s="806"/>
      <c r="AS236" s="806"/>
      <c r="AT236" s="806"/>
      <c r="AU236" s="795"/>
      <c r="AV236" s="795"/>
      <c r="AW236" s="795"/>
      <c r="AX236" s="797"/>
      <c r="AY236" s="159"/>
    </row>
    <row r="237" spans="1:51" ht="27.75" customHeight="1" thickBot="1" x14ac:dyDescent="0.3">
      <c r="A237" s="815"/>
      <c r="B237" s="1136"/>
      <c r="C237" s="1127"/>
      <c r="D237" s="140" t="s">
        <v>45</v>
      </c>
      <c r="E237" s="142"/>
      <c r="F237" s="143"/>
      <c r="G237" s="144"/>
      <c r="H237" s="144">
        <f>+H236*$H$155/$H$154</f>
        <v>5146233.7662337665</v>
      </c>
      <c r="I237" s="144" t="e">
        <f>+I236*$I$155/$I$154</f>
        <v>#REF!</v>
      </c>
      <c r="J237" s="138" t="e">
        <f>+J236*$J$155/$J$154</f>
        <v>#REF!</v>
      </c>
      <c r="K237" s="137"/>
      <c r="L237" s="138"/>
      <c r="M237" s="138"/>
      <c r="N237" s="138"/>
      <c r="O237" s="138"/>
      <c r="P237" s="138"/>
      <c r="Q237" s="138"/>
      <c r="R237" s="147"/>
      <c r="S237" s="1129"/>
      <c r="T237" s="148"/>
      <c r="U237" s="144">
        <f>+U236*$U$155/$U$154</f>
        <v>23580000</v>
      </c>
      <c r="V237" s="144" t="e">
        <f>+V236*$V$155/$V$154</f>
        <v>#REF!</v>
      </c>
      <c r="W237" s="138" t="e">
        <f>+W236*$W$155/$W$154</f>
        <v>#REF!</v>
      </c>
      <c r="X237" s="139"/>
      <c r="Y237" s="139"/>
      <c r="Z237" s="139"/>
      <c r="AA237" s="165"/>
      <c r="AB237" s="151"/>
      <c r="AC237" s="129"/>
      <c r="AD237" s="137"/>
      <c r="AE237" s="152"/>
      <c r="AF237" s="1133"/>
      <c r="AG237" s="773"/>
      <c r="AH237" s="776"/>
      <c r="AI237" s="776"/>
      <c r="AJ237" s="779"/>
      <c r="AK237" s="776"/>
      <c r="AL237" s="776"/>
      <c r="AM237" s="776"/>
      <c r="AN237" s="807"/>
      <c r="AO237" s="808"/>
      <c r="AP237" s="808"/>
      <c r="AQ237" s="806"/>
      <c r="AR237" s="806"/>
      <c r="AS237" s="806"/>
      <c r="AT237" s="806"/>
      <c r="AU237" s="795"/>
      <c r="AV237" s="795"/>
      <c r="AW237" s="795"/>
      <c r="AX237" s="798"/>
      <c r="AY237" s="159"/>
    </row>
    <row r="238" spans="1:51" ht="18" hidden="1" customHeight="1" x14ac:dyDescent="0.25">
      <c r="A238" s="815"/>
      <c r="B238" s="1136"/>
      <c r="C238" s="838" t="s">
        <v>389</v>
      </c>
      <c r="D238" s="141" t="s">
        <v>41</v>
      </c>
      <c r="E238" s="142"/>
      <c r="F238" s="143"/>
      <c r="G238" s="144"/>
      <c r="H238" s="144"/>
      <c r="I238" s="144"/>
      <c r="J238" s="138"/>
      <c r="K238" s="137"/>
      <c r="L238" s="138"/>
      <c r="M238" s="138"/>
      <c r="N238" s="138"/>
      <c r="O238" s="138"/>
      <c r="P238" s="138"/>
      <c r="Q238" s="138"/>
      <c r="R238" s="147"/>
      <c r="S238" s="1129"/>
      <c r="T238" s="148"/>
      <c r="U238" s="148"/>
      <c r="V238" s="148"/>
      <c r="W238" s="146"/>
      <c r="X238" s="139"/>
      <c r="Y238" s="139"/>
      <c r="Z238" s="139"/>
      <c r="AA238" s="165"/>
      <c r="AB238" s="151"/>
      <c r="AC238" s="129"/>
      <c r="AD238" s="137"/>
      <c r="AE238" s="152"/>
      <c r="AF238" s="189"/>
      <c r="AG238" s="771" t="s">
        <v>389</v>
      </c>
      <c r="AH238" s="774" t="s">
        <v>350</v>
      </c>
      <c r="AI238" s="774" t="s">
        <v>350</v>
      </c>
      <c r="AJ238" s="777" t="s">
        <v>417</v>
      </c>
      <c r="AK238" s="774" t="s">
        <v>315</v>
      </c>
      <c r="AL238" s="774" t="s">
        <v>70</v>
      </c>
      <c r="AM238" s="774" t="s">
        <v>316</v>
      </c>
      <c r="AN238" s="807">
        <v>93248</v>
      </c>
      <c r="AO238" s="808">
        <v>37102</v>
      </c>
      <c r="AP238" s="808">
        <v>38674</v>
      </c>
      <c r="AQ238" s="806" t="s">
        <v>317</v>
      </c>
      <c r="AR238" s="806" t="s">
        <v>317</v>
      </c>
      <c r="AS238" s="806" t="s">
        <v>317</v>
      </c>
      <c r="AT238" s="806" t="s">
        <v>317</v>
      </c>
      <c r="AU238" s="795" t="s">
        <v>317</v>
      </c>
      <c r="AV238" s="795" t="s">
        <v>317</v>
      </c>
      <c r="AW238" s="795" t="s">
        <v>317</v>
      </c>
      <c r="AX238" s="796">
        <v>93248</v>
      </c>
      <c r="AY238" s="159"/>
    </row>
    <row r="239" spans="1:51" ht="18.75" hidden="1" customHeight="1" x14ac:dyDescent="0.25">
      <c r="A239" s="815"/>
      <c r="B239" s="1136"/>
      <c r="C239" s="838"/>
      <c r="D239" s="132" t="s">
        <v>3</v>
      </c>
      <c r="E239" s="142"/>
      <c r="F239" s="143"/>
      <c r="G239" s="144"/>
      <c r="H239" s="144"/>
      <c r="I239" s="144"/>
      <c r="J239" s="138"/>
      <c r="K239" s="137"/>
      <c r="L239" s="138"/>
      <c r="M239" s="138"/>
      <c r="N239" s="138"/>
      <c r="O239" s="138"/>
      <c r="P239" s="138"/>
      <c r="Q239" s="138"/>
      <c r="R239" s="147"/>
      <c r="S239" s="1129"/>
      <c r="T239" s="148"/>
      <c r="U239" s="148"/>
      <c r="V239" s="148"/>
      <c r="W239" s="146"/>
      <c r="X239" s="139"/>
      <c r="Y239" s="139"/>
      <c r="Z239" s="139"/>
      <c r="AA239" s="165"/>
      <c r="AB239" s="151"/>
      <c r="AC239" s="129"/>
      <c r="AD239" s="137"/>
      <c r="AE239" s="152"/>
      <c r="AF239" s="189"/>
      <c r="AG239" s="772"/>
      <c r="AH239" s="775"/>
      <c r="AI239" s="775"/>
      <c r="AJ239" s="778"/>
      <c r="AK239" s="775"/>
      <c r="AL239" s="775"/>
      <c r="AM239" s="775"/>
      <c r="AN239" s="807"/>
      <c r="AO239" s="808"/>
      <c r="AP239" s="808"/>
      <c r="AQ239" s="806"/>
      <c r="AR239" s="806"/>
      <c r="AS239" s="806"/>
      <c r="AT239" s="806"/>
      <c r="AU239" s="795"/>
      <c r="AV239" s="795"/>
      <c r="AW239" s="795"/>
      <c r="AX239" s="797"/>
      <c r="AY239" s="159"/>
    </row>
    <row r="240" spans="1:51" ht="27.75" hidden="1" customHeight="1" x14ac:dyDescent="0.25">
      <c r="A240" s="815"/>
      <c r="B240" s="1136"/>
      <c r="C240" s="838"/>
      <c r="D240" s="136" t="s">
        <v>42</v>
      </c>
      <c r="E240" s="142"/>
      <c r="F240" s="143"/>
      <c r="G240" s="144"/>
      <c r="H240" s="144"/>
      <c r="I240" s="144"/>
      <c r="J240" s="138"/>
      <c r="K240" s="137"/>
      <c r="L240" s="138"/>
      <c r="M240" s="138"/>
      <c r="N240" s="138"/>
      <c r="O240" s="138"/>
      <c r="P240" s="138"/>
      <c r="Q240" s="138"/>
      <c r="R240" s="147"/>
      <c r="S240" s="1129"/>
      <c r="T240" s="148"/>
      <c r="U240" s="148"/>
      <c r="V240" s="148"/>
      <c r="W240" s="146"/>
      <c r="X240" s="139"/>
      <c r="Y240" s="139"/>
      <c r="Z240" s="139"/>
      <c r="AA240" s="165"/>
      <c r="AB240" s="151"/>
      <c r="AC240" s="129"/>
      <c r="AD240" s="137"/>
      <c r="AE240" s="152"/>
      <c r="AF240" s="189"/>
      <c r="AG240" s="772"/>
      <c r="AH240" s="775"/>
      <c r="AI240" s="775"/>
      <c r="AJ240" s="778"/>
      <c r="AK240" s="775"/>
      <c r="AL240" s="775"/>
      <c r="AM240" s="775"/>
      <c r="AN240" s="807"/>
      <c r="AO240" s="808"/>
      <c r="AP240" s="808"/>
      <c r="AQ240" s="806"/>
      <c r="AR240" s="806"/>
      <c r="AS240" s="806"/>
      <c r="AT240" s="806"/>
      <c r="AU240" s="795"/>
      <c r="AV240" s="795"/>
      <c r="AW240" s="795"/>
      <c r="AX240" s="797"/>
      <c r="AY240" s="159"/>
    </row>
    <row r="241" spans="1:51" ht="27.75" hidden="1" customHeight="1" x14ac:dyDescent="0.25">
      <c r="A241" s="815"/>
      <c r="B241" s="1136"/>
      <c r="C241" s="838"/>
      <c r="D241" s="132" t="s">
        <v>4</v>
      </c>
      <c r="E241" s="142"/>
      <c r="F241" s="143"/>
      <c r="G241" s="144"/>
      <c r="H241" s="144"/>
      <c r="I241" s="144"/>
      <c r="J241" s="138"/>
      <c r="K241" s="137"/>
      <c r="L241" s="138"/>
      <c r="M241" s="138"/>
      <c r="N241" s="138"/>
      <c r="O241" s="138"/>
      <c r="P241" s="138"/>
      <c r="Q241" s="138"/>
      <c r="R241" s="147"/>
      <c r="S241" s="1129"/>
      <c r="T241" s="148"/>
      <c r="U241" s="148"/>
      <c r="V241" s="148"/>
      <c r="W241" s="146"/>
      <c r="X241" s="139"/>
      <c r="Y241" s="139"/>
      <c r="Z241" s="139"/>
      <c r="AA241" s="165"/>
      <c r="AB241" s="151"/>
      <c r="AC241" s="129"/>
      <c r="AD241" s="137"/>
      <c r="AE241" s="152"/>
      <c r="AF241" s="189"/>
      <c r="AG241" s="772"/>
      <c r="AH241" s="775"/>
      <c r="AI241" s="775"/>
      <c r="AJ241" s="778"/>
      <c r="AK241" s="775"/>
      <c r="AL241" s="775"/>
      <c r="AM241" s="775"/>
      <c r="AN241" s="807"/>
      <c r="AO241" s="808"/>
      <c r="AP241" s="808"/>
      <c r="AQ241" s="806"/>
      <c r="AR241" s="806"/>
      <c r="AS241" s="806"/>
      <c r="AT241" s="806"/>
      <c r="AU241" s="795"/>
      <c r="AV241" s="795"/>
      <c r="AW241" s="795"/>
      <c r="AX241" s="797"/>
      <c r="AY241" s="159"/>
    </row>
    <row r="242" spans="1:51" ht="27.75" hidden="1" customHeight="1" x14ac:dyDescent="0.25">
      <c r="A242" s="815"/>
      <c r="B242" s="1136"/>
      <c r="C242" s="838"/>
      <c r="D242" s="136" t="s">
        <v>43</v>
      </c>
      <c r="E242" s="142"/>
      <c r="F242" s="143"/>
      <c r="G242" s="144"/>
      <c r="H242" s="144"/>
      <c r="I242" s="144"/>
      <c r="J242" s="138"/>
      <c r="K242" s="137"/>
      <c r="L242" s="138"/>
      <c r="M242" s="138"/>
      <c r="N242" s="138"/>
      <c r="O242" s="138"/>
      <c r="P242" s="138"/>
      <c r="Q242" s="138"/>
      <c r="R242" s="147"/>
      <c r="S242" s="1129"/>
      <c r="T242" s="148"/>
      <c r="U242" s="148"/>
      <c r="V242" s="148"/>
      <c r="W242" s="146"/>
      <c r="X242" s="139"/>
      <c r="Y242" s="139"/>
      <c r="Z242" s="139"/>
      <c r="AA242" s="165"/>
      <c r="AB242" s="151"/>
      <c r="AC242" s="129"/>
      <c r="AD242" s="137"/>
      <c r="AE242" s="152"/>
      <c r="AF242" s="189"/>
      <c r="AG242" s="772"/>
      <c r="AH242" s="775"/>
      <c r="AI242" s="775"/>
      <c r="AJ242" s="778"/>
      <c r="AK242" s="775"/>
      <c r="AL242" s="775"/>
      <c r="AM242" s="775"/>
      <c r="AN242" s="807"/>
      <c r="AO242" s="808"/>
      <c r="AP242" s="808"/>
      <c r="AQ242" s="806"/>
      <c r="AR242" s="806"/>
      <c r="AS242" s="806"/>
      <c r="AT242" s="806"/>
      <c r="AU242" s="795"/>
      <c r="AV242" s="795"/>
      <c r="AW242" s="795"/>
      <c r="AX242" s="797"/>
      <c r="AY242" s="159"/>
    </row>
    <row r="243" spans="1:51" ht="27.75" hidden="1" customHeight="1" thickBot="1" x14ac:dyDescent="0.3">
      <c r="A243" s="815"/>
      <c r="B243" s="1136"/>
      <c r="C243" s="838"/>
      <c r="D243" s="140" t="s">
        <v>45</v>
      </c>
      <c r="E243" s="142"/>
      <c r="F243" s="143"/>
      <c r="G243" s="144"/>
      <c r="H243" s="144"/>
      <c r="I243" s="144"/>
      <c r="J243" s="138"/>
      <c r="K243" s="137"/>
      <c r="L243" s="138"/>
      <c r="M243" s="138"/>
      <c r="N243" s="138"/>
      <c r="O243" s="138"/>
      <c r="P243" s="138"/>
      <c r="Q243" s="138"/>
      <c r="R243" s="147"/>
      <c r="S243" s="1129"/>
      <c r="T243" s="148"/>
      <c r="U243" s="148"/>
      <c r="V243" s="148"/>
      <c r="W243" s="146"/>
      <c r="X243" s="139"/>
      <c r="Y243" s="139"/>
      <c r="Z243" s="139"/>
      <c r="AA243" s="165"/>
      <c r="AB243" s="151"/>
      <c r="AC243" s="129"/>
      <c r="AD243" s="137"/>
      <c r="AE243" s="152"/>
      <c r="AF243" s="189"/>
      <c r="AG243" s="773"/>
      <c r="AH243" s="776"/>
      <c r="AI243" s="776"/>
      <c r="AJ243" s="779"/>
      <c r="AK243" s="776"/>
      <c r="AL243" s="776"/>
      <c r="AM243" s="776"/>
      <c r="AN243" s="807"/>
      <c r="AO243" s="808"/>
      <c r="AP243" s="808"/>
      <c r="AQ243" s="806"/>
      <c r="AR243" s="806"/>
      <c r="AS243" s="806"/>
      <c r="AT243" s="806"/>
      <c r="AU243" s="795"/>
      <c r="AV243" s="795"/>
      <c r="AW243" s="795"/>
      <c r="AX243" s="798"/>
      <c r="AY243" s="159"/>
    </row>
    <row r="244" spans="1:51" ht="18" hidden="1" customHeight="1" x14ac:dyDescent="0.25">
      <c r="A244" s="815"/>
      <c r="B244" s="1136"/>
      <c r="C244" s="838" t="s">
        <v>390</v>
      </c>
      <c r="D244" s="141" t="s">
        <v>41</v>
      </c>
      <c r="E244" s="142"/>
      <c r="F244" s="143"/>
      <c r="G244" s="144"/>
      <c r="H244" s="144"/>
      <c r="I244" s="144"/>
      <c r="J244" s="138"/>
      <c r="K244" s="137"/>
      <c r="L244" s="138"/>
      <c r="M244" s="138"/>
      <c r="N244" s="138"/>
      <c r="O244" s="138"/>
      <c r="P244" s="138"/>
      <c r="Q244" s="138"/>
      <c r="R244" s="147">
        <v>1</v>
      </c>
      <c r="S244" s="1129"/>
      <c r="T244" s="148"/>
      <c r="U244" s="148"/>
      <c r="V244" s="148"/>
      <c r="W244" s="146"/>
      <c r="X244" s="139"/>
      <c r="Y244" s="139"/>
      <c r="Z244" s="139"/>
      <c r="AA244" s="165"/>
      <c r="AB244" s="151"/>
      <c r="AC244" s="129"/>
      <c r="AD244" s="137"/>
      <c r="AE244" s="152">
        <v>1</v>
      </c>
      <c r="AF244" s="189"/>
      <c r="AG244" s="771" t="s">
        <v>390</v>
      </c>
      <c r="AH244" s="774" t="s">
        <v>392</v>
      </c>
      <c r="AI244" s="774" t="s">
        <v>452</v>
      </c>
      <c r="AJ244" s="777" t="s">
        <v>417</v>
      </c>
      <c r="AK244" s="774" t="s">
        <v>315</v>
      </c>
      <c r="AL244" s="774" t="s">
        <v>70</v>
      </c>
      <c r="AM244" s="774" t="s">
        <v>316</v>
      </c>
      <c r="AN244" s="807">
        <v>109254</v>
      </c>
      <c r="AO244" s="808">
        <v>39611</v>
      </c>
      <c r="AP244" s="808">
        <v>43209</v>
      </c>
      <c r="AQ244" s="806" t="s">
        <v>317</v>
      </c>
      <c r="AR244" s="806" t="s">
        <v>317</v>
      </c>
      <c r="AS244" s="806" t="s">
        <v>317</v>
      </c>
      <c r="AT244" s="806" t="s">
        <v>317</v>
      </c>
      <c r="AU244" s="795" t="s">
        <v>317</v>
      </c>
      <c r="AV244" s="795" t="s">
        <v>317</v>
      </c>
      <c r="AW244" s="795" t="s">
        <v>317</v>
      </c>
      <c r="AX244" s="796">
        <v>109254</v>
      </c>
      <c r="AY244" s="159"/>
    </row>
    <row r="245" spans="1:51" ht="18.75" hidden="1" customHeight="1" x14ac:dyDescent="0.25">
      <c r="A245" s="815"/>
      <c r="B245" s="1136"/>
      <c r="C245" s="838"/>
      <c r="D245" s="132" t="s">
        <v>3</v>
      </c>
      <c r="E245" s="142"/>
      <c r="F245" s="143"/>
      <c r="G245" s="144"/>
      <c r="H245" s="144"/>
      <c r="I245" s="144"/>
      <c r="J245" s="138"/>
      <c r="K245" s="137"/>
      <c r="L245" s="138"/>
      <c r="M245" s="138"/>
      <c r="N245" s="138"/>
      <c r="O245" s="138"/>
      <c r="P245" s="138"/>
      <c r="Q245" s="138"/>
      <c r="R245" s="138" t="e">
        <f>+R244*$R$155/$R$154</f>
        <v>#REF!</v>
      </c>
      <c r="S245" s="1129"/>
      <c r="T245" s="148"/>
      <c r="U245" s="148"/>
      <c r="V245" s="148"/>
      <c r="W245" s="146"/>
      <c r="X245" s="139"/>
      <c r="Y245" s="139"/>
      <c r="Z245" s="139"/>
      <c r="AA245" s="165"/>
      <c r="AB245" s="151"/>
      <c r="AC245" s="129"/>
      <c r="AD245" s="137"/>
      <c r="AE245" s="137" t="e">
        <f>+AE244*$AE$155/$AE$154</f>
        <v>#REF!</v>
      </c>
      <c r="AF245" s="189"/>
      <c r="AG245" s="772"/>
      <c r="AH245" s="775"/>
      <c r="AI245" s="775"/>
      <c r="AJ245" s="778"/>
      <c r="AK245" s="775"/>
      <c r="AL245" s="775"/>
      <c r="AM245" s="775"/>
      <c r="AN245" s="807"/>
      <c r="AO245" s="808"/>
      <c r="AP245" s="808"/>
      <c r="AQ245" s="806"/>
      <c r="AR245" s="806"/>
      <c r="AS245" s="806"/>
      <c r="AT245" s="806"/>
      <c r="AU245" s="795"/>
      <c r="AV245" s="795"/>
      <c r="AW245" s="795"/>
      <c r="AX245" s="797"/>
      <c r="AY245" s="159"/>
    </row>
    <row r="246" spans="1:51" ht="27.75" hidden="1" customHeight="1" x14ac:dyDescent="0.25">
      <c r="A246" s="815"/>
      <c r="B246" s="1136"/>
      <c r="C246" s="838"/>
      <c r="D246" s="136" t="s">
        <v>42</v>
      </c>
      <c r="E246" s="142"/>
      <c r="F246" s="143"/>
      <c r="G246" s="144"/>
      <c r="H246" s="144"/>
      <c r="I246" s="144"/>
      <c r="J246" s="138"/>
      <c r="K246" s="137"/>
      <c r="L246" s="138"/>
      <c r="M246" s="138"/>
      <c r="N246" s="138"/>
      <c r="O246" s="138"/>
      <c r="P246" s="138"/>
      <c r="Q246" s="138"/>
      <c r="R246" s="147"/>
      <c r="S246" s="1129"/>
      <c r="T246" s="148"/>
      <c r="U246" s="148"/>
      <c r="V246" s="148"/>
      <c r="W246" s="146"/>
      <c r="X246" s="139"/>
      <c r="Y246" s="139"/>
      <c r="Z246" s="139"/>
      <c r="AA246" s="165"/>
      <c r="AB246" s="151"/>
      <c r="AC246" s="129"/>
      <c r="AD246" s="137"/>
      <c r="AE246" s="152"/>
      <c r="AF246" s="189"/>
      <c r="AG246" s="772"/>
      <c r="AH246" s="775"/>
      <c r="AI246" s="775"/>
      <c r="AJ246" s="778"/>
      <c r="AK246" s="775"/>
      <c r="AL246" s="775"/>
      <c r="AM246" s="775"/>
      <c r="AN246" s="807"/>
      <c r="AO246" s="808"/>
      <c r="AP246" s="808"/>
      <c r="AQ246" s="806"/>
      <c r="AR246" s="806"/>
      <c r="AS246" s="806"/>
      <c r="AT246" s="806"/>
      <c r="AU246" s="795"/>
      <c r="AV246" s="795"/>
      <c r="AW246" s="795"/>
      <c r="AX246" s="797"/>
      <c r="AY246" s="159"/>
    </row>
    <row r="247" spans="1:51" ht="27.75" hidden="1" customHeight="1" x14ac:dyDescent="0.25">
      <c r="A247" s="815"/>
      <c r="B247" s="1136"/>
      <c r="C247" s="838"/>
      <c r="D247" s="132" t="s">
        <v>4</v>
      </c>
      <c r="E247" s="142"/>
      <c r="F247" s="143"/>
      <c r="G247" s="144"/>
      <c r="H247" s="144"/>
      <c r="I247" s="144"/>
      <c r="J247" s="138"/>
      <c r="K247" s="137"/>
      <c r="L247" s="138"/>
      <c r="M247" s="138"/>
      <c r="N247" s="138"/>
      <c r="O247" s="138"/>
      <c r="P247" s="138"/>
      <c r="Q247" s="138"/>
      <c r="R247" s="147"/>
      <c r="S247" s="1129"/>
      <c r="T247" s="148"/>
      <c r="U247" s="148"/>
      <c r="V247" s="148"/>
      <c r="W247" s="146"/>
      <c r="X247" s="139"/>
      <c r="Y247" s="139"/>
      <c r="Z247" s="139"/>
      <c r="AA247" s="165"/>
      <c r="AB247" s="151"/>
      <c r="AC247" s="129"/>
      <c r="AD247" s="137"/>
      <c r="AE247" s="152"/>
      <c r="AF247" s="189"/>
      <c r="AG247" s="772"/>
      <c r="AH247" s="775"/>
      <c r="AI247" s="775"/>
      <c r="AJ247" s="778"/>
      <c r="AK247" s="775"/>
      <c r="AL247" s="775"/>
      <c r="AM247" s="775"/>
      <c r="AN247" s="807"/>
      <c r="AO247" s="808"/>
      <c r="AP247" s="808"/>
      <c r="AQ247" s="806"/>
      <c r="AR247" s="806"/>
      <c r="AS247" s="806"/>
      <c r="AT247" s="806"/>
      <c r="AU247" s="795"/>
      <c r="AV247" s="795"/>
      <c r="AW247" s="795"/>
      <c r="AX247" s="797"/>
      <c r="AY247" s="159"/>
    </row>
    <row r="248" spans="1:51" ht="27.75" hidden="1" customHeight="1" x14ac:dyDescent="0.25">
      <c r="A248" s="815"/>
      <c r="B248" s="1136"/>
      <c r="C248" s="838"/>
      <c r="D248" s="136" t="s">
        <v>43</v>
      </c>
      <c r="E248" s="142"/>
      <c r="F248" s="143"/>
      <c r="G248" s="144"/>
      <c r="H248" s="144"/>
      <c r="I248" s="144"/>
      <c r="J248" s="138"/>
      <c r="K248" s="137"/>
      <c r="L248" s="138"/>
      <c r="M248" s="138"/>
      <c r="N248" s="138"/>
      <c r="O248" s="138"/>
      <c r="P248" s="138"/>
      <c r="Q248" s="138"/>
      <c r="R248" s="147">
        <v>1</v>
      </c>
      <c r="S248" s="1129"/>
      <c r="T248" s="148"/>
      <c r="U248" s="148"/>
      <c r="V248" s="148"/>
      <c r="W248" s="146"/>
      <c r="X248" s="139"/>
      <c r="Y248" s="139"/>
      <c r="Z248" s="139"/>
      <c r="AA248" s="165"/>
      <c r="AB248" s="151"/>
      <c r="AC248" s="129"/>
      <c r="AD248" s="137"/>
      <c r="AE248" s="152">
        <v>1</v>
      </c>
      <c r="AF248" s="189"/>
      <c r="AG248" s="772"/>
      <c r="AH248" s="775"/>
      <c r="AI248" s="775"/>
      <c r="AJ248" s="778"/>
      <c r="AK248" s="775"/>
      <c r="AL248" s="775"/>
      <c r="AM248" s="775"/>
      <c r="AN248" s="807"/>
      <c r="AO248" s="808"/>
      <c r="AP248" s="808"/>
      <c r="AQ248" s="806"/>
      <c r="AR248" s="806"/>
      <c r="AS248" s="806"/>
      <c r="AT248" s="806"/>
      <c r="AU248" s="795"/>
      <c r="AV248" s="795"/>
      <c r="AW248" s="795"/>
      <c r="AX248" s="797"/>
      <c r="AY248" s="159"/>
    </row>
    <row r="249" spans="1:51" ht="27.75" hidden="1" customHeight="1" thickBot="1" x14ac:dyDescent="0.3">
      <c r="A249" s="815"/>
      <c r="B249" s="1136"/>
      <c r="C249" s="838"/>
      <c r="D249" s="140" t="s">
        <v>45</v>
      </c>
      <c r="E249" s="142"/>
      <c r="F249" s="143"/>
      <c r="G249" s="144"/>
      <c r="H249" s="144"/>
      <c r="I249" s="144"/>
      <c r="J249" s="138"/>
      <c r="K249" s="137"/>
      <c r="L249" s="138"/>
      <c r="M249" s="138"/>
      <c r="N249" s="138"/>
      <c r="O249" s="138"/>
      <c r="P249" s="138"/>
      <c r="Q249" s="138"/>
      <c r="R249" s="138" t="e">
        <f>+R248*$R$155/$R$154</f>
        <v>#REF!</v>
      </c>
      <c r="S249" s="1129"/>
      <c r="T249" s="148"/>
      <c r="U249" s="148"/>
      <c r="V249" s="148"/>
      <c r="W249" s="146"/>
      <c r="X249" s="139"/>
      <c r="Y249" s="139"/>
      <c r="Z249" s="139"/>
      <c r="AA249" s="165"/>
      <c r="AB249" s="151"/>
      <c r="AC249" s="129"/>
      <c r="AD249" s="137"/>
      <c r="AE249" s="137" t="e">
        <f>+AE248*$AE$155/$AE$154</f>
        <v>#REF!</v>
      </c>
      <c r="AF249" s="189"/>
      <c r="AG249" s="773"/>
      <c r="AH249" s="776"/>
      <c r="AI249" s="776"/>
      <c r="AJ249" s="779"/>
      <c r="AK249" s="776"/>
      <c r="AL249" s="776"/>
      <c r="AM249" s="776"/>
      <c r="AN249" s="807"/>
      <c r="AO249" s="808"/>
      <c r="AP249" s="808"/>
      <c r="AQ249" s="806"/>
      <c r="AR249" s="806"/>
      <c r="AS249" s="806"/>
      <c r="AT249" s="806"/>
      <c r="AU249" s="795"/>
      <c r="AV249" s="795"/>
      <c r="AW249" s="795"/>
      <c r="AX249" s="798"/>
      <c r="AY249" s="159"/>
    </row>
    <row r="250" spans="1:51" ht="18" customHeight="1" x14ac:dyDescent="0.25">
      <c r="A250" s="815"/>
      <c r="B250" s="1136"/>
      <c r="C250" s="838" t="s">
        <v>394</v>
      </c>
      <c r="D250" s="141" t="s">
        <v>41</v>
      </c>
      <c r="E250" s="142"/>
      <c r="F250" s="143"/>
      <c r="G250" s="144"/>
      <c r="H250" s="144"/>
      <c r="I250" s="144"/>
      <c r="J250" s="138">
        <v>1</v>
      </c>
      <c r="K250" s="145">
        <v>1</v>
      </c>
      <c r="L250" s="138"/>
      <c r="M250" s="138"/>
      <c r="N250" s="138"/>
      <c r="O250" s="138"/>
      <c r="P250" s="138"/>
      <c r="Q250" s="138"/>
      <c r="R250" s="147"/>
      <c r="S250" s="1129"/>
      <c r="T250" s="148"/>
      <c r="U250" s="148"/>
      <c r="V250" s="148"/>
      <c r="W250" s="146">
        <v>1</v>
      </c>
      <c r="X250" s="150">
        <v>1</v>
      </c>
      <c r="Y250" s="139"/>
      <c r="Z250" s="139"/>
      <c r="AA250" s="165"/>
      <c r="AB250" s="151"/>
      <c r="AC250" s="129"/>
      <c r="AD250" s="137"/>
      <c r="AE250" s="152"/>
      <c r="AF250" s="1128" t="s">
        <v>453</v>
      </c>
      <c r="AG250" s="771" t="s">
        <v>454</v>
      </c>
      <c r="AH250" s="774" t="s">
        <v>455</v>
      </c>
      <c r="AI250" s="774" t="s">
        <v>456</v>
      </c>
      <c r="AJ250" s="777" t="s">
        <v>417</v>
      </c>
      <c r="AK250" s="774" t="s">
        <v>315</v>
      </c>
      <c r="AL250" s="774" t="s">
        <v>70</v>
      </c>
      <c r="AM250" s="774" t="s">
        <v>316</v>
      </c>
      <c r="AN250" s="807">
        <v>22438</v>
      </c>
      <c r="AO250" s="808">
        <v>118748</v>
      </c>
      <c r="AP250" s="808">
        <v>132822</v>
      </c>
      <c r="AQ250" s="806" t="s">
        <v>317</v>
      </c>
      <c r="AR250" s="806" t="s">
        <v>317</v>
      </c>
      <c r="AS250" s="806" t="s">
        <v>317</v>
      </c>
      <c r="AT250" s="806" t="s">
        <v>317</v>
      </c>
      <c r="AU250" s="795" t="s">
        <v>317</v>
      </c>
      <c r="AV250" s="795" t="s">
        <v>317</v>
      </c>
      <c r="AW250" s="795" t="s">
        <v>317</v>
      </c>
      <c r="AX250" s="796">
        <v>22438</v>
      </c>
      <c r="AY250" s="159"/>
    </row>
    <row r="251" spans="1:51" ht="18.75" customHeight="1" x14ac:dyDescent="0.25">
      <c r="A251" s="815"/>
      <c r="B251" s="1136"/>
      <c r="C251" s="838"/>
      <c r="D251" s="132" t="s">
        <v>3</v>
      </c>
      <c r="E251" s="142"/>
      <c r="F251" s="143"/>
      <c r="G251" s="144"/>
      <c r="H251" s="144"/>
      <c r="I251" s="144"/>
      <c r="J251" s="138" t="e">
        <f>+J250*$J$155/$J$154</f>
        <v>#REF!</v>
      </c>
      <c r="K251" s="137"/>
      <c r="L251" s="138"/>
      <c r="M251" s="138"/>
      <c r="N251" s="138"/>
      <c r="O251" s="138"/>
      <c r="P251" s="138"/>
      <c r="Q251" s="138"/>
      <c r="R251" s="147"/>
      <c r="S251" s="1129"/>
      <c r="T251" s="148"/>
      <c r="U251" s="148"/>
      <c r="V251" s="148"/>
      <c r="W251" s="138" t="e">
        <f>+W250*$W$155/$W$154</f>
        <v>#REF!</v>
      </c>
      <c r="X251" s="139"/>
      <c r="Y251" s="139"/>
      <c r="Z251" s="139"/>
      <c r="AA251" s="165"/>
      <c r="AB251" s="151"/>
      <c r="AC251" s="129"/>
      <c r="AD251" s="137"/>
      <c r="AE251" s="152"/>
      <c r="AF251" s="1129"/>
      <c r="AG251" s="772"/>
      <c r="AH251" s="775"/>
      <c r="AI251" s="775"/>
      <c r="AJ251" s="778"/>
      <c r="AK251" s="775"/>
      <c r="AL251" s="775"/>
      <c r="AM251" s="775"/>
      <c r="AN251" s="807"/>
      <c r="AO251" s="808"/>
      <c r="AP251" s="808"/>
      <c r="AQ251" s="806"/>
      <c r="AR251" s="806"/>
      <c r="AS251" s="806"/>
      <c r="AT251" s="806"/>
      <c r="AU251" s="795"/>
      <c r="AV251" s="795"/>
      <c r="AW251" s="795"/>
      <c r="AX251" s="797"/>
      <c r="AY251" s="159"/>
    </row>
    <row r="252" spans="1:51" ht="27.75" customHeight="1" x14ac:dyDescent="0.25">
      <c r="A252" s="815"/>
      <c r="B252" s="1136"/>
      <c r="C252" s="838"/>
      <c r="D252" s="136" t="s">
        <v>42</v>
      </c>
      <c r="E252" s="142"/>
      <c r="F252" s="143"/>
      <c r="G252" s="144"/>
      <c r="H252" s="144"/>
      <c r="I252" s="144"/>
      <c r="J252" s="138"/>
      <c r="K252" s="137"/>
      <c r="L252" s="138"/>
      <c r="M252" s="138"/>
      <c r="N252" s="138"/>
      <c r="O252" s="138"/>
      <c r="P252" s="138"/>
      <c r="Q252" s="138"/>
      <c r="R252" s="147"/>
      <c r="S252" s="1129"/>
      <c r="T252" s="148"/>
      <c r="U252" s="148"/>
      <c r="V252" s="148"/>
      <c r="W252" s="146"/>
      <c r="X252" s="139"/>
      <c r="Y252" s="139"/>
      <c r="Z252" s="139"/>
      <c r="AA252" s="165"/>
      <c r="AB252" s="151"/>
      <c r="AC252" s="129"/>
      <c r="AD252" s="137"/>
      <c r="AE252" s="152"/>
      <c r="AF252" s="1129"/>
      <c r="AG252" s="772"/>
      <c r="AH252" s="775"/>
      <c r="AI252" s="775"/>
      <c r="AJ252" s="778"/>
      <c r="AK252" s="775"/>
      <c r="AL252" s="775"/>
      <c r="AM252" s="775"/>
      <c r="AN252" s="807"/>
      <c r="AO252" s="808"/>
      <c r="AP252" s="808"/>
      <c r="AQ252" s="806"/>
      <c r="AR252" s="806"/>
      <c r="AS252" s="806"/>
      <c r="AT252" s="806"/>
      <c r="AU252" s="795"/>
      <c r="AV252" s="795"/>
      <c r="AW252" s="795"/>
      <c r="AX252" s="797"/>
      <c r="AY252" s="159"/>
    </row>
    <row r="253" spans="1:51" ht="27.75" customHeight="1" x14ac:dyDescent="0.25">
      <c r="A253" s="815"/>
      <c r="B253" s="1136"/>
      <c r="C253" s="838"/>
      <c r="D253" s="132" t="s">
        <v>4</v>
      </c>
      <c r="E253" s="142"/>
      <c r="F253" s="143"/>
      <c r="G253" s="144"/>
      <c r="H253" s="144"/>
      <c r="I253" s="144"/>
      <c r="J253" s="138"/>
      <c r="K253" s="137"/>
      <c r="L253" s="138"/>
      <c r="M253" s="138"/>
      <c r="N253" s="138"/>
      <c r="O253" s="138"/>
      <c r="P253" s="138"/>
      <c r="Q253" s="138"/>
      <c r="R253" s="147"/>
      <c r="S253" s="1129"/>
      <c r="T253" s="148"/>
      <c r="U253" s="148"/>
      <c r="V253" s="148"/>
      <c r="W253" s="146"/>
      <c r="X253" s="139"/>
      <c r="Y253" s="139"/>
      <c r="Z253" s="139"/>
      <c r="AA253" s="165"/>
      <c r="AB253" s="151"/>
      <c r="AC253" s="129"/>
      <c r="AD253" s="137"/>
      <c r="AE253" s="152"/>
      <c r="AF253" s="1129"/>
      <c r="AG253" s="772"/>
      <c r="AH253" s="775"/>
      <c r="AI253" s="775"/>
      <c r="AJ253" s="778"/>
      <c r="AK253" s="775"/>
      <c r="AL253" s="775"/>
      <c r="AM253" s="775"/>
      <c r="AN253" s="807"/>
      <c r="AO253" s="808"/>
      <c r="AP253" s="808"/>
      <c r="AQ253" s="806"/>
      <c r="AR253" s="806"/>
      <c r="AS253" s="806"/>
      <c r="AT253" s="806"/>
      <c r="AU253" s="795"/>
      <c r="AV253" s="795"/>
      <c r="AW253" s="795"/>
      <c r="AX253" s="797"/>
      <c r="AY253" s="159"/>
    </row>
    <row r="254" spans="1:51" ht="27.75" customHeight="1" x14ac:dyDescent="0.25">
      <c r="A254" s="815"/>
      <c r="B254" s="1136"/>
      <c r="C254" s="838"/>
      <c r="D254" s="136" t="s">
        <v>43</v>
      </c>
      <c r="E254" s="142"/>
      <c r="F254" s="143"/>
      <c r="G254" s="144"/>
      <c r="H254" s="144"/>
      <c r="I254" s="144"/>
      <c r="J254" s="138">
        <v>1</v>
      </c>
      <c r="K254" s="137"/>
      <c r="L254" s="138"/>
      <c r="M254" s="138"/>
      <c r="N254" s="138"/>
      <c r="O254" s="138"/>
      <c r="P254" s="138"/>
      <c r="Q254" s="138"/>
      <c r="R254" s="147"/>
      <c r="S254" s="1129"/>
      <c r="T254" s="148"/>
      <c r="U254" s="148"/>
      <c r="V254" s="148"/>
      <c r="W254" s="146">
        <v>1</v>
      </c>
      <c r="X254" s="139"/>
      <c r="Y254" s="139"/>
      <c r="Z254" s="139"/>
      <c r="AA254" s="165"/>
      <c r="AB254" s="151"/>
      <c r="AC254" s="129"/>
      <c r="AD254" s="137"/>
      <c r="AE254" s="152"/>
      <c r="AF254" s="1129"/>
      <c r="AG254" s="772"/>
      <c r="AH254" s="775"/>
      <c r="AI254" s="775"/>
      <c r="AJ254" s="778"/>
      <c r="AK254" s="775"/>
      <c r="AL254" s="775"/>
      <c r="AM254" s="775"/>
      <c r="AN254" s="807"/>
      <c r="AO254" s="808"/>
      <c r="AP254" s="808"/>
      <c r="AQ254" s="806"/>
      <c r="AR254" s="806"/>
      <c r="AS254" s="806"/>
      <c r="AT254" s="806"/>
      <c r="AU254" s="795"/>
      <c r="AV254" s="795"/>
      <c r="AW254" s="795"/>
      <c r="AX254" s="797"/>
      <c r="AY254" s="159"/>
    </row>
    <row r="255" spans="1:51" ht="27.6" customHeight="1" thickBot="1" x14ac:dyDescent="0.3">
      <c r="A255" s="815"/>
      <c r="B255" s="1136"/>
      <c r="C255" s="838"/>
      <c r="D255" s="140" t="s">
        <v>45</v>
      </c>
      <c r="E255" s="142"/>
      <c r="F255" s="143"/>
      <c r="G255" s="144"/>
      <c r="H255" s="144"/>
      <c r="I255" s="144"/>
      <c r="J255" s="138" t="e">
        <f>+J254*$J$155/$J$154</f>
        <v>#REF!</v>
      </c>
      <c r="K255" s="137"/>
      <c r="L255" s="138"/>
      <c r="M255" s="138"/>
      <c r="N255" s="138"/>
      <c r="O255" s="138"/>
      <c r="P255" s="138"/>
      <c r="Q255" s="138"/>
      <c r="R255" s="147"/>
      <c r="S255" s="1129"/>
      <c r="T255" s="148"/>
      <c r="U255" s="148"/>
      <c r="V255" s="148"/>
      <c r="W255" s="138" t="e">
        <f>+W254*$W$155/$W$154</f>
        <v>#REF!</v>
      </c>
      <c r="X255" s="139"/>
      <c r="Y255" s="139"/>
      <c r="Z255" s="139"/>
      <c r="AA255" s="165"/>
      <c r="AB255" s="151"/>
      <c r="AC255" s="129"/>
      <c r="AD255" s="137"/>
      <c r="AE255" s="152"/>
      <c r="AF255" s="1130"/>
      <c r="AG255" s="773"/>
      <c r="AH255" s="776"/>
      <c r="AI255" s="776"/>
      <c r="AJ255" s="779"/>
      <c r="AK255" s="776"/>
      <c r="AL255" s="776"/>
      <c r="AM255" s="776"/>
      <c r="AN255" s="807"/>
      <c r="AO255" s="808"/>
      <c r="AP255" s="808"/>
      <c r="AQ255" s="806"/>
      <c r="AR255" s="806"/>
      <c r="AS255" s="806"/>
      <c r="AT255" s="806"/>
      <c r="AU255" s="795"/>
      <c r="AV255" s="795"/>
      <c r="AW255" s="795"/>
      <c r="AX255" s="798"/>
      <c r="AY255" s="159"/>
    </row>
    <row r="256" spans="1:51" ht="18" hidden="1" customHeight="1" x14ac:dyDescent="0.25">
      <c r="A256" s="815"/>
      <c r="B256" s="1136"/>
      <c r="C256" s="838" t="s">
        <v>330</v>
      </c>
      <c r="D256" s="141" t="s">
        <v>41</v>
      </c>
      <c r="E256" s="142"/>
      <c r="F256" s="143"/>
      <c r="G256" s="144"/>
      <c r="H256" s="144"/>
      <c r="I256" s="144"/>
      <c r="J256" s="138"/>
      <c r="K256" s="137"/>
      <c r="L256" s="138"/>
      <c r="M256" s="138"/>
      <c r="N256" s="138"/>
      <c r="O256" s="138"/>
      <c r="P256" s="138"/>
      <c r="Q256" s="138"/>
      <c r="R256" s="147"/>
      <c r="S256" s="1129"/>
      <c r="T256" s="148"/>
      <c r="U256" s="148"/>
      <c r="V256" s="148"/>
      <c r="W256" s="146"/>
      <c r="X256" s="139"/>
      <c r="Y256" s="139"/>
      <c r="Z256" s="139"/>
      <c r="AA256" s="165"/>
      <c r="AB256" s="151"/>
      <c r="AC256" s="129"/>
      <c r="AD256" s="137"/>
      <c r="AE256" s="152"/>
      <c r="AF256" s="189"/>
      <c r="AG256" s="771" t="s">
        <v>330</v>
      </c>
      <c r="AH256" s="774" t="s">
        <v>350</v>
      </c>
      <c r="AI256" s="774" t="s">
        <v>350</v>
      </c>
      <c r="AJ256" s="774" t="s">
        <v>350</v>
      </c>
      <c r="AK256" s="774" t="s">
        <v>315</v>
      </c>
      <c r="AL256" s="774" t="s">
        <v>70</v>
      </c>
      <c r="AM256" s="774" t="s">
        <v>316</v>
      </c>
      <c r="AN256" s="807">
        <v>22438</v>
      </c>
      <c r="AO256" s="808">
        <v>9562</v>
      </c>
      <c r="AP256" s="808">
        <v>9141</v>
      </c>
      <c r="AQ256" s="806" t="s">
        <v>317</v>
      </c>
      <c r="AR256" s="806" t="s">
        <v>317</v>
      </c>
      <c r="AS256" s="806" t="s">
        <v>317</v>
      </c>
      <c r="AT256" s="806" t="s">
        <v>317</v>
      </c>
      <c r="AU256" s="795" t="s">
        <v>317</v>
      </c>
      <c r="AV256" s="795" t="s">
        <v>317</v>
      </c>
      <c r="AW256" s="795" t="s">
        <v>317</v>
      </c>
      <c r="AX256" s="796">
        <v>22438</v>
      </c>
      <c r="AY256" s="159"/>
    </row>
    <row r="257" spans="1:51" ht="18.75" hidden="1" customHeight="1" x14ac:dyDescent="0.25">
      <c r="A257" s="815"/>
      <c r="B257" s="1136"/>
      <c r="C257" s="838"/>
      <c r="D257" s="132" t="s">
        <v>3</v>
      </c>
      <c r="E257" s="142"/>
      <c r="F257" s="143"/>
      <c r="G257" s="144"/>
      <c r="H257" s="144"/>
      <c r="I257" s="144"/>
      <c r="J257" s="138"/>
      <c r="K257" s="137"/>
      <c r="L257" s="138"/>
      <c r="M257" s="138"/>
      <c r="N257" s="138"/>
      <c r="O257" s="138"/>
      <c r="P257" s="138"/>
      <c r="Q257" s="138"/>
      <c r="R257" s="147"/>
      <c r="S257" s="1129"/>
      <c r="T257" s="148"/>
      <c r="U257" s="148"/>
      <c r="V257" s="148"/>
      <c r="W257" s="146"/>
      <c r="X257" s="139"/>
      <c r="Y257" s="139"/>
      <c r="Z257" s="139"/>
      <c r="AA257" s="165"/>
      <c r="AB257" s="151"/>
      <c r="AC257" s="129"/>
      <c r="AD257" s="137"/>
      <c r="AE257" s="152"/>
      <c r="AF257" s="189"/>
      <c r="AG257" s="772"/>
      <c r="AH257" s="775"/>
      <c r="AI257" s="775"/>
      <c r="AJ257" s="775"/>
      <c r="AK257" s="775"/>
      <c r="AL257" s="775"/>
      <c r="AM257" s="775"/>
      <c r="AN257" s="807"/>
      <c r="AO257" s="808"/>
      <c r="AP257" s="808"/>
      <c r="AQ257" s="806"/>
      <c r="AR257" s="806"/>
      <c r="AS257" s="806"/>
      <c r="AT257" s="806"/>
      <c r="AU257" s="795"/>
      <c r="AV257" s="795"/>
      <c r="AW257" s="795"/>
      <c r="AX257" s="797"/>
      <c r="AY257" s="159"/>
    </row>
    <row r="258" spans="1:51" ht="27.75" hidden="1" customHeight="1" x14ac:dyDescent="0.25">
      <c r="A258" s="815"/>
      <c r="B258" s="1136"/>
      <c r="C258" s="838"/>
      <c r="D258" s="136" t="s">
        <v>42</v>
      </c>
      <c r="E258" s="142"/>
      <c r="F258" s="143"/>
      <c r="G258" s="144"/>
      <c r="H258" s="144"/>
      <c r="I258" s="144"/>
      <c r="J258" s="138"/>
      <c r="K258" s="137"/>
      <c r="L258" s="138"/>
      <c r="M258" s="138"/>
      <c r="N258" s="138"/>
      <c r="O258" s="138"/>
      <c r="P258" s="138"/>
      <c r="Q258" s="138"/>
      <c r="R258" s="147"/>
      <c r="S258" s="1129"/>
      <c r="T258" s="148"/>
      <c r="U258" s="148"/>
      <c r="V258" s="148"/>
      <c r="W258" s="146"/>
      <c r="X258" s="139"/>
      <c r="Y258" s="139"/>
      <c r="Z258" s="139"/>
      <c r="AA258" s="165"/>
      <c r="AB258" s="151"/>
      <c r="AC258" s="129"/>
      <c r="AD258" s="137"/>
      <c r="AE258" s="152"/>
      <c r="AF258" s="189"/>
      <c r="AG258" s="772"/>
      <c r="AH258" s="775"/>
      <c r="AI258" s="775"/>
      <c r="AJ258" s="775"/>
      <c r="AK258" s="775"/>
      <c r="AL258" s="775"/>
      <c r="AM258" s="775"/>
      <c r="AN258" s="807"/>
      <c r="AO258" s="808"/>
      <c r="AP258" s="808"/>
      <c r="AQ258" s="806"/>
      <c r="AR258" s="806"/>
      <c r="AS258" s="806"/>
      <c r="AT258" s="806"/>
      <c r="AU258" s="795"/>
      <c r="AV258" s="795"/>
      <c r="AW258" s="795"/>
      <c r="AX258" s="797"/>
      <c r="AY258" s="159"/>
    </row>
    <row r="259" spans="1:51" ht="27.75" hidden="1" customHeight="1" x14ac:dyDescent="0.25">
      <c r="A259" s="815"/>
      <c r="B259" s="1136"/>
      <c r="C259" s="838"/>
      <c r="D259" s="132" t="s">
        <v>4</v>
      </c>
      <c r="E259" s="142"/>
      <c r="F259" s="143"/>
      <c r="G259" s="144"/>
      <c r="H259" s="144"/>
      <c r="I259" s="144"/>
      <c r="J259" s="138"/>
      <c r="K259" s="137"/>
      <c r="L259" s="138"/>
      <c r="M259" s="138"/>
      <c r="N259" s="138"/>
      <c r="O259" s="138"/>
      <c r="P259" s="138"/>
      <c r="Q259" s="138"/>
      <c r="R259" s="147"/>
      <c r="S259" s="1129"/>
      <c r="T259" s="148"/>
      <c r="U259" s="148"/>
      <c r="V259" s="148"/>
      <c r="W259" s="146"/>
      <c r="X259" s="139"/>
      <c r="Y259" s="139"/>
      <c r="Z259" s="139"/>
      <c r="AA259" s="165"/>
      <c r="AB259" s="151"/>
      <c r="AC259" s="129"/>
      <c r="AD259" s="137"/>
      <c r="AE259" s="152"/>
      <c r="AF259" s="189"/>
      <c r="AG259" s="772"/>
      <c r="AH259" s="775"/>
      <c r="AI259" s="775"/>
      <c r="AJ259" s="775"/>
      <c r="AK259" s="775"/>
      <c r="AL259" s="775"/>
      <c r="AM259" s="775"/>
      <c r="AN259" s="807"/>
      <c r="AO259" s="808"/>
      <c r="AP259" s="808"/>
      <c r="AQ259" s="806"/>
      <c r="AR259" s="806"/>
      <c r="AS259" s="806"/>
      <c r="AT259" s="806"/>
      <c r="AU259" s="795"/>
      <c r="AV259" s="795"/>
      <c r="AW259" s="795"/>
      <c r="AX259" s="797"/>
      <c r="AY259" s="159"/>
    </row>
    <row r="260" spans="1:51" ht="27.75" hidden="1" customHeight="1" x14ac:dyDescent="0.25">
      <c r="A260" s="815"/>
      <c r="B260" s="1136"/>
      <c r="C260" s="838"/>
      <c r="D260" s="136" t="s">
        <v>43</v>
      </c>
      <c r="E260" s="142"/>
      <c r="F260" s="143"/>
      <c r="G260" s="144"/>
      <c r="H260" s="144"/>
      <c r="I260" s="144"/>
      <c r="J260" s="138"/>
      <c r="K260" s="137"/>
      <c r="L260" s="138"/>
      <c r="M260" s="138"/>
      <c r="N260" s="138"/>
      <c r="O260" s="138"/>
      <c r="P260" s="138"/>
      <c r="Q260" s="138"/>
      <c r="R260" s="147"/>
      <c r="S260" s="1129"/>
      <c r="T260" s="148"/>
      <c r="U260" s="148"/>
      <c r="V260" s="148"/>
      <c r="W260" s="146"/>
      <c r="X260" s="139"/>
      <c r="Y260" s="139"/>
      <c r="Z260" s="139"/>
      <c r="AA260" s="165"/>
      <c r="AB260" s="151"/>
      <c r="AC260" s="129"/>
      <c r="AD260" s="137"/>
      <c r="AE260" s="152"/>
      <c r="AF260" s="189"/>
      <c r="AG260" s="772"/>
      <c r="AH260" s="775"/>
      <c r="AI260" s="775"/>
      <c r="AJ260" s="775"/>
      <c r="AK260" s="775"/>
      <c r="AL260" s="775"/>
      <c r="AM260" s="775"/>
      <c r="AN260" s="807"/>
      <c r="AO260" s="808"/>
      <c r="AP260" s="808"/>
      <c r="AQ260" s="806"/>
      <c r="AR260" s="806"/>
      <c r="AS260" s="806"/>
      <c r="AT260" s="806"/>
      <c r="AU260" s="795"/>
      <c r="AV260" s="795"/>
      <c r="AW260" s="795"/>
      <c r="AX260" s="797"/>
      <c r="AY260" s="159"/>
    </row>
    <row r="261" spans="1:51" ht="27.75" hidden="1" customHeight="1" thickBot="1" x14ac:dyDescent="0.3">
      <c r="A261" s="815"/>
      <c r="B261" s="1136"/>
      <c r="C261" s="838"/>
      <c r="D261" s="140" t="s">
        <v>45</v>
      </c>
      <c r="E261" s="142"/>
      <c r="F261" s="143"/>
      <c r="G261" s="144"/>
      <c r="H261" s="144"/>
      <c r="I261" s="144"/>
      <c r="J261" s="138"/>
      <c r="K261" s="137"/>
      <c r="L261" s="138"/>
      <c r="M261" s="138"/>
      <c r="N261" s="138"/>
      <c r="O261" s="138"/>
      <c r="P261" s="138"/>
      <c r="Q261" s="138"/>
      <c r="R261" s="147"/>
      <c r="S261" s="1129"/>
      <c r="T261" s="148"/>
      <c r="U261" s="148"/>
      <c r="V261" s="148"/>
      <c r="W261" s="146"/>
      <c r="X261" s="139"/>
      <c r="Y261" s="139"/>
      <c r="Z261" s="139"/>
      <c r="AA261" s="165"/>
      <c r="AB261" s="151"/>
      <c r="AC261" s="129"/>
      <c r="AD261" s="137"/>
      <c r="AE261" s="152"/>
      <c r="AF261" s="189"/>
      <c r="AG261" s="773"/>
      <c r="AH261" s="776"/>
      <c r="AI261" s="776"/>
      <c r="AJ261" s="776"/>
      <c r="AK261" s="776"/>
      <c r="AL261" s="776"/>
      <c r="AM261" s="776"/>
      <c r="AN261" s="807"/>
      <c r="AO261" s="808"/>
      <c r="AP261" s="808"/>
      <c r="AQ261" s="806"/>
      <c r="AR261" s="806"/>
      <c r="AS261" s="806"/>
      <c r="AT261" s="806"/>
      <c r="AU261" s="795"/>
      <c r="AV261" s="795"/>
      <c r="AW261" s="795"/>
      <c r="AX261" s="798"/>
      <c r="AY261" s="159"/>
    </row>
    <row r="262" spans="1:51" ht="18" customHeight="1" x14ac:dyDescent="0.25">
      <c r="A262" s="815"/>
      <c r="B262" s="1136"/>
      <c r="C262" s="838" t="s">
        <v>398</v>
      </c>
      <c r="D262" s="141" t="s">
        <v>41</v>
      </c>
      <c r="E262" s="142"/>
      <c r="F262" s="143"/>
      <c r="G262" s="144"/>
      <c r="H262" s="144"/>
      <c r="I262" s="144"/>
      <c r="J262" s="138">
        <v>1</v>
      </c>
      <c r="K262" s="145">
        <v>1</v>
      </c>
      <c r="L262" s="138"/>
      <c r="M262" s="138"/>
      <c r="N262" s="138"/>
      <c r="O262" s="138"/>
      <c r="P262" s="138"/>
      <c r="Q262" s="138">
        <v>1</v>
      </c>
      <c r="R262" s="147">
        <v>1</v>
      </c>
      <c r="S262" s="1129"/>
      <c r="T262" s="148"/>
      <c r="U262" s="148"/>
      <c r="V262" s="148"/>
      <c r="W262" s="146">
        <v>1</v>
      </c>
      <c r="X262" s="150">
        <v>1</v>
      </c>
      <c r="Y262" s="139"/>
      <c r="Z262" s="139"/>
      <c r="AA262" s="165"/>
      <c r="AB262" s="151"/>
      <c r="AC262" s="129"/>
      <c r="AD262" s="137">
        <v>1</v>
      </c>
      <c r="AE262" s="152">
        <v>1</v>
      </c>
      <c r="AF262" s="1125" t="s">
        <v>457</v>
      </c>
      <c r="AG262" s="771" t="s">
        <v>398</v>
      </c>
      <c r="AH262" s="774" t="s">
        <v>458</v>
      </c>
      <c r="AI262" s="774" t="s">
        <v>459</v>
      </c>
      <c r="AJ262" s="774" t="s">
        <v>417</v>
      </c>
      <c r="AK262" s="774" t="s">
        <v>315</v>
      </c>
      <c r="AL262" s="774" t="s">
        <v>460</v>
      </c>
      <c r="AM262" s="774" t="s">
        <v>316</v>
      </c>
      <c r="AN262" s="807">
        <v>348023</v>
      </c>
      <c r="AO262" s="808">
        <v>179866</v>
      </c>
      <c r="AP262" s="808">
        <v>192751</v>
      </c>
      <c r="AQ262" s="806" t="s">
        <v>317</v>
      </c>
      <c r="AR262" s="806" t="s">
        <v>317</v>
      </c>
      <c r="AS262" s="806" t="s">
        <v>317</v>
      </c>
      <c r="AT262" s="806" t="s">
        <v>317</v>
      </c>
      <c r="AU262" s="795" t="s">
        <v>317</v>
      </c>
      <c r="AV262" s="795" t="s">
        <v>317</v>
      </c>
      <c r="AW262" s="795" t="s">
        <v>317</v>
      </c>
      <c r="AX262" s="796">
        <v>348023</v>
      </c>
      <c r="AY262" s="159"/>
    </row>
    <row r="263" spans="1:51" ht="18.75" customHeight="1" x14ac:dyDescent="0.25">
      <c r="A263" s="815"/>
      <c r="B263" s="1136"/>
      <c r="C263" s="838"/>
      <c r="D263" s="132" t="s">
        <v>3</v>
      </c>
      <c r="E263" s="142"/>
      <c r="F263" s="143"/>
      <c r="G263" s="144"/>
      <c r="H263" s="144"/>
      <c r="I263" s="144"/>
      <c r="J263" s="138" t="e">
        <f>+J262*$J$155/$J$154</f>
        <v>#REF!</v>
      </c>
      <c r="K263" s="137"/>
      <c r="L263" s="138"/>
      <c r="M263" s="138"/>
      <c r="N263" s="138"/>
      <c r="O263" s="138"/>
      <c r="P263" s="138"/>
      <c r="Q263" s="138" t="e">
        <f>+Q262*$Q$155/$Q$154</f>
        <v>#REF!</v>
      </c>
      <c r="R263" s="138" t="e">
        <f>+R262*$R$155/$R$154</f>
        <v>#REF!</v>
      </c>
      <c r="S263" s="1129"/>
      <c r="T263" s="148"/>
      <c r="U263" s="148"/>
      <c r="V263" s="148"/>
      <c r="W263" s="138" t="e">
        <f>+W262*$W$155/$W$154</f>
        <v>#REF!</v>
      </c>
      <c r="X263" s="139"/>
      <c r="Y263" s="139"/>
      <c r="Z263" s="139"/>
      <c r="AA263" s="165"/>
      <c r="AB263" s="151"/>
      <c r="AC263" s="129"/>
      <c r="AD263" s="137" t="e">
        <f>+AD262*$AD$155/$AD$154</f>
        <v>#REF!</v>
      </c>
      <c r="AE263" s="137" t="e">
        <f>+AE262*$AE$155/$AE$154</f>
        <v>#REF!</v>
      </c>
      <c r="AF263" s="1125"/>
      <c r="AG263" s="772"/>
      <c r="AH263" s="775"/>
      <c r="AI263" s="775"/>
      <c r="AJ263" s="775"/>
      <c r="AK263" s="775"/>
      <c r="AL263" s="775"/>
      <c r="AM263" s="775"/>
      <c r="AN263" s="807"/>
      <c r="AO263" s="808"/>
      <c r="AP263" s="808"/>
      <c r="AQ263" s="806"/>
      <c r="AR263" s="806"/>
      <c r="AS263" s="806"/>
      <c r="AT263" s="806"/>
      <c r="AU263" s="795"/>
      <c r="AV263" s="795"/>
      <c r="AW263" s="795"/>
      <c r="AX263" s="797"/>
      <c r="AY263" s="159"/>
    </row>
    <row r="264" spans="1:51" ht="27.75" customHeight="1" x14ac:dyDescent="0.25">
      <c r="A264" s="815"/>
      <c r="B264" s="1136"/>
      <c r="C264" s="838"/>
      <c r="D264" s="136" t="s">
        <v>42</v>
      </c>
      <c r="E264" s="142"/>
      <c r="F264" s="143"/>
      <c r="G264" s="144"/>
      <c r="H264" s="144"/>
      <c r="I264" s="144"/>
      <c r="J264" s="138"/>
      <c r="K264" s="137"/>
      <c r="L264" s="138"/>
      <c r="M264" s="138"/>
      <c r="N264" s="138"/>
      <c r="O264" s="138"/>
      <c r="P264" s="138"/>
      <c r="Q264" s="138"/>
      <c r="R264" s="147"/>
      <c r="S264" s="1129"/>
      <c r="T264" s="148"/>
      <c r="U264" s="148"/>
      <c r="V264" s="148"/>
      <c r="W264" s="146"/>
      <c r="X264" s="139"/>
      <c r="Y264" s="139"/>
      <c r="Z264" s="139"/>
      <c r="AA264" s="165"/>
      <c r="AB264" s="151"/>
      <c r="AC264" s="129"/>
      <c r="AD264" s="137"/>
      <c r="AE264" s="152"/>
      <c r="AF264" s="1125"/>
      <c r="AG264" s="772"/>
      <c r="AH264" s="775"/>
      <c r="AI264" s="775"/>
      <c r="AJ264" s="775"/>
      <c r="AK264" s="775"/>
      <c r="AL264" s="775"/>
      <c r="AM264" s="775"/>
      <c r="AN264" s="807"/>
      <c r="AO264" s="808"/>
      <c r="AP264" s="808"/>
      <c r="AQ264" s="806"/>
      <c r="AR264" s="806"/>
      <c r="AS264" s="806"/>
      <c r="AT264" s="806"/>
      <c r="AU264" s="795"/>
      <c r="AV264" s="795"/>
      <c r="AW264" s="795"/>
      <c r="AX264" s="797"/>
      <c r="AY264" s="159"/>
    </row>
    <row r="265" spans="1:51" ht="27.75" customHeight="1" x14ac:dyDescent="0.25">
      <c r="A265" s="815"/>
      <c r="B265" s="1136"/>
      <c r="C265" s="838"/>
      <c r="D265" s="132" t="s">
        <v>4</v>
      </c>
      <c r="E265" s="142"/>
      <c r="F265" s="143"/>
      <c r="G265" s="144"/>
      <c r="H265" s="144"/>
      <c r="I265" s="144"/>
      <c r="J265" s="138"/>
      <c r="K265" s="137"/>
      <c r="L265" s="138"/>
      <c r="M265" s="138"/>
      <c r="N265" s="138"/>
      <c r="O265" s="138"/>
      <c r="P265" s="138"/>
      <c r="Q265" s="138"/>
      <c r="R265" s="147"/>
      <c r="S265" s="1129"/>
      <c r="T265" s="148"/>
      <c r="U265" s="148"/>
      <c r="V265" s="148"/>
      <c r="W265" s="146"/>
      <c r="X265" s="139"/>
      <c r="Y265" s="139"/>
      <c r="Z265" s="139"/>
      <c r="AA265" s="165"/>
      <c r="AB265" s="151"/>
      <c r="AC265" s="129"/>
      <c r="AD265" s="137"/>
      <c r="AE265" s="152"/>
      <c r="AF265" s="1125"/>
      <c r="AG265" s="772"/>
      <c r="AH265" s="775"/>
      <c r="AI265" s="775"/>
      <c r="AJ265" s="775"/>
      <c r="AK265" s="775"/>
      <c r="AL265" s="775"/>
      <c r="AM265" s="775"/>
      <c r="AN265" s="807"/>
      <c r="AO265" s="808"/>
      <c r="AP265" s="808"/>
      <c r="AQ265" s="806"/>
      <c r="AR265" s="806"/>
      <c r="AS265" s="806"/>
      <c r="AT265" s="806"/>
      <c r="AU265" s="795"/>
      <c r="AV265" s="795"/>
      <c r="AW265" s="795"/>
      <c r="AX265" s="797"/>
      <c r="AY265" s="159"/>
    </row>
    <row r="266" spans="1:51" ht="27.75" customHeight="1" x14ac:dyDescent="0.25">
      <c r="A266" s="815"/>
      <c r="B266" s="1136"/>
      <c r="C266" s="838"/>
      <c r="D266" s="136" t="s">
        <v>43</v>
      </c>
      <c r="E266" s="142"/>
      <c r="F266" s="143"/>
      <c r="G266" s="144"/>
      <c r="H266" s="144"/>
      <c r="I266" s="144"/>
      <c r="J266" s="138">
        <v>1</v>
      </c>
      <c r="K266" s="137"/>
      <c r="L266" s="138"/>
      <c r="M266" s="138"/>
      <c r="N266" s="138"/>
      <c r="O266" s="138"/>
      <c r="P266" s="138"/>
      <c r="Q266" s="138">
        <v>1</v>
      </c>
      <c r="R266" s="147">
        <v>1</v>
      </c>
      <c r="S266" s="1129"/>
      <c r="T266" s="148"/>
      <c r="U266" s="148"/>
      <c r="V266" s="148"/>
      <c r="W266" s="146">
        <v>1</v>
      </c>
      <c r="X266" s="139"/>
      <c r="Y266" s="139"/>
      <c r="Z266" s="139"/>
      <c r="AA266" s="165"/>
      <c r="AB266" s="151"/>
      <c r="AC266" s="129"/>
      <c r="AD266" s="137">
        <v>1</v>
      </c>
      <c r="AE266" s="152">
        <v>1</v>
      </c>
      <c r="AF266" s="1125"/>
      <c r="AG266" s="772"/>
      <c r="AH266" s="775"/>
      <c r="AI266" s="775"/>
      <c r="AJ266" s="775"/>
      <c r="AK266" s="775"/>
      <c r="AL266" s="775"/>
      <c r="AM266" s="775"/>
      <c r="AN266" s="807"/>
      <c r="AO266" s="808"/>
      <c r="AP266" s="808"/>
      <c r="AQ266" s="806"/>
      <c r="AR266" s="806"/>
      <c r="AS266" s="806"/>
      <c r="AT266" s="806"/>
      <c r="AU266" s="795"/>
      <c r="AV266" s="795"/>
      <c r="AW266" s="795"/>
      <c r="AX266" s="797"/>
      <c r="AY266" s="159"/>
    </row>
    <row r="267" spans="1:51" ht="27.75" customHeight="1" thickBot="1" x14ac:dyDescent="0.3">
      <c r="A267" s="815"/>
      <c r="B267" s="1136"/>
      <c r="C267" s="838"/>
      <c r="D267" s="140" t="s">
        <v>45</v>
      </c>
      <c r="E267" s="142"/>
      <c r="F267" s="143"/>
      <c r="G267" s="144"/>
      <c r="H267" s="144"/>
      <c r="I267" s="144"/>
      <c r="J267" s="138" t="e">
        <f>+J266*$J$155/$J$154</f>
        <v>#REF!</v>
      </c>
      <c r="K267" s="137"/>
      <c r="L267" s="138"/>
      <c r="M267" s="138"/>
      <c r="N267" s="138"/>
      <c r="O267" s="138"/>
      <c r="P267" s="138"/>
      <c r="Q267" s="138" t="e">
        <f>+Q266*$Q$155/$Q$154</f>
        <v>#REF!</v>
      </c>
      <c r="R267" s="138" t="e">
        <f>+R266*$R$155/$R$154</f>
        <v>#REF!</v>
      </c>
      <c r="S267" s="1129"/>
      <c r="T267" s="148"/>
      <c r="U267" s="148"/>
      <c r="V267" s="148"/>
      <c r="W267" s="138" t="e">
        <f>+W266*$W$155/$W$154</f>
        <v>#REF!</v>
      </c>
      <c r="X267" s="139"/>
      <c r="Y267" s="139"/>
      <c r="Z267" s="139"/>
      <c r="AA267" s="165"/>
      <c r="AB267" s="151"/>
      <c r="AC267" s="129"/>
      <c r="AD267" s="137" t="e">
        <f>+AD266*$AD$155/$AD$154</f>
        <v>#REF!</v>
      </c>
      <c r="AE267" s="137" t="e">
        <f>+AE266*$AE$155/$AE$154</f>
        <v>#REF!</v>
      </c>
      <c r="AF267" s="1126"/>
      <c r="AG267" s="773"/>
      <c r="AH267" s="776"/>
      <c r="AI267" s="776"/>
      <c r="AJ267" s="776"/>
      <c r="AK267" s="776"/>
      <c r="AL267" s="776"/>
      <c r="AM267" s="776"/>
      <c r="AN267" s="807"/>
      <c r="AO267" s="808"/>
      <c r="AP267" s="808"/>
      <c r="AQ267" s="806"/>
      <c r="AR267" s="806"/>
      <c r="AS267" s="806"/>
      <c r="AT267" s="806"/>
      <c r="AU267" s="795"/>
      <c r="AV267" s="795"/>
      <c r="AW267" s="795"/>
      <c r="AX267" s="798"/>
      <c r="AY267" s="159"/>
    </row>
    <row r="268" spans="1:51" ht="18" customHeight="1" x14ac:dyDescent="0.25">
      <c r="A268" s="815"/>
      <c r="B268" s="1136"/>
      <c r="C268" s="838" t="s">
        <v>404</v>
      </c>
      <c r="D268" s="141" t="s">
        <v>41</v>
      </c>
      <c r="E268" s="142"/>
      <c r="F268" s="143"/>
      <c r="G268" s="144">
        <v>1</v>
      </c>
      <c r="H268" s="144">
        <v>1</v>
      </c>
      <c r="I268" s="144">
        <v>1</v>
      </c>
      <c r="J268" s="138">
        <v>2</v>
      </c>
      <c r="K268" s="145">
        <v>2</v>
      </c>
      <c r="L268" s="138"/>
      <c r="M268" s="138"/>
      <c r="N268" s="138"/>
      <c r="O268" s="138"/>
      <c r="P268" s="138"/>
      <c r="Q268" s="138">
        <v>2</v>
      </c>
      <c r="R268" s="147">
        <v>2</v>
      </c>
      <c r="S268" s="1129"/>
      <c r="T268" s="148">
        <v>1</v>
      </c>
      <c r="U268" s="148">
        <v>1</v>
      </c>
      <c r="V268" s="148">
        <v>1</v>
      </c>
      <c r="W268" s="146">
        <v>2</v>
      </c>
      <c r="X268" s="150">
        <v>2</v>
      </c>
      <c r="Y268" s="139"/>
      <c r="Z268" s="139"/>
      <c r="AA268" s="165"/>
      <c r="AB268" s="151"/>
      <c r="AC268" s="129"/>
      <c r="AD268" s="137">
        <v>2</v>
      </c>
      <c r="AE268" s="152">
        <v>2</v>
      </c>
      <c r="AF268" s="1128" t="s">
        <v>461</v>
      </c>
      <c r="AG268" s="771" t="s">
        <v>462</v>
      </c>
      <c r="AH268" s="774" t="s">
        <v>463</v>
      </c>
      <c r="AI268" s="774" t="s">
        <v>464</v>
      </c>
      <c r="AJ268" s="777" t="s">
        <v>417</v>
      </c>
      <c r="AK268" s="774" t="s">
        <v>315</v>
      </c>
      <c r="AL268" s="774" t="s">
        <v>465</v>
      </c>
      <c r="AM268" s="774" t="s">
        <v>316</v>
      </c>
      <c r="AN268" s="807">
        <v>628526</v>
      </c>
      <c r="AO268" s="808">
        <v>306776</v>
      </c>
      <c r="AP268" s="808">
        <v>321750</v>
      </c>
      <c r="AQ268" s="806" t="s">
        <v>317</v>
      </c>
      <c r="AR268" s="806" t="s">
        <v>317</v>
      </c>
      <c r="AS268" s="806" t="s">
        <v>317</v>
      </c>
      <c r="AT268" s="806" t="s">
        <v>317</v>
      </c>
      <c r="AU268" s="795" t="s">
        <v>317</v>
      </c>
      <c r="AV268" s="795" t="s">
        <v>317</v>
      </c>
      <c r="AW268" s="795" t="s">
        <v>317</v>
      </c>
      <c r="AX268" s="796">
        <v>628526</v>
      </c>
      <c r="AY268" s="159"/>
    </row>
    <row r="269" spans="1:51" ht="18.75" customHeight="1" x14ac:dyDescent="0.25">
      <c r="A269" s="815"/>
      <c r="B269" s="1136"/>
      <c r="C269" s="838"/>
      <c r="D269" s="132" t="s">
        <v>3</v>
      </c>
      <c r="E269" s="142"/>
      <c r="F269" s="143"/>
      <c r="G269" s="144">
        <f>+G268*$G$155/$G$154</f>
        <v>2573116.8831168832</v>
      </c>
      <c r="H269" s="144">
        <f>+H268*$H$155/$H$154</f>
        <v>2573116.8831168832</v>
      </c>
      <c r="I269" s="144" t="e">
        <f>+I268*$I$155/$I$154</f>
        <v>#REF!</v>
      </c>
      <c r="J269" s="138" t="e">
        <f>+J268*$J$155/$J$154</f>
        <v>#REF!</v>
      </c>
      <c r="K269" s="137"/>
      <c r="L269" s="138"/>
      <c r="M269" s="138"/>
      <c r="N269" s="138"/>
      <c r="O269" s="138"/>
      <c r="P269" s="138"/>
      <c r="Q269" s="138" t="e">
        <f>+Q268*$Q$155/$Q$154</f>
        <v>#REF!</v>
      </c>
      <c r="R269" s="138" t="e">
        <f>+R268*$R$155/$R$154</f>
        <v>#REF!</v>
      </c>
      <c r="S269" s="1129"/>
      <c r="T269" s="144">
        <f>+T268*$T$155/$T$154</f>
        <v>0</v>
      </c>
      <c r="U269" s="144">
        <f>+U268*$U$155/$U$154</f>
        <v>11790000</v>
      </c>
      <c r="V269" s="144" t="e">
        <f>+V268*$V$155/$V$154</f>
        <v>#REF!</v>
      </c>
      <c r="W269" s="138" t="e">
        <f>+W268*$W$155/$W$154</f>
        <v>#REF!</v>
      </c>
      <c r="X269" s="139"/>
      <c r="Y269" s="139"/>
      <c r="Z269" s="139"/>
      <c r="AA269" s="165"/>
      <c r="AB269" s="151"/>
      <c r="AC269" s="129"/>
      <c r="AD269" s="137" t="e">
        <f>+AD268*$AD$155/$AD$154</f>
        <v>#REF!</v>
      </c>
      <c r="AE269" s="137" t="e">
        <f>+AE268*$AE$155/$AE$154</f>
        <v>#REF!</v>
      </c>
      <c r="AF269" s="1129"/>
      <c r="AG269" s="772"/>
      <c r="AH269" s="775"/>
      <c r="AI269" s="775"/>
      <c r="AJ269" s="778"/>
      <c r="AK269" s="775"/>
      <c r="AL269" s="775"/>
      <c r="AM269" s="775"/>
      <c r="AN269" s="807"/>
      <c r="AO269" s="808"/>
      <c r="AP269" s="808"/>
      <c r="AQ269" s="806"/>
      <c r="AR269" s="806"/>
      <c r="AS269" s="806"/>
      <c r="AT269" s="806"/>
      <c r="AU269" s="795"/>
      <c r="AV269" s="795"/>
      <c r="AW269" s="795"/>
      <c r="AX269" s="797"/>
      <c r="AY269" s="159"/>
    </row>
    <row r="270" spans="1:51" ht="27.75" customHeight="1" x14ac:dyDescent="0.25">
      <c r="A270" s="815"/>
      <c r="B270" s="1136"/>
      <c r="C270" s="838"/>
      <c r="D270" s="136" t="s">
        <v>42</v>
      </c>
      <c r="E270" s="142"/>
      <c r="F270" s="143"/>
      <c r="G270" s="144"/>
      <c r="H270" s="144"/>
      <c r="I270" s="144"/>
      <c r="J270" s="138"/>
      <c r="K270" s="137"/>
      <c r="L270" s="138"/>
      <c r="M270" s="138"/>
      <c r="N270" s="138"/>
      <c r="O270" s="138"/>
      <c r="P270" s="138"/>
      <c r="Q270" s="138"/>
      <c r="R270" s="147"/>
      <c r="S270" s="1129"/>
      <c r="T270" s="148"/>
      <c r="U270" s="148"/>
      <c r="V270" s="148"/>
      <c r="W270" s="146"/>
      <c r="X270" s="139"/>
      <c r="Y270" s="139"/>
      <c r="Z270" s="139"/>
      <c r="AA270" s="165"/>
      <c r="AB270" s="151"/>
      <c r="AC270" s="129"/>
      <c r="AD270" s="137"/>
      <c r="AE270" s="152"/>
      <c r="AF270" s="1129"/>
      <c r="AG270" s="772"/>
      <c r="AH270" s="775"/>
      <c r="AI270" s="775"/>
      <c r="AJ270" s="778"/>
      <c r="AK270" s="775"/>
      <c r="AL270" s="775"/>
      <c r="AM270" s="775"/>
      <c r="AN270" s="807"/>
      <c r="AO270" s="808"/>
      <c r="AP270" s="808"/>
      <c r="AQ270" s="806"/>
      <c r="AR270" s="806"/>
      <c r="AS270" s="806"/>
      <c r="AT270" s="806"/>
      <c r="AU270" s="795"/>
      <c r="AV270" s="795"/>
      <c r="AW270" s="795"/>
      <c r="AX270" s="797"/>
      <c r="AY270" s="159"/>
    </row>
    <row r="271" spans="1:51" ht="27.75" customHeight="1" x14ac:dyDescent="0.25">
      <c r="A271" s="815"/>
      <c r="B271" s="1136"/>
      <c r="C271" s="838"/>
      <c r="D271" s="132" t="s">
        <v>4</v>
      </c>
      <c r="E271" s="142"/>
      <c r="F271" s="143"/>
      <c r="G271" s="144"/>
      <c r="H271" s="144"/>
      <c r="I271" s="144"/>
      <c r="J271" s="138"/>
      <c r="K271" s="137"/>
      <c r="L271" s="138"/>
      <c r="M271" s="138"/>
      <c r="N271" s="138"/>
      <c r="O271" s="138"/>
      <c r="P271" s="138"/>
      <c r="Q271" s="138"/>
      <c r="R271" s="147"/>
      <c r="S271" s="1129"/>
      <c r="T271" s="148"/>
      <c r="U271" s="187">
        <f>+$U$157/8</f>
        <v>2428417.875</v>
      </c>
      <c r="V271" s="148"/>
      <c r="W271" s="146"/>
      <c r="X271" s="139"/>
      <c r="Y271" s="139"/>
      <c r="Z271" s="139"/>
      <c r="AA271" s="165"/>
      <c r="AB271" s="151"/>
      <c r="AC271" s="129"/>
      <c r="AD271" s="137"/>
      <c r="AE271" s="152"/>
      <c r="AF271" s="1129"/>
      <c r="AG271" s="772"/>
      <c r="AH271" s="775"/>
      <c r="AI271" s="775"/>
      <c r="AJ271" s="778"/>
      <c r="AK271" s="775"/>
      <c r="AL271" s="775"/>
      <c r="AM271" s="775"/>
      <c r="AN271" s="807"/>
      <c r="AO271" s="808"/>
      <c r="AP271" s="808"/>
      <c r="AQ271" s="806"/>
      <c r="AR271" s="806"/>
      <c r="AS271" s="806"/>
      <c r="AT271" s="806"/>
      <c r="AU271" s="795"/>
      <c r="AV271" s="795"/>
      <c r="AW271" s="795"/>
      <c r="AX271" s="797"/>
      <c r="AY271" s="159"/>
    </row>
    <row r="272" spans="1:51" ht="27.75" customHeight="1" x14ac:dyDescent="0.25">
      <c r="A272" s="815"/>
      <c r="B272" s="1136"/>
      <c r="C272" s="838"/>
      <c r="D272" s="136" t="s">
        <v>43</v>
      </c>
      <c r="E272" s="142"/>
      <c r="F272" s="143"/>
      <c r="G272" s="144">
        <v>1</v>
      </c>
      <c r="H272" s="144">
        <v>1</v>
      </c>
      <c r="I272" s="144">
        <v>1</v>
      </c>
      <c r="J272" s="138">
        <v>2</v>
      </c>
      <c r="K272" s="137"/>
      <c r="L272" s="138"/>
      <c r="M272" s="138"/>
      <c r="N272" s="138"/>
      <c r="O272" s="138"/>
      <c r="P272" s="138"/>
      <c r="Q272" s="138">
        <v>2</v>
      </c>
      <c r="R272" s="147">
        <v>2</v>
      </c>
      <c r="S272" s="1129"/>
      <c r="T272" s="148">
        <v>1</v>
      </c>
      <c r="U272" s="148">
        <v>1</v>
      </c>
      <c r="V272" s="148">
        <v>1</v>
      </c>
      <c r="W272" s="146">
        <v>2</v>
      </c>
      <c r="X272" s="139"/>
      <c r="Y272" s="139"/>
      <c r="Z272" s="139"/>
      <c r="AA272" s="165"/>
      <c r="AB272" s="151"/>
      <c r="AC272" s="129"/>
      <c r="AD272" s="137">
        <v>2</v>
      </c>
      <c r="AE272" s="152">
        <v>2</v>
      </c>
      <c r="AF272" s="1129"/>
      <c r="AG272" s="772"/>
      <c r="AH272" s="775"/>
      <c r="AI272" s="775"/>
      <c r="AJ272" s="778"/>
      <c r="AK272" s="775"/>
      <c r="AL272" s="775"/>
      <c r="AM272" s="775"/>
      <c r="AN272" s="807"/>
      <c r="AO272" s="808"/>
      <c r="AP272" s="808"/>
      <c r="AQ272" s="806"/>
      <c r="AR272" s="806"/>
      <c r="AS272" s="806"/>
      <c r="AT272" s="806"/>
      <c r="AU272" s="795"/>
      <c r="AV272" s="795"/>
      <c r="AW272" s="795"/>
      <c r="AX272" s="797"/>
      <c r="AY272" s="159"/>
    </row>
    <row r="273" spans="1:51" ht="27.75" customHeight="1" thickBot="1" x14ac:dyDescent="0.3">
      <c r="A273" s="815"/>
      <c r="B273" s="1136"/>
      <c r="C273" s="838"/>
      <c r="D273" s="140" t="s">
        <v>45</v>
      </c>
      <c r="E273" s="142"/>
      <c r="F273" s="143"/>
      <c r="G273" s="144">
        <f>+G272*$G$155/$G$154</f>
        <v>2573116.8831168832</v>
      </c>
      <c r="H273" s="144">
        <f>+H272*$H$155/$H$154</f>
        <v>2573116.8831168832</v>
      </c>
      <c r="I273" s="144" t="e">
        <f>+I272*$I$155/$I$154</f>
        <v>#REF!</v>
      </c>
      <c r="J273" s="138" t="e">
        <f>+J272*$J$155/$J$154</f>
        <v>#REF!</v>
      </c>
      <c r="K273" s="137"/>
      <c r="L273" s="138"/>
      <c r="M273" s="138"/>
      <c r="N273" s="138"/>
      <c r="O273" s="138"/>
      <c r="P273" s="138"/>
      <c r="Q273" s="138" t="e">
        <f>+Q272*$Q$155/$Q$154</f>
        <v>#REF!</v>
      </c>
      <c r="R273" s="138" t="e">
        <f>+R272*$R$155/$R$154</f>
        <v>#REF!</v>
      </c>
      <c r="S273" s="1129"/>
      <c r="T273" s="144">
        <f>+T272*$T$155/$T$154</f>
        <v>0</v>
      </c>
      <c r="U273" s="144">
        <f>+U272*$U$155/$U$154</f>
        <v>11790000</v>
      </c>
      <c r="V273" s="144" t="e">
        <f>+V272*$V$155/$V$154</f>
        <v>#REF!</v>
      </c>
      <c r="W273" s="138" t="e">
        <f>+W272*$W$155/$W$154</f>
        <v>#REF!</v>
      </c>
      <c r="X273" s="139"/>
      <c r="Y273" s="139"/>
      <c r="Z273" s="139"/>
      <c r="AA273" s="165"/>
      <c r="AB273" s="151"/>
      <c r="AC273" s="129"/>
      <c r="AD273" s="137" t="e">
        <f>+AD272*$AD$155/$AD$154</f>
        <v>#REF!</v>
      </c>
      <c r="AE273" s="137" t="e">
        <f>+AE272*$AE$155/$AE$154</f>
        <v>#REF!</v>
      </c>
      <c r="AF273" s="1130"/>
      <c r="AG273" s="773"/>
      <c r="AH273" s="776"/>
      <c r="AI273" s="776"/>
      <c r="AJ273" s="779"/>
      <c r="AK273" s="776"/>
      <c r="AL273" s="776"/>
      <c r="AM273" s="776"/>
      <c r="AN273" s="807"/>
      <c r="AO273" s="808"/>
      <c r="AP273" s="808"/>
      <c r="AQ273" s="806"/>
      <c r="AR273" s="806"/>
      <c r="AS273" s="806"/>
      <c r="AT273" s="806"/>
      <c r="AU273" s="795"/>
      <c r="AV273" s="795"/>
      <c r="AW273" s="795"/>
      <c r="AX273" s="798"/>
      <c r="AY273" s="159"/>
    </row>
    <row r="274" spans="1:51" ht="18" customHeight="1" x14ac:dyDescent="0.25">
      <c r="A274" s="815"/>
      <c r="B274" s="1136"/>
      <c r="C274" s="1127" t="s">
        <v>345</v>
      </c>
      <c r="D274" s="141" t="s">
        <v>41</v>
      </c>
      <c r="E274" s="142"/>
      <c r="F274" s="143"/>
      <c r="G274" s="144"/>
      <c r="H274" s="144"/>
      <c r="I274" s="144"/>
      <c r="J274" s="138"/>
      <c r="K274" s="145">
        <v>1</v>
      </c>
      <c r="L274" s="138"/>
      <c r="M274" s="138"/>
      <c r="N274" s="138"/>
      <c r="O274" s="138"/>
      <c r="P274" s="138">
        <v>1</v>
      </c>
      <c r="Q274" s="138">
        <v>1</v>
      </c>
      <c r="R274" s="147">
        <v>1</v>
      </c>
      <c r="S274" s="1129"/>
      <c r="T274" s="148"/>
      <c r="U274" s="148"/>
      <c r="V274" s="148"/>
      <c r="W274" s="146"/>
      <c r="X274" s="150">
        <v>1</v>
      </c>
      <c r="Y274" s="139"/>
      <c r="Z274" s="139"/>
      <c r="AA274" s="165"/>
      <c r="AB274" s="188"/>
      <c r="AC274" s="137">
        <v>1</v>
      </c>
      <c r="AD274" s="137">
        <v>1</v>
      </c>
      <c r="AE274" s="152">
        <v>1</v>
      </c>
      <c r="AF274" s="1123" t="s">
        <v>466</v>
      </c>
      <c r="AG274" s="771" t="s">
        <v>345</v>
      </c>
      <c r="AH274" s="774" t="s">
        <v>467</v>
      </c>
      <c r="AI274" s="774" t="s">
        <v>468</v>
      </c>
      <c r="AJ274" s="777" t="s">
        <v>469</v>
      </c>
      <c r="AK274" s="774" t="s">
        <v>315</v>
      </c>
      <c r="AL274" s="774" t="s">
        <v>470</v>
      </c>
      <c r="AM274" s="774" t="s">
        <v>316</v>
      </c>
      <c r="AN274" s="807">
        <v>406574</v>
      </c>
      <c r="AO274" s="808">
        <v>196557</v>
      </c>
      <c r="AP274" s="808">
        <v>210017</v>
      </c>
      <c r="AQ274" s="806" t="s">
        <v>317</v>
      </c>
      <c r="AR274" s="806" t="s">
        <v>317</v>
      </c>
      <c r="AS274" s="806" t="s">
        <v>317</v>
      </c>
      <c r="AT274" s="806" t="s">
        <v>317</v>
      </c>
      <c r="AU274" s="795" t="s">
        <v>317</v>
      </c>
      <c r="AV274" s="795" t="s">
        <v>317</v>
      </c>
      <c r="AW274" s="795" t="s">
        <v>317</v>
      </c>
      <c r="AX274" s="796">
        <v>406574</v>
      </c>
      <c r="AY274" s="159"/>
    </row>
    <row r="275" spans="1:51" ht="18" customHeight="1" x14ac:dyDescent="0.25">
      <c r="A275" s="815"/>
      <c r="B275" s="1136"/>
      <c r="C275" s="1127"/>
      <c r="D275" s="132" t="s">
        <v>3</v>
      </c>
      <c r="E275" s="142"/>
      <c r="F275" s="143"/>
      <c r="G275" s="144"/>
      <c r="H275" s="144"/>
      <c r="I275" s="144"/>
      <c r="J275" s="138"/>
      <c r="K275" s="137"/>
      <c r="L275" s="138"/>
      <c r="M275" s="138"/>
      <c r="N275" s="138"/>
      <c r="O275" s="138"/>
      <c r="P275" s="138" t="e">
        <f>+P274*$P$155/$P$154</f>
        <v>#REF!</v>
      </c>
      <c r="Q275" s="138" t="e">
        <f>+Q274*$Q$155/$Q$154</f>
        <v>#REF!</v>
      </c>
      <c r="R275" s="138" t="e">
        <f>+R274*$R$155/$R$154</f>
        <v>#REF!</v>
      </c>
      <c r="S275" s="1129"/>
      <c r="T275" s="148"/>
      <c r="U275" s="148"/>
      <c r="V275" s="148"/>
      <c r="W275" s="146"/>
      <c r="X275" s="139"/>
      <c r="Y275" s="139"/>
      <c r="Z275" s="139"/>
      <c r="AA275" s="165"/>
      <c r="AB275" s="137"/>
      <c r="AC275" s="137" t="e">
        <f>+AC274*$AC$155/$AC$154</f>
        <v>#REF!</v>
      </c>
      <c r="AD275" s="137" t="e">
        <f>+AD274*$AD$155/$AD$154</f>
        <v>#REF!</v>
      </c>
      <c r="AE275" s="137" t="e">
        <f>+AE274*$AE$155/$AE$154</f>
        <v>#REF!</v>
      </c>
      <c r="AF275" s="1124"/>
      <c r="AG275" s="772"/>
      <c r="AH275" s="775"/>
      <c r="AI275" s="775"/>
      <c r="AJ275" s="778"/>
      <c r="AK275" s="775"/>
      <c r="AL275" s="775"/>
      <c r="AM275" s="775"/>
      <c r="AN275" s="807"/>
      <c r="AO275" s="808"/>
      <c r="AP275" s="808"/>
      <c r="AQ275" s="806"/>
      <c r="AR275" s="806"/>
      <c r="AS275" s="806"/>
      <c r="AT275" s="806"/>
      <c r="AU275" s="795"/>
      <c r="AV275" s="795"/>
      <c r="AW275" s="795"/>
      <c r="AX275" s="797"/>
      <c r="AY275" s="159"/>
    </row>
    <row r="276" spans="1:51" ht="27" customHeight="1" x14ac:dyDescent="0.25">
      <c r="A276" s="815"/>
      <c r="B276" s="1136"/>
      <c r="C276" s="1127"/>
      <c r="D276" s="136" t="s">
        <v>42</v>
      </c>
      <c r="E276" s="142"/>
      <c r="F276" s="143"/>
      <c r="G276" s="144"/>
      <c r="H276" s="144"/>
      <c r="I276" s="144"/>
      <c r="J276" s="138"/>
      <c r="K276" s="137"/>
      <c r="L276" s="138"/>
      <c r="M276" s="138"/>
      <c r="N276" s="138"/>
      <c r="O276" s="138"/>
      <c r="P276" s="138"/>
      <c r="Q276" s="138"/>
      <c r="R276" s="147"/>
      <c r="S276" s="1129"/>
      <c r="T276" s="148"/>
      <c r="U276" s="148"/>
      <c r="V276" s="148"/>
      <c r="W276" s="146"/>
      <c r="X276" s="139"/>
      <c r="Y276" s="139"/>
      <c r="Z276" s="139"/>
      <c r="AA276" s="165"/>
      <c r="AB276" s="151"/>
      <c r="AC276" s="137"/>
      <c r="AD276" s="137"/>
      <c r="AE276" s="152"/>
      <c r="AF276" s="1124"/>
      <c r="AG276" s="772"/>
      <c r="AH276" s="775"/>
      <c r="AI276" s="775"/>
      <c r="AJ276" s="778"/>
      <c r="AK276" s="775"/>
      <c r="AL276" s="775"/>
      <c r="AM276" s="775"/>
      <c r="AN276" s="807"/>
      <c r="AO276" s="808"/>
      <c r="AP276" s="808"/>
      <c r="AQ276" s="806"/>
      <c r="AR276" s="806"/>
      <c r="AS276" s="806"/>
      <c r="AT276" s="806"/>
      <c r="AU276" s="795"/>
      <c r="AV276" s="795"/>
      <c r="AW276" s="795"/>
      <c r="AX276" s="797"/>
      <c r="AY276" s="159"/>
    </row>
    <row r="277" spans="1:51" ht="27" customHeight="1" x14ac:dyDescent="0.25">
      <c r="A277" s="815"/>
      <c r="B277" s="1136"/>
      <c r="C277" s="1127"/>
      <c r="D277" s="132" t="s">
        <v>4</v>
      </c>
      <c r="E277" s="142"/>
      <c r="F277" s="143"/>
      <c r="G277" s="144"/>
      <c r="H277" s="144"/>
      <c r="I277" s="144"/>
      <c r="J277" s="138"/>
      <c r="K277" s="137"/>
      <c r="L277" s="138"/>
      <c r="M277" s="138"/>
      <c r="N277" s="138"/>
      <c r="O277" s="138"/>
      <c r="P277" s="138"/>
      <c r="Q277" s="138"/>
      <c r="R277" s="147"/>
      <c r="S277" s="1129"/>
      <c r="T277" s="148"/>
      <c r="U277" s="148"/>
      <c r="V277" s="148"/>
      <c r="W277" s="146"/>
      <c r="X277" s="139"/>
      <c r="Y277" s="139"/>
      <c r="Z277" s="139"/>
      <c r="AA277" s="165"/>
      <c r="AB277" s="151"/>
      <c r="AC277" s="137"/>
      <c r="AD277" s="137"/>
      <c r="AE277" s="152"/>
      <c r="AF277" s="1124"/>
      <c r="AG277" s="772"/>
      <c r="AH277" s="775"/>
      <c r="AI277" s="775"/>
      <c r="AJ277" s="778"/>
      <c r="AK277" s="775"/>
      <c r="AL277" s="775"/>
      <c r="AM277" s="775"/>
      <c r="AN277" s="807"/>
      <c r="AO277" s="808"/>
      <c r="AP277" s="808"/>
      <c r="AQ277" s="806"/>
      <c r="AR277" s="806"/>
      <c r="AS277" s="806"/>
      <c r="AT277" s="806"/>
      <c r="AU277" s="795"/>
      <c r="AV277" s="795"/>
      <c r="AW277" s="795"/>
      <c r="AX277" s="797"/>
      <c r="AY277" s="159"/>
    </row>
    <row r="278" spans="1:51" ht="27" customHeight="1" x14ac:dyDescent="0.25">
      <c r="A278" s="815"/>
      <c r="B278" s="1136"/>
      <c r="C278" s="1127"/>
      <c r="D278" s="136" t="s">
        <v>43</v>
      </c>
      <c r="E278" s="142"/>
      <c r="F278" s="143"/>
      <c r="G278" s="144"/>
      <c r="H278" s="144"/>
      <c r="I278" s="144"/>
      <c r="J278" s="138"/>
      <c r="K278" s="137"/>
      <c r="L278" s="138"/>
      <c r="M278" s="138"/>
      <c r="N278" s="138"/>
      <c r="O278" s="138"/>
      <c r="P278" s="138">
        <v>1</v>
      </c>
      <c r="Q278" s="138">
        <v>1</v>
      </c>
      <c r="R278" s="147">
        <v>1</v>
      </c>
      <c r="S278" s="1129"/>
      <c r="T278" s="148"/>
      <c r="U278" s="148"/>
      <c r="V278" s="148"/>
      <c r="W278" s="146"/>
      <c r="X278" s="139"/>
      <c r="Y278" s="139"/>
      <c r="Z278" s="139"/>
      <c r="AA278" s="165"/>
      <c r="AB278" s="137"/>
      <c r="AC278" s="137">
        <v>1</v>
      </c>
      <c r="AD278" s="137">
        <v>1</v>
      </c>
      <c r="AE278" s="152">
        <v>1</v>
      </c>
      <c r="AF278" s="1124"/>
      <c r="AG278" s="772"/>
      <c r="AH278" s="775"/>
      <c r="AI278" s="775"/>
      <c r="AJ278" s="778"/>
      <c r="AK278" s="775"/>
      <c r="AL278" s="775"/>
      <c r="AM278" s="775"/>
      <c r="AN278" s="807"/>
      <c r="AO278" s="808"/>
      <c r="AP278" s="808"/>
      <c r="AQ278" s="806"/>
      <c r="AR278" s="806"/>
      <c r="AS278" s="806"/>
      <c r="AT278" s="806"/>
      <c r="AU278" s="795"/>
      <c r="AV278" s="795"/>
      <c r="AW278" s="795"/>
      <c r="AX278" s="797"/>
      <c r="AY278" s="159"/>
    </row>
    <row r="279" spans="1:51" ht="27.75" customHeight="1" thickBot="1" x14ac:dyDescent="0.3">
      <c r="A279" s="815"/>
      <c r="B279" s="1136"/>
      <c r="C279" s="1127"/>
      <c r="D279" s="140" t="s">
        <v>45</v>
      </c>
      <c r="E279" s="142"/>
      <c r="F279" s="143"/>
      <c r="G279" s="144"/>
      <c r="H279" s="144"/>
      <c r="I279" s="144"/>
      <c r="J279" s="138"/>
      <c r="K279" s="137"/>
      <c r="L279" s="138"/>
      <c r="M279" s="138"/>
      <c r="N279" s="138"/>
      <c r="O279" s="138"/>
      <c r="P279" s="138" t="e">
        <f>+P278*$P$155/$P$154</f>
        <v>#REF!</v>
      </c>
      <c r="Q279" s="138" t="e">
        <f>+Q278*$Q$155/$Q$154</f>
        <v>#REF!</v>
      </c>
      <c r="R279" s="138" t="e">
        <f>+R278*$R$155/$R$154</f>
        <v>#REF!</v>
      </c>
      <c r="S279" s="1129"/>
      <c r="T279" s="148"/>
      <c r="U279" s="148"/>
      <c r="V279" s="148"/>
      <c r="W279" s="146"/>
      <c r="X279" s="139"/>
      <c r="Y279" s="139"/>
      <c r="Z279" s="139"/>
      <c r="AA279" s="165"/>
      <c r="AB279" s="137"/>
      <c r="AC279" s="137" t="e">
        <f>+AC278*$AC$155/$AC$154</f>
        <v>#REF!</v>
      </c>
      <c r="AD279" s="137" t="e">
        <f>+AD278*$AD$155/$AD$154</f>
        <v>#REF!</v>
      </c>
      <c r="AE279" s="137" t="e">
        <f>+AE278*$AE$155/$AE$154</f>
        <v>#REF!</v>
      </c>
      <c r="AF279" s="1124"/>
      <c r="AG279" s="773"/>
      <c r="AH279" s="776"/>
      <c r="AI279" s="776"/>
      <c r="AJ279" s="779"/>
      <c r="AK279" s="776"/>
      <c r="AL279" s="776"/>
      <c r="AM279" s="776"/>
      <c r="AN279" s="807"/>
      <c r="AO279" s="808"/>
      <c r="AP279" s="808"/>
      <c r="AQ279" s="806"/>
      <c r="AR279" s="806"/>
      <c r="AS279" s="806"/>
      <c r="AT279" s="806"/>
      <c r="AU279" s="795"/>
      <c r="AV279" s="795"/>
      <c r="AW279" s="795"/>
      <c r="AX279" s="798"/>
      <c r="AY279" s="159"/>
    </row>
    <row r="280" spans="1:51" ht="18" hidden="1" customHeight="1" x14ac:dyDescent="0.25">
      <c r="A280" s="815"/>
      <c r="B280" s="1136"/>
      <c r="C280" s="838" t="s">
        <v>319</v>
      </c>
      <c r="D280" s="141" t="s">
        <v>41</v>
      </c>
      <c r="E280" s="142"/>
      <c r="F280" s="143"/>
      <c r="G280" s="144"/>
      <c r="H280" s="144"/>
      <c r="I280" s="144"/>
      <c r="J280" s="138"/>
      <c r="K280" s="137"/>
      <c r="L280" s="138"/>
      <c r="M280" s="138"/>
      <c r="N280" s="138"/>
      <c r="O280" s="138"/>
      <c r="P280" s="138">
        <v>1</v>
      </c>
      <c r="Q280" s="138">
        <v>1</v>
      </c>
      <c r="R280" s="147">
        <v>2</v>
      </c>
      <c r="S280" s="1129"/>
      <c r="T280" s="148"/>
      <c r="U280" s="148"/>
      <c r="V280" s="148"/>
      <c r="W280" s="146"/>
      <c r="X280" s="139"/>
      <c r="Y280" s="139"/>
      <c r="Z280" s="139"/>
      <c r="AA280" s="165"/>
      <c r="AB280" s="188"/>
      <c r="AC280" s="137">
        <v>1</v>
      </c>
      <c r="AD280" s="137">
        <v>1</v>
      </c>
      <c r="AE280" s="152">
        <v>2</v>
      </c>
      <c r="AF280" s="189"/>
      <c r="AG280" s="824" t="s">
        <v>319</v>
      </c>
      <c r="AH280" s="774" t="s">
        <v>471</v>
      </c>
      <c r="AI280" s="774" t="s">
        <v>472</v>
      </c>
      <c r="AJ280" s="777" t="s">
        <v>473</v>
      </c>
      <c r="AK280" s="774" t="s">
        <v>315</v>
      </c>
      <c r="AL280" s="774" t="s">
        <v>70</v>
      </c>
      <c r="AM280" s="774" t="s">
        <v>316</v>
      </c>
      <c r="AN280" s="807">
        <v>556759</v>
      </c>
      <c r="AO280" s="808">
        <v>255912</v>
      </c>
      <c r="AP280" s="808">
        <v>300846</v>
      </c>
      <c r="AQ280" s="806" t="s">
        <v>317</v>
      </c>
      <c r="AR280" s="806" t="s">
        <v>317</v>
      </c>
      <c r="AS280" s="806" t="s">
        <v>317</v>
      </c>
      <c r="AT280" s="806" t="s">
        <v>317</v>
      </c>
      <c r="AU280" s="795" t="s">
        <v>317</v>
      </c>
      <c r="AV280" s="795" t="s">
        <v>317</v>
      </c>
      <c r="AW280" s="795" t="s">
        <v>317</v>
      </c>
      <c r="AX280" s="796">
        <v>556759</v>
      </c>
      <c r="AY280" s="159"/>
    </row>
    <row r="281" spans="1:51" ht="18" hidden="1" customHeight="1" x14ac:dyDescent="0.25">
      <c r="A281" s="815"/>
      <c r="B281" s="1136"/>
      <c r="C281" s="838"/>
      <c r="D281" s="132" t="s">
        <v>3</v>
      </c>
      <c r="E281" s="142"/>
      <c r="F281" s="143"/>
      <c r="G281" s="144"/>
      <c r="H281" s="144"/>
      <c r="I281" s="144"/>
      <c r="J281" s="138"/>
      <c r="K281" s="137"/>
      <c r="L281" s="138"/>
      <c r="M281" s="138"/>
      <c r="N281" s="138"/>
      <c r="O281" s="138"/>
      <c r="P281" s="138" t="e">
        <f>+P280*$P$155/$P$154</f>
        <v>#REF!</v>
      </c>
      <c r="Q281" s="138" t="e">
        <f>+Q280*$Q$155/$Q$154</f>
        <v>#REF!</v>
      </c>
      <c r="R281" s="138" t="e">
        <f>+R280*$R$155/$R$154</f>
        <v>#REF!</v>
      </c>
      <c r="S281" s="1129"/>
      <c r="T281" s="148"/>
      <c r="U281" s="148"/>
      <c r="V281" s="148"/>
      <c r="W281" s="146"/>
      <c r="X281" s="139"/>
      <c r="Y281" s="139"/>
      <c r="Z281" s="139"/>
      <c r="AA281" s="165"/>
      <c r="AB281" s="137"/>
      <c r="AC281" s="137" t="e">
        <f>+AC280*$AC$155/$AC$154</f>
        <v>#REF!</v>
      </c>
      <c r="AD281" s="137" t="e">
        <f>+AD280*$AD$155/$AD$154</f>
        <v>#REF!</v>
      </c>
      <c r="AE281" s="137" t="e">
        <f>+AE280*$AE$155/$AE$154</f>
        <v>#REF!</v>
      </c>
      <c r="AF281" s="189"/>
      <c r="AG281" s="825"/>
      <c r="AH281" s="775"/>
      <c r="AI281" s="775"/>
      <c r="AJ281" s="778"/>
      <c r="AK281" s="775"/>
      <c r="AL281" s="775"/>
      <c r="AM281" s="775"/>
      <c r="AN281" s="807"/>
      <c r="AO281" s="808"/>
      <c r="AP281" s="808"/>
      <c r="AQ281" s="806"/>
      <c r="AR281" s="806"/>
      <c r="AS281" s="806"/>
      <c r="AT281" s="806"/>
      <c r="AU281" s="795"/>
      <c r="AV281" s="795"/>
      <c r="AW281" s="795"/>
      <c r="AX281" s="797"/>
      <c r="AY281" s="159"/>
    </row>
    <row r="282" spans="1:51" ht="27" hidden="1" customHeight="1" x14ac:dyDescent="0.25">
      <c r="A282" s="815"/>
      <c r="B282" s="1136"/>
      <c r="C282" s="838"/>
      <c r="D282" s="136" t="s">
        <v>42</v>
      </c>
      <c r="E282" s="142"/>
      <c r="F282" s="143"/>
      <c r="G282" s="144"/>
      <c r="H282" s="144"/>
      <c r="I282" s="144"/>
      <c r="J282" s="138"/>
      <c r="K282" s="137"/>
      <c r="L282" s="138"/>
      <c r="M282" s="138"/>
      <c r="N282" s="138"/>
      <c r="O282" s="138"/>
      <c r="P282" s="138"/>
      <c r="Q282" s="138"/>
      <c r="R282" s="147"/>
      <c r="S282" s="1129"/>
      <c r="T282" s="148"/>
      <c r="U282" s="148"/>
      <c r="V282" s="148"/>
      <c r="W282" s="146"/>
      <c r="X282" s="139"/>
      <c r="Y282" s="139"/>
      <c r="Z282" s="139"/>
      <c r="AA282" s="165"/>
      <c r="AB282" s="151"/>
      <c r="AC282" s="137"/>
      <c r="AD282" s="137"/>
      <c r="AE282" s="152"/>
      <c r="AF282" s="189"/>
      <c r="AG282" s="825"/>
      <c r="AH282" s="775"/>
      <c r="AI282" s="775"/>
      <c r="AJ282" s="778"/>
      <c r="AK282" s="775"/>
      <c r="AL282" s="775"/>
      <c r="AM282" s="775"/>
      <c r="AN282" s="807"/>
      <c r="AO282" s="808"/>
      <c r="AP282" s="808"/>
      <c r="AQ282" s="806"/>
      <c r="AR282" s="806"/>
      <c r="AS282" s="806"/>
      <c r="AT282" s="806"/>
      <c r="AU282" s="795"/>
      <c r="AV282" s="795"/>
      <c r="AW282" s="795"/>
      <c r="AX282" s="797"/>
      <c r="AY282" s="159"/>
    </row>
    <row r="283" spans="1:51" ht="27" hidden="1" customHeight="1" x14ac:dyDescent="0.25">
      <c r="A283" s="815"/>
      <c r="B283" s="1136"/>
      <c r="C283" s="838"/>
      <c r="D283" s="132" t="s">
        <v>4</v>
      </c>
      <c r="E283" s="142"/>
      <c r="F283" s="143"/>
      <c r="G283" s="144"/>
      <c r="H283" s="144"/>
      <c r="I283" s="144"/>
      <c r="J283" s="138"/>
      <c r="K283" s="137"/>
      <c r="L283" s="138"/>
      <c r="M283" s="138"/>
      <c r="N283" s="138"/>
      <c r="O283" s="138"/>
      <c r="P283" s="138"/>
      <c r="Q283" s="138"/>
      <c r="R283" s="147"/>
      <c r="S283" s="1129"/>
      <c r="T283" s="148"/>
      <c r="U283" s="148"/>
      <c r="V283" s="148"/>
      <c r="W283" s="146"/>
      <c r="X283" s="139"/>
      <c r="Y283" s="139"/>
      <c r="Z283" s="139"/>
      <c r="AA283" s="165"/>
      <c r="AB283" s="151"/>
      <c r="AC283" s="137"/>
      <c r="AD283" s="137"/>
      <c r="AE283" s="152"/>
      <c r="AF283" s="189"/>
      <c r="AG283" s="825"/>
      <c r="AH283" s="775"/>
      <c r="AI283" s="775"/>
      <c r="AJ283" s="778"/>
      <c r="AK283" s="775"/>
      <c r="AL283" s="775"/>
      <c r="AM283" s="775"/>
      <c r="AN283" s="807"/>
      <c r="AO283" s="808"/>
      <c r="AP283" s="808"/>
      <c r="AQ283" s="806"/>
      <c r="AR283" s="806"/>
      <c r="AS283" s="806"/>
      <c r="AT283" s="806"/>
      <c r="AU283" s="795"/>
      <c r="AV283" s="795"/>
      <c r="AW283" s="795"/>
      <c r="AX283" s="797"/>
      <c r="AY283" s="159"/>
    </row>
    <row r="284" spans="1:51" ht="27" hidden="1" customHeight="1" x14ac:dyDescent="0.25">
      <c r="A284" s="815"/>
      <c r="B284" s="1136"/>
      <c r="C284" s="838"/>
      <c r="D284" s="136" t="s">
        <v>43</v>
      </c>
      <c r="E284" s="142"/>
      <c r="F284" s="143"/>
      <c r="G284" s="144"/>
      <c r="H284" s="144"/>
      <c r="I284" s="144"/>
      <c r="J284" s="138"/>
      <c r="K284" s="137"/>
      <c r="L284" s="138"/>
      <c r="M284" s="138"/>
      <c r="N284" s="138"/>
      <c r="O284" s="138"/>
      <c r="P284" s="138">
        <v>1</v>
      </c>
      <c r="Q284" s="138">
        <v>1</v>
      </c>
      <c r="R284" s="147">
        <v>2</v>
      </c>
      <c r="S284" s="1129"/>
      <c r="T284" s="148"/>
      <c r="U284" s="148"/>
      <c r="V284" s="148"/>
      <c r="W284" s="146"/>
      <c r="X284" s="139"/>
      <c r="Y284" s="139"/>
      <c r="Z284" s="139"/>
      <c r="AA284" s="165"/>
      <c r="AB284" s="137"/>
      <c r="AC284" s="137">
        <v>1</v>
      </c>
      <c r="AD284" s="137">
        <v>1</v>
      </c>
      <c r="AE284" s="152">
        <v>2</v>
      </c>
      <c r="AF284" s="189"/>
      <c r="AG284" s="825"/>
      <c r="AH284" s="775"/>
      <c r="AI284" s="775"/>
      <c r="AJ284" s="778"/>
      <c r="AK284" s="775"/>
      <c r="AL284" s="775"/>
      <c r="AM284" s="775"/>
      <c r="AN284" s="807"/>
      <c r="AO284" s="808"/>
      <c r="AP284" s="808"/>
      <c r="AQ284" s="806"/>
      <c r="AR284" s="806"/>
      <c r="AS284" s="806"/>
      <c r="AT284" s="806"/>
      <c r="AU284" s="795"/>
      <c r="AV284" s="795"/>
      <c r="AW284" s="795"/>
      <c r="AX284" s="797"/>
      <c r="AY284" s="159"/>
    </row>
    <row r="285" spans="1:51" ht="27.75" hidden="1" customHeight="1" thickBot="1" x14ac:dyDescent="0.3">
      <c r="A285" s="815"/>
      <c r="B285" s="1136"/>
      <c r="C285" s="838"/>
      <c r="D285" s="140" t="s">
        <v>45</v>
      </c>
      <c r="E285" s="142"/>
      <c r="F285" s="143"/>
      <c r="G285" s="144"/>
      <c r="H285" s="144"/>
      <c r="I285" s="144"/>
      <c r="J285" s="138"/>
      <c r="K285" s="137"/>
      <c r="L285" s="138"/>
      <c r="M285" s="138"/>
      <c r="N285" s="138"/>
      <c r="O285" s="138"/>
      <c r="P285" s="138" t="e">
        <f>+P284*$P$155/$P$154</f>
        <v>#REF!</v>
      </c>
      <c r="Q285" s="138" t="e">
        <f>+Q284*$Q$155/$Q$154</f>
        <v>#REF!</v>
      </c>
      <c r="R285" s="138" t="e">
        <f>+R284*$R$155/$R$154</f>
        <v>#REF!</v>
      </c>
      <c r="S285" s="1129"/>
      <c r="T285" s="148"/>
      <c r="U285" s="148"/>
      <c r="V285" s="148"/>
      <c r="W285" s="146"/>
      <c r="X285" s="139"/>
      <c r="Y285" s="139"/>
      <c r="Z285" s="139"/>
      <c r="AA285" s="165"/>
      <c r="AB285" s="137"/>
      <c r="AC285" s="137" t="e">
        <f>+AC284*$AC$155/$AC$154</f>
        <v>#REF!</v>
      </c>
      <c r="AD285" s="137" t="e">
        <f>+AD284*$AD$155/$AD$154</f>
        <v>#REF!</v>
      </c>
      <c r="AE285" s="137" t="e">
        <f>+AE284*$AE$155/$AE$154</f>
        <v>#REF!</v>
      </c>
      <c r="AF285" s="189"/>
      <c r="AG285" s="826"/>
      <c r="AH285" s="776"/>
      <c r="AI285" s="776"/>
      <c r="AJ285" s="779"/>
      <c r="AK285" s="776"/>
      <c r="AL285" s="776"/>
      <c r="AM285" s="776"/>
      <c r="AN285" s="807"/>
      <c r="AO285" s="808"/>
      <c r="AP285" s="808"/>
      <c r="AQ285" s="806"/>
      <c r="AR285" s="806"/>
      <c r="AS285" s="806"/>
      <c r="AT285" s="806"/>
      <c r="AU285" s="795"/>
      <c r="AV285" s="795"/>
      <c r="AW285" s="795"/>
      <c r="AX285" s="798"/>
      <c r="AY285" s="159"/>
    </row>
    <row r="286" spans="1:51" ht="18" customHeight="1" x14ac:dyDescent="0.25">
      <c r="A286" s="815"/>
      <c r="B286" s="1136"/>
      <c r="C286" s="838" t="s">
        <v>409</v>
      </c>
      <c r="D286" s="141" t="s">
        <v>41</v>
      </c>
      <c r="E286" s="142"/>
      <c r="F286" s="143"/>
      <c r="G286" s="144">
        <v>72</v>
      </c>
      <c r="H286" s="144">
        <v>66</v>
      </c>
      <c r="I286" s="144">
        <v>59</v>
      </c>
      <c r="J286" s="138">
        <v>52</v>
      </c>
      <c r="K286" s="145">
        <v>45</v>
      </c>
      <c r="L286" s="138"/>
      <c r="M286" s="138"/>
      <c r="N286" s="138"/>
      <c r="O286" s="138">
        <v>18</v>
      </c>
      <c r="P286" s="138">
        <v>14</v>
      </c>
      <c r="Q286" s="138">
        <v>8</v>
      </c>
      <c r="R286" s="147">
        <v>0</v>
      </c>
      <c r="S286" s="1129"/>
      <c r="T286" s="148"/>
      <c r="U286" s="148"/>
      <c r="V286" s="148"/>
      <c r="W286" s="146"/>
      <c r="X286" s="139"/>
      <c r="Y286" s="139"/>
      <c r="Z286" s="139"/>
      <c r="AA286" s="165"/>
      <c r="AB286" s="188"/>
      <c r="AC286" s="129"/>
      <c r="AD286" s="162"/>
      <c r="AE286" s="152"/>
      <c r="AF286" s="189"/>
      <c r="AG286" s="824"/>
      <c r="AH286" s="774"/>
      <c r="AI286" s="774"/>
      <c r="AJ286" s="777"/>
      <c r="AK286" s="824"/>
      <c r="AL286" s="774" t="s">
        <v>70</v>
      </c>
      <c r="AM286" s="774" t="s">
        <v>316</v>
      </c>
      <c r="AN286" s="808">
        <v>7804660</v>
      </c>
      <c r="AO286" s="796">
        <v>3721767</v>
      </c>
      <c r="AP286" s="796">
        <v>4082893</v>
      </c>
      <c r="AQ286" s="806" t="s">
        <v>317</v>
      </c>
      <c r="AR286" s="806" t="s">
        <v>317</v>
      </c>
      <c r="AS286" s="806" t="s">
        <v>317</v>
      </c>
      <c r="AT286" s="806" t="s">
        <v>317</v>
      </c>
      <c r="AU286" s="795" t="s">
        <v>317</v>
      </c>
      <c r="AV286" s="795" t="s">
        <v>317</v>
      </c>
      <c r="AW286" s="795" t="s">
        <v>317</v>
      </c>
      <c r="AX286" s="796">
        <v>7804660</v>
      </c>
      <c r="AY286" s="159"/>
    </row>
    <row r="287" spans="1:51" ht="18" x14ac:dyDescent="0.25">
      <c r="A287" s="815"/>
      <c r="B287" s="1136"/>
      <c r="C287" s="838"/>
      <c r="D287" s="132" t="s">
        <v>3</v>
      </c>
      <c r="E287" s="142"/>
      <c r="F287" s="143"/>
      <c r="G287" s="144">
        <f>+G286*$G$155/$G$154</f>
        <v>185264415.58441558</v>
      </c>
      <c r="H287" s="144">
        <f>+H286*$H$155/$H$154</f>
        <v>169825714.2857143</v>
      </c>
      <c r="I287" s="144" t="e">
        <f>+I286*$I$155/$I$154</f>
        <v>#REF!</v>
      </c>
      <c r="J287" s="138" t="e">
        <f>+J286*$J$155/$J$154</f>
        <v>#REF!</v>
      </c>
      <c r="K287" s="137"/>
      <c r="L287" s="138"/>
      <c r="M287" s="138"/>
      <c r="N287" s="138"/>
      <c r="O287" s="138">
        <f>+O286*$O$155/$O$154</f>
        <v>128595600</v>
      </c>
      <c r="P287" s="138" t="e">
        <f>+P286*$P$155/$P$154</f>
        <v>#REF!</v>
      </c>
      <c r="Q287" s="138" t="e">
        <f>+Q286*$Q$155/$Q$154</f>
        <v>#REF!</v>
      </c>
      <c r="R287" s="138" t="e">
        <f>+R286*$R$155/$R$154</f>
        <v>#REF!</v>
      </c>
      <c r="S287" s="1129"/>
      <c r="T287" s="148"/>
      <c r="U287" s="148"/>
      <c r="V287" s="148"/>
      <c r="W287" s="146"/>
      <c r="X287" s="139"/>
      <c r="Y287" s="139"/>
      <c r="Z287" s="139"/>
      <c r="AA287" s="165"/>
      <c r="AB287" s="151"/>
      <c r="AC287" s="129"/>
      <c r="AD287" s="162"/>
      <c r="AE287" s="152"/>
      <c r="AF287" s="189"/>
      <c r="AG287" s="825"/>
      <c r="AH287" s="775"/>
      <c r="AI287" s="775"/>
      <c r="AJ287" s="778"/>
      <c r="AK287" s="825"/>
      <c r="AL287" s="775"/>
      <c r="AM287" s="775"/>
      <c r="AN287" s="808"/>
      <c r="AO287" s="797"/>
      <c r="AP287" s="797"/>
      <c r="AQ287" s="806"/>
      <c r="AR287" s="806"/>
      <c r="AS287" s="806"/>
      <c r="AT287" s="806"/>
      <c r="AU287" s="795"/>
      <c r="AV287" s="795"/>
      <c r="AW287" s="795"/>
      <c r="AX287" s="797"/>
      <c r="AY287" s="159"/>
    </row>
    <row r="288" spans="1:51" ht="27" x14ac:dyDescent="0.25">
      <c r="A288" s="815"/>
      <c r="B288" s="1136"/>
      <c r="C288" s="838"/>
      <c r="D288" s="136" t="s">
        <v>42</v>
      </c>
      <c r="E288" s="142"/>
      <c r="F288" s="143"/>
      <c r="G288" s="144"/>
      <c r="H288" s="144"/>
      <c r="I288" s="144"/>
      <c r="J288" s="138"/>
      <c r="K288" s="137"/>
      <c r="L288" s="138"/>
      <c r="M288" s="138"/>
      <c r="N288" s="138"/>
      <c r="O288" s="138"/>
      <c r="P288" s="138"/>
      <c r="Q288" s="138"/>
      <c r="R288" s="147"/>
      <c r="S288" s="1129"/>
      <c r="T288" s="148"/>
      <c r="U288" s="148"/>
      <c r="V288" s="148"/>
      <c r="W288" s="146"/>
      <c r="X288" s="139"/>
      <c r="Y288" s="139"/>
      <c r="Z288" s="139"/>
      <c r="AA288" s="165"/>
      <c r="AB288" s="151"/>
      <c r="AC288" s="129"/>
      <c r="AD288" s="162"/>
      <c r="AE288" s="152"/>
      <c r="AF288" s="189"/>
      <c r="AG288" s="825"/>
      <c r="AH288" s="775"/>
      <c r="AI288" s="775"/>
      <c r="AJ288" s="778"/>
      <c r="AK288" s="825"/>
      <c r="AL288" s="775"/>
      <c r="AM288" s="775"/>
      <c r="AN288" s="808"/>
      <c r="AO288" s="797"/>
      <c r="AP288" s="797"/>
      <c r="AQ288" s="806"/>
      <c r="AR288" s="806"/>
      <c r="AS288" s="806"/>
      <c r="AT288" s="806"/>
      <c r="AU288" s="795"/>
      <c r="AV288" s="795"/>
      <c r="AW288" s="795"/>
      <c r="AX288" s="797"/>
      <c r="AY288" s="159"/>
    </row>
    <row r="289" spans="1:51" ht="27" x14ac:dyDescent="0.25">
      <c r="A289" s="815"/>
      <c r="B289" s="1136"/>
      <c r="C289" s="838"/>
      <c r="D289" s="132" t="s">
        <v>4</v>
      </c>
      <c r="E289" s="142"/>
      <c r="F289" s="143"/>
      <c r="G289" s="144"/>
      <c r="H289" s="144"/>
      <c r="I289" s="144"/>
      <c r="J289" s="138"/>
      <c r="K289" s="137"/>
      <c r="L289" s="138"/>
      <c r="M289" s="138"/>
      <c r="N289" s="138"/>
      <c r="O289" s="138"/>
      <c r="P289" s="138"/>
      <c r="Q289" s="138"/>
      <c r="R289" s="147"/>
      <c r="S289" s="1129"/>
      <c r="T289" s="148"/>
      <c r="U289" s="148"/>
      <c r="V289" s="148"/>
      <c r="W289" s="146"/>
      <c r="X289" s="139"/>
      <c r="Y289" s="139"/>
      <c r="Z289" s="139"/>
      <c r="AA289" s="165"/>
      <c r="AB289" s="151"/>
      <c r="AC289" s="129"/>
      <c r="AD289" s="162"/>
      <c r="AE289" s="152"/>
      <c r="AF289" s="189"/>
      <c r="AG289" s="825"/>
      <c r="AH289" s="775"/>
      <c r="AI289" s="775"/>
      <c r="AJ289" s="778"/>
      <c r="AK289" s="825"/>
      <c r="AL289" s="775"/>
      <c r="AM289" s="775"/>
      <c r="AN289" s="808"/>
      <c r="AO289" s="797"/>
      <c r="AP289" s="797"/>
      <c r="AQ289" s="806"/>
      <c r="AR289" s="806"/>
      <c r="AS289" s="806"/>
      <c r="AT289" s="806"/>
      <c r="AU289" s="795"/>
      <c r="AV289" s="795"/>
      <c r="AW289" s="795"/>
      <c r="AX289" s="797"/>
      <c r="AY289" s="159"/>
    </row>
    <row r="290" spans="1:51" ht="27" x14ac:dyDescent="0.25">
      <c r="A290" s="815"/>
      <c r="B290" s="1136"/>
      <c r="C290" s="838"/>
      <c r="D290" s="136" t="s">
        <v>43</v>
      </c>
      <c r="E290" s="142"/>
      <c r="F290" s="143"/>
      <c r="G290" s="144">
        <v>72</v>
      </c>
      <c r="H290" s="144">
        <v>66</v>
      </c>
      <c r="I290" s="144">
        <v>59</v>
      </c>
      <c r="J290" s="138">
        <v>52</v>
      </c>
      <c r="K290" s="137"/>
      <c r="L290" s="138"/>
      <c r="M290" s="138"/>
      <c r="N290" s="138"/>
      <c r="O290" s="138">
        <f>+O286</f>
        <v>18</v>
      </c>
      <c r="P290" s="138">
        <v>14</v>
      </c>
      <c r="Q290" s="138">
        <v>8</v>
      </c>
      <c r="R290" s="147">
        <v>0</v>
      </c>
      <c r="S290" s="1129"/>
      <c r="T290" s="148"/>
      <c r="U290" s="148"/>
      <c r="V290" s="148"/>
      <c r="W290" s="146"/>
      <c r="X290" s="139"/>
      <c r="Y290" s="139"/>
      <c r="Z290" s="139"/>
      <c r="AA290" s="165"/>
      <c r="AB290" s="151"/>
      <c r="AC290" s="129"/>
      <c r="AD290" s="162"/>
      <c r="AE290" s="152"/>
      <c r="AF290" s="189"/>
      <c r="AG290" s="825"/>
      <c r="AH290" s="775"/>
      <c r="AI290" s="775"/>
      <c r="AJ290" s="778"/>
      <c r="AK290" s="825"/>
      <c r="AL290" s="775"/>
      <c r="AM290" s="775"/>
      <c r="AN290" s="808"/>
      <c r="AO290" s="797"/>
      <c r="AP290" s="797"/>
      <c r="AQ290" s="806"/>
      <c r="AR290" s="806"/>
      <c r="AS290" s="806"/>
      <c r="AT290" s="806"/>
      <c r="AU290" s="795"/>
      <c r="AV290" s="795"/>
      <c r="AW290" s="795"/>
      <c r="AX290" s="797"/>
      <c r="AY290" s="159"/>
    </row>
    <row r="291" spans="1:51" ht="27.75" thickBot="1" x14ac:dyDescent="0.3">
      <c r="A291" s="815"/>
      <c r="B291" s="1136"/>
      <c r="C291" s="838"/>
      <c r="D291" s="140" t="s">
        <v>45</v>
      </c>
      <c r="E291" s="142"/>
      <c r="F291" s="143"/>
      <c r="G291" s="144">
        <f>+G290*$G$155/$G$154</f>
        <v>185264415.58441558</v>
      </c>
      <c r="H291" s="144">
        <f>+H290*$H$155/$H$154</f>
        <v>169825714.2857143</v>
      </c>
      <c r="I291" s="144" t="e">
        <f>+I290*$I$155/$I$154</f>
        <v>#REF!</v>
      </c>
      <c r="J291" s="138" t="e">
        <f>+J290*$J$155/$J$154</f>
        <v>#REF!</v>
      </c>
      <c r="K291" s="137"/>
      <c r="L291" s="138"/>
      <c r="M291" s="138"/>
      <c r="N291" s="138"/>
      <c r="O291" s="138">
        <f>+O287</f>
        <v>128595600</v>
      </c>
      <c r="P291" s="138" t="e">
        <f>+P290*$P$155/$P$154</f>
        <v>#REF!</v>
      </c>
      <c r="Q291" s="138" t="e">
        <f>+Q290*$Q$155/$Q$154</f>
        <v>#REF!</v>
      </c>
      <c r="R291" s="138" t="e">
        <f>+R290*$R$155/$R$154</f>
        <v>#REF!</v>
      </c>
      <c r="S291" s="1129"/>
      <c r="T291" s="148"/>
      <c r="U291" s="148"/>
      <c r="V291" s="148"/>
      <c r="W291" s="146"/>
      <c r="X291" s="139"/>
      <c r="Y291" s="139"/>
      <c r="Z291" s="139"/>
      <c r="AA291" s="165"/>
      <c r="AB291" s="151"/>
      <c r="AC291" s="129"/>
      <c r="AD291" s="162"/>
      <c r="AE291" s="152"/>
      <c r="AF291" s="189"/>
      <c r="AG291" s="826"/>
      <c r="AH291" s="776"/>
      <c r="AI291" s="776"/>
      <c r="AJ291" s="779"/>
      <c r="AK291" s="826"/>
      <c r="AL291" s="776"/>
      <c r="AM291" s="776"/>
      <c r="AN291" s="808"/>
      <c r="AO291" s="798"/>
      <c r="AP291" s="798"/>
      <c r="AQ291" s="806"/>
      <c r="AR291" s="806"/>
      <c r="AS291" s="806"/>
      <c r="AT291" s="806"/>
      <c r="AU291" s="795"/>
      <c r="AV291" s="795"/>
      <c r="AW291" s="795"/>
      <c r="AX291" s="798"/>
      <c r="AY291" s="159"/>
    </row>
    <row r="292" spans="1:51" ht="18" customHeight="1" x14ac:dyDescent="0.25">
      <c r="A292" s="815"/>
      <c r="B292" s="1136"/>
      <c r="C292" s="838" t="s">
        <v>410</v>
      </c>
      <c r="D292" s="141" t="s">
        <v>41</v>
      </c>
      <c r="E292" s="142"/>
      <c r="F292" s="143"/>
      <c r="G292" s="144">
        <f t="shared" ref="G292:G297" si="14">+G196+G214+G220+G226+G268+G286</f>
        <v>77</v>
      </c>
      <c r="H292" s="144">
        <f t="shared" ref="H292:H297" si="15">H166+H196+H208+H214+H220+H226+H232+H268+H286</f>
        <v>77</v>
      </c>
      <c r="I292" s="144">
        <f t="shared" ref="I292:I297" si="16">I160+I166+I172+I196+I202+I208+I214+I220+I226+I232+I268+I286</f>
        <v>77</v>
      </c>
      <c r="J292" s="138">
        <f t="shared" ref="J292:J297" si="17">J160+J166+J172+J196+J202+J208+J214+J220+J226+J232+J250+J262+J268+J286</f>
        <v>77</v>
      </c>
      <c r="K292" s="145">
        <v>77</v>
      </c>
      <c r="L292" s="138"/>
      <c r="M292" s="138"/>
      <c r="N292" s="138"/>
      <c r="O292" s="138">
        <v>20</v>
      </c>
      <c r="P292" s="138" t="e">
        <f>+P172+P208+#REF!+#REF!+P274+P280+P286</f>
        <v>#REF!</v>
      </c>
      <c r="Q292" s="138" t="e">
        <f>+Q172+Q196+Q208+Q214+Q262+Q268+#REF!+#REF!+Q274+Q280+Q286</f>
        <v>#REF!</v>
      </c>
      <c r="R292" s="138" t="e">
        <f>+R172+R196+R202+R208+R214+R220+R226+R244+R262+R268+#REF!+#REF!+R274+R280+R286</f>
        <v>#REF!</v>
      </c>
      <c r="S292" s="1129"/>
      <c r="T292" s="144">
        <f t="shared" ref="T292:T297" si="18">+T196+T214+T220+T226+T268+T286</f>
        <v>5</v>
      </c>
      <c r="U292" s="144">
        <f t="shared" ref="U292:U297" si="19">U166+U196+U208+U214+U220+U226+U232+U268+U286</f>
        <v>11</v>
      </c>
      <c r="V292" s="144">
        <f t="shared" ref="V292:V297" si="20">V160+V166+V172+V196+V202+V208+V214+V220+V226+V232+V268+V286</f>
        <v>18</v>
      </c>
      <c r="W292" s="138">
        <f t="shared" ref="W292:W297" si="21">W160+W166+W172+W196+W202+W208+W214+W220+W226+W232+W250+W262+W268+W286</f>
        <v>25</v>
      </c>
      <c r="X292" s="190">
        <v>32</v>
      </c>
      <c r="Y292" s="139"/>
      <c r="Z292" s="139"/>
      <c r="AA292" s="165"/>
      <c r="AB292" s="188">
        <f>+AB172+AB208</f>
        <v>2</v>
      </c>
      <c r="AC292" s="137" t="e">
        <f>+AC172+AC208+#REF!+#REF!+AC274+AC280+AC286</f>
        <v>#REF!</v>
      </c>
      <c r="AD292" s="137" t="e">
        <f>+AD172+AD196+AD208+AD214+AD262+AD268+#REF!+#REF!+AD274+AD280+AD286</f>
        <v>#REF!</v>
      </c>
      <c r="AE292" s="137" t="e">
        <f>+AE172+AE196+AE202+AE208+AE214+AE220+AE226+AE244+AE262+AE268+#REF!+#REF!+AE274+AE280+AE286</f>
        <v>#REF!</v>
      </c>
      <c r="AF292" s="189"/>
      <c r="AG292" s="824"/>
      <c r="AH292" s="777"/>
      <c r="AI292" s="777"/>
      <c r="AJ292" s="777"/>
      <c r="AK292" s="824"/>
      <c r="AL292" s="774" t="s">
        <v>70</v>
      </c>
      <c r="AM292" s="774" t="s">
        <v>316</v>
      </c>
      <c r="AN292" s="808">
        <v>7804660</v>
      </c>
      <c r="AO292" s="796">
        <v>3721767</v>
      </c>
      <c r="AP292" s="796">
        <v>4082893</v>
      </c>
      <c r="AQ292" s="795" t="s">
        <v>317</v>
      </c>
      <c r="AR292" s="795" t="s">
        <v>317</v>
      </c>
      <c r="AS292" s="795" t="s">
        <v>317</v>
      </c>
      <c r="AT292" s="795" t="s">
        <v>317</v>
      </c>
      <c r="AU292" s="795" t="s">
        <v>317</v>
      </c>
      <c r="AV292" s="795" t="s">
        <v>317</v>
      </c>
      <c r="AW292" s="795" t="s">
        <v>317</v>
      </c>
      <c r="AX292" s="796">
        <v>7804660</v>
      </c>
      <c r="AY292" s="159"/>
    </row>
    <row r="293" spans="1:51" ht="24" customHeight="1" x14ac:dyDescent="0.25">
      <c r="A293" s="815"/>
      <c r="B293" s="1136"/>
      <c r="C293" s="838"/>
      <c r="D293" s="132" t="s">
        <v>3</v>
      </c>
      <c r="E293" s="142"/>
      <c r="F293" s="143"/>
      <c r="G293" s="144">
        <f t="shared" si="14"/>
        <v>198130000</v>
      </c>
      <c r="H293" s="144">
        <f t="shared" si="15"/>
        <v>198130000</v>
      </c>
      <c r="I293" s="144" t="e">
        <f t="shared" si="16"/>
        <v>#REF!</v>
      </c>
      <c r="J293" s="138" t="e">
        <f t="shared" si="17"/>
        <v>#REF!</v>
      </c>
      <c r="K293" s="137"/>
      <c r="L293" s="138"/>
      <c r="M293" s="138"/>
      <c r="N293" s="138"/>
      <c r="O293" s="138">
        <f>+O292*$O$155/$O$154</f>
        <v>142884000</v>
      </c>
      <c r="P293" s="138" t="e">
        <f>+P173+P209+#REF!+#REF!+P275+P281+P287</f>
        <v>#REF!</v>
      </c>
      <c r="Q293" s="138" t="e">
        <f>+Q173+Q197+Q209+Q215+Q263+Q269+#REF!+#REF!+Q275+Q281+Q287</f>
        <v>#REF!</v>
      </c>
      <c r="R293" s="138" t="e">
        <f>+R173+R197+R203+R209+R215+R221+R227+R245+R263+R269+#REF!+#REF!+R275+R281+R287</f>
        <v>#REF!</v>
      </c>
      <c r="S293" s="1129"/>
      <c r="T293" s="144">
        <f t="shared" si="18"/>
        <v>0</v>
      </c>
      <c r="U293" s="144">
        <f t="shared" si="19"/>
        <v>129690000</v>
      </c>
      <c r="V293" s="144" t="e">
        <f t="shared" si="20"/>
        <v>#REF!</v>
      </c>
      <c r="W293" s="138" t="e">
        <f t="shared" si="21"/>
        <v>#REF!</v>
      </c>
      <c r="X293" s="139"/>
      <c r="Y293" s="139"/>
      <c r="Z293" s="139"/>
      <c r="AA293" s="165"/>
      <c r="AB293" s="137">
        <f>+AB173+AB209</f>
        <v>71774000</v>
      </c>
      <c r="AC293" s="137" t="e">
        <f>+AC173+AC209+#REF!+#REF!+AC275+AC281+AC287</f>
        <v>#REF!</v>
      </c>
      <c r="AD293" s="137" t="e">
        <f>+AD173+AD197+AD209+AD215+AD263+AD269+#REF!+#REF!+AD275+AD281+AD287</f>
        <v>#REF!</v>
      </c>
      <c r="AE293" s="137" t="e">
        <f>+AE173+AE197+AE203+AE209+AE215+AE221+AE227+AE245+AE263+AE269+#REF!+#REF!+AE275+AE281+AE287</f>
        <v>#REF!</v>
      </c>
      <c r="AF293" s="189"/>
      <c r="AG293" s="825"/>
      <c r="AH293" s="778"/>
      <c r="AI293" s="778"/>
      <c r="AJ293" s="778"/>
      <c r="AK293" s="825"/>
      <c r="AL293" s="775"/>
      <c r="AM293" s="775"/>
      <c r="AN293" s="808"/>
      <c r="AO293" s="797"/>
      <c r="AP293" s="797"/>
      <c r="AQ293" s="795"/>
      <c r="AR293" s="795"/>
      <c r="AS293" s="795"/>
      <c r="AT293" s="795"/>
      <c r="AU293" s="795"/>
      <c r="AV293" s="795"/>
      <c r="AW293" s="795"/>
      <c r="AX293" s="797"/>
      <c r="AY293" s="159"/>
    </row>
    <row r="294" spans="1:51" ht="27" x14ac:dyDescent="0.25">
      <c r="A294" s="815"/>
      <c r="B294" s="1136"/>
      <c r="C294" s="838"/>
      <c r="D294" s="136" t="s">
        <v>42</v>
      </c>
      <c r="E294" s="142"/>
      <c r="F294" s="143"/>
      <c r="G294" s="144">
        <f t="shared" si="14"/>
        <v>0</v>
      </c>
      <c r="H294" s="144">
        <f t="shared" si="15"/>
        <v>0</v>
      </c>
      <c r="I294" s="144">
        <f t="shared" si="16"/>
        <v>0</v>
      </c>
      <c r="J294" s="138">
        <f t="shared" si="17"/>
        <v>0</v>
      </c>
      <c r="K294" s="137"/>
      <c r="L294" s="138"/>
      <c r="M294" s="138"/>
      <c r="N294" s="138"/>
      <c r="O294" s="138"/>
      <c r="P294" s="138"/>
      <c r="Q294" s="138" t="e">
        <f>+Q174+Q198+Q210+Q216+Q264+Q270+#REF!+#REF!+Q276+Q282+Q288</f>
        <v>#REF!</v>
      </c>
      <c r="R294" s="138" t="e">
        <f>+R174+R198+R204+R210+R216+R222+R228+R246+R264+R270+#REF!+#REF!+R276+R282+R288</f>
        <v>#REF!</v>
      </c>
      <c r="S294" s="1129"/>
      <c r="T294" s="144">
        <f t="shared" si="18"/>
        <v>0</v>
      </c>
      <c r="U294" s="144">
        <f t="shared" si="19"/>
        <v>0</v>
      </c>
      <c r="V294" s="144">
        <f t="shared" si="20"/>
        <v>0</v>
      </c>
      <c r="W294" s="138">
        <f t="shared" si="21"/>
        <v>0</v>
      </c>
      <c r="X294" s="139"/>
      <c r="Y294" s="139"/>
      <c r="Z294" s="139"/>
      <c r="AA294" s="165"/>
      <c r="AB294" s="151"/>
      <c r="AC294" s="129"/>
      <c r="AD294" s="137" t="e">
        <f>+AD174+AD198+AD210+AD216+AD264+AD270+#REF!+#REF!+AD276+AD282+AD288</f>
        <v>#REF!</v>
      </c>
      <c r="AE294" s="137" t="e">
        <f>+AE174+AE198+AE204+AE210+AE216+AE222+AE228+AE246+AE264+AE270+#REF!+#REF!+AE276+AE282+AE288</f>
        <v>#REF!</v>
      </c>
      <c r="AF294" s="189"/>
      <c r="AG294" s="825"/>
      <c r="AH294" s="778"/>
      <c r="AI294" s="778"/>
      <c r="AJ294" s="778"/>
      <c r="AK294" s="825"/>
      <c r="AL294" s="775"/>
      <c r="AM294" s="775"/>
      <c r="AN294" s="808"/>
      <c r="AO294" s="797"/>
      <c r="AP294" s="797"/>
      <c r="AQ294" s="795"/>
      <c r="AR294" s="795"/>
      <c r="AS294" s="795"/>
      <c r="AT294" s="795"/>
      <c r="AU294" s="795"/>
      <c r="AV294" s="795"/>
      <c r="AW294" s="795"/>
      <c r="AX294" s="797"/>
      <c r="AY294" s="159"/>
    </row>
    <row r="295" spans="1:51" ht="27" x14ac:dyDescent="0.25">
      <c r="A295" s="815"/>
      <c r="B295" s="1136"/>
      <c r="C295" s="838"/>
      <c r="D295" s="132" t="s">
        <v>4</v>
      </c>
      <c r="E295" s="142"/>
      <c r="F295" s="143"/>
      <c r="G295" s="144">
        <f t="shared" si="14"/>
        <v>0</v>
      </c>
      <c r="H295" s="144">
        <f t="shared" si="15"/>
        <v>0</v>
      </c>
      <c r="I295" s="144">
        <f t="shared" si="16"/>
        <v>0</v>
      </c>
      <c r="J295" s="138">
        <f t="shared" si="17"/>
        <v>0</v>
      </c>
      <c r="K295" s="137"/>
      <c r="L295" s="138"/>
      <c r="M295" s="138"/>
      <c r="N295" s="138"/>
      <c r="O295" s="138"/>
      <c r="P295" s="138"/>
      <c r="Q295" s="138" t="e">
        <f>+Q175+Q199+Q211+Q217+Q265+Q271+#REF!+#REF!+Q277+Q283+Q289</f>
        <v>#REF!</v>
      </c>
      <c r="R295" s="138" t="e">
        <f>+R175+R199+R205+R211+R217+R223+R229+R247+R265+R271+#REF!+#REF!+R277+R283+R289</f>
        <v>#REF!</v>
      </c>
      <c r="S295" s="1129"/>
      <c r="T295" s="144">
        <f t="shared" si="18"/>
        <v>0</v>
      </c>
      <c r="U295" s="144">
        <f t="shared" si="19"/>
        <v>19427343</v>
      </c>
      <c r="V295" s="144">
        <f t="shared" si="20"/>
        <v>0</v>
      </c>
      <c r="W295" s="138">
        <f t="shared" si="21"/>
        <v>0</v>
      </c>
      <c r="X295" s="139"/>
      <c r="Y295" s="139"/>
      <c r="Z295" s="139"/>
      <c r="AA295" s="165"/>
      <c r="AB295" s="151"/>
      <c r="AC295" s="129"/>
      <c r="AD295" s="137" t="e">
        <f>+AD175+AD199+AD211+AD217+AD265+AD271+#REF!+#REF!+AD277+AD283+AD289</f>
        <v>#REF!</v>
      </c>
      <c r="AE295" s="137" t="e">
        <f>+AE175+AE199+AE205+AE211+AE217+AE223+AE229+AE247+AE265+AE271+#REF!+#REF!+AE277+AE283+AE289</f>
        <v>#REF!</v>
      </c>
      <c r="AF295" s="189"/>
      <c r="AG295" s="825"/>
      <c r="AH295" s="778"/>
      <c r="AI295" s="778"/>
      <c r="AJ295" s="778"/>
      <c r="AK295" s="825"/>
      <c r="AL295" s="775"/>
      <c r="AM295" s="775"/>
      <c r="AN295" s="808"/>
      <c r="AO295" s="797"/>
      <c r="AP295" s="797"/>
      <c r="AQ295" s="795"/>
      <c r="AR295" s="795"/>
      <c r="AS295" s="795"/>
      <c r="AT295" s="795"/>
      <c r="AU295" s="795"/>
      <c r="AV295" s="795"/>
      <c r="AW295" s="795"/>
      <c r="AX295" s="797"/>
      <c r="AY295" s="159"/>
    </row>
    <row r="296" spans="1:51" ht="27" x14ac:dyDescent="0.25">
      <c r="A296" s="815"/>
      <c r="B296" s="1136"/>
      <c r="C296" s="838"/>
      <c r="D296" s="136" t="s">
        <v>43</v>
      </c>
      <c r="E296" s="142"/>
      <c r="F296" s="143"/>
      <c r="G296" s="144">
        <f t="shared" si="14"/>
        <v>77</v>
      </c>
      <c r="H296" s="144">
        <f t="shared" si="15"/>
        <v>77</v>
      </c>
      <c r="I296" s="144">
        <f t="shared" si="16"/>
        <v>77</v>
      </c>
      <c r="J296" s="138">
        <f t="shared" si="17"/>
        <v>77</v>
      </c>
      <c r="K296" s="137"/>
      <c r="L296" s="138"/>
      <c r="M296" s="138"/>
      <c r="N296" s="138"/>
      <c r="O296" s="138">
        <f>+O292</f>
        <v>20</v>
      </c>
      <c r="P296" s="138">
        <v>20</v>
      </c>
      <c r="Q296" s="138" t="e">
        <f>+Q176+Q200+Q212+Q218+Q266+Q272+#REF!+#REF!+Q278+Q284+Q290</f>
        <v>#REF!</v>
      </c>
      <c r="R296" s="138" t="e">
        <f>+R176+R200+R206+R212+R218+R224+R230+R248+R266+R272+#REF!+#REF!+R278+R284+R290</f>
        <v>#REF!</v>
      </c>
      <c r="S296" s="1129"/>
      <c r="T296" s="144">
        <f t="shared" si="18"/>
        <v>5</v>
      </c>
      <c r="U296" s="144">
        <f t="shared" si="19"/>
        <v>11</v>
      </c>
      <c r="V296" s="144">
        <f t="shared" si="20"/>
        <v>18</v>
      </c>
      <c r="W296" s="138">
        <f t="shared" si="21"/>
        <v>25</v>
      </c>
      <c r="X296" s="139"/>
      <c r="Y296" s="139"/>
      <c r="Z296" s="139"/>
      <c r="AA296" s="165"/>
      <c r="AB296" s="137">
        <f>+AB292</f>
        <v>2</v>
      </c>
      <c r="AC296" s="129">
        <v>6</v>
      </c>
      <c r="AD296" s="137" t="e">
        <f>+AD176+AD200+AD212+AD218+AD266+AD272+#REF!+#REF!+AD278+AD284+AD290</f>
        <v>#REF!</v>
      </c>
      <c r="AE296" s="137" t="e">
        <f>+AE176+AE200+AE206+AE212+AE218+AE224+AE230+AE248+AE266+AE272+#REF!+#REF!+AE278+AE284+AE290</f>
        <v>#REF!</v>
      </c>
      <c r="AF296" s="189"/>
      <c r="AG296" s="825"/>
      <c r="AH296" s="778"/>
      <c r="AI296" s="778"/>
      <c r="AJ296" s="778"/>
      <c r="AK296" s="825"/>
      <c r="AL296" s="775"/>
      <c r="AM296" s="775"/>
      <c r="AN296" s="808"/>
      <c r="AO296" s="797"/>
      <c r="AP296" s="797"/>
      <c r="AQ296" s="795"/>
      <c r="AR296" s="795"/>
      <c r="AS296" s="795"/>
      <c r="AT296" s="795"/>
      <c r="AU296" s="795"/>
      <c r="AV296" s="795"/>
      <c r="AW296" s="795"/>
      <c r="AX296" s="797"/>
      <c r="AY296" s="159"/>
    </row>
    <row r="297" spans="1:51" ht="27.75" thickBot="1" x14ac:dyDescent="0.3">
      <c r="A297" s="816"/>
      <c r="B297" s="1137"/>
      <c r="C297" s="838"/>
      <c r="D297" s="140" t="s">
        <v>45</v>
      </c>
      <c r="E297" s="142"/>
      <c r="F297" s="143"/>
      <c r="G297" s="144">
        <f t="shared" si="14"/>
        <v>195556883.11688313</v>
      </c>
      <c r="H297" s="144">
        <f t="shared" si="15"/>
        <v>198130000</v>
      </c>
      <c r="I297" s="144" t="e">
        <f t="shared" si="16"/>
        <v>#REF!</v>
      </c>
      <c r="J297" s="138" t="e">
        <f t="shared" si="17"/>
        <v>#REF!</v>
      </c>
      <c r="K297" s="137"/>
      <c r="L297" s="138"/>
      <c r="M297" s="138"/>
      <c r="N297" s="138"/>
      <c r="O297" s="138">
        <f>+O293</f>
        <v>142884000</v>
      </c>
      <c r="P297" s="138">
        <v>140462163</v>
      </c>
      <c r="Q297" s="138" t="e">
        <f>+Q177+Q201+Q213+Q219+Q267+Q273+#REF!+#REF!+Q279+Q285+Q291</f>
        <v>#REF!</v>
      </c>
      <c r="R297" s="138" t="e">
        <f>+R177+R201+R207+R213+R219+R225+R231+R249+R267+R273+#REF!+#REF!+R279+R285+R291</f>
        <v>#REF!</v>
      </c>
      <c r="S297" s="1130"/>
      <c r="T297" s="144">
        <f t="shared" si="18"/>
        <v>0</v>
      </c>
      <c r="U297" s="144">
        <f t="shared" si="19"/>
        <v>129690000</v>
      </c>
      <c r="V297" s="144" t="e">
        <f t="shared" si="20"/>
        <v>#REF!</v>
      </c>
      <c r="W297" s="138" t="e">
        <f t="shared" si="21"/>
        <v>#REF!</v>
      </c>
      <c r="X297" s="139"/>
      <c r="Y297" s="139"/>
      <c r="Z297" s="139"/>
      <c r="AA297" s="165"/>
      <c r="AB297" s="137">
        <f>+AB293</f>
        <v>71774000</v>
      </c>
      <c r="AC297" s="129">
        <v>71774000</v>
      </c>
      <c r="AD297" s="137" t="e">
        <f>+AD177+AD201+AD213+AD219+AD267+AD273+#REF!+#REF!+AD279+AD285+AD291</f>
        <v>#REF!</v>
      </c>
      <c r="AE297" s="137" t="e">
        <f>+AE177+AE201+AE207+AE213+AE219+AE225+AE231+AE249+AE267+AE273+#REF!+#REF!+AE279+AE285+AE291</f>
        <v>#REF!</v>
      </c>
      <c r="AF297" s="191"/>
      <c r="AG297" s="826"/>
      <c r="AH297" s="779"/>
      <c r="AI297" s="779"/>
      <c r="AJ297" s="779"/>
      <c r="AK297" s="826"/>
      <c r="AL297" s="776"/>
      <c r="AM297" s="776"/>
      <c r="AN297" s="808"/>
      <c r="AO297" s="798"/>
      <c r="AP297" s="798"/>
      <c r="AQ297" s="795"/>
      <c r="AR297" s="795"/>
      <c r="AS297" s="795"/>
      <c r="AT297" s="795"/>
      <c r="AU297" s="795"/>
      <c r="AV297" s="795"/>
      <c r="AW297" s="795"/>
      <c r="AX297" s="798"/>
      <c r="AY297" s="159"/>
    </row>
    <row r="298" spans="1:51" ht="18" customHeight="1" x14ac:dyDescent="0.25">
      <c r="A298" s="814">
        <v>3</v>
      </c>
      <c r="B298" s="1042" t="s">
        <v>289</v>
      </c>
      <c r="C298" s="838" t="s">
        <v>474</v>
      </c>
      <c r="D298" s="141" t="s">
        <v>41</v>
      </c>
      <c r="E298" s="192" t="e">
        <f>+[4]INVERSIÓN!U22</f>
        <v>#REF!</v>
      </c>
      <c r="F298" s="193" t="e">
        <f>+[4]INVERSIÓN!V22</f>
        <v>#REF!</v>
      </c>
      <c r="G298" s="119">
        <f>+[5]INVERSIÓN!V22</f>
        <v>3500</v>
      </c>
      <c r="H298" s="119">
        <f>+[5]INVERSIÓN!X22</f>
        <v>3500</v>
      </c>
      <c r="I298" s="119" t="e">
        <f>+#REF!</f>
        <v>#REF!</v>
      </c>
      <c r="J298" s="120" t="e">
        <f>+#REF!</f>
        <v>#REF!</v>
      </c>
      <c r="K298" s="121">
        <v>3500</v>
      </c>
      <c r="L298" s="122"/>
      <c r="M298" s="122" t="e">
        <f t="shared" ref="M298:M303" si="22">+F298</f>
        <v>#REF!</v>
      </c>
      <c r="N298" s="120">
        <f>+[6]INVERSIÓN!K22</f>
        <v>2500</v>
      </c>
      <c r="O298" s="122">
        <f>+[6]INVERSIÓN!M22</f>
        <v>2500</v>
      </c>
      <c r="P298" s="122" t="e">
        <f>+[4]INVERSIÓN!O22</f>
        <v>#REF!</v>
      </c>
      <c r="Q298" s="122" t="e">
        <f>+[4]INVERSIÓN!Q22</f>
        <v>#REF!</v>
      </c>
      <c r="R298" s="194" t="e">
        <f>+[4]INVERSIÓN!S22</f>
        <v>#REF!</v>
      </c>
      <c r="S298" s="1118" t="s">
        <v>309</v>
      </c>
      <c r="T298" s="123">
        <f>+[5]INVERSIÓN!W22</f>
        <v>246</v>
      </c>
      <c r="U298" s="123">
        <f>+[5]INVERSIÓN!DR22</f>
        <v>547</v>
      </c>
      <c r="V298" s="123" t="e">
        <f>+#REF!</f>
        <v>#REF!</v>
      </c>
      <c r="W298" s="124" t="e">
        <f>+#REF!</f>
        <v>#REF!</v>
      </c>
      <c r="X298" s="125">
        <v>1463</v>
      </c>
      <c r="Y298" s="126"/>
      <c r="Z298" s="126">
        <f>+[6]INVERSIÓN!J22</f>
        <v>0</v>
      </c>
      <c r="AA298" s="126">
        <f>+[6]INVERSIÓN!DX22</f>
        <v>741</v>
      </c>
      <c r="AB298" s="195">
        <f>+[6]INVERSIÓN!DY22</f>
        <v>1257</v>
      </c>
      <c r="AC298" s="129" t="e">
        <f>+[4]INVERSIÓN!P22</f>
        <v>#REF!</v>
      </c>
      <c r="AD298" s="177" t="e">
        <f>+[4]INVERSIÓN!R22</f>
        <v>#REF!</v>
      </c>
      <c r="AE298" s="196" t="e">
        <f>+[4]INVERSIÓN!EB22</f>
        <v>#REF!</v>
      </c>
      <c r="AF298" s="1121" t="s">
        <v>475</v>
      </c>
      <c r="AG298" s="824" t="s">
        <v>476</v>
      </c>
      <c r="AH298" s="777" t="s">
        <v>477</v>
      </c>
      <c r="AI298" s="777" t="s">
        <v>478</v>
      </c>
      <c r="AJ298" s="777" t="s">
        <v>479</v>
      </c>
      <c r="AK298" s="774" t="s">
        <v>315</v>
      </c>
      <c r="AL298" s="774" t="s">
        <v>70</v>
      </c>
      <c r="AM298" s="774" t="s">
        <v>480</v>
      </c>
      <c r="AN298" s="808">
        <v>7804660</v>
      </c>
      <c r="AO298" s="796">
        <v>3721767</v>
      </c>
      <c r="AP298" s="796">
        <v>4082893</v>
      </c>
      <c r="AQ298" s="795" t="s">
        <v>317</v>
      </c>
      <c r="AR298" s="795" t="s">
        <v>317</v>
      </c>
      <c r="AS298" s="795" t="s">
        <v>317</v>
      </c>
      <c r="AT298" s="795" t="s">
        <v>317</v>
      </c>
      <c r="AU298" s="795" t="s">
        <v>317</v>
      </c>
      <c r="AV298" s="795" t="s">
        <v>317</v>
      </c>
      <c r="AW298" s="795" t="s">
        <v>317</v>
      </c>
      <c r="AX298" s="796">
        <v>7804660</v>
      </c>
      <c r="AY298" s="875" t="s">
        <v>481</v>
      </c>
    </row>
    <row r="299" spans="1:51" ht="18" x14ac:dyDescent="0.25">
      <c r="A299" s="815"/>
      <c r="B299" s="1043"/>
      <c r="C299" s="838"/>
      <c r="D299" s="132" t="s">
        <v>3</v>
      </c>
      <c r="E299" s="192" t="e">
        <f>+[4]INVERSIÓN!U23</f>
        <v>#REF!</v>
      </c>
      <c r="F299" s="193" t="e">
        <f>+[4]INVERSIÓN!V23</f>
        <v>#REF!</v>
      </c>
      <c r="G299" s="119">
        <f>+[5]INVERSIÓN!V23</f>
        <v>34285000</v>
      </c>
      <c r="H299" s="119">
        <f>+[5]INVERSIÓN!X23</f>
        <v>34285000</v>
      </c>
      <c r="I299" s="119" t="e">
        <f>+#REF!</f>
        <v>#REF!</v>
      </c>
      <c r="J299" s="120" t="e">
        <f>+#REF!</f>
        <v>#REF!</v>
      </c>
      <c r="K299" s="133"/>
      <c r="L299" s="134"/>
      <c r="M299" s="122" t="e">
        <f t="shared" si="22"/>
        <v>#REF!</v>
      </c>
      <c r="N299" s="120">
        <f>+[6]INVERSIÓN!K23</f>
        <v>24546000</v>
      </c>
      <c r="O299" s="122">
        <f>+[6]INVERSIÓN!M23</f>
        <v>24546000</v>
      </c>
      <c r="P299" s="122" t="e">
        <f>+[4]INVERSIÓN!O23</f>
        <v>#REF!</v>
      </c>
      <c r="Q299" s="122" t="e">
        <f>+[4]INVERSIÓN!Q23</f>
        <v>#REF!</v>
      </c>
      <c r="R299" s="194" t="e">
        <f>+[4]INVERSIÓN!S23</f>
        <v>#REF!</v>
      </c>
      <c r="S299" s="1119"/>
      <c r="T299" s="123">
        <f>+[5]INVERSIÓN!W23</f>
        <v>0</v>
      </c>
      <c r="U299" s="123">
        <f>+[5]INVERSIÓN!DR23</f>
        <v>27200000</v>
      </c>
      <c r="V299" s="123" t="e">
        <f>+#REF!</f>
        <v>#REF!</v>
      </c>
      <c r="W299" s="124" t="e">
        <f>+#REF!</f>
        <v>#REF!</v>
      </c>
      <c r="X299" s="135"/>
      <c r="Y299" s="135"/>
      <c r="Z299" s="126">
        <f>+[6]INVERSIÓN!J23</f>
        <v>0</v>
      </c>
      <c r="AA299" s="126">
        <f>+[6]INVERSIÓN!DX23</f>
        <v>10624000</v>
      </c>
      <c r="AB299" s="195">
        <f>+[6]INVERSIÓN!DY23</f>
        <v>10624000</v>
      </c>
      <c r="AC299" s="129" t="e">
        <f>+[4]INVERSIÓN!P23</f>
        <v>#REF!</v>
      </c>
      <c r="AD299" s="177" t="e">
        <f>+[4]INVERSIÓN!R23</f>
        <v>#REF!</v>
      </c>
      <c r="AE299" s="196" t="e">
        <f>+[4]INVERSIÓN!EB23</f>
        <v>#REF!</v>
      </c>
      <c r="AF299" s="1122"/>
      <c r="AG299" s="825"/>
      <c r="AH299" s="778"/>
      <c r="AI299" s="778"/>
      <c r="AJ299" s="778"/>
      <c r="AK299" s="775"/>
      <c r="AL299" s="775"/>
      <c r="AM299" s="775"/>
      <c r="AN299" s="808"/>
      <c r="AO299" s="797"/>
      <c r="AP299" s="797"/>
      <c r="AQ299" s="795"/>
      <c r="AR299" s="795"/>
      <c r="AS299" s="795"/>
      <c r="AT299" s="795"/>
      <c r="AU299" s="795"/>
      <c r="AV299" s="795"/>
      <c r="AW299" s="795"/>
      <c r="AX299" s="797"/>
      <c r="AY299" s="876"/>
    </row>
    <row r="300" spans="1:51" ht="27" x14ac:dyDescent="0.25">
      <c r="A300" s="815"/>
      <c r="B300" s="1043"/>
      <c r="C300" s="838"/>
      <c r="D300" s="136" t="s">
        <v>42</v>
      </c>
      <c r="E300" s="192" t="e">
        <f>+[4]INVERSIÓN!U24</f>
        <v>#REF!</v>
      </c>
      <c r="F300" s="193" t="e">
        <f>+[4]INVERSIÓN!V24</f>
        <v>#REF!</v>
      </c>
      <c r="G300" s="119">
        <v>0</v>
      </c>
      <c r="H300" s="119">
        <v>0</v>
      </c>
      <c r="I300" s="119" t="e">
        <f>+#REF!</f>
        <v>#REF!</v>
      </c>
      <c r="J300" s="120" t="e">
        <f>+#REF!</f>
        <v>#REF!</v>
      </c>
      <c r="K300" s="137"/>
      <c r="L300" s="138"/>
      <c r="M300" s="122" t="e">
        <f t="shared" si="22"/>
        <v>#REF!</v>
      </c>
      <c r="N300" s="120">
        <f>+[6]INVERSIÓN!K24</f>
        <v>0</v>
      </c>
      <c r="O300" s="122">
        <f>+[6]INVERSIÓN!M24</f>
        <v>0</v>
      </c>
      <c r="P300" s="122" t="e">
        <f>+[4]INVERSIÓN!O24</f>
        <v>#REF!</v>
      </c>
      <c r="Q300" s="122" t="e">
        <f>+[4]INVERSIÓN!Q24</f>
        <v>#REF!</v>
      </c>
      <c r="R300" s="194" t="e">
        <f>+[4]INVERSIÓN!S24</f>
        <v>#REF!</v>
      </c>
      <c r="S300" s="1119"/>
      <c r="T300" s="123">
        <v>0</v>
      </c>
      <c r="U300" s="123">
        <v>0</v>
      </c>
      <c r="V300" s="123" t="e">
        <f>+#REF!</f>
        <v>#REF!</v>
      </c>
      <c r="W300" s="124" t="e">
        <f>+#REF!</f>
        <v>#REF!</v>
      </c>
      <c r="X300" s="139"/>
      <c r="Y300" s="139"/>
      <c r="Z300" s="126">
        <f>+[6]INVERSIÓN!J24</f>
        <v>0</v>
      </c>
      <c r="AA300" s="126">
        <f>+[6]INVERSIÓN!DX24</f>
        <v>0</v>
      </c>
      <c r="AB300" s="195">
        <f>+[6]INVERSIÓN!DY24</f>
        <v>0</v>
      </c>
      <c r="AC300" s="129" t="e">
        <f>+[4]INVERSIÓN!P24</f>
        <v>#REF!</v>
      </c>
      <c r="AD300" s="177" t="e">
        <f>+[4]INVERSIÓN!R24</f>
        <v>#REF!</v>
      </c>
      <c r="AE300" s="196" t="e">
        <f>+[4]INVERSIÓN!EB24</f>
        <v>#REF!</v>
      </c>
      <c r="AF300" s="1122"/>
      <c r="AG300" s="825"/>
      <c r="AH300" s="778"/>
      <c r="AI300" s="778"/>
      <c r="AJ300" s="778"/>
      <c r="AK300" s="775"/>
      <c r="AL300" s="775"/>
      <c r="AM300" s="775"/>
      <c r="AN300" s="808"/>
      <c r="AO300" s="797"/>
      <c r="AP300" s="797"/>
      <c r="AQ300" s="795"/>
      <c r="AR300" s="795"/>
      <c r="AS300" s="795"/>
      <c r="AT300" s="795"/>
      <c r="AU300" s="795"/>
      <c r="AV300" s="795"/>
      <c r="AW300" s="795"/>
      <c r="AX300" s="797"/>
      <c r="AY300" s="876"/>
    </row>
    <row r="301" spans="1:51" ht="27" x14ac:dyDescent="0.25">
      <c r="A301" s="815"/>
      <c r="B301" s="1043"/>
      <c r="C301" s="838"/>
      <c r="D301" s="132" t="s">
        <v>4</v>
      </c>
      <c r="E301" s="192" t="e">
        <f>+[4]INVERSIÓN!U25</f>
        <v>#REF!</v>
      </c>
      <c r="F301" s="193" t="e">
        <f>+[4]INVERSIÓN!V25</f>
        <v>#REF!</v>
      </c>
      <c r="G301" s="119">
        <f>+[5]INVERSIÓN!V25</f>
        <v>3718400</v>
      </c>
      <c r="H301" s="119">
        <f>+[5]INVERSIÓN!X25</f>
        <v>3718400</v>
      </c>
      <c r="I301" s="119" t="e">
        <f>+#REF!</f>
        <v>#REF!</v>
      </c>
      <c r="J301" s="120" t="e">
        <f>+#REF!</f>
        <v>#REF!</v>
      </c>
      <c r="K301" s="137"/>
      <c r="L301" s="138"/>
      <c r="M301" s="122" t="e">
        <f t="shared" si="22"/>
        <v>#REF!</v>
      </c>
      <c r="N301" s="120">
        <f>+[6]INVERSIÓN!K25</f>
        <v>0</v>
      </c>
      <c r="O301" s="122">
        <f>+[6]INVERSIÓN!M25</f>
        <v>0</v>
      </c>
      <c r="P301" s="122" t="e">
        <f>+[4]INVERSIÓN!O25</f>
        <v>#REF!</v>
      </c>
      <c r="Q301" s="122" t="e">
        <f>+[4]INVERSIÓN!Q25</f>
        <v>#REF!</v>
      </c>
      <c r="R301" s="194" t="e">
        <f>+[4]INVERSIÓN!S25</f>
        <v>#REF!</v>
      </c>
      <c r="S301" s="1119"/>
      <c r="T301" s="123">
        <f>+[5]INVERSIÓN!W25</f>
        <v>3718400</v>
      </c>
      <c r="U301" s="123">
        <f>+[5]INVERSIÓN!DR25</f>
        <v>3718400</v>
      </c>
      <c r="V301" s="123" t="e">
        <f>+#REF!</f>
        <v>#REF!</v>
      </c>
      <c r="W301" s="124" t="e">
        <f>+#REF!</f>
        <v>#REF!</v>
      </c>
      <c r="X301" s="139"/>
      <c r="Y301" s="139"/>
      <c r="Z301" s="126">
        <f>+[6]INVERSIÓN!J25</f>
        <v>0</v>
      </c>
      <c r="AA301" s="126">
        <f>+[6]INVERSIÓN!DX25</f>
        <v>0</v>
      </c>
      <c r="AB301" s="195">
        <f>+[6]INVERSIÓN!DY25</f>
        <v>0</v>
      </c>
      <c r="AC301" s="129" t="e">
        <f>+[4]INVERSIÓN!P25</f>
        <v>#REF!</v>
      </c>
      <c r="AD301" s="177" t="e">
        <f>+[4]INVERSIÓN!R25</f>
        <v>#REF!</v>
      </c>
      <c r="AE301" s="196" t="e">
        <f>+[4]INVERSIÓN!EB25</f>
        <v>#REF!</v>
      </c>
      <c r="AF301" s="1122"/>
      <c r="AG301" s="825"/>
      <c r="AH301" s="778"/>
      <c r="AI301" s="778"/>
      <c r="AJ301" s="778"/>
      <c r="AK301" s="775"/>
      <c r="AL301" s="775"/>
      <c r="AM301" s="775"/>
      <c r="AN301" s="808"/>
      <c r="AO301" s="797"/>
      <c r="AP301" s="797"/>
      <c r="AQ301" s="795"/>
      <c r="AR301" s="795"/>
      <c r="AS301" s="795"/>
      <c r="AT301" s="795"/>
      <c r="AU301" s="795"/>
      <c r="AV301" s="795"/>
      <c r="AW301" s="795"/>
      <c r="AX301" s="797"/>
      <c r="AY301" s="876"/>
    </row>
    <row r="302" spans="1:51" ht="27" x14ac:dyDescent="0.25">
      <c r="A302" s="815"/>
      <c r="B302" s="1043"/>
      <c r="C302" s="838"/>
      <c r="D302" s="136" t="s">
        <v>43</v>
      </c>
      <c r="E302" s="192" t="e">
        <f>+[4]INVERSIÓN!U26</f>
        <v>#REF!</v>
      </c>
      <c r="F302" s="193" t="e">
        <f>+[4]INVERSIÓN!V26</f>
        <v>#REF!</v>
      </c>
      <c r="G302" s="119">
        <f>+[5]INVERSIÓN!V26</f>
        <v>3500</v>
      </c>
      <c r="H302" s="119">
        <f>+[5]INVERSIÓN!X26</f>
        <v>3500</v>
      </c>
      <c r="I302" s="119" t="e">
        <f>+#REF!</f>
        <v>#REF!</v>
      </c>
      <c r="J302" s="120" t="e">
        <f>+#REF!</f>
        <v>#REF!</v>
      </c>
      <c r="K302" s="137"/>
      <c r="L302" s="138"/>
      <c r="M302" s="122" t="e">
        <f t="shared" si="22"/>
        <v>#REF!</v>
      </c>
      <c r="N302" s="120">
        <f>+[6]INVERSIÓN!K26</f>
        <v>2500</v>
      </c>
      <c r="O302" s="122">
        <f>+[6]INVERSIÓN!M26</f>
        <v>2500</v>
      </c>
      <c r="P302" s="122" t="e">
        <f>+[4]INVERSIÓN!O26</f>
        <v>#REF!</v>
      </c>
      <c r="Q302" s="122" t="e">
        <f>+[4]INVERSIÓN!Q26</f>
        <v>#REF!</v>
      </c>
      <c r="R302" s="194" t="e">
        <f>+[4]INVERSIÓN!S26</f>
        <v>#REF!</v>
      </c>
      <c r="S302" s="1119"/>
      <c r="T302" s="123">
        <f>+[5]INVERSIÓN!W26</f>
        <v>246</v>
      </c>
      <c r="U302" s="123">
        <f>+[5]INVERSIÓN!DR26</f>
        <v>547</v>
      </c>
      <c r="V302" s="123" t="e">
        <f>+#REF!</f>
        <v>#REF!</v>
      </c>
      <c r="W302" s="124" t="e">
        <f>+#REF!</f>
        <v>#REF!</v>
      </c>
      <c r="X302" s="139"/>
      <c r="Y302" s="139"/>
      <c r="Z302" s="126">
        <f>+[6]INVERSIÓN!J26</f>
        <v>0</v>
      </c>
      <c r="AA302" s="126">
        <f>+[6]INVERSIÓN!DX26</f>
        <v>741</v>
      </c>
      <c r="AB302" s="195">
        <f>+[6]INVERSIÓN!DY26</f>
        <v>1257</v>
      </c>
      <c r="AC302" s="129" t="e">
        <f>+[4]INVERSIÓN!P26</f>
        <v>#REF!</v>
      </c>
      <c r="AD302" s="177" t="e">
        <f>+[4]INVERSIÓN!R26</f>
        <v>#REF!</v>
      </c>
      <c r="AE302" s="196" t="e">
        <f>+[4]INVERSIÓN!EB26</f>
        <v>#REF!</v>
      </c>
      <c r="AF302" s="1122"/>
      <c r="AG302" s="825"/>
      <c r="AH302" s="778"/>
      <c r="AI302" s="778"/>
      <c r="AJ302" s="778"/>
      <c r="AK302" s="775"/>
      <c r="AL302" s="775"/>
      <c r="AM302" s="775"/>
      <c r="AN302" s="808"/>
      <c r="AO302" s="797"/>
      <c r="AP302" s="797"/>
      <c r="AQ302" s="795"/>
      <c r="AR302" s="795"/>
      <c r="AS302" s="795"/>
      <c r="AT302" s="795"/>
      <c r="AU302" s="795"/>
      <c r="AV302" s="795"/>
      <c r="AW302" s="795"/>
      <c r="AX302" s="797"/>
      <c r="AY302" s="876"/>
    </row>
    <row r="303" spans="1:51" ht="27.75" thickBot="1" x14ac:dyDescent="0.3">
      <c r="A303" s="815"/>
      <c r="B303" s="1043"/>
      <c r="C303" s="838"/>
      <c r="D303" s="140" t="s">
        <v>45</v>
      </c>
      <c r="E303" s="192" t="e">
        <f>+[4]INVERSIÓN!U27</f>
        <v>#REF!</v>
      </c>
      <c r="F303" s="193" t="e">
        <f>+[4]INVERSIÓN!V27</f>
        <v>#REF!</v>
      </c>
      <c r="G303" s="119">
        <f>+[5]INVERSIÓN!V27</f>
        <v>38003400</v>
      </c>
      <c r="H303" s="119">
        <f>+[5]INVERSIÓN!X27</f>
        <v>38003400</v>
      </c>
      <c r="I303" s="119" t="e">
        <f>+#REF!</f>
        <v>#REF!</v>
      </c>
      <c r="J303" s="120" t="e">
        <f>+#REF!</f>
        <v>#REF!</v>
      </c>
      <c r="K303" s="137"/>
      <c r="L303" s="138"/>
      <c r="M303" s="122" t="e">
        <f t="shared" si="22"/>
        <v>#REF!</v>
      </c>
      <c r="N303" s="120">
        <f>+[6]INVERSIÓN!K27</f>
        <v>24546000</v>
      </c>
      <c r="O303" s="122">
        <f>+[6]INVERSIÓN!M27</f>
        <v>24546000</v>
      </c>
      <c r="P303" s="122" t="e">
        <f>+[4]INVERSIÓN!O27</f>
        <v>#REF!</v>
      </c>
      <c r="Q303" s="122" t="e">
        <f>+[4]INVERSIÓN!Q27</f>
        <v>#REF!</v>
      </c>
      <c r="R303" s="194" t="e">
        <f>+[4]INVERSIÓN!S27</f>
        <v>#REF!</v>
      </c>
      <c r="S303" s="1120"/>
      <c r="T303" s="123">
        <f>+[5]INVERSIÓN!W27</f>
        <v>3718400</v>
      </c>
      <c r="U303" s="123">
        <f>+[5]INVERSIÓN!DR27</f>
        <v>30918400</v>
      </c>
      <c r="V303" s="123" t="e">
        <f>+#REF!</f>
        <v>#REF!</v>
      </c>
      <c r="W303" s="124" t="e">
        <f>+#REF!</f>
        <v>#REF!</v>
      </c>
      <c r="X303" s="139"/>
      <c r="Y303" s="139"/>
      <c r="Z303" s="126">
        <f>+[6]INVERSIÓN!J27</f>
        <v>0</v>
      </c>
      <c r="AA303" s="126">
        <f>+[6]INVERSIÓN!DX27</f>
        <v>10624000</v>
      </c>
      <c r="AB303" s="195">
        <f>+[6]INVERSIÓN!DY27</f>
        <v>10624000</v>
      </c>
      <c r="AC303" s="129" t="e">
        <f>+[4]INVERSIÓN!P27</f>
        <v>#REF!</v>
      </c>
      <c r="AD303" s="177" t="e">
        <f>+[4]INVERSIÓN!R27</f>
        <v>#REF!</v>
      </c>
      <c r="AE303" s="196" t="e">
        <f>+[4]INVERSIÓN!EB27</f>
        <v>#REF!</v>
      </c>
      <c r="AF303" s="1122"/>
      <c r="AG303" s="826"/>
      <c r="AH303" s="779"/>
      <c r="AI303" s="779"/>
      <c r="AJ303" s="779"/>
      <c r="AK303" s="776"/>
      <c r="AL303" s="776"/>
      <c r="AM303" s="776"/>
      <c r="AN303" s="808"/>
      <c r="AO303" s="798"/>
      <c r="AP303" s="798"/>
      <c r="AQ303" s="795"/>
      <c r="AR303" s="795"/>
      <c r="AS303" s="795"/>
      <c r="AT303" s="795"/>
      <c r="AU303" s="795"/>
      <c r="AV303" s="795"/>
      <c r="AW303" s="795"/>
      <c r="AX303" s="798"/>
      <c r="AY303" s="876"/>
    </row>
    <row r="304" spans="1:51" ht="19.350000000000001" hidden="1" customHeight="1" x14ac:dyDescent="0.25">
      <c r="A304" s="815"/>
      <c r="B304" s="1043"/>
      <c r="C304" s="838" t="s">
        <v>319</v>
      </c>
      <c r="D304" s="141" t="s">
        <v>41</v>
      </c>
      <c r="E304" s="142"/>
      <c r="F304" s="143"/>
      <c r="G304" s="144"/>
      <c r="H304" s="144"/>
      <c r="I304" s="144"/>
      <c r="J304" s="138"/>
      <c r="K304" s="137"/>
      <c r="L304" s="138"/>
      <c r="M304" s="138"/>
      <c r="N304" s="138"/>
      <c r="O304" s="138"/>
      <c r="P304" s="138"/>
      <c r="Q304" s="138"/>
      <c r="R304" s="147"/>
      <c r="S304" s="139"/>
      <c r="T304" s="148"/>
      <c r="U304" s="148"/>
      <c r="V304" s="148"/>
      <c r="W304" s="146"/>
      <c r="X304" s="139"/>
      <c r="Y304" s="139"/>
      <c r="Z304" s="139"/>
      <c r="AA304" s="165"/>
      <c r="AB304" s="151"/>
      <c r="AC304" s="129"/>
      <c r="AD304" s="177">
        <f>+[5]INVERSIÓN!R28</f>
        <v>0.04</v>
      </c>
      <c r="AE304" s="152"/>
      <c r="AF304" s="158"/>
      <c r="AG304" s="771" t="s">
        <v>319</v>
      </c>
      <c r="AH304" s="774" t="s">
        <v>350</v>
      </c>
      <c r="AI304" s="774" t="s">
        <v>350</v>
      </c>
      <c r="AJ304" s="774" t="s">
        <v>350</v>
      </c>
      <c r="AK304" s="774" t="s">
        <v>315</v>
      </c>
      <c r="AL304" s="774" t="s">
        <v>70</v>
      </c>
      <c r="AM304" s="774" t="s">
        <v>480</v>
      </c>
      <c r="AN304" s="807">
        <v>475275</v>
      </c>
      <c r="AO304" s="808">
        <v>255912</v>
      </c>
      <c r="AP304" s="808">
        <v>300846</v>
      </c>
      <c r="AQ304" s="806" t="s">
        <v>317</v>
      </c>
      <c r="AR304" s="806" t="s">
        <v>317</v>
      </c>
      <c r="AS304" s="806" t="s">
        <v>317</v>
      </c>
      <c r="AT304" s="806" t="s">
        <v>317</v>
      </c>
      <c r="AU304" s="795" t="s">
        <v>317</v>
      </c>
      <c r="AV304" s="795" t="s">
        <v>317</v>
      </c>
      <c r="AW304" s="795" t="s">
        <v>317</v>
      </c>
      <c r="AX304" s="796">
        <v>475275</v>
      </c>
      <c r="AY304" s="876"/>
    </row>
    <row r="305" spans="1:51" ht="18.75" hidden="1" customHeight="1" thickBot="1" x14ac:dyDescent="0.3">
      <c r="A305" s="815"/>
      <c r="B305" s="1043"/>
      <c r="C305" s="838"/>
      <c r="D305" s="132" t="s">
        <v>3</v>
      </c>
      <c r="E305" s="142"/>
      <c r="F305" s="143"/>
      <c r="G305" s="144"/>
      <c r="H305" s="144"/>
      <c r="I305" s="144"/>
      <c r="J305" s="138"/>
      <c r="K305" s="137"/>
      <c r="L305" s="138"/>
      <c r="M305" s="138"/>
      <c r="N305" s="138"/>
      <c r="O305" s="138"/>
      <c r="P305" s="138"/>
      <c r="Q305" s="138"/>
      <c r="R305" s="147"/>
      <c r="S305" s="139"/>
      <c r="T305" s="148"/>
      <c r="U305" s="148"/>
      <c r="V305" s="148"/>
      <c r="W305" s="146"/>
      <c r="X305" s="139"/>
      <c r="Y305" s="139"/>
      <c r="Z305" s="139"/>
      <c r="AA305" s="165"/>
      <c r="AB305" s="151"/>
      <c r="AC305" s="129"/>
      <c r="AD305" s="177">
        <f>+[5]INVERSIÓN!R29</f>
        <v>69812000</v>
      </c>
      <c r="AE305" s="152"/>
      <c r="AF305" s="158"/>
      <c r="AG305" s="772"/>
      <c r="AH305" s="775"/>
      <c r="AI305" s="775"/>
      <c r="AJ305" s="775"/>
      <c r="AK305" s="775"/>
      <c r="AL305" s="775"/>
      <c r="AM305" s="775"/>
      <c r="AN305" s="807"/>
      <c r="AO305" s="808"/>
      <c r="AP305" s="808"/>
      <c r="AQ305" s="806"/>
      <c r="AR305" s="806"/>
      <c r="AS305" s="806"/>
      <c r="AT305" s="806"/>
      <c r="AU305" s="795"/>
      <c r="AV305" s="795"/>
      <c r="AW305" s="795"/>
      <c r="AX305" s="797"/>
      <c r="AY305" s="876"/>
    </row>
    <row r="306" spans="1:51" ht="27.75" hidden="1" customHeight="1" thickBot="1" x14ac:dyDescent="0.3">
      <c r="A306" s="815"/>
      <c r="B306" s="1043"/>
      <c r="C306" s="838"/>
      <c r="D306" s="136" t="s">
        <v>42</v>
      </c>
      <c r="E306" s="142"/>
      <c r="F306" s="143"/>
      <c r="G306" s="144"/>
      <c r="H306" s="144"/>
      <c r="I306" s="144"/>
      <c r="J306" s="138"/>
      <c r="K306" s="137"/>
      <c r="L306" s="138"/>
      <c r="M306" s="138"/>
      <c r="N306" s="138"/>
      <c r="O306" s="138"/>
      <c r="P306" s="138"/>
      <c r="Q306" s="138"/>
      <c r="R306" s="147"/>
      <c r="S306" s="139"/>
      <c r="T306" s="148"/>
      <c r="U306" s="148"/>
      <c r="V306" s="148"/>
      <c r="W306" s="146"/>
      <c r="X306" s="139"/>
      <c r="Y306" s="139"/>
      <c r="Z306" s="139"/>
      <c r="AA306" s="165"/>
      <c r="AB306" s="151"/>
      <c r="AC306" s="129"/>
      <c r="AD306" s="177" t="e">
        <f>+[5]INVERSIÓN!R30</f>
        <v>#REF!</v>
      </c>
      <c r="AE306" s="152"/>
      <c r="AF306" s="158"/>
      <c r="AG306" s="772"/>
      <c r="AH306" s="775"/>
      <c r="AI306" s="775"/>
      <c r="AJ306" s="775"/>
      <c r="AK306" s="775"/>
      <c r="AL306" s="775"/>
      <c r="AM306" s="775"/>
      <c r="AN306" s="807"/>
      <c r="AO306" s="808"/>
      <c r="AP306" s="808"/>
      <c r="AQ306" s="806"/>
      <c r="AR306" s="806"/>
      <c r="AS306" s="806"/>
      <c r="AT306" s="806"/>
      <c r="AU306" s="795"/>
      <c r="AV306" s="795"/>
      <c r="AW306" s="795"/>
      <c r="AX306" s="797"/>
      <c r="AY306" s="876"/>
    </row>
    <row r="307" spans="1:51" ht="27.75" hidden="1" customHeight="1" thickBot="1" x14ac:dyDescent="0.3">
      <c r="A307" s="815"/>
      <c r="B307" s="1043"/>
      <c r="C307" s="838"/>
      <c r="D307" s="132" t="s">
        <v>4</v>
      </c>
      <c r="E307" s="142"/>
      <c r="F307" s="143"/>
      <c r="G307" s="144"/>
      <c r="H307" s="144"/>
      <c r="I307" s="144"/>
      <c r="J307" s="138"/>
      <c r="K307" s="137"/>
      <c r="L307" s="138"/>
      <c r="M307" s="138"/>
      <c r="N307" s="138"/>
      <c r="O307" s="138"/>
      <c r="P307" s="138"/>
      <c r="Q307" s="138"/>
      <c r="R307" s="147"/>
      <c r="S307" s="139"/>
      <c r="T307" s="148"/>
      <c r="U307" s="148"/>
      <c r="V307" s="148"/>
      <c r="W307" s="146"/>
      <c r="X307" s="139"/>
      <c r="Y307" s="139"/>
      <c r="Z307" s="139"/>
      <c r="AA307" s="165"/>
      <c r="AB307" s="151"/>
      <c r="AC307" s="129"/>
      <c r="AD307" s="177" t="e">
        <f>+[5]INVERSIÓN!R31</f>
        <v>#REF!</v>
      </c>
      <c r="AE307" s="152"/>
      <c r="AF307" s="158"/>
      <c r="AG307" s="772"/>
      <c r="AH307" s="775"/>
      <c r="AI307" s="775"/>
      <c r="AJ307" s="775"/>
      <c r="AK307" s="775"/>
      <c r="AL307" s="775"/>
      <c r="AM307" s="775"/>
      <c r="AN307" s="807"/>
      <c r="AO307" s="808"/>
      <c r="AP307" s="808"/>
      <c r="AQ307" s="806"/>
      <c r="AR307" s="806"/>
      <c r="AS307" s="806"/>
      <c r="AT307" s="806"/>
      <c r="AU307" s="795"/>
      <c r="AV307" s="795"/>
      <c r="AW307" s="795"/>
      <c r="AX307" s="797"/>
      <c r="AY307" s="876"/>
    </row>
    <row r="308" spans="1:51" ht="27.75" hidden="1" customHeight="1" thickBot="1" x14ac:dyDescent="0.3">
      <c r="A308" s="815"/>
      <c r="B308" s="1043"/>
      <c r="C308" s="838"/>
      <c r="D308" s="136" t="s">
        <v>43</v>
      </c>
      <c r="E308" s="142"/>
      <c r="F308" s="143"/>
      <c r="G308" s="144"/>
      <c r="H308" s="144"/>
      <c r="I308" s="144"/>
      <c r="J308" s="138"/>
      <c r="K308" s="137"/>
      <c r="L308" s="138"/>
      <c r="M308" s="138"/>
      <c r="N308" s="138"/>
      <c r="O308" s="138"/>
      <c r="P308" s="138"/>
      <c r="Q308" s="138"/>
      <c r="R308" s="147"/>
      <c r="S308" s="139"/>
      <c r="T308" s="148"/>
      <c r="U308" s="148"/>
      <c r="V308" s="148"/>
      <c r="W308" s="146"/>
      <c r="X308" s="139"/>
      <c r="Y308" s="139"/>
      <c r="Z308" s="139"/>
      <c r="AA308" s="165"/>
      <c r="AB308" s="151"/>
      <c r="AC308" s="129"/>
      <c r="AD308" s="177">
        <f>+[5]INVERSIÓN!R32</f>
        <v>0.04</v>
      </c>
      <c r="AE308" s="152"/>
      <c r="AF308" s="158"/>
      <c r="AG308" s="772"/>
      <c r="AH308" s="775"/>
      <c r="AI308" s="775"/>
      <c r="AJ308" s="775"/>
      <c r="AK308" s="775"/>
      <c r="AL308" s="775"/>
      <c r="AM308" s="775"/>
      <c r="AN308" s="807"/>
      <c r="AO308" s="808"/>
      <c r="AP308" s="808"/>
      <c r="AQ308" s="806"/>
      <c r="AR308" s="806"/>
      <c r="AS308" s="806"/>
      <c r="AT308" s="806"/>
      <c r="AU308" s="795"/>
      <c r="AV308" s="795"/>
      <c r="AW308" s="795"/>
      <c r="AX308" s="797"/>
      <c r="AY308" s="876"/>
    </row>
    <row r="309" spans="1:51" ht="27.75" hidden="1" customHeight="1" thickBot="1" x14ac:dyDescent="0.3">
      <c r="A309" s="815"/>
      <c r="B309" s="1043"/>
      <c r="C309" s="838"/>
      <c r="D309" s="140" t="s">
        <v>45</v>
      </c>
      <c r="E309" s="142"/>
      <c r="F309" s="143"/>
      <c r="G309" s="144"/>
      <c r="H309" s="144"/>
      <c r="I309" s="144"/>
      <c r="J309" s="138"/>
      <c r="K309" s="137"/>
      <c r="L309" s="138"/>
      <c r="M309" s="138"/>
      <c r="N309" s="138"/>
      <c r="O309" s="138"/>
      <c r="P309" s="138"/>
      <c r="Q309" s="138"/>
      <c r="R309" s="147"/>
      <c r="S309" s="139"/>
      <c r="T309" s="148"/>
      <c r="U309" s="148"/>
      <c r="V309" s="148"/>
      <c r="W309" s="146"/>
      <c r="X309" s="139"/>
      <c r="Y309" s="139"/>
      <c r="Z309" s="139"/>
      <c r="AA309" s="165"/>
      <c r="AB309" s="151"/>
      <c r="AC309" s="129"/>
      <c r="AD309" s="177">
        <f>+[5]INVERSIÓN!R33</f>
        <v>69812000</v>
      </c>
      <c r="AE309" s="152"/>
      <c r="AF309" s="158"/>
      <c r="AG309" s="773"/>
      <c r="AH309" s="776"/>
      <c r="AI309" s="776"/>
      <c r="AJ309" s="776"/>
      <c r="AK309" s="776"/>
      <c r="AL309" s="776"/>
      <c r="AM309" s="776"/>
      <c r="AN309" s="807"/>
      <c r="AO309" s="808"/>
      <c r="AP309" s="808"/>
      <c r="AQ309" s="806"/>
      <c r="AR309" s="806"/>
      <c r="AS309" s="806"/>
      <c r="AT309" s="806"/>
      <c r="AU309" s="795"/>
      <c r="AV309" s="795"/>
      <c r="AW309" s="795"/>
      <c r="AX309" s="798"/>
      <c r="AY309" s="876"/>
    </row>
    <row r="310" spans="1:51" ht="19.350000000000001" customHeight="1" x14ac:dyDescent="0.25">
      <c r="A310" s="815"/>
      <c r="B310" s="1043"/>
      <c r="C310" s="1116" t="s">
        <v>482</v>
      </c>
      <c r="D310" s="141" t="s">
        <v>41</v>
      </c>
      <c r="E310" s="142"/>
      <c r="F310" s="143"/>
      <c r="G310" s="144"/>
      <c r="H310" s="144"/>
      <c r="I310" s="144"/>
      <c r="J310" s="138"/>
      <c r="K310" s="160">
        <v>320</v>
      </c>
      <c r="L310" s="160"/>
      <c r="M310" s="160"/>
      <c r="N310" s="160">
        <v>587</v>
      </c>
      <c r="O310" s="197">
        <v>1103</v>
      </c>
      <c r="P310" s="160">
        <v>1103</v>
      </c>
      <c r="Q310" s="160">
        <v>1231</v>
      </c>
      <c r="R310" s="198">
        <v>1421</v>
      </c>
      <c r="S310" s="161"/>
      <c r="T310" s="144"/>
      <c r="U310" s="144"/>
      <c r="V310" s="148"/>
      <c r="W310" s="146"/>
      <c r="X310" s="199">
        <v>320</v>
      </c>
      <c r="Y310" s="139"/>
      <c r="Z310" s="139"/>
      <c r="AA310" s="165">
        <v>587</v>
      </c>
      <c r="AB310" s="200">
        <v>1103</v>
      </c>
      <c r="AC310" s="129">
        <v>1103</v>
      </c>
      <c r="AD310" s="137">
        <v>1231</v>
      </c>
      <c r="AE310" s="152">
        <v>1421</v>
      </c>
      <c r="AF310" s="1117" t="s">
        <v>483</v>
      </c>
      <c r="AG310" s="771" t="s">
        <v>484</v>
      </c>
      <c r="AH310" s="774" t="s">
        <v>485</v>
      </c>
      <c r="AI310" s="774" t="s">
        <v>486</v>
      </c>
      <c r="AJ310" s="777"/>
      <c r="AK310" s="774" t="s">
        <v>315</v>
      </c>
      <c r="AL310" s="774" t="s">
        <v>70</v>
      </c>
      <c r="AM310" s="774" t="s">
        <v>480</v>
      </c>
      <c r="AN310" s="807">
        <v>163231</v>
      </c>
      <c r="AO310" s="808">
        <v>77499</v>
      </c>
      <c r="AP310" s="808">
        <v>85731</v>
      </c>
      <c r="AQ310" s="806" t="s">
        <v>317</v>
      </c>
      <c r="AR310" s="806" t="s">
        <v>317</v>
      </c>
      <c r="AS310" s="806" t="s">
        <v>317</v>
      </c>
      <c r="AT310" s="806" t="s">
        <v>317</v>
      </c>
      <c r="AU310" s="795" t="s">
        <v>317</v>
      </c>
      <c r="AV310" s="795" t="s">
        <v>317</v>
      </c>
      <c r="AW310" s="795" t="s">
        <v>317</v>
      </c>
      <c r="AX310" s="796">
        <v>163231</v>
      </c>
      <c r="AY310" s="876"/>
    </row>
    <row r="311" spans="1:51" ht="18" x14ac:dyDescent="0.25">
      <c r="A311" s="815"/>
      <c r="B311" s="1043"/>
      <c r="C311" s="1116"/>
      <c r="D311" s="132" t="s">
        <v>3</v>
      </c>
      <c r="E311" s="142"/>
      <c r="F311" s="143"/>
      <c r="G311" s="144"/>
      <c r="H311" s="144"/>
      <c r="I311" s="144"/>
      <c r="J311" s="138"/>
      <c r="K311" s="160"/>
      <c r="L311" s="160"/>
      <c r="M311" s="160"/>
      <c r="N311" s="160">
        <f>+N310*$N$299/$N$298</f>
        <v>5763400.7999999998</v>
      </c>
      <c r="O311" s="160">
        <f>+O310*$O$299/$O$298</f>
        <v>10829695.199999999</v>
      </c>
      <c r="P311" s="160" t="e">
        <f>+P310*$P$299/$P$298</f>
        <v>#REF!</v>
      </c>
      <c r="Q311" s="160" t="e">
        <f>+Q310*$Q$299/$Q$298</f>
        <v>#REF!</v>
      </c>
      <c r="R311" s="160" t="e">
        <f>+R310*$R$299/$R$298</f>
        <v>#REF!</v>
      </c>
      <c r="S311" s="161"/>
      <c r="T311" s="144"/>
      <c r="U311" s="144"/>
      <c r="V311" s="144"/>
      <c r="W311" s="138"/>
      <c r="X311" s="139"/>
      <c r="Y311" s="139"/>
      <c r="Z311" s="139"/>
      <c r="AA311" s="137">
        <f>+AA310*$AA$299/$AA$298</f>
        <v>8416043.1848852895</v>
      </c>
      <c r="AB311" s="137">
        <f>+AB310*$AB$299/$AB$298</f>
        <v>9322412.0922832135</v>
      </c>
      <c r="AC311" s="137" t="e">
        <f>+AC310*$AC$299/$AC$298</f>
        <v>#REF!</v>
      </c>
      <c r="AD311" s="137" t="e">
        <f>+AD310*$AD$299/$AD$298</f>
        <v>#REF!</v>
      </c>
      <c r="AE311" s="137" t="e">
        <f>+AE310*$AE$299/$AE$298</f>
        <v>#REF!</v>
      </c>
      <c r="AF311" s="1117"/>
      <c r="AG311" s="772"/>
      <c r="AH311" s="775"/>
      <c r="AI311" s="775"/>
      <c r="AJ311" s="778"/>
      <c r="AK311" s="775"/>
      <c r="AL311" s="775"/>
      <c r="AM311" s="775"/>
      <c r="AN311" s="807"/>
      <c r="AO311" s="808"/>
      <c r="AP311" s="808"/>
      <c r="AQ311" s="806"/>
      <c r="AR311" s="806"/>
      <c r="AS311" s="806"/>
      <c r="AT311" s="806"/>
      <c r="AU311" s="795"/>
      <c r="AV311" s="795"/>
      <c r="AW311" s="795"/>
      <c r="AX311" s="797"/>
      <c r="AY311" s="876"/>
    </row>
    <row r="312" spans="1:51" ht="27" x14ac:dyDescent="0.25">
      <c r="A312" s="815"/>
      <c r="B312" s="1043"/>
      <c r="C312" s="1116"/>
      <c r="D312" s="136" t="s">
        <v>42</v>
      </c>
      <c r="E312" s="142"/>
      <c r="F312" s="143"/>
      <c r="G312" s="144"/>
      <c r="H312" s="144"/>
      <c r="I312" s="144"/>
      <c r="J312" s="138"/>
      <c r="K312" s="160"/>
      <c r="L312" s="160"/>
      <c r="M312" s="160"/>
      <c r="N312" s="160"/>
      <c r="O312" s="160"/>
      <c r="P312" s="160"/>
      <c r="Q312" s="160"/>
      <c r="R312" s="198"/>
      <c r="S312" s="161"/>
      <c r="T312" s="148"/>
      <c r="U312" s="144"/>
      <c r="V312" s="148"/>
      <c r="W312" s="146"/>
      <c r="X312" s="139"/>
      <c r="Y312" s="139"/>
      <c r="Z312" s="139"/>
      <c r="AA312" s="165"/>
      <c r="AB312" s="151"/>
      <c r="AC312" s="129"/>
      <c r="AD312" s="137"/>
      <c r="AE312" s="152"/>
      <c r="AF312" s="1117"/>
      <c r="AG312" s="772"/>
      <c r="AH312" s="775"/>
      <c r="AI312" s="775"/>
      <c r="AJ312" s="778"/>
      <c r="AK312" s="775"/>
      <c r="AL312" s="775"/>
      <c r="AM312" s="775"/>
      <c r="AN312" s="807"/>
      <c r="AO312" s="808"/>
      <c r="AP312" s="808"/>
      <c r="AQ312" s="806"/>
      <c r="AR312" s="806"/>
      <c r="AS312" s="806"/>
      <c r="AT312" s="806"/>
      <c r="AU312" s="795"/>
      <c r="AV312" s="795"/>
      <c r="AW312" s="795"/>
      <c r="AX312" s="797"/>
      <c r="AY312" s="876"/>
    </row>
    <row r="313" spans="1:51" ht="27" x14ac:dyDescent="0.25">
      <c r="A313" s="815"/>
      <c r="B313" s="1043"/>
      <c r="C313" s="1116"/>
      <c r="D313" s="132" t="s">
        <v>4</v>
      </c>
      <c r="E313" s="142"/>
      <c r="F313" s="143"/>
      <c r="G313" s="144"/>
      <c r="H313" s="144"/>
      <c r="I313" s="144"/>
      <c r="J313" s="138"/>
      <c r="K313" s="160"/>
      <c r="L313" s="160"/>
      <c r="M313" s="160"/>
      <c r="N313" s="160"/>
      <c r="O313" s="160"/>
      <c r="P313" s="160"/>
      <c r="Q313" s="160"/>
      <c r="R313" s="198"/>
      <c r="S313" s="161"/>
      <c r="T313" s="144"/>
      <c r="U313" s="144"/>
      <c r="V313" s="148"/>
      <c r="W313" s="146"/>
      <c r="X313" s="139"/>
      <c r="Y313" s="139"/>
      <c r="Z313" s="139"/>
      <c r="AA313" s="165"/>
      <c r="AB313" s="151"/>
      <c r="AC313" s="129"/>
      <c r="AD313" s="137"/>
      <c r="AE313" s="152"/>
      <c r="AF313" s="1117"/>
      <c r="AG313" s="772"/>
      <c r="AH313" s="775"/>
      <c r="AI313" s="775"/>
      <c r="AJ313" s="778"/>
      <c r="AK313" s="775"/>
      <c r="AL313" s="775"/>
      <c r="AM313" s="775"/>
      <c r="AN313" s="807"/>
      <c r="AO313" s="808"/>
      <c r="AP313" s="808"/>
      <c r="AQ313" s="806"/>
      <c r="AR313" s="806"/>
      <c r="AS313" s="806"/>
      <c r="AT313" s="806"/>
      <c r="AU313" s="795"/>
      <c r="AV313" s="795"/>
      <c r="AW313" s="795"/>
      <c r="AX313" s="797"/>
      <c r="AY313" s="876"/>
    </row>
    <row r="314" spans="1:51" ht="27" x14ac:dyDescent="0.25">
      <c r="A314" s="815"/>
      <c r="B314" s="1043"/>
      <c r="C314" s="1116"/>
      <c r="D314" s="136" t="s">
        <v>43</v>
      </c>
      <c r="E314" s="142"/>
      <c r="F314" s="143"/>
      <c r="G314" s="144"/>
      <c r="H314" s="144"/>
      <c r="I314" s="144"/>
      <c r="J314" s="138"/>
      <c r="K314" s="160"/>
      <c r="L314" s="160"/>
      <c r="M314" s="160"/>
      <c r="N314" s="160"/>
      <c r="O314" s="160">
        <f>+O310</f>
        <v>1103</v>
      </c>
      <c r="P314" s="160">
        <v>1103</v>
      </c>
      <c r="Q314" s="160">
        <v>1231</v>
      </c>
      <c r="R314" s="198">
        <v>1421</v>
      </c>
      <c r="S314" s="161"/>
      <c r="T314" s="148"/>
      <c r="U314" s="144"/>
      <c r="V314" s="148"/>
      <c r="W314" s="146"/>
      <c r="X314" s="139"/>
      <c r="Y314" s="139"/>
      <c r="Z314" s="139"/>
      <c r="AA314" s="165"/>
      <c r="AB314" s="137">
        <f>+AB310</f>
        <v>1103</v>
      </c>
      <c r="AC314" s="129">
        <v>1103</v>
      </c>
      <c r="AD314" s="137">
        <v>1231</v>
      </c>
      <c r="AE314" s="152">
        <v>1421</v>
      </c>
      <c r="AF314" s="1117"/>
      <c r="AG314" s="772"/>
      <c r="AH314" s="775"/>
      <c r="AI314" s="775"/>
      <c r="AJ314" s="778"/>
      <c r="AK314" s="775"/>
      <c r="AL314" s="775"/>
      <c r="AM314" s="775"/>
      <c r="AN314" s="807"/>
      <c r="AO314" s="808"/>
      <c r="AP314" s="808"/>
      <c r="AQ314" s="806"/>
      <c r="AR314" s="806"/>
      <c r="AS314" s="806"/>
      <c r="AT314" s="806"/>
      <c r="AU314" s="795"/>
      <c r="AV314" s="795"/>
      <c r="AW314" s="795"/>
      <c r="AX314" s="797"/>
      <c r="AY314" s="876"/>
    </row>
    <row r="315" spans="1:51" ht="27.75" thickBot="1" x14ac:dyDescent="0.3">
      <c r="A315" s="815"/>
      <c r="B315" s="1043"/>
      <c r="C315" s="1116"/>
      <c r="D315" s="140" t="s">
        <v>45</v>
      </c>
      <c r="E315" s="142"/>
      <c r="F315" s="143"/>
      <c r="G315" s="144"/>
      <c r="H315" s="144"/>
      <c r="I315" s="144"/>
      <c r="J315" s="138"/>
      <c r="K315" s="160"/>
      <c r="L315" s="160"/>
      <c r="M315" s="160"/>
      <c r="N315" s="160"/>
      <c r="O315" s="160">
        <f>+O311</f>
        <v>10829695.199999999</v>
      </c>
      <c r="P315" s="160" t="e">
        <f>+P314*$P$299/$P$298</f>
        <v>#REF!</v>
      </c>
      <c r="Q315" s="160" t="e">
        <f>+Q314*$Q$299/$Q$298</f>
        <v>#REF!</v>
      </c>
      <c r="R315" s="160" t="e">
        <f>+R314*$R$299/$R$298</f>
        <v>#REF!</v>
      </c>
      <c r="S315" s="161"/>
      <c r="T315" s="148"/>
      <c r="U315" s="144"/>
      <c r="V315" s="144"/>
      <c r="W315" s="138"/>
      <c r="X315" s="139"/>
      <c r="Y315" s="139"/>
      <c r="Z315" s="139"/>
      <c r="AA315" s="165"/>
      <c r="AB315" s="137">
        <f>+AB311</f>
        <v>9322412.0922832135</v>
      </c>
      <c r="AC315" s="137" t="e">
        <f>+AC314*$AC$299/$AC$298</f>
        <v>#REF!</v>
      </c>
      <c r="AD315" s="137" t="e">
        <f>+AD314*$AD$299/$AD$298</f>
        <v>#REF!</v>
      </c>
      <c r="AE315" s="137" t="e">
        <f>+AE314*$AE$299/$AE$298</f>
        <v>#REF!</v>
      </c>
      <c r="AF315" s="1117"/>
      <c r="AG315" s="773"/>
      <c r="AH315" s="776"/>
      <c r="AI315" s="776"/>
      <c r="AJ315" s="779"/>
      <c r="AK315" s="776"/>
      <c r="AL315" s="776"/>
      <c r="AM315" s="776"/>
      <c r="AN315" s="807"/>
      <c r="AO315" s="808"/>
      <c r="AP315" s="808"/>
      <c r="AQ315" s="806"/>
      <c r="AR315" s="806"/>
      <c r="AS315" s="806"/>
      <c r="AT315" s="806"/>
      <c r="AU315" s="795"/>
      <c r="AV315" s="795"/>
      <c r="AW315" s="795"/>
      <c r="AX315" s="798"/>
      <c r="AY315" s="876"/>
    </row>
    <row r="316" spans="1:51" ht="19.350000000000001" customHeight="1" x14ac:dyDescent="0.25">
      <c r="A316" s="815"/>
      <c r="B316" s="1043"/>
      <c r="C316" s="818" t="s">
        <v>487</v>
      </c>
      <c r="D316" s="141" t="s">
        <v>41</v>
      </c>
      <c r="E316" s="142"/>
      <c r="F316" s="143"/>
      <c r="G316" s="144"/>
      <c r="H316" s="144">
        <v>216</v>
      </c>
      <c r="I316" s="144">
        <v>216</v>
      </c>
      <c r="J316" s="138">
        <v>216</v>
      </c>
      <c r="K316" s="160">
        <v>216</v>
      </c>
      <c r="L316" s="138"/>
      <c r="M316" s="138"/>
      <c r="N316" s="138">
        <v>587</v>
      </c>
      <c r="O316" s="201">
        <v>1103</v>
      </c>
      <c r="P316" s="138">
        <v>1103</v>
      </c>
      <c r="Q316" s="138">
        <v>1231</v>
      </c>
      <c r="R316" s="147">
        <v>1421</v>
      </c>
      <c r="S316" s="139"/>
      <c r="T316" s="144"/>
      <c r="U316" s="144">
        <v>216</v>
      </c>
      <c r="V316" s="148">
        <v>216</v>
      </c>
      <c r="W316" s="146">
        <v>216</v>
      </c>
      <c r="X316" s="161">
        <v>216</v>
      </c>
      <c r="Y316" s="139"/>
      <c r="Z316" s="139"/>
      <c r="AA316" s="165">
        <v>587</v>
      </c>
      <c r="AB316" s="200">
        <v>1103</v>
      </c>
      <c r="AC316" s="129">
        <v>1103</v>
      </c>
      <c r="AD316" s="137">
        <v>1231</v>
      </c>
      <c r="AE316" s="152">
        <v>1421</v>
      </c>
      <c r="AF316" s="1114" t="s">
        <v>488</v>
      </c>
      <c r="AG316" s="771" t="s">
        <v>484</v>
      </c>
      <c r="AH316" s="774" t="s">
        <v>489</v>
      </c>
      <c r="AI316" s="774" t="s">
        <v>490</v>
      </c>
      <c r="AJ316" s="777" t="s">
        <v>491</v>
      </c>
      <c r="AK316" s="774" t="s">
        <v>315</v>
      </c>
      <c r="AL316" s="774" t="s">
        <v>70</v>
      </c>
      <c r="AM316" s="774" t="s">
        <v>480</v>
      </c>
      <c r="AN316" s="807">
        <v>163231</v>
      </c>
      <c r="AO316" s="808">
        <v>77499</v>
      </c>
      <c r="AP316" s="808">
        <v>85731</v>
      </c>
      <c r="AQ316" s="806" t="s">
        <v>317</v>
      </c>
      <c r="AR316" s="806" t="s">
        <v>317</v>
      </c>
      <c r="AS316" s="806" t="s">
        <v>317</v>
      </c>
      <c r="AT316" s="806" t="s">
        <v>317</v>
      </c>
      <c r="AU316" s="795" t="s">
        <v>317</v>
      </c>
      <c r="AV316" s="795" t="s">
        <v>317</v>
      </c>
      <c r="AW316" s="795" t="s">
        <v>317</v>
      </c>
      <c r="AX316" s="796">
        <v>163231</v>
      </c>
      <c r="AY316" s="876"/>
    </row>
    <row r="317" spans="1:51" ht="18" x14ac:dyDescent="0.25">
      <c r="A317" s="815"/>
      <c r="B317" s="1043"/>
      <c r="C317" s="818"/>
      <c r="D317" s="132" t="s">
        <v>3</v>
      </c>
      <c r="E317" s="142"/>
      <c r="F317" s="143"/>
      <c r="G317" s="144"/>
      <c r="H317" s="144">
        <f>+H316*$H$299/$H$298</f>
        <v>2115874.2857142859</v>
      </c>
      <c r="I317" s="144" t="e">
        <f>+I316*$I$299/$I$298</f>
        <v>#REF!</v>
      </c>
      <c r="J317" s="138" t="e">
        <f>+J316*$J$299/$J$298</f>
        <v>#REF!</v>
      </c>
      <c r="K317" s="137"/>
      <c r="L317" s="138"/>
      <c r="M317" s="138"/>
      <c r="N317" s="138">
        <f>+N316*$N$299/$N$298</f>
        <v>5763400.7999999998</v>
      </c>
      <c r="O317" s="138">
        <f>+O316*$O$299/$O$298</f>
        <v>10829695.199999999</v>
      </c>
      <c r="P317" s="138" t="e">
        <f>+P316*$P$299/$P$298</f>
        <v>#REF!</v>
      </c>
      <c r="Q317" s="138" t="e">
        <f>+Q316*$Q$299/$Q$298</f>
        <v>#REF!</v>
      </c>
      <c r="R317" s="138" t="e">
        <f>+R316*$R$299/$R$298</f>
        <v>#REF!</v>
      </c>
      <c r="S317" s="139"/>
      <c r="T317" s="144"/>
      <c r="U317" s="144">
        <f>+U316*$U$299/$U$298</f>
        <v>10740767.824497258</v>
      </c>
      <c r="V317" s="144" t="e">
        <f>+V316*$V$299/$V$298</f>
        <v>#REF!</v>
      </c>
      <c r="W317" s="138" t="e">
        <f>+W316*$W$299/$W$298</f>
        <v>#REF!</v>
      </c>
      <c r="X317" s="139"/>
      <c r="Y317" s="139"/>
      <c r="Z317" s="139"/>
      <c r="AA317" s="137">
        <f>+AA316*$AA$299/$AA$298</f>
        <v>8416043.1848852895</v>
      </c>
      <c r="AB317" s="137">
        <f>+AB316*$AB$299/$AB$298</f>
        <v>9322412.0922832135</v>
      </c>
      <c r="AC317" s="137" t="e">
        <f>+AC316*$AC$299/$AC$298</f>
        <v>#REF!</v>
      </c>
      <c r="AD317" s="137" t="e">
        <f>+AD316*$AD$299/$AD$298</f>
        <v>#REF!</v>
      </c>
      <c r="AE317" s="137" t="e">
        <f>+AE316*$AE$299/$AE$298</f>
        <v>#REF!</v>
      </c>
      <c r="AF317" s="1114"/>
      <c r="AG317" s="772"/>
      <c r="AH317" s="775"/>
      <c r="AI317" s="775"/>
      <c r="AJ317" s="778"/>
      <c r="AK317" s="775"/>
      <c r="AL317" s="775"/>
      <c r="AM317" s="775"/>
      <c r="AN317" s="807"/>
      <c r="AO317" s="808"/>
      <c r="AP317" s="808"/>
      <c r="AQ317" s="806"/>
      <c r="AR317" s="806"/>
      <c r="AS317" s="806"/>
      <c r="AT317" s="806"/>
      <c r="AU317" s="795"/>
      <c r="AV317" s="795"/>
      <c r="AW317" s="795"/>
      <c r="AX317" s="797"/>
      <c r="AY317" s="876"/>
    </row>
    <row r="318" spans="1:51" ht="27" x14ac:dyDescent="0.25">
      <c r="A318" s="815"/>
      <c r="B318" s="1043"/>
      <c r="C318" s="818"/>
      <c r="D318" s="136" t="s">
        <v>42</v>
      </c>
      <c r="E318" s="142"/>
      <c r="F318" s="143"/>
      <c r="G318" s="144"/>
      <c r="H318" s="144"/>
      <c r="I318" s="144"/>
      <c r="J318" s="138"/>
      <c r="K318" s="137"/>
      <c r="L318" s="138"/>
      <c r="M318" s="138"/>
      <c r="N318" s="138"/>
      <c r="O318" s="138"/>
      <c r="P318" s="138"/>
      <c r="Q318" s="138"/>
      <c r="R318" s="147"/>
      <c r="S318" s="139"/>
      <c r="T318" s="148"/>
      <c r="U318" s="144"/>
      <c r="V318" s="148"/>
      <c r="W318" s="146"/>
      <c r="X318" s="139"/>
      <c r="Y318" s="139"/>
      <c r="Z318" s="139"/>
      <c r="AA318" s="165"/>
      <c r="AB318" s="151"/>
      <c r="AC318" s="129"/>
      <c r="AD318" s="137"/>
      <c r="AE318" s="152"/>
      <c r="AF318" s="1114"/>
      <c r="AG318" s="772"/>
      <c r="AH318" s="775"/>
      <c r="AI318" s="775"/>
      <c r="AJ318" s="778"/>
      <c r="AK318" s="775"/>
      <c r="AL318" s="775"/>
      <c r="AM318" s="775"/>
      <c r="AN318" s="807"/>
      <c r="AO318" s="808"/>
      <c r="AP318" s="808"/>
      <c r="AQ318" s="806"/>
      <c r="AR318" s="806"/>
      <c r="AS318" s="806"/>
      <c r="AT318" s="806"/>
      <c r="AU318" s="795"/>
      <c r="AV318" s="795"/>
      <c r="AW318" s="795"/>
      <c r="AX318" s="797"/>
      <c r="AY318" s="876"/>
    </row>
    <row r="319" spans="1:51" ht="27" x14ac:dyDescent="0.25">
      <c r="A319" s="815"/>
      <c r="B319" s="1043"/>
      <c r="C319" s="818"/>
      <c r="D319" s="132" t="s">
        <v>4</v>
      </c>
      <c r="E319" s="142"/>
      <c r="F319" s="143"/>
      <c r="G319" s="144"/>
      <c r="H319" s="144"/>
      <c r="I319" s="144"/>
      <c r="J319" s="138"/>
      <c r="K319" s="137"/>
      <c r="L319" s="138"/>
      <c r="M319" s="138"/>
      <c r="N319" s="138"/>
      <c r="O319" s="138"/>
      <c r="P319" s="138"/>
      <c r="Q319" s="138"/>
      <c r="R319" s="147"/>
      <c r="S319" s="139"/>
      <c r="T319" s="144"/>
      <c r="U319" s="144"/>
      <c r="V319" s="148"/>
      <c r="W319" s="146"/>
      <c r="X319" s="139"/>
      <c r="Y319" s="139"/>
      <c r="Z319" s="139"/>
      <c r="AA319" s="165"/>
      <c r="AB319" s="151"/>
      <c r="AC319" s="129"/>
      <c r="AD319" s="137"/>
      <c r="AE319" s="152"/>
      <c r="AF319" s="1114"/>
      <c r="AG319" s="772"/>
      <c r="AH319" s="775"/>
      <c r="AI319" s="775"/>
      <c r="AJ319" s="778"/>
      <c r="AK319" s="775"/>
      <c r="AL319" s="775"/>
      <c r="AM319" s="775"/>
      <c r="AN319" s="807"/>
      <c r="AO319" s="808"/>
      <c r="AP319" s="808"/>
      <c r="AQ319" s="806"/>
      <c r="AR319" s="806"/>
      <c r="AS319" s="806"/>
      <c r="AT319" s="806"/>
      <c r="AU319" s="795"/>
      <c r="AV319" s="795"/>
      <c r="AW319" s="795"/>
      <c r="AX319" s="797"/>
      <c r="AY319" s="876"/>
    </row>
    <row r="320" spans="1:51" ht="27" x14ac:dyDescent="0.25">
      <c r="A320" s="815"/>
      <c r="B320" s="1043"/>
      <c r="C320" s="818"/>
      <c r="D320" s="136" t="s">
        <v>43</v>
      </c>
      <c r="E320" s="142"/>
      <c r="F320" s="143"/>
      <c r="G320" s="144"/>
      <c r="H320" s="144">
        <v>216</v>
      </c>
      <c r="I320" s="144">
        <v>216</v>
      </c>
      <c r="J320" s="138">
        <v>216</v>
      </c>
      <c r="K320" s="137"/>
      <c r="L320" s="138"/>
      <c r="M320" s="138"/>
      <c r="N320" s="138"/>
      <c r="O320" s="138">
        <f>+O316</f>
        <v>1103</v>
      </c>
      <c r="P320" s="138">
        <v>1103</v>
      </c>
      <c r="Q320" s="138">
        <v>1231</v>
      </c>
      <c r="R320" s="147">
        <v>1421</v>
      </c>
      <c r="S320" s="139"/>
      <c r="T320" s="148"/>
      <c r="U320" s="144">
        <v>216</v>
      </c>
      <c r="V320" s="148">
        <v>216</v>
      </c>
      <c r="W320" s="146">
        <v>216</v>
      </c>
      <c r="X320" s="139"/>
      <c r="Y320" s="139"/>
      <c r="Z320" s="139"/>
      <c r="AA320" s="165"/>
      <c r="AB320" s="137">
        <f>+AB316</f>
        <v>1103</v>
      </c>
      <c r="AC320" s="129">
        <v>1103</v>
      </c>
      <c r="AD320" s="137">
        <v>1231</v>
      </c>
      <c r="AE320" s="152">
        <v>1421</v>
      </c>
      <c r="AF320" s="1114"/>
      <c r="AG320" s="772"/>
      <c r="AH320" s="775"/>
      <c r="AI320" s="775"/>
      <c r="AJ320" s="778"/>
      <c r="AK320" s="775"/>
      <c r="AL320" s="775"/>
      <c r="AM320" s="775"/>
      <c r="AN320" s="807"/>
      <c r="AO320" s="808"/>
      <c r="AP320" s="808"/>
      <c r="AQ320" s="806"/>
      <c r="AR320" s="806"/>
      <c r="AS320" s="806"/>
      <c r="AT320" s="806"/>
      <c r="AU320" s="795"/>
      <c r="AV320" s="795"/>
      <c r="AW320" s="795"/>
      <c r="AX320" s="797"/>
      <c r="AY320" s="876"/>
    </row>
    <row r="321" spans="1:51" ht="27.75" thickBot="1" x14ac:dyDescent="0.3">
      <c r="A321" s="815"/>
      <c r="B321" s="1043"/>
      <c r="C321" s="818"/>
      <c r="D321" s="140" t="s">
        <v>45</v>
      </c>
      <c r="E321" s="142"/>
      <c r="F321" s="143"/>
      <c r="G321" s="144"/>
      <c r="H321" s="144">
        <f>+H320*$H$299/$H$298</f>
        <v>2115874.2857142859</v>
      </c>
      <c r="I321" s="144" t="e">
        <f>+I320*$I$299/$I$298</f>
        <v>#REF!</v>
      </c>
      <c r="J321" s="138" t="e">
        <f>+J320*$J$299/$J$298</f>
        <v>#REF!</v>
      </c>
      <c r="K321" s="137"/>
      <c r="L321" s="138"/>
      <c r="M321" s="138"/>
      <c r="N321" s="138"/>
      <c r="O321" s="138">
        <f>+O317</f>
        <v>10829695.199999999</v>
      </c>
      <c r="P321" s="138" t="e">
        <f>+P320*$P$299/$P$298</f>
        <v>#REF!</v>
      </c>
      <c r="Q321" s="138" t="e">
        <f>+Q320*$Q$299/$Q$298</f>
        <v>#REF!</v>
      </c>
      <c r="R321" s="138" t="e">
        <f>+R320*$R$299/$R$298</f>
        <v>#REF!</v>
      </c>
      <c r="S321" s="139"/>
      <c r="T321" s="148"/>
      <c r="U321" s="144">
        <f>+U320*$U$299/$U$298</f>
        <v>10740767.824497258</v>
      </c>
      <c r="V321" s="144" t="e">
        <f>+V320*$V$299/$V$298</f>
        <v>#REF!</v>
      </c>
      <c r="W321" s="138" t="e">
        <f>+W320*$W$299/$W$298</f>
        <v>#REF!</v>
      </c>
      <c r="X321" s="139"/>
      <c r="Y321" s="139"/>
      <c r="Z321" s="139"/>
      <c r="AA321" s="165"/>
      <c r="AB321" s="137">
        <f>+AB317</f>
        <v>9322412.0922832135</v>
      </c>
      <c r="AC321" s="137" t="e">
        <f>+AC320*$AC$299/$AC$298</f>
        <v>#REF!</v>
      </c>
      <c r="AD321" s="137" t="e">
        <f>+AD320*$AD$299/$AD$298</f>
        <v>#REF!</v>
      </c>
      <c r="AE321" s="137" t="e">
        <f>+AE320*$AE$299/$AE$298</f>
        <v>#REF!</v>
      </c>
      <c r="AF321" s="1114"/>
      <c r="AG321" s="773"/>
      <c r="AH321" s="776"/>
      <c r="AI321" s="776"/>
      <c r="AJ321" s="779"/>
      <c r="AK321" s="776"/>
      <c r="AL321" s="776"/>
      <c r="AM321" s="776"/>
      <c r="AN321" s="807"/>
      <c r="AO321" s="808"/>
      <c r="AP321" s="808"/>
      <c r="AQ321" s="806"/>
      <c r="AR321" s="806"/>
      <c r="AS321" s="806"/>
      <c r="AT321" s="806"/>
      <c r="AU321" s="795"/>
      <c r="AV321" s="795"/>
      <c r="AW321" s="795"/>
      <c r="AX321" s="798"/>
      <c r="AY321" s="876"/>
    </row>
    <row r="322" spans="1:51" ht="18.75" customHeight="1" x14ac:dyDescent="0.25">
      <c r="A322" s="815"/>
      <c r="B322" s="1043"/>
      <c r="C322" s="838" t="s">
        <v>492</v>
      </c>
      <c r="D322" s="141" t="s">
        <v>41</v>
      </c>
      <c r="E322" s="142"/>
      <c r="F322" s="143"/>
      <c r="G322" s="144">
        <v>96</v>
      </c>
      <c r="H322" s="144">
        <v>96</v>
      </c>
      <c r="I322" s="144">
        <v>96</v>
      </c>
      <c r="J322" s="138">
        <v>96</v>
      </c>
      <c r="K322" s="160">
        <v>96</v>
      </c>
      <c r="L322" s="138"/>
      <c r="M322" s="138"/>
      <c r="N322" s="138">
        <v>587</v>
      </c>
      <c r="O322" s="201">
        <v>1103</v>
      </c>
      <c r="P322" s="138">
        <v>1103</v>
      </c>
      <c r="Q322" s="138">
        <v>1231</v>
      </c>
      <c r="R322" s="147">
        <v>1421</v>
      </c>
      <c r="S322" s="139"/>
      <c r="T322" s="144">
        <v>96</v>
      </c>
      <c r="U322" s="148">
        <v>96</v>
      </c>
      <c r="V322" s="148">
        <v>96</v>
      </c>
      <c r="W322" s="146">
        <v>96</v>
      </c>
      <c r="X322" s="161">
        <v>96</v>
      </c>
      <c r="Y322" s="139"/>
      <c r="Z322" s="139"/>
      <c r="AA322" s="165">
        <v>587</v>
      </c>
      <c r="AB322" s="200">
        <v>1103</v>
      </c>
      <c r="AC322" s="129">
        <v>1103</v>
      </c>
      <c r="AD322" s="137">
        <v>1231</v>
      </c>
      <c r="AE322" s="152">
        <v>1421</v>
      </c>
      <c r="AF322" s="1114" t="s">
        <v>493</v>
      </c>
      <c r="AG322" s="771" t="s">
        <v>484</v>
      </c>
      <c r="AH322" s="774" t="s">
        <v>494</v>
      </c>
      <c r="AI322" s="774" t="s">
        <v>495</v>
      </c>
      <c r="AJ322" s="777" t="s">
        <v>491</v>
      </c>
      <c r="AK322" s="774" t="s">
        <v>315</v>
      </c>
      <c r="AL322" s="774" t="s">
        <v>70</v>
      </c>
      <c r="AM322" s="774" t="s">
        <v>480</v>
      </c>
      <c r="AN322" s="807">
        <v>163231</v>
      </c>
      <c r="AO322" s="808">
        <v>77499</v>
      </c>
      <c r="AP322" s="808">
        <v>85731</v>
      </c>
      <c r="AQ322" s="806" t="s">
        <v>317</v>
      </c>
      <c r="AR322" s="806" t="s">
        <v>317</v>
      </c>
      <c r="AS322" s="806" t="s">
        <v>317</v>
      </c>
      <c r="AT322" s="806" t="s">
        <v>317</v>
      </c>
      <c r="AU322" s="795" t="s">
        <v>317</v>
      </c>
      <c r="AV322" s="795" t="s">
        <v>317</v>
      </c>
      <c r="AW322" s="795" t="s">
        <v>317</v>
      </c>
      <c r="AX322" s="796">
        <v>163231</v>
      </c>
      <c r="AY322" s="876"/>
    </row>
    <row r="323" spans="1:51" ht="18" x14ac:dyDescent="0.25">
      <c r="A323" s="815"/>
      <c r="B323" s="1043"/>
      <c r="C323" s="838"/>
      <c r="D323" s="132" t="s">
        <v>3</v>
      </c>
      <c r="E323" s="142"/>
      <c r="F323" s="143"/>
      <c r="G323" s="144">
        <f>+G322*$G$299/$G$298</f>
        <v>940388.57142857148</v>
      </c>
      <c r="H323" s="144">
        <f>+H322*$H$299/$H$298</f>
        <v>940388.57142857148</v>
      </c>
      <c r="I323" s="144" t="e">
        <f>+I322*$I$299/$I$298</f>
        <v>#REF!</v>
      </c>
      <c r="J323" s="138" t="e">
        <f>+J322*$J$299/$J$298</f>
        <v>#REF!</v>
      </c>
      <c r="K323" s="137"/>
      <c r="L323" s="138"/>
      <c r="M323" s="138"/>
      <c r="N323" s="138">
        <f>+N322*$N$299/$N$298</f>
        <v>5763400.7999999998</v>
      </c>
      <c r="O323" s="138">
        <f>+O322*$O$299/$O$298</f>
        <v>10829695.199999999</v>
      </c>
      <c r="P323" s="138" t="e">
        <f>+P322*$P$299/$P$298</f>
        <v>#REF!</v>
      </c>
      <c r="Q323" s="138" t="e">
        <f>+Q322*$Q$299/$Q$298</f>
        <v>#REF!</v>
      </c>
      <c r="R323" s="138" t="e">
        <f>+R322*$R$299/$R$298</f>
        <v>#REF!</v>
      </c>
      <c r="S323" s="139"/>
      <c r="T323" s="144">
        <f>+T322*$T$299/$T$298</f>
        <v>0</v>
      </c>
      <c r="U323" s="144">
        <f>+U322*$U$299/$U$298</f>
        <v>4773674.5886654481</v>
      </c>
      <c r="V323" s="144" t="e">
        <f>+V322*$V$299/$V$298</f>
        <v>#REF!</v>
      </c>
      <c r="W323" s="138" t="e">
        <f>+W322*$W$299/$W$298</f>
        <v>#REF!</v>
      </c>
      <c r="X323" s="139"/>
      <c r="Y323" s="139"/>
      <c r="Z323" s="139"/>
      <c r="AA323" s="137">
        <f>+AA322*$AA$299/$AA$298</f>
        <v>8416043.1848852895</v>
      </c>
      <c r="AB323" s="137">
        <f>+AB322*$AB$299/$AB$298</f>
        <v>9322412.0922832135</v>
      </c>
      <c r="AC323" s="137" t="e">
        <f>+AC322*$AC$299/$AC$298</f>
        <v>#REF!</v>
      </c>
      <c r="AD323" s="137" t="e">
        <f>+AD322*$AD$299/$AD$298</f>
        <v>#REF!</v>
      </c>
      <c r="AE323" s="137" t="e">
        <f>+AE322*$AE$299/$AE$298</f>
        <v>#REF!</v>
      </c>
      <c r="AF323" s="1114"/>
      <c r="AG323" s="772"/>
      <c r="AH323" s="775"/>
      <c r="AI323" s="775"/>
      <c r="AJ323" s="778"/>
      <c r="AK323" s="775"/>
      <c r="AL323" s="775"/>
      <c r="AM323" s="775"/>
      <c r="AN323" s="807"/>
      <c r="AO323" s="808"/>
      <c r="AP323" s="808"/>
      <c r="AQ323" s="806"/>
      <c r="AR323" s="806"/>
      <c r="AS323" s="806"/>
      <c r="AT323" s="806"/>
      <c r="AU323" s="795"/>
      <c r="AV323" s="795"/>
      <c r="AW323" s="795"/>
      <c r="AX323" s="797"/>
      <c r="AY323" s="876"/>
    </row>
    <row r="324" spans="1:51" ht="27" x14ac:dyDescent="0.25">
      <c r="A324" s="815"/>
      <c r="B324" s="1043"/>
      <c r="C324" s="838"/>
      <c r="D324" s="136" t="s">
        <v>42</v>
      </c>
      <c r="E324" s="142"/>
      <c r="F324" s="143"/>
      <c r="G324" s="144"/>
      <c r="H324" s="144"/>
      <c r="I324" s="144"/>
      <c r="J324" s="138"/>
      <c r="K324" s="137"/>
      <c r="L324" s="138"/>
      <c r="M324" s="138"/>
      <c r="N324" s="138"/>
      <c r="O324" s="138"/>
      <c r="P324" s="138"/>
      <c r="Q324" s="138"/>
      <c r="R324" s="147"/>
      <c r="S324" s="139"/>
      <c r="T324" s="148"/>
      <c r="U324" s="148"/>
      <c r="V324" s="148"/>
      <c r="W324" s="146"/>
      <c r="X324" s="139"/>
      <c r="Y324" s="139"/>
      <c r="Z324" s="139"/>
      <c r="AA324" s="165"/>
      <c r="AB324" s="151"/>
      <c r="AC324" s="129"/>
      <c r="AD324" s="137"/>
      <c r="AE324" s="152"/>
      <c r="AF324" s="1114"/>
      <c r="AG324" s="772"/>
      <c r="AH324" s="775"/>
      <c r="AI324" s="775"/>
      <c r="AJ324" s="778"/>
      <c r="AK324" s="775"/>
      <c r="AL324" s="775"/>
      <c r="AM324" s="775"/>
      <c r="AN324" s="807"/>
      <c r="AO324" s="808"/>
      <c r="AP324" s="808"/>
      <c r="AQ324" s="806"/>
      <c r="AR324" s="806"/>
      <c r="AS324" s="806"/>
      <c r="AT324" s="806"/>
      <c r="AU324" s="795"/>
      <c r="AV324" s="795"/>
      <c r="AW324" s="795"/>
      <c r="AX324" s="797"/>
      <c r="AY324" s="876"/>
    </row>
    <row r="325" spans="1:51" ht="27" x14ac:dyDescent="0.25">
      <c r="A325" s="815"/>
      <c r="B325" s="1043"/>
      <c r="C325" s="838"/>
      <c r="D325" s="132" t="s">
        <v>4</v>
      </c>
      <c r="E325" s="142"/>
      <c r="F325" s="143"/>
      <c r="G325" s="144"/>
      <c r="H325" s="144"/>
      <c r="I325" s="144"/>
      <c r="J325" s="138"/>
      <c r="K325" s="137"/>
      <c r="L325" s="138"/>
      <c r="M325" s="138"/>
      <c r="N325" s="138"/>
      <c r="O325" s="138"/>
      <c r="P325" s="138"/>
      <c r="Q325" s="138"/>
      <c r="R325" s="147"/>
      <c r="S325" s="139"/>
      <c r="T325" s="144">
        <f>+T322*$T$301/$T$298</f>
        <v>1451082.9268292682</v>
      </c>
      <c r="U325" s="144">
        <f>+U322*$T$301/$T$298</f>
        <v>1451082.9268292682</v>
      </c>
      <c r="V325" s="148"/>
      <c r="W325" s="146"/>
      <c r="X325" s="139"/>
      <c r="Y325" s="139"/>
      <c r="Z325" s="139"/>
      <c r="AA325" s="165"/>
      <c r="AB325" s="151"/>
      <c r="AC325" s="129"/>
      <c r="AD325" s="137"/>
      <c r="AE325" s="152"/>
      <c r="AF325" s="1114"/>
      <c r="AG325" s="772"/>
      <c r="AH325" s="775"/>
      <c r="AI325" s="775"/>
      <c r="AJ325" s="778"/>
      <c r="AK325" s="775"/>
      <c r="AL325" s="775"/>
      <c r="AM325" s="775"/>
      <c r="AN325" s="807"/>
      <c r="AO325" s="808"/>
      <c r="AP325" s="808"/>
      <c r="AQ325" s="806"/>
      <c r="AR325" s="806"/>
      <c r="AS325" s="806"/>
      <c r="AT325" s="806"/>
      <c r="AU325" s="795"/>
      <c r="AV325" s="795"/>
      <c r="AW325" s="795"/>
      <c r="AX325" s="797"/>
      <c r="AY325" s="876"/>
    </row>
    <row r="326" spans="1:51" ht="27" x14ac:dyDescent="0.25">
      <c r="A326" s="815"/>
      <c r="B326" s="1043"/>
      <c r="C326" s="838"/>
      <c r="D326" s="136" t="s">
        <v>43</v>
      </c>
      <c r="E326" s="142"/>
      <c r="F326" s="143"/>
      <c r="G326" s="144">
        <v>96</v>
      </c>
      <c r="H326" s="144">
        <v>96</v>
      </c>
      <c r="I326" s="144">
        <v>96</v>
      </c>
      <c r="J326" s="138">
        <v>96</v>
      </c>
      <c r="K326" s="137"/>
      <c r="L326" s="138"/>
      <c r="M326" s="138"/>
      <c r="N326" s="138"/>
      <c r="O326" s="138">
        <f>+O322</f>
        <v>1103</v>
      </c>
      <c r="P326" s="138">
        <v>1103</v>
      </c>
      <c r="Q326" s="138">
        <v>1231</v>
      </c>
      <c r="R326" s="147">
        <v>1421</v>
      </c>
      <c r="S326" s="139"/>
      <c r="T326" s="148">
        <v>96</v>
      </c>
      <c r="U326" s="148">
        <v>96</v>
      </c>
      <c r="V326" s="144">
        <v>96</v>
      </c>
      <c r="W326" s="138">
        <v>96</v>
      </c>
      <c r="X326" s="139"/>
      <c r="Y326" s="139"/>
      <c r="Z326" s="139"/>
      <c r="AA326" s="165"/>
      <c r="AB326" s="137">
        <f>+AB322</f>
        <v>1103</v>
      </c>
      <c r="AC326" s="129">
        <v>1103</v>
      </c>
      <c r="AD326" s="137">
        <v>1231</v>
      </c>
      <c r="AE326" s="152">
        <v>1421</v>
      </c>
      <c r="AF326" s="1114"/>
      <c r="AG326" s="772"/>
      <c r="AH326" s="775"/>
      <c r="AI326" s="775"/>
      <c r="AJ326" s="778"/>
      <c r="AK326" s="775"/>
      <c r="AL326" s="775"/>
      <c r="AM326" s="775"/>
      <c r="AN326" s="807"/>
      <c r="AO326" s="808"/>
      <c r="AP326" s="808"/>
      <c r="AQ326" s="806"/>
      <c r="AR326" s="806"/>
      <c r="AS326" s="806"/>
      <c r="AT326" s="806"/>
      <c r="AU326" s="795"/>
      <c r="AV326" s="795"/>
      <c r="AW326" s="795"/>
      <c r="AX326" s="797"/>
      <c r="AY326" s="876"/>
    </row>
    <row r="327" spans="1:51" ht="27.75" thickBot="1" x14ac:dyDescent="0.3">
      <c r="A327" s="815"/>
      <c r="B327" s="1043"/>
      <c r="C327" s="838"/>
      <c r="D327" s="140" t="s">
        <v>45</v>
      </c>
      <c r="E327" s="142"/>
      <c r="F327" s="143"/>
      <c r="G327" s="144">
        <f>+G326*$G$299/$G$298</f>
        <v>940388.57142857148</v>
      </c>
      <c r="H327" s="144">
        <f>+H326*$H$299/$H$298</f>
        <v>940388.57142857148</v>
      </c>
      <c r="I327" s="144" t="e">
        <f>+I326*$I$299/$I$298</f>
        <v>#REF!</v>
      </c>
      <c r="J327" s="138" t="e">
        <f>+J326*$J$299/$J$298</f>
        <v>#REF!</v>
      </c>
      <c r="K327" s="137"/>
      <c r="L327" s="138"/>
      <c r="M327" s="138"/>
      <c r="N327" s="138"/>
      <c r="O327" s="138">
        <f>+O323</f>
        <v>10829695.199999999</v>
      </c>
      <c r="P327" s="138" t="e">
        <f>+P326*$P$299/$P$298</f>
        <v>#REF!</v>
      </c>
      <c r="Q327" s="138" t="e">
        <f>+Q326*$Q$299/$Q$298</f>
        <v>#REF!</v>
      </c>
      <c r="R327" s="138" t="e">
        <f>+R326*$R$299/$R$298</f>
        <v>#REF!</v>
      </c>
      <c r="S327" s="139"/>
      <c r="T327" s="148"/>
      <c r="U327" s="144">
        <f>+U326*$U$299/$U$298</f>
        <v>4773674.5886654481</v>
      </c>
      <c r="V327" s="144" t="e">
        <f>+V326*$V$299/$V$298</f>
        <v>#REF!</v>
      </c>
      <c r="W327" s="138" t="e">
        <f>+W326*$W$299/$W$298</f>
        <v>#REF!</v>
      </c>
      <c r="X327" s="139"/>
      <c r="Y327" s="139"/>
      <c r="Z327" s="139"/>
      <c r="AA327" s="165"/>
      <c r="AB327" s="137">
        <f>+AB323</f>
        <v>9322412.0922832135</v>
      </c>
      <c r="AC327" s="137" t="e">
        <f>+AC326*$AC$299/$AC$298</f>
        <v>#REF!</v>
      </c>
      <c r="AD327" s="137" t="e">
        <f>+AD326*$AD$299/$AD$298</f>
        <v>#REF!</v>
      </c>
      <c r="AE327" s="137" t="e">
        <f>+AE326*$AE$299/$AE$298</f>
        <v>#REF!</v>
      </c>
      <c r="AF327" s="1114"/>
      <c r="AG327" s="773"/>
      <c r="AH327" s="776"/>
      <c r="AI327" s="776"/>
      <c r="AJ327" s="779"/>
      <c r="AK327" s="776"/>
      <c r="AL327" s="776"/>
      <c r="AM327" s="776"/>
      <c r="AN327" s="807"/>
      <c r="AO327" s="808"/>
      <c r="AP327" s="808"/>
      <c r="AQ327" s="806"/>
      <c r="AR327" s="806"/>
      <c r="AS327" s="806"/>
      <c r="AT327" s="806"/>
      <c r="AU327" s="795"/>
      <c r="AV327" s="795"/>
      <c r="AW327" s="795"/>
      <c r="AX327" s="798"/>
      <c r="AY327" s="876"/>
    </row>
    <row r="328" spans="1:51" ht="19.350000000000001" customHeight="1" x14ac:dyDescent="0.25">
      <c r="A328" s="815"/>
      <c r="B328" s="1043"/>
      <c r="C328" s="838" t="s">
        <v>496</v>
      </c>
      <c r="D328" s="141" t="s">
        <v>41</v>
      </c>
      <c r="E328" s="142"/>
      <c r="F328" s="143"/>
      <c r="G328" s="144">
        <v>80</v>
      </c>
      <c r="H328" s="144">
        <v>80</v>
      </c>
      <c r="I328" s="144">
        <v>80</v>
      </c>
      <c r="J328" s="138">
        <v>80</v>
      </c>
      <c r="K328" s="160">
        <v>80</v>
      </c>
      <c r="L328" s="138"/>
      <c r="M328" s="138"/>
      <c r="N328" s="138">
        <v>587</v>
      </c>
      <c r="O328" s="201">
        <v>1103</v>
      </c>
      <c r="P328" s="138">
        <v>1103</v>
      </c>
      <c r="Q328" s="138">
        <v>1231</v>
      </c>
      <c r="R328" s="147">
        <v>1421</v>
      </c>
      <c r="S328" s="139"/>
      <c r="T328" s="144">
        <v>80</v>
      </c>
      <c r="U328" s="148">
        <v>80</v>
      </c>
      <c r="V328" s="148">
        <v>80</v>
      </c>
      <c r="W328" s="146">
        <v>80</v>
      </c>
      <c r="X328" s="161">
        <v>80</v>
      </c>
      <c r="Y328" s="139"/>
      <c r="Z328" s="139"/>
      <c r="AA328" s="165">
        <v>587</v>
      </c>
      <c r="AB328" s="200">
        <v>1103</v>
      </c>
      <c r="AC328" s="129">
        <v>1103</v>
      </c>
      <c r="AD328" s="137">
        <v>1231</v>
      </c>
      <c r="AE328" s="152">
        <v>1421</v>
      </c>
      <c r="AF328" s="1114" t="s">
        <v>497</v>
      </c>
      <c r="AG328" s="771" t="s">
        <v>484</v>
      </c>
      <c r="AH328" s="774" t="s">
        <v>498</v>
      </c>
      <c r="AI328" s="774" t="s">
        <v>499</v>
      </c>
      <c r="AJ328" s="777" t="s">
        <v>491</v>
      </c>
      <c r="AK328" s="774" t="s">
        <v>315</v>
      </c>
      <c r="AL328" s="774" t="s">
        <v>70</v>
      </c>
      <c r="AM328" s="774" t="s">
        <v>480</v>
      </c>
      <c r="AN328" s="807">
        <v>163231</v>
      </c>
      <c r="AO328" s="808">
        <v>77499</v>
      </c>
      <c r="AP328" s="808">
        <v>85731</v>
      </c>
      <c r="AQ328" s="806" t="s">
        <v>317</v>
      </c>
      <c r="AR328" s="806" t="s">
        <v>317</v>
      </c>
      <c r="AS328" s="806" t="s">
        <v>317</v>
      </c>
      <c r="AT328" s="806" t="s">
        <v>317</v>
      </c>
      <c r="AU328" s="795" t="s">
        <v>317</v>
      </c>
      <c r="AV328" s="795" t="s">
        <v>317</v>
      </c>
      <c r="AW328" s="795" t="s">
        <v>317</v>
      </c>
      <c r="AX328" s="796">
        <v>163231</v>
      </c>
      <c r="AY328" s="876"/>
    </row>
    <row r="329" spans="1:51" ht="18" x14ac:dyDescent="0.25">
      <c r="A329" s="815"/>
      <c r="B329" s="1043"/>
      <c r="C329" s="838"/>
      <c r="D329" s="132" t="s">
        <v>3</v>
      </c>
      <c r="E329" s="142"/>
      <c r="F329" s="143"/>
      <c r="G329" s="144">
        <f>+G328*$G$299/$G$298</f>
        <v>783657.14285714284</v>
      </c>
      <c r="H329" s="144">
        <f>+H328*$H$299/$H$298</f>
        <v>783657.14285714284</v>
      </c>
      <c r="I329" s="144" t="e">
        <f>+I328*$I$299/$I$298</f>
        <v>#REF!</v>
      </c>
      <c r="J329" s="138" t="e">
        <f>+J328*$J$299/$J$298</f>
        <v>#REF!</v>
      </c>
      <c r="K329" s="137"/>
      <c r="L329" s="138"/>
      <c r="M329" s="138"/>
      <c r="N329" s="138">
        <f>+N328*$N$299/$N$298</f>
        <v>5763400.7999999998</v>
      </c>
      <c r="O329" s="138">
        <f>+O328*$O$299/$O$298</f>
        <v>10829695.199999999</v>
      </c>
      <c r="P329" s="138" t="e">
        <f>+P328*$P$299/$P$298</f>
        <v>#REF!</v>
      </c>
      <c r="Q329" s="138" t="e">
        <f>+Q328*$Q$299/$Q$298</f>
        <v>#REF!</v>
      </c>
      <c r="R329" s="138" t="e">
        <f>+R328*$R$299/$R$298</f>
        <v>#REF!</v>
      </c>
      <c r="S329" s="139"/>
      <c r="T329" s="148"/>
      <c r="U329" s="144">
        <f>+U328*$U$299/$U$298</f>
        <v>3978062.1572212065</v>
      </c>
      <c r="V329" s="144" t="e">
        <f>+V328*$V$299/$V$298</f>
        <v>#REF!</v>
      </c>
      <c r="W329" s="138" t="e">
        <f>+W328*$W$299/$W$298</f>
        <v>#REF!</v>
      </c>
      <c r="X329" s="139"/>
      <c r="Y329" s="139"/>
      <c r="Z329" s="139"/>
      <c r="AA329" s="137">
        <f>+AA328*$AA$299/$AA$298</f>
        <v>8416043.1848852895</v>
      </c>
      <c r="AB329" s="137">
        <f>+AB328*$AB$299/$AB$298</f>
        <v>9322412.0922832135</v>
      </c>
      <c r="AC329" s="137" t="e">
        <f>+AC328*$AC$299/$AC$298</f>
        <v>#REF!</v>
      </c>
      <c r="AD329" s="137" t="e">
        <f>+AD328*$AD$299/$AD$298</f>
        <v>#REF!</v>
      </c>
      <c r="AE329" s="137" t="e">
        <f>+AE328*$AE$299/$AE$298</f>
        <v>#REF!</v>
      </c>
      <c r="AF329" s="1114"/>
      <c r="AG329" s="772"/>
      <c r="AH329" s="775"/>
      <c r="AI329" s="775"/>
      <c r="AJ329" s="778"/>
      <c r="AK329" s="775"/>
      <c r="AL329" s="775"/>
      <c r="AM329" s="775"/>
      <c r="AN329" s="807"/>
      <c r="AO329" s="808"/>
      <c r="AP329" s="808"/>
      <c r="AQ329" s="806"/>
      <c r="AR329" s="806"/>
      <c r="AS329" s="806"/>
      <c r="AT329" s="806"/>
      <c r="AU329" s="795"/>
      <c r="AV329" s="795"/>
      <c r="AW329" s="795"/>
      <c r="AX329" s="797"/>
      <c r="AY329" s="876"/>
    </row>
    <row r="330" spans="1:51" ht="27" x14ac:dyDescent="0.25">
      <c r="A330" s="815"/>
      <c r="B330" s="1043"/>
      <c r="C330" s="838"/>
      <c r="D330" s="136" t="s">
        <v>42</v>
      </c>
      <c r="E330" s="142"/>
      <c r="F330" s="143"/>
      <c r="G330" s="144"/>
      <c r="H330" s="144"/>
      <c r="I330" s="144"/>
      <c r="J330" s="138"/>
      <c r="K330" s="137"/>
      <c r="L330" s="138"/>
      <c r="M330" s="138"/>
      <c r="N330" s="138"/>
      <c r="O330" s="138"/>
      <c r="P330" s="138"/>
      <c r="Q330" s="138"/>
      <c r="R330" s="147"/>
      <c r="S330" s="139"/>
      <c r="T330" s="148"/>
      <c r="U330" s="148"/>
      <c r="V330" s="148"/>
      <c r="W330" s="146"/>
      <c r="X330" s="139"/>
      <c r="Y330" s="139"/>
      <c r="Z330" s="139"/>
      <c r="AA330" s="165"/>
      <c r="AB330" s="151"/>
      <c r="AC330" s="129"/>
      <c r="AD330" s="137"/>
      <c r="AE330" s="152"/>
      <c r="AF330" s="1114"/>
      <c r="AG330" s="772"/>
      <c r="AH330" s="775"/>
      <c r="AI330" s="775"/>
      <c r="AJ330" s="778"/>
      <c r="AK330" s="775"/>
      <c r="AL330" s="775"/>
      <c r="AM330" s="775"/>
      <c r="AN330" s="807"/>
      <c r="AO330" s="808"/>
      <c r="AP330" s="808"/>
      <c r="AQ330" s="806"/>
      <c r="AR330" s="806"/>
      <c r="AS330" s="806"/>
      <c r="AT330" s="806"/>
      <c r="AU330" s="795"/>
      <c r="AV330" s="795"/>
      <c r="AW330" s="795"/>
      <c r="AX330" s="797"/>
      <c r="AY330" s="876"/>
    </row>
    <row r="331" spans="1:51" ht="27" x14ac:dyDescent="0.25">
      <c r="A331" s="815"/>
      <c r="B331" s="1043"/>
      <c r="C331" s="838"/>
      <c r="D331" s="132" t="s">
        <v>4</v>
      </c>
      <c r="E331" s="142"/>
      <c r="F331" s="143"/>
      <c r="G331" s="144"/>
      <c r="H331" s="144"/>
      <c r="I331" s="144"/>
      <c r="J331" s="138"/>
      <c r="K331" s="137"/>
      <c r="L331" s="138"/>
      <c r="M331" s="138"/>
      <c r="N331" s="138"/>
      <c r="O331" s="138"/>
      <c r="P331" s="138"/>
      <c r="Q331" s="138"/>
      <c r="R331" s="147"/>
      <c r="S331" s="139"/>
      <c r="T331" s="144">
        <f>+T328*$T$301/$T$298</f>
        <v>1209235.7723577237</v>
      </c>
      <c r="U331" s="144">
        <f>+U328*$T$301/$T$298</f>
        <v>1209235.7723577237</v>
      </c>
      <c r="V331" s="148"/>
      <c r="W331" s="146"/>
      <c r="X331" s="139"/>
      <c r="Y331" s="139"/>
      <c r="Z331" s="139"/>
      <c r="AA331" s="165"/>
      <c r="AB331" s="151"/>
      <c r="AC331" s="129"/>
      <c r="AD331" s="137"/>
      <c r="AE331" s="152"/>
      <c r="AF331" s="1114"/>
      <c r="AG331" s="772"/>
      <c r="AH331" s="775"/>
      <c r="AI331" s="775"/>
      <c r="AJ331" s="778"/>
      <c r="AK331" s="775"/>
      <c r="AL331" s="775"/>
      <c r="AM331" s="775"/>
      <c r="AN331" s="807"/>
      <c r="AO331" s="808"/>
      <c r="AP331" s="808"/>
      <c r="AQ331" s="806"/>
      <c r="AR331" s="806"/>
      <c r="AS331" s="806"/>
      <c r="AT331" s="806"/>
      <c r="AU331" s="795"/>
      <c r="AV331" s="795"/>
      <c r="AW331" s="795"/>
      <c r="AX331" s="797"/>
      <c r="AY331" s="876"/>
    </row>
    <row r="332" spans="1:51" ht="27" x14ac:dyDescent="0.25">
      <c r="A332" s="815"/>
      <c r="B332" s="1043"/>
      <c r="C332" s="838"/>
      <c r="D332" s="136" t="s">
        <v>43</v>
      </c>
      <c r="E332" s="142"/>
      <c r="F332" s="143"/>
      <c r="G332" s="144">
        <v>80</v>
      </c>
      <c r="H332" s="144">
        <v>80</v>
      </c>
      <c r="I332" s="144">
        <v>80</v>
      </c>
      <c r="J332" s="138">
        <v>80</v>
      </c>
      <c r="K332" s="137"/>
      <c r="L332" s="138"/>
      <c r="M332" s="138"/>
      <c r="N332" s="138"/>
      <c r="O332" s="138">
        <f>+O328</f>
        <v>1103</v>
      </c>
      <c r="P332" s="138">
        <v>1103</v>
      </c>
      <c r="Q332" s="138">
        <v>1231</v>
      </c>
      <c r="R332" s="147">
        <v>1421</v>
      </c>
      <c r="S332" s="139"/>
      <c r="T332" s="148">
        <v>80</v>
      </c>
      <c r="U332" s="148">
        <v>80</v>
      </c>
      <c r="V332" s="144">
        <v>80</v>
      </c>
      <c r="W332" s="138">
        <v>80</v>
      </c>
      <c r="X332" s="139"/>
      <c r="Y332" s="139"/>
      <c r="Z332" s="139"/>
      <c r="AA332" s="165"/>
      <c r="AB332" s="137">
        <f>+AB328</f>
        <v>1103</v>
      </c>
      <c r="AC332" s="129">
        <v>1103</v>
      </c>
      <c r="AD332" s="137">
        <v>1231</v>
      </c>
      <c r="AE332" s="152">
        <v>1421</v>
      </c>
      <c r="AF332" s="1114"/>
      <c r="AG332" s="772"/>
      <c r="AH332" s="775"/>
      <c r="AI332" s="775"/>
      <c r="AJ332" s="778"/>
      <c r="AK332" s="775"/>
      <c r="AL332" s="775"/>
      <c r="AM332" s="775"/>
      <c r="AN332" s="807"/>
      <c r="AO332" s="808"/>
      <c r="AP332" s="808"/>
      <c r="AQ332" s="806"/>
      <c r="AR332" s="806"/>
      <c r="AS332" s="806"/>
      <c r="AT332" s="806"/>
      <c r="AU332" s="795"/>
      <c r="AV332" s="795"/>
      <c r="AW332" s="795"/>
      <c r="AX332" s="797"/>
      <c r="AY332" s="876"/>
    </row>
    <row r="333" spans="1:51" ht="27.75" thickBot="1" x14ac:dyDescent="0.3">
      <c r="A333" s="815"/>
      <c r="B333" s="1043"/>
      <c r="C333" s="838"/>
      <c r="D333" s="140" t="s">
        <v>45</v>
      </c>
      <c r="E333" s="142"/>
      <c r="F333" s="143"/>
      <c r="G333" s="144">
        <f>+G332*$G$299/$G$298</f>
        <v>783657.14285714284</v>
      </c>
      <c r="H333" s="144">
        <f>+H332*$H$299/$H$298</f>
        <v>783657.14285714284</v>
      </c>
      <c r="I333" s="144" t="e">
        <f>+I332*$I$299/$I$298</f>
        <v>#REF!</v>
      </c>
      <c r="J333" s="138" t="e">
        <f>+J332*$J$299/$J$298</f>
        <v>#REF!</v>
      </c>
      <c r="K333" s="137"/>
      <c r="L333" s="138"/>
      <c r="M333" s="138"/>
      <c r="N333" s="138"/>
      <c r="O333" s="138">
        <f>+O329</f>
        <v>10829695.199999999</v>
      </c>
      <c r="P333" s="138" t="e">
        <f>+P332*$P$299/$P$298</f>
        <v>#REF!</v>
      </c>
      <c r="Q333" s="138" t="e">
        <f>+Q332*$Q$299/$Q$298</f>
        <v>#REF!</v>
      </c>
      <c r="R333" s="138" t="e">
        <f>+R332*$R$299/$R$298</f>
        <v>#REF!</v>
      </c>
      <c r="S333" s="139"/>
      <c r="T333" s="148"/>
      <c r="U333" s="144">
        <f>+U332*$U$299/$U$298</f>
        <v>3978062.1572212065</v>
      </c>
      <c r="V333" s="144" t="e">
        <f>+V332*$V$299/$V$298</f>
        <v>#REF!</v>
      </c>
      <c r="W333" s="138" t="e">
        <f>+W332*$W$299/$W$298</f>
        <v>#REF!</v>
      </c>
      <c r="X333" s="139"/>
      <c r="Y333" s="139"/>
      <c r="Z333" s="139"/>
      <c r="AA333" s="165"/>
      <c r="AB333" s="137">
        <f>+AB329</f>
        <v>9322412.0922832135</v>
      </c>
      <c r="AC333" s="137" t="e">
        <f>+AC332*$AC$299/$AC$298</f>
        <v>#REF!</v>
      </c>
      <c r="AD333" s="137" t="e">
        <f>+AD332*$AD$299/$AD$298</f>
        <v>#REF!</v>
      </c>
      <c r="AE333" s="137" t="e">
        <f>+AE332*$AE$299/$AE$298</f>
        <v>#REF!</v>
      </c>
      <c r="AF333" s="1114"/>
      <c r="AG333" s="773"/>
      <c r="AH333" s="776"/>
      <c r="AI333" s="776"/>
      <c r="AJ333" s="779"/>
      <c r="AK333" s="776"/>
      <c r="AL333" s="776"/>
      <c r="AM333" s="776"/>
      <c r="AN333" s="807"/>
      <c r="AO333" s="808"/>
      <c r="AP333" s="808"/>
      <c r="AQ333" s="806"/>
      <c r="AR333" s="806"/>
      <c r="AS333" s="806"/>
      <c r="AT333" s="806"/>
      <c r="AU333" s="795"/>
      <c r="AV333" s="795"/>
      <c r="AW333" s="795"/>
      <c r="AX333" s="798"/>
      <c r="AY333" s="877"/>
    </row>
    <row r="334" spans="1:51" ht="19.149999999999999" customHeight="1" x14ac:dyDescent="0.25">
      <c r="A334" s="815"/>
      <c r="B334" s="1043"/>
      <c r="C334" s="838" t="s">
        <v>500</v>
      </c>
      <c r="D334" s="141" t="s">
        <v>41</v>
      </c>
      <c r="E334" s="142"/>
      <c r="F334" s="143"/>
      <c r="G334" s="144">
        <v>30</v>
      </c>
      <c r="H334" s="144">
        <v>30</v>
      </c>
      <c r="I334" s="144">
        <v>30</v>
      </c>
      <c r="J334" s="138">
        <v>30</v>
      </c>
      <c r="K334" s="160">
        <v>30</v>
      </c>
      <c r="L334" s="138"/>
      <c r="M334" s="138"/>
      <c r="N334" s="138"/>
      <c r="O334" s="138"/>
      <c r="P334" s="138">
        <v>335</v>
      </c>
      <c r="Q334" s="138">
        <v>405</v>
      </c>
      <c r="R334" s="147">
        <v>405</v>
      </c>
      <c r="S334" s="139"/>
      <c r="T334" s="148">
        <v>30</v>
      </c>
      <c r="U334" s="148">
        <v>30</v>
      </c>
      <c r="V334" s="148">
        <v>30</v>
      </c>
      <c r="W334" s="146">
        <v>30</v>
      </c>
      <c r="X334" s="161">
        <v>30</v>
      </c>
      <c r="Y334" s="139"/>
      <c r="Z334" s="139"/>
      <c r="AA334" s="165"/>
      <c r="AB334" s="151"/>
      <c r="AC334" s="137">
        <v>335</v>
      </c>
      <c r="AD334" s="137">
        <v>405</v>
      </c>
      <c r="AE334" s="152">
        <v>405</v>
      </c>
      <c r="AF334" s="1114" t="s">
        <v>501</v>
      </c>
      <c r="AG334" s="771" t="s">
        <v>502</v>
      </c>
      <c r="AH334" s="774" t="s">
        <v>503</v>
      </c>
      <c r="AI334" s="774" t="s">
        <v>504</v>
      </c>
      <c r="AJ334" s="777" t="s">
        <v>491</v>
      </c>
      <c r="AK334" s="774" t="s">
        <v>315</v>
      </c>
      <c r="AL334" s="774" t="s">
        <v>70</v>
      </c>
      <c r="AM334" s="774" t="s">
        <v>480</v>
      </c>
      <c r="AN334" s="807">
        <v>563173</v>
      </c>
      <c r="AO334" s="808">
        <v>258860</v>
      </c>
      <c r="AP334" s="808">
        <v>304313</v>
      </c>
      <c r="AQ334" s="806" t="s">
        <v>317</v>
      </c>
      <c r="AR334" s="806" t="s">
        <v>317</v>
      </c>
      <c r="AS334" s="806" t="s">
        <v>317</v>
      </c>
      <c r="AT334" s="806" t="s">
        <v>317</v>
      </c>
      <c r="AU334" s="795" t="s">
        <v>317</v>
      </c>
      <c r="AV334" s="795" t="s">
        <v>317</v>
      </c>
      <c r="AW334" s="795" t="s">
        <v>317</v>
      </c>
      <c r="AX334" s="796">
        <v>563173</v>
      </c>
      <c r="AY334" s="159"/>
    </row>
    <row r="335" spans="1:51" ht="18.75" customHeight="1" x14ac:dyDescent="0.25">
      <c r="A335" s="815"/>
      <c r="B335" s="1043"/>
      <c r="C335" s="838"/>
      <c r="D335" s="132" t="s">
        <v>3</v>
      </c>
      <c r="E335" s="142"/>
      <c r="F335" s="143"/>
      <c r="G335" s="144">
        <f>+G334*$G$299/$G$298</f>
        <v>293871.42857142858</v>
      </c>
      <c r="H335" s="144">
        <f>+H334*$H$299/$H$298</f>
        <v>293871.42857142858</v>
      </c>
      <c r="I335" s="144" t="e">
        <f>+I334*$I$299/$I$298</f>
        <v>#REF!</v>
      </c>
      <c r="J335" s="138" t="e">
        <f>+J334*$J$299/$J$298</f>
        <v>#REF!</v>
      </c>
      <c r="K335" s="137"/>
      <c r="L335" s="138"/>
      <c r="M335" s="138"/>
      <c r="N335" s="138"/>
      <c r="O335" s="138"/>
      <c r="P335" s="138" t="e">
        <f>+P334*$P$299/$P$298</f>
        <v>#REF!</v>
      </c>
      <c r="Q335" s="138" t="e">
        <f>+Q334*$Q$299/$Q$298</f>
        <v>#REF!</v>
      </c>
      <c r="R335" s="138" t="e">
        <f>+R334*$R$299/$R$298</f>
        <v>#REF!</v>
      </c>
      <c r="S335" s="139"/>
      <c r="T335" s="148"/>
      <c r="U335" s="144">
        <f>+U334*$U$299/$U$298</f>
        <v>1491773.3089579525</v>
      </c>
      <c r="V335" s="144" t="e">
        <f>+V334*$V$299/$V$298</f>
        <v>#REF!</v>
      </c>
      <c r="W335" s="138" t="e">
        <f>+W334*$W$299/$W$298</f>
        <v>#REF!</v>
      </c>
      <c r="X335" s="139"/>
      <c r="Y335" s="139"/>
      <c r="Z335" s="139"/>
      <c r="AA335" s="165"/>
      <c r="AB335" s="151"/>
      <c r="AC335" s="137" t="e">
        <f>+AC334*$AC$299/$AC$298</f>
        <v>#REF!</v>
      </c>
      <c r="AD335" s="137" t="e">
        <f>+AD334*$AD$299/$AD$298</f>
        <v>#REF!</v>
      </c>
      <c r="AE335" s="137" t="e">
        <f>+AE334*$AE$299/$AE$298</f>
        <v>#REF!</v>
      </c>
      <c r="AF335" s="1114"/>
      <c r="AG335" s="772"/>
      <c r="AH335" s="775"/>
      <c r="AI335" s="775"/>
      <c r="AJ335" s="778"/>
      <c r="AK335" s="775"/>
      <c r="AL335" s="775"/>
      <c r="AM335" s="775"/>
      <c r="AN335" s="807"/>
      <c r="AO335" s="808"/>
      <c r="AP335" s="808"/>
      <c r="AQ335" s="806"/>
      <c r="AR335" s="806"/>
      <c r="AS335" s="806"/>
      <c r="AT335" s="806"/>
      <c r="AU335" s="795"/>
      <c r="AV335" s="795"/>
      <c r="AW335" s="795"/>
      <c r="AX335" s="797"/>
      <c r="AY335" s="159"/>
    </row>
    <row r="336" spans="1:51" ht="27.75" customHeight="1" x14ac:dyDescent="0.25">
      <c r="A336" s="815"/>
      <c r="B336" s="1043"/>
      <c r="C336" s="838"/>
      <c r="D336" s="136" t="s">
        <v>42</v>
      </c>
      <c r="E336" s="142"/>
      <c r="F336" s="143"/>
      <c r="G336" s="144"/>
      <c r="H336" s="144"/>
      <c r="I336" s="144"/>
      <c r="J336" s="138"/>
      <c r="K336" s="137"/>
      <c r="L336" s="138"/>
      <c r="M336" s="138"/>
      <c r="N336" s="138"/>
      <c r="O336" s="138"/>
      <c r="P336" s="138"/>
      <c r="Q336" s="138"/>
      <c r="R336" s="147"/>
      <c r="S336" s="139"/>
      <c r="T336" s="148"/>
      <c r="U336" s="148"/>
      <c r="V336" s="148"/>
      <c r="W336" s="146"/>
      <c r="X336" s="139"/>
      <c r="Y336" s="139"/>
      <c r="Z336" s="139"/>
      <c r="AA336" s="165"/>
      <c r="AB336" s="151"/>
      <c r="AC336" s="137"/>
      <c r="AD336" s="137"/>
      <c r="AE336" s="152"/>
      <c r="AF336" s="1114"/>
      <c r="AG336" s="772"/>
      <c r="AH336" s="775"/>
      <c r="AI336" s="775"/>
      <c r="AJ336" s="778"/>
      <c r="AK336" s="775"/>
      <c r="AL336" s="775"/>
      <c r="AM336" s="775"/>
      <c r="AN336" s="807"/>
      <c r="AO336" s="808"/>
      <c r="AP336" s="808"/>
      <c r="AQ336" s="806"/>
      <c r="AR336" s="806"/>
      <c r="AS336" s="806"/>
      <c r="AT336" s="806"/>
      <c r="AU336" s="795"/>
      <c r="AV336" s="795"/>
      <c r="AW336" s="795"/>
      <c r="AX336" s="797"/>
      <c r="AY336" s="159"/>
    </row>
    <row r="337" spans="1:51" ht="27.75" customHeight="1" x14ac:dyDescent="0.25">
      <c r="A337" s="815"/>
      <c r="B337" s="1043"/>
      <c r="C337" s="838"/>
      <c r="D337" s="132" t="s">
        <v>4</v>
      </c>
      <c r="E337" s="142"/>
      <c r="F337" s="143"/>
      <c r="G337" s="144"/>
      <c r="H337" s="144"/>
      <c r="I337" s="144"/>
      <c r="J337" s="138"/>
      <c r="K337" s="137"/>
      <c r="L337" s="138"/>
      <c r="M337" s="138"/>
      <c r="N337" s="138"/>
      <c r="O337" s="138"/>
      <c r="P337" s="138"/>
      <c r="Q337" s="138"/>
      <c r="R337" s="147"/>
      <c r="S337" s="139"/>
      <c r="T337" s="144">
        <f>+T334*$T$301/$T$298</f>
        <v>453463.41463414632</v>
      </c>
      <c r="U337" s="144">
        <f>+U334*$T$301/$T$298</f>
        <v>453463.41463414632</v>
      </c>
      <c r="V337" s="148"/>
      <c r="W337" s="146"/>
      <c r="X337" s="139"/>
      <c r="Y337" s="139"/>
      <c r="Z337" s="139"/>
      <c r="AA337" s="165"/>
      <c r="AB337" s="151"/>
      <c r="AC337" s="137"/>
      <c r="AD337" s="137"/>
      <c r="AE337" s="152"/>
      <c r="AF337" s="1114"/>
      <c r="AG337" s="772"/>
      <c r="AH337" s="775"/>
      <c r="AI337" s="775"/>
      <c r="AJ337" s="778"/>
      <c r="AK337" s="775"/>
      <c r="AL337" s="775"/>
      <c r="AM337" s="775"/>
      <c r="AN337" s="807"/>
      <c r="AO337" s="808"/>
      <c r="AP337" s="808"/>
      <c r="AQ337" s="806"/>
      <c r="AR337" s="806"/>
      <c r="AS337" s="806"/>
      <c r="AT337" s="806"/>
      <c r="AU337" s="795"/>
      <c r="AV337" s="795"/>
      <c r="AW337" s="795"/>
      <c r="AX337" s="797"/>
      <c r="AY337" s="159"/>
    </row>
    <row r="338" spans="1:51" ht="27.75" customHeight="1" x14ac:dyDescent="0.25">
      <c r="A338" s="815"/>
      <c r="B338" s="1043"/>
      <c r="C338" s="838"/>
      <c r="D338" s="136" t="s">
        <v>43</v>
      </c>
      <c r="E338" s="142"/>
      <c r="F338" s="143"/>
      <c r="G338" s="144">
        <v>30</v>
      </c>
      <c r="H338" s="144">
        <v>30</v>
      </c>
      <c r="I338" s="144">
        <v>30</v>
      </c>
      <c r="J338" s="138">
        <v>30</v>
      </c>
      <c r="K338" s="137"/>
      <c r="L338" s="138"/>
      <c r="M338" s="138"/>
      <c r="N338" s="138"/>
      <c r="O338" s="138"/>
      <c r="P338" s="138">
        <v>335</v>
      </c>
      <c r="Q338" s="138">
        <v>405</v>
      </c>
      <c r="R338" s="147">
        <v>405</v>
      </c>
      <c r="S338" s="139"/>
      <c r="T338" s="148">
        <v>30</v>
      </c>
      <c r="U338" s="148">
        <v>30</v>
      </c>
      <c r="V338" s="144">
        <v>30</v>
      </c>
      <c r="W338" s="138">
        <v>30</v>
      </c>
      <c r="X338" s="139"/>
      <c r="Y338" s="139"/>
      <c r="Z338" s="139"/>
      <c r="AA338" s="165"/>
      <c r="AB338" s="151"/>
      <c r="AC338" s="137">
        <v>335</v>
      </c>
      <c r="AD338" s="137">
        <v>405</v>
      </c>
      <c r="AE338" s="152">
        <v>405</v>
      </c>
      <c r="AF338" s="1114"/>
      <c r="AG338" s="772"/>
      <c r="AH338" s="775"/>
      <c r="AI338" s="775"/>
      <c r="AJ338" s="778"/>
      <c r="AK338" s="775"/>
      <c r="AL338" s="775"/>
      <c r="AM338" s="775"/>
      <c r="AN338" s="807"/>
      <c r="AO338" s="808"/>
      <c r="AP338" s="808"/>
      <c r="AQ338" s="806"/>
      <c r="AR338" s="806"/>
      <c r="AS338" s="806"/>
      <c r="AT338" s="806"/>
      <c r="AU338" s="795"/>
      <c r="AV338" s="795"/>
      <c r="AW338" s="795"/>
      <c r="AX338" s="797"/>
      <c r="AY338" s="159"/>
    </row>
    <row r="339" spans="1:51" ht="27.75" customHeight="1" thickBot="1" x14ac:dyDescent="0.3">
      <c r="A339" s="815"/>
      <c r="B339" s="1043"/>
      <c r="C339" s="838"/>
      <c r="D339" s="140" t="s">
        <v>45</v>
      </c>
      <c r="E339" s="142"/>
      <c r="F339" s="143"/>
      <c r="G339" s="144">
        <f>+G338*$G$299/$G$298</f>
        <v>293871.42857142858</v>
      </c>
      <c r="H339" s="144">
        <f>+H338*$H$299/$H$298</f>
        <v>293871.42857142858</v>
      </c>
      <c r="I339" s="144" t="e">
        <f>+I338*$I$299/$I$298</f>
        <v>#REF!</v>
      </c>
      <c r="J339" s="138" t="e">
        <f>+J338*$J$299/$J$298</f>
        <v>#REF!</v>
      </c>
      <c r="K339" s="137"/>
      <c r="L339" s="138"/>
      <c r="M339" s="138"/>
      <c r="N339" s="138"/>
      <c r="O339" s="138"/>
      <c r="P339" s="138" t="e">
        <f>+P338*$P$299/$P$298</f>
        <v>#REF!</v>
      </c>
      <c r="Q339" s="138" t="e">
        <f>+Q338*$Q$299/$Q$298</f>
        <v>#REF!</v>
      </c>
      <c r="R339" s="138" t="e">
        <f>+R338*$R$299/$R$298</f>
        <v>#REF!</v>
      </c>
      <c r="S339" s="139"/>
      <c r="T339" s="148"/>
      <c r="U339" s="144">
        <f>+U338*$U$299/$U$298</f>
        <v>1491773.3089579525</v>
      </c>
      <c r="V339" s="144" t="e">
        <f>+V338*$V$299/$V$298</f>
        <v>#REF!</v>
      </c>
      <c r="W339" s="138" t="e">
        <f>+W338*$W$299/$W$298</f>
        <v>#REF!</v>
      </c>
      <c r="X339" s="139"/>
      <c r="Y339" s="139"/>
      <c r="Z339" s="139"/>
      <c r="AA339" s="165"/>
      <c r="AB339" s="151"/>
      <c r="AC339" s="137" t="e">
        <f>+AC338*$AC$299/$AC$298</f>
        <v>#REF!</v>
      </c>
      <c r="AD339" s="137" t="e">
        <f>+AD338*$AD$299/$AD$298</f>
        <v>#REF!</v>
      </c>
      <c r="AE339" s="137" t="e">
        <f>+AE338*$AE$299/$AE$298</f>
        <v>#REF!</v>
      </c>
      <c r="AF339" s="1114"/>
      <c r="AG339" s="773"/>
      <c r="AH339" s="776"/>
      <c r="AI339" s="776"/>
      <c r="AJ339" s="779"/>
      <c r="AK339" s="776"/>
      <c r="AL339" s="776"/>
      <c r="AM339" s="776"/>
      <c r="AN339" s="807"/>
      <c r="AO339" s="808"/>
      <c r="AP339" s="808"/>
      <c r="AQ339" s="806"/>
      <c r="AR339" s="806"/>
      <c r="AS339" s="806"/>
      <c r="AT339" s="806"/>
      <c r="AU339" s="795"/>
      <c r="AV339" s="795"/>
      <c r="AW339" s="795"/>
      <c r="AX339" s="798"/>
      <c r="AY339" s="159"/>
    </row>
    <row r="340" spans="1:51" ht="19.350000000000001" customHeight="1" x14ac:dyDescent="0.25">
      <c r="A340" s="815"/>
      <c r="B340" s="1043"/>
      <c r="C340" s="838" t="s">
        <v>505</v>
      </c>
      <c r="D340" s="141" t="s">
        <v>41</v>
      </c>
      <c r="E340" s="142"/>
      <c r="F340" s="143"/>
      <c r="G340" s="144"/>
      <c r="H340" s="144"/>
      <c r="I340" s="144">
        <v>142</v>
      </c>
      <c r="J340" s="138">
        <v>142</v>
      </c>
      <c r="K340" s="160">
        <v>142</v>
      </c>
      <c r="L340" s="138"/>
      <c r="M340" s="138"/>
      <c r="N340" s="138"/>
      <c r="O340" s="138"/>
      <c r="P340" s="138">
        <v>300</v>
      </c>
      <c r="Q340" s="138">
        <v>300</v>
      </c>
      <c r="R340" s="147">
        <v>390</v>
      </c>
      <c r="S340" s="139"/>
      <c r="T340" s="148"/>
      <c r="U340" s="148"/>
      <c r="V340" s="148">
        <v>142</v>
      </c>
      <c r="W340" s="146">
        <v>142</v>
      </c>
      <c r="X340" s="161">
        <v>142</v>
      </c>
      <c r="Y340" s="139"/>
      <c r="Z340" s="139"/>
      <c r="AA340" s="165"/>
      <c r="AB340" s="151"/>
      <c r="AC340" s="137">
        <v>300</v>
      </c>
      <c r="AD340" s="137">
        <v>300</v>
      </c>
      <c r="AE340" s="152">
        <v>390</v>
      </c>
      <c r="AF340" s="1114" t="s">
        <v>506</v>
      </c>
      <c r="AG340" s="771" t="s">
        <v>507</v>
      </c>
      <c r="AH340" s="774" t="s">
        <v>508</v>
      </c>
      <c r="AI340" s="774" t="s">
        <v>509</v>
      </c>
      <c r="AJ340" s="777" t="s">
        <v>491</v>
      </c>
      <c r="AK340" s="774" t="s">
        <v>315</v>
      </c>
      <c r="AL340" s="774" t="s">
        <v>70</v>
      </c>
      <c r="AM340" s="774" t="s">
        <v>480</v>
      </c>
      <c r="AN340" s="807">
        <v>254469</v>
      </c>
      <c r="AO340" s="808">
        <v>120116</v>
      </c>
      <c r="AP340" s="808">
        <v>134352</v>
      </c>
      <c r="AQ340" s="806" t="s">
        <v>317</v>
      </c>
      <c r="AR340" s="806" t="s">
        <v>317</v>
      </c>
      <c r="AS340" s="806" t="s">
        <v>317</v>
      </c>
      <c r="AT340" s="806" t="s">
        <v>317</v>
      </c>
      <c r="AU340" s="795" t="s">
        <v>317</v>
      </c>
      <c r="AV340" s="795" t="s">
        <v>317</v>
      </c>
      <c r="AW340" s="795" t="s">
        <v>317</v>
      </c>
      <c r="AX340" s="796">
        <v>254469</v>
      </c>
      <c r="AY340" s="159"/>
    </row>
    <row r="341" spans="1:51" ht="18.75" customHeight="1" x14ac:dyDescent="0.25">
      <c r="A341" s="815"/>
      <c r="B341" s="1043"/>
      <c r="C341" s="838"/>
      <c r="D341" s="132" t="s">
        <v>3</v>
      </c>
      <c r="E341" s="142"/>
      <c r="F341" s="143"/>
      <c r="G341" s="144"/>
      <c r="H341" s="144"/>
      <c r="I341" s="144" t="e">
        <f>+I340*$I$299/$I$298</f>
        <v>#REF!</v>
      </c>
      <c r="J341" s="138" t="e">
        <f>+J340*$J$299/$J$298</f>
        <v>#REF!</v>
      </c>
      <c r="K341" s="137"/>
      <c r="L341" s="138"/>
      <c r="M341" s="138"/>
      <c r="N341" s="138"/>
      <c r="O341" s="138"/>
      <c r="P341" s="138" t="e">
        <f>+P340*$P$299/$P$298</f>
        <v>#REF!</v>
      </c>
      <c r="Q341" s="138" t="e">
        <f>+Q340*$Q$299/$Q$298</f>
        <v>#REF!</v>
      </c>
      <c r="R341" s="138" t="e">
        <f>+R340*$R$299/$R$298</f>
        <v>#REF!</v>
      </c>
      <c r="S341" s="139"/>
      <c r="T341" s="148"/>
      <c r="U341" s="144"/>
      <c r="V341" s="144" t="e">
        <f>+V340*$V$299/$V$298</f>
        <v>#REF!</v>
      </c>
      <c r="W341" s="138" t="e">
        <f>+W340*$W$299/$W$298</f>
        <v>#REF!</v>
      </c>
      <c r="X341" s="139"/>
      <c r="Y341" s="139"/>
      <c r="Z341" s="139"/>
      <c r="AA341" s="165"/>
      <c r="AB341" s="151"/>
      <c r="AC341" s="137" t="e">
        <f>+AC340*$AC$299/$AC$298</f>
        <v>#REF!</v>
      </c>
      <c r="AD341" s="137" t="e">
        <f>+AD340*$AD$299/$AD$298</f>
        <v>#REF!</v>
      </c>
      <c r="AE341" s="137" t="e">
        <f>+AE340*$AE$299/$AE$298</f>
        <v>#REF!</v>
      </c>
      <c r="AF341" s="1114"/>
      <c r="AG341" s="772"/>
      <c r="AH341" s="775"/>
      <c r="AI341" s="775"/>
      <c r="AJ341" s="778"/>
      <c r="AK341" s="775"/>
      <c r="AL341" s="775"/>
      <c r="AM341" s="775"/>
      <c r="AN341" s="807"/>
      <c r="AO341" s="808"/>
      <c r="AP341" s="808"/>
      <c r="AQ341" s="806"/>
      <c r="AR341" s="806"/>
      <c r="AS341" s="806"/>
      <c r="AT341" s="806"/>
      <c r="AU341" s="795"/>
      <c r="AV341" s="795"/>
      <c r="AW341" s="795"/>
      <c r="AX341" s="797"/>
      <c r="AY341" s="159"/>
    </row>
    <row r="342" spans="1:51" ht="27.75" customHeight="1" x14ac:dyDescent="0.25">
      <c r="A342" s="815"/>
      <c r="B342" s="1043"/>
      <c r="C342" s="838"/>
      <c r="D342" s="136" t="s">
        <v>42</v>
      </c>
      <c r="E342" s="142"/>
      <c r="F342" s="143"/>
      <c r="G342" s="144"/>
      <c r="H342" s="144"/>
      <c r="I342" s="144"/>
      <c r="J342" s="138"/>
      <c r="K342" s="137"/>
      <c r="L342" s="138"/>
      <c r="M342" s="138"/>
      <c r="N342" s="138"/>
      <c r="O342" s="138"/>
      <c r="P342" s="138"/>
      <c r="Q342" s="138"/>
      <c r="R342" s="147"/>
      <c r="S342" s="139"/>
      <c r="T342" s="148"/>
      <c r="U342" s="148"/>
      <c r="V342" s="148"/>
      <c r="W342" s="146"/>
      <c r="X342" s="139"/>
      <c r="Y342" s="139"/>
      <c r="Z342" s="139"/>
      <c r="AA342" s="165"/>
      <c r="AB342" s="151"/>
      <c r="AC342" s="137"/>
      <c r="AD342" s="137"/>
      <c r="AE342" s="152"/>
      <c r="AF342" s="1114"/>
      <c r="AG342" s="772"/>
      <c r="AH342" s="775"/>
      <c r="AI342" s="775"/>
      <c r="AJ342" s="778"/>
      <c r="AK342" s="775"/>
      <c r="AL342" s="775"/>
      <c r="AM342" s="775"/>
      <c r="AN342" s="807"/>
      <c r="AO342" s="808"/>
      <c r="AP342" s="808"/>
      <c r="AQ342" s="806"/>
      <c r="AR342" s="806"/>
      <c r="AS342" s="806"/>
      <c r="AT342" s="806"/>
      <c r="AU342" s="795"/>
      <c r="AV342" s="795"/>
      <c r="AW342" s="795"/>
      <c r="AX342" s="797"/>
      <c r="AY342" s="159"/>
    </row>
    <row r="343" spans="1:51" ht="27.75" customHeight="1" x14ac:dyDescent="0.25">
      <c r="A343" s="815"/>
      <c r="B343" s="1043"/>
      <c r="C343" s="838"/>
      <c r="D343" s="132" t="s">
        <v>4</v>
      </c>
      <c r="E343" s="142"/>
      <c r="F343" s="143"/>
      <c r="G343" s="144"/>
      <c r="H343" s="144"/>
      <c r="I343" s="144"/>
      <c r="J343" s="138"/>
      <c r="K343" s="137"/>
      <c r="L343" s="138"/>
      <c r="M343" s="138"/>
      <c r="N343" s="138"/>
      <c r="O343" s="138"/>
      <c r="P343" s="138"/>
      <c r="Q343" s="138"/>
      <c r="R343" s="147"/>
      <c r="S343" s="139"/>
      <c r="T343" s="144"/>
      <c r="U343" s="144"/>
      <c r="V343" s="148"/>
      <c r="W343" s="146"/>
      <c r="X343" s="139"/>
      <c r="Y343" s="139"/>
      <c r="Z343" s="139"/>
      <c r="AA343" s="165"/>
      <c r="AB343" s="151"/>
      <c r="AC343" s="137"/>
      <c r="AD343" s="137"/>
      <c r="AE343" s="152"/>
      <c r="AF343" s="1114"/>
      <c r="AG343" s="772"/>
      <c r="AH343" s="775"/>
      <c r="AI343" s="775"/>
      <c r="AJ343" s="778"/>
      <c r="AK343" s="775"/>
      <c r="AL343" s="775"/>
      <c r="AM343" s="775"/>
      <c r="AN343" s="807"/>
      <c r="AO343" s="808"/>
      <c r="AP343" s="808"/>
      <c r="AQ343" s="806"/>
      <c r="AR343" s="806"/>
      <c r="AS343" s="806"/>
      <c r="AT343" s="806"/>
      <c r="AU343" s="795"/>
      <c r="AV343" s="795"/>
      <c r="AW343" s="795"/>
      <c r="AX343" s="797"/>
      <c r="AY343" s="159"/>
    </row>
    <row r="344" spans="1:51" ht="27.75" customHeight="1" x14ac:dyDescent="0.25">
      <c r="A344" s="815"/>
      <c r="B344" s="1043"/>
      <c r="C344" s="838"/>
      <c r="D344" s="136" t="s">
        <v>43</v>
      </c>
      <c r="E344" s="142"/>
      <c r="F344" s="143"/>
      <c r="G344" s="144"/>
      <c r="H344" s="144"/>
      <c r="I344" s="144">
        <v>142</v>
      </c>
      <c r="J344" s="138">
        <v>142</v>
      </c>
      <c r="K344" s="137"/>
      <c r="L344" s="138"/>
      <c r="M344" s="138"/>
      <c r="N344" s="138"/>
      <c r="O344" s="138"/>
      <c r="P344" s="138">
        <v>300</v>
      </c>
      <c r="Q344" s="138">
        <v>300</v>
      </c>
      <c r="R344" s="147">
        <v>390</v>
      </c>
      <c r="S344" s="139"/>
      <c r="T344" s="148"/>
      <c r="U344" s="148"/>
      <c r="V344" s="144">
        <v>142</v>
      </c>
      <c r="W344" s="138">
        <v>142</v>
      </c>
      <c r="X344" s="139"/>
      <c r="Y344" s="139"/>
      <c r="Z344" s="139"/>
      <c r="AA344" s="165"/>
      <c r="AB344" s="151"/>
      <c r="AC344" s="137">
        <v>300</v>
      </c>
      <c r="AD344" s="137">
        <v>300</v>
      </c>
      <c r="AE344" s="152">
        <v>390</v>
      </c>
      <c r="AF344" s="1114"/>
      <c r="AG344" s="772"/>
      <c r="AH344" s="775"/>
      <c r="AI344" s="775"/>
      <c r="AJ344" s="778"/>
      <c r="AK344" s="775"/>
      <c r="AL344" s="775"/>
      <c r="AM344" s="775"/>
      <c r="AN344" s="807"/>
      <c r="AO344" s="808"/>
      <c r="AP344" s="808"/>
      <c r="AQ344" s="806"/>
      <c r="AR344" s="806"/>
      <c r="AS344" s="806"/>
      <c r="AT344" s="806"/>
      <c r="AU344" s="795"/>
      <c r="AV344" s="795"/>
      <c r="AW344" s="795"/>
      <c r="AX344" s="797"/>
      <c r="AY344" s="159"/>
    </row>
    <row r="345" spans="1:51" ht="27.75" customHeight="1" thickBot="1" x14ac:dyDescent="0.3">
      <c r="A345" s="815"/>
      <c r="B345" s="1043"/>
      <c r="C345" s="838"/>
      <c r="D345" s="140" t="s">
        <v>45</v>
      </c>
      <c r="E345" s="142"/>
      <c r="F345" s="143"/>
      <c r="G345" s="144"/>
      <c r="H345" s="144"/>
      <c r="I345" s="144" t="e">
        <f>+I344*$I$299/$I$298</f>
        <v>#REF!</v>
      </c>
      <c r="J345" s="138" t="e">
        <f>+J344*$J$299/$J$298</f>
        <v>#REF!</v>
      </c>
      <c r="K345" s="137"/>
      <c r="L345" s="138"/>
      <c r="M345" s="138"/>
      <c r="N345" s="138"/>
      <c r="O345" s="138"/>
      <c r="P345" s="138" t="e">
        <f>+P344*$P$299/$P$298</f>
        <v>#REF!</v>
      </c>
      <c r="Q345" s="138" t="e">
        <f>+Q344*$Q$299/$Q$298</f>
        <v>#REF!</v>
      </c>
      <c r="R345" s="138" t="e">
        <f>+R344*$R$299/$R$298</f>
        <v>#REF!</v>
      </c>
      <c r="S345" s="139"/>
      <c r="T345" s="148"/>
      <c r="U345" s="144"/>
      <c r="V345" s="144" t="e">
        <f>+V344*$V$299/$V$298</f>
        <v>#REF!</v>
      </c>
      <c r="W345" s="138" t="e">
        <f>+W344*$W$299/$W$298</f>
        <v>#REF!</v>
      </c>
      <c r="X345" s="139"/>
      <c r="Y345" s="139"/>
      <c r="Z345" s="139"/>
      <c r="AA345" s="165"/>
      <c r="AB345" s="151"/>
      <c r="AC345" s="137" t="e">
        <f>+AC344*$AC$299/$AC$298</f>
        <v>#REF!</v>
      </c>
      <c r="AD345" s="137" t="e">
        <f>+AD344*$AD$299/$AD$298</f>
        <v>#REF!</v>
      </c>
      <c r="AE345" s="137" t="e">
        <f>+AE344*$AE$299/$AE$298</f>
        <v>#REF!</v>
      </c>
      <c r="AF345" s="1114"/>
      <c r="AG345" s="773"/>
      <c r="AH345" s="776"/>
      <c r="AI345" s="776"/>
      <c r="AJ345" s="779"/>
      <c r="AK345" s="776"/>
      <c r="AL345" s="776"/>
      <c r="AM345" s="776"/>
      <c r="AN345" s="807"/>
      <c r="AO345" s="808"/>
      <c r="AP345" s="808"/>
      <c r="AQ345" s="806"/>
      <c r="AR345" s="806"/>
      <c r="AS345" s="806"/>
      <c r="AT345" s="806"/>
      <c r="AU345" s="795"/>
      <c r="AV345" s="795"/>
      <c r="AW345" s="795"/>
      <c r="AX345" s="798"/>
      <c r="AY345" s="159"/>
    </row>
    <row r="346" spans="1:51" ht="19.350000000000001" customHeight="1" x14ac:dyDescent="0.25">
      <c r="A346" s="815"/>
      <c r="B346" s="1043"/>
      <c r="C346" s="838" t="s">
        <v>510</v>
      </c>
      <c r="D346" s="141" t="s">
        <v>41</v>
      </c>
      <c r="E346" s="142"/>
      <c r="F346" s="143"/>
      <c r="G346" s="144">
        <v>40</v>
      </c>
      <c r="H346" s="144">
        <v>40</v>
      </c>
      <c r="I346" s="144">
        <v>40</v>
      </c>
      <c r="J346" s="138">
        <v>40</v>
      </c>
      <c r="K346" s="160">
        <v>40</v>
      </c>
      <c r="L346" s="138"/>
      <c r="M346" s="138"/>
      <c r="N346" s="138"/>
      <c r="O346" s="138"/>
      <c r="P346" s="138">
        <v>300</v>
      </c>
      <c r="Q346" s="138">
        <v>300</v>
      </c>
      <c r="R346" s="147">
        <v>390</v>
      </c>
      <c r="S346" s="139"/>
      <c r="T346" s="148">
        <v>40</v>
      </c>
      <c r="U346" s="148">
        <v>40</v>
      </c>
      <c r="V346" s="148">
        <v>40</v>
      </c>
      <c r="W346" s="146">
        <v>40</v>
      </c>
      <c r="X346" s="161">
        <v>40</v>
      </c>
      <c r="Y346" s="139"/>
      <c r="Z346" s="139"/>
      <c r="AA346" s="165"/>
      <c r="AB346" s="151"/>
      <c r="AC346" s="137">
        <v>300</v>
      </c>
      <c r="AD346" s="137">
        <v>300</v>
      </c>
      <c r="AE346" s="152">
        <v>390</v>
      </c>
      <c r="AF346" s="1114" t="s">
        <v>511</v>
      </c>
      <c r="AG346" s="771" t="s">
        <v>507</v>
      </c>
      <c r="AH346" s="774" t="s">
        <v>512</v>
      </c>
      <c r="AI346" s="774" t="s">
        <v>513</v>
      </c>
      <c r="AJ346" s="777" t="s">
        <v>491</v>
      </c>
      <c r="AK346" s="774" t="s">
        <v>315</v>
      </c>
      <c r="AL346" s="774" t="s">
        <v>70</v>
      </c>
      <c r="AM346" s="774" t="s">
        <v>480</v>
      </c>
      <c r="AN346" s="807">
        <v>254469</v>
      </c>
      <c r="AO346" s="808">
        <v>120116</v>
      </c>
      <c r="AP346" s="808">
        <v>134352</v>
      </c>
      <c r="AQ346" s="806" t="s">
        <v>317</v>
      </c>
      <c r="AR346" s="806" t="s">
        <v>317</v>
      </c>
      <c r="AS346" s="806" t="s">
        <v>317</v>
      </c>
      <c r="AT346" s="806" t="s">
        <v>317</v>
      </c>
      <c r="AU346" s="795" t="s">
        <v>317</v>
      </c>
      <c r="AV346" s="795" t="s">
        <v>317</v>
      </c>
      <c r="AW346" s="795" t="s">
        <v>317</v>
      </c>
      <c r="AX346" s="796">
        <v>254469</v>
      </c>
      <c r="AY346" s="159"/>
    </row>
    <row r="347" spans="1:51" ht="18.75" customHeight="1" x14ac:dyDescent="0.25">
      <c r="A347" s="815"/>
      <c r="B347" s="1043"/>
      <c r="C347" s="838"/>
      <c r="D347" s="132" t="s">
        <v>3</v>
      </c>
      <c r="E347" s="142"/>
      <c r="F347" s="143"/>
      <c r="G347" s="144">
        <f>+G346*$G$299/$G$298</f>
        <v>391828.57142857142</v>
      </c>
      <c r="H347" s="144">
        <f>+H346*$H$299/$H$298</f>
        <v>391828.57142857142</v>
      </c>
      <c r="I347" s="144" t="e">
        <f>+I346*$I$299/$I$298</f>
        <v>#REF!</v>
      </c>
      <c r="J347" s="138" t="e">
        <f>+J346*$J$299/$J$298</f>
        <v>#REF!</v>
      </c>
      <c r="K347" s="137"/>
      <c r="L347" s="138"/>
      <c r="M347" s="138"/>
      <c r="N347" s="138"/>
      <c r="O347" s="138"/>
      <c r="P347" s="138" t="e">
        <f>+P346*$P$299/$P$298</f>
        <v>#REF!</v>
      </c>
      <c r="Q347" s="138" t="e">
        <f>+Q346*$Q$299/$Q$298</f>
        <v>#REF!</v>
      </c>
      <c r="R347" s="138" t="e">
        <f>+R346*$R$299/$R$298</f>
        <v>#REF!</v>
      </c>
      <c r="S347" s="139"/>
      <c r="T347" s="148"/>
      <c r="U347" s="144">
        <f>+U346*$U$299/$U$298</f>
        <v>1989031.0786106032</v>
      </c>
      <c r="V347" s="144" t="e">
        <f>+V346*$V$299/$V$298</f>
        <v>#REF!</v>
      </c>
      <c r="W347" s="138" t="e">
        <f>+W346*$W$299/$W$298</f>
        <v>#REF!</v>
      </c>
      <c r="X347" s="139"/>
      <c r="Y347" s="139"/>
      <c r="Z347" s="139"/>
      <c r="AA347" s="165"/>
      <c r="AB347" s="151"/>
      <c r="AC347" s="137" t="e">
        <f>+AC346*$AC$299/$AC$298</f>
        <v>#REF!</v>
      </c>
      <c r="AD347" s="137" t="e">
        <f>+AD346*$AD$299/$AD$298</f>
        <v>#REF!</v>
      </c>
      <c r="AE347" s="137" t="e">
        <f>+AE346*$AE$299/$AE$298</f>
        <v>#REF!</v>
      </c>
      <c r="AF347" s="1114"/>
      <c r="AG347" s="772"/>
      <c r="AH347" s="775"/>
      <c r="AI347" s="775"/>
      <c r="AJ347" s="778"/>
      <c r="AK347" s="775"/>
      <c r="AL347" s="775"/>
      <c r="AM347" s="775"/>
      <c r="AN347" s="807"/>
      <c r="AO347" s="808"/>
      <c r="AP347" s="808"/>
      <c r="AQ347" s="806"/>
      <c r="AR347" s="806"/>
      <c r="AS347" s="806"/>
      <c r="AT347" s="806"/>
      <c r="AU347" s="795"/>
      <c r="AV347" s="795"/>
      <c r="AW347" s="795"/>
      <c r="AX347" s="797"/>
      <c r="AY347" s="159"/>
    </row>
    <row r="348" spans="1:51" ht="27.75" customHeight="1" x14ac:dyDescent="0.25">
      <c r="A348" s="815"/>
      <c r="B348" s="1043"/>
      <c r="C348" s="838"/>
      <c r="D348" s="136" t="s">
        <v>42</v>
      </c>
      <c r="E348" s="142"/>
      <c r="F348" s="143"/>
      <c r="G348" s="144"/>
      <c r="H348" s="144"/>
      <c r="I348" s="144"/>
      <c r="J348" s="138"/>
      <c r="K348" s="137"/>
      <c r="L348" s="138"/>
      <c r="M348" s="138"/>
      <c r="N348" s="138"/>
      <c r="O348" s="138"/>
      <c r="P348" s="138"/>
      <c r="Q348" s="138"/>
      <c r="R348" s="147"/>
      <c r="S348" s="139"/>
      <c r="T348" s="148"/>
      <c r="U348" s="148"/>
      <c r="V348" s="148"/>
      <c r="W348" s="146"/>
      <c r="X348" s="139"/>
      <c r="Y348" s="139"/>
      <c r="Z348" s="139"/>
      <c r="AA348" s="165"/>
      <c r="AB348" s="151"/>
      <c r="AC348" s="137"/>
      <c r="AD348" s="137"/>
      <c r="AE348" s="152"/>
      <c r="AF348" s="1114"/>
      <c r="AG348" s="772"/>
      <c r="AH348" s="775"/>
      <c r="AI348" s="775"/>
      <c r="AJ348" s="778"/>
      <c r="AK348" s="775"/>
      <c r="AL348" s="775"/>
      <c r="AM348" s="775"/>
      <c r="AN348" s="807"/>
      <c r="AO348" s="808"/>
      <c r="AP348" s="808"/>
      <c r="AQ348" s="806"/>
      <c r="AR348" s="806"/>
      <c r="AS348" s="806"/>
      <c r="AT348" s="806"/>
      <c r="AU348" s="795"/>
      <c r="AV348" s="795"/>
      <c r="AW348" s="795"/>
      <c r="AX348" s="797"/>
      <c r="AY348" s="159"/>
    </row>
    <row r="349" spans="1:51" ht="27.75" customHeight="1" x14ac:dyDescent="0.25">
      <c r="A349" s="815"/>
      <c r="B349" s="1043"/>
      <c r="C349" s="838"/>
      <c r="D349" s="132" t="s">
        <v>4</v>
      </c>
      <c r="E349" s="142"/>
      <c r="F349" s="143"/>
      <c r="G349" s="144"/>
      <c r="H349" s="144"/>
      <c r="I349" s="144"/>
      <c r="J349" s="138"/>
      <c r="K349" s="137"/>
      <c r="L349" s="138"/>
      <c r="M349" s="138"/>
      <c r="N349" s="138"/>
      <c r="O349" s="138"/>
      <c r="P349" s="138"/>
      <c r="Q349" s="138"/>
      <c r="R349" s="147"/>
      <c r="S349" s="139"/>
      <c r="T349" s="144">
        <f>+T346*$T$301/$T$298</f>
        <v>604617.88617886184</v>
      </c>
      <c r="U349" s="144">
        <f>+U346*$T$301/$T$298</f>
        <v>604617.88617886184</v>
      </c>
      <c r="V349" s="148"/>
      <c r="W349" s="146"/>
      <c r="X349" s="139"/>
      <c r="Y349" s="139"/>
      <c r="Z349" s="139"/>
      <c r="AA349" s="165"/>
      <c r="AB349" s="151"/>
      <c r="AC349" s="137"/>
      <c r="AD349" s="137"/>
      <c r="AE349" s="152"/>
      <c r="AF349" s="1114"/>
      <c r="AG349" s="772"/>
      <c r="AH349" s="775"/>
      <c r="AI349" s="775"/>
      <c r="AJ349" s="778"/>
      <c r="AK349" s="775"/>
      <c r="AL349" s="775"/>
      <c r="AM349" s="775"/>
      <c r="AN349" s="807"/>
      <c r="AO349" s="808"/>
      <c r="AP349" s="808"/>
      <c r="AQ349" s="806"/>
      <c r="AR349" s="806"/>
      <c r="AS349" s="806"/>
      <c r="AT349" s="806"/>
      <c r="AU349" s="795"/>
      <c r="AV349" s="795"/>
      <c r="AW349" s="795"/>
      <c r="AX349" s="797"/>
      <c r="AY349" s="159"/>
    </row>
    <row r="350" spans="1:51" ht="27.75" customHeight="1" x14ac:dyDescent="0.25">
      <c r="A350" s="815"/>
      <c r="B350" s="1043"/>
      <c r="C350" s="838"/>
      <c r="D350" s="136" t="s">
        <v>43</v>
      </c>
      <c r="E350" s="142"/>
      <c r="F350" s="143"/>
      <c r="G350" s="144">
        <v>40</v>
      </c>
      <c r="H350" s="144">
        <v>40</v>
      </c>
      <c r="I350" s="144">
        <v>40</v>
      </c>
      <c r="J350" s="138">
        <v>40</v>
      </c>
      <c r="K350" s="137"/>
      <c r="L350" s="138"/>
      <c r="M350" s="138"/>
      <c r="N350" s="138"/>
      <c r="O350" s="138"/>
      <c r="P350" s="138">
        <v>300</v>
      </c>
      <c r="Q350" s="138">
        <v>300</v>
      </c>
      <c r="R350" s="147">
        <v>390</v>
      </c>
      <c r="S350" s="139"/>
      <c r="T350" s="148">
        <v>40</v>
      </c>
      <c r="U350" s="148">
        <v>40</v>
      </c>
      <c r="V350" s="144">
        <v>40</v>
      </c>
      <c r="W350" s="138">
        <v>40</v>
      </c>
      <c r="X350" s="139"/>
      <c r="Y350" s="139"/>
      <c r="Z350" s="139"/>
      <c r="AA350" s="165"/>
      <c r="AB350" s="151"/>
      <c r="AC350" s="137">
        <v>300</v>
      </c>
      <c r="AD350" s="137">
        <v>300</v>
      </c>
      <c r="AE350" s="152">
        <v>390</v>
      </c>
      <c r="AF350" s="1114"/>
      <c r="AG350" s="772"/>
      <c r="AH350" s="775"/>
      <c r="AI350" s="775"/>
      <c r="AJ350" s="778"/>
      <c r="AK350" s="775"/>
      <c r="AL350" s="775"/>
      <c r="AM350" s="775"/>
      <c r="AN350" s="807"/>
      <c r="AO350" s="808"/>
      <c r="AP350" s="808"/>
      <c r="AQ350" s="806"/>
      <c r="AR350" s="806"/>
      <c r="AS350" s="806"/>
      <c r="AT350" s="806"/>
      <c r="AU350" s="795"/>
      <c r="AV350" s="795"/>
      <c r="AW350" s="795"/>
      <c r="AX350" s="797"/>
      <c r="AY350" s="159"/>
    </row>
    <row r="351" spans="1:51" ht="27.75" customHeight="1" thickBot="1" x14ac:dyDescent="0.3">
      <c r="A351" s="815"/>
      <c r="B351" s="1043"/>
      <c r="C351" s="838"/>
      <c r="D351" s="140" t="s">
        <v>45</v>
      </c>
      <c r="E351" s="142"/>
      <c r="F351" s="143"/>
      <c r="G351" s="144">
        <f>+G350*$G$299/$G$298</f>
        <v>391828.57142857142</v>
      </c>
      <c r="H351" s="144">
        <f>+H350*$H$299/$H$298</f>
        <v>391828.57142857142</v>
      </c>
      <c r="I351" s="144" t="e">
        <f>+I350*$I$299/$I$298</f>
        <v>#REF!</v>
      </c>
      <c r="J351" s="138" t="e">
        <f>+J350*$J$299/$J$298</f>
        <v>#REF!</v>
      </c>
      <c r="K351" s="137"/>
      <c r="L351" s="138"/>
      <c r="M351" s="138"/>
      <c r="N351" s="138"/>
      <c r="O351" s="138"/>
      <c r="P351" s="138" t="e">
        <f>+P350*$P$299/$P$298</f>
        <v>#REF!</v>
      </c>
      <c r="Q351" s="138" t="e">
        <f>+Q350*$Q$299/$Q$298</f>
        <v>#REF!</v>
      </c>
      <c r="R351" s="138" t="e">
        <f>+R350*$R$299/$R$298</f>
        <v>#REF!</v>
      </c>
      <c r="S351" s="139"/>
      <c r="T351" s="148"/>
      <c r="U351" s="144">
        <f>+U350*$U$299/$U$298</f>
        <v>1989031.0786106032</v>
      </c>
      <c r="V351" s="144" t="e">
        <f>+V350*$V$299/$V$298</f>
        <v>#REF!</v>
      </c>
      <c r="W351" s="138" t="e">
        <f>+W350*$W$299/$W$298</f>
        <v>#REF!</v>
      </c>
      <c r="X351" s="139"/>
      <c r="Y351" s="139"/>
      <c r="Z351" s="139"/>
      <c r="AA351" s="165"/>
      <c r="AB351" s="151"/>
      <c r="AC351" s="137" t="e">
        <f>+AC350*$AC$299/$AC$298</f>
        <v>#REF!</v>
      </c>
      <c r="AD351" s="137" t="e">
        <f>+AD350*$AD$299/$AD$298</f>
        <v>#REF!</v>
      </c>
      <c r="AE351" s="137" t="e">
        <f>+AE350*$AE$299/$AE$298</f>
        <v>#REF!</v>
      </c>
      <c r="AF351" s="1114"/>
      <c r="AG351" s="773"/>
      <c r="AH351" s="776"/>
      <c r="AI351" s="776"/>
      <c r="AJ351" s="779"/>
      <c r="AK351" s="776"/>
      <c r="AL351" s="776"/>
      <c r="AM351" s="776"/>
      <c r="AN351" s="807"/>
      <c r="AO351" s="808"/>
      <c r="AP351" s="808"/>
      <c r="AQ351" s="806"/>
      <c r="AR351" s="806"/>
      <c r="AS351" s="806"/>
      <c r="AT351" s="806"/>
      <c r="AU351" s="795"/>
      <c r="AV351" s="795"/>
      <c r="AW351" s="795"/>
      <c r="AX351" s="798"/>
      <c r="AY351" s="159"/>
    </row>
    <row r="352" spans="1:51" ht="19.350000000000001" customHeight="1" x14ac:dyDescent="0.25">
      <c r="A352" s="815"/>
      <c r="B352" s="1043"/>
      <c r="C352" s="818" t="s">
        <v>514</v>
      </c>
      <c r="D352" s="141" t="s">
        <v>41</v>
      </c>
      <c r="E352" s="142"/>
      <c r="F352" s="143"/>
      <c r="G352" s="144"/>
      <c r="H352" s="144">
        <v>85</v>
      </c>
      <c r="I352" s="144">
        <v>85</v>
      </c>
      <c r="J352" s="138">
        <v>85</v>
      </c>
      <c r="K352" s="145">
        <v>85</v>
      </c>
      <c r="L352" s="138"/>
      <c r="M352" s="138"/>
      <c r="N352" s="138"/>
      <c r="O352" s="138"/>
      <c r="P352" s="138"/>
      <c r="Q352" s="138"/>
      <c r="R352" s="147"/>
      <c r="S352" s="139"/>
      <c r="T352" s="148"/>
      <c r="U352" s="148">
        <v>85</v>
      </c>
      <c r="V352" s="148">
        <v>85</v>
      </c>
      <c r="W352" s="146">
        <v>85</v>
      </c>
      <c r="X352" s="150">
        <v>85</v>
      </c>
      <c r="Y352" s="139"/>
      <c r="Z352" s="139"/>
      <c r="AA352" s="165"/>
      <c r="AB352" s="151"/>
      <c r="AC352" s="129"/>
      <c r="AD352" s="137"/>
      <c r="AE352" s="152"/>
      <c r="AF352" s="1114" t="s">
        <v>515</v>
      </c>
      <c r="AG352" s="771" t="s">
        <v>516</v>
      </c>
      <c r="AH352" s="774" t="s">
        <v>517</v>
      </c>
      <c r="AI352" s="774" t="s">
        <v>518</v>
      </c>
      <c r="AJ352" s="777" t="s">
        <v>491</v>
      </c>
      <c r="AK352" s="774" t="s">
        <v>315</v>
      </c>
      <c r="AL352" s="774" t="s">
        <v>70</v>
      </c>
      <c r="AM352" s="774" t="s">
        <v>480</v>
      </c>
      <c r="AN352" s="807">
        <v>107788</v>
      </c>
      <c r="AO352" s="808">
        <v>53687</v>
      </c>
      <c r="AP352" s="808">
        <v>54100</v>
      </c>
      <c r="AQ352" s="806" t="s">
        <v>317</v>
      </c>
      <c r="AR352" s="806" t="s">
        <v>317</v>
      </c>
      <c r="AS352" s="806" t="s">
        <v>317</v>
      </c>
      <c r="AT352" s="806" t="s">
        <v>317</v>
      </c>
      <c r="AU352" s="795" t="s">
        <v>317</v>
      </c>
      <c r="AV352" s="795" t="s">
        <v>317</v>
      </c>
      <c r="AW352" s="795" t="s">
        <v>317</v>
      </c>
      <c r="AX352" s="796">
        <v>107788</v>
      </c>
      <c r="AY352" s="159"/>
    </row>
    <row r="353" spans="1:51" ht="18.75" customHeight="1" x14ac:dyDescent="0.25">
      <c r="A353" s="815"/>
      <c r="B353" s="1043"/>
      <c r="C353" s="818"/>
      <c r="D353" s="132" t="s">
        <v>3</v>
      </c>
      <c r="E353" s="142"/>
      <c r="F353" s="143"/>
      <c r="G353" s="144"/>
      <c r="H353" s="144">
        <f>+H352*$H$299/$H$298</f>
        <v>832635.71428571432</v>
      </c>
      <c r="I353" s="144" t="e">
        <f>+I352*$I$299/$I$298</f>
        <v>#REF!</v>
      </c>
      <c r="J353" s="138" t="e">
        <f>+J352*$J$299/$J$298</f>
        <v>#REF!</v>
      </c>
      <c r="K353" s="137"/>
      <c r="L353" s="138"/>
      <c r="M353" s="138"/>
      <c r="N353" s="138"/>
      <c r="O353" s="138"/>
      <c r="P353" s="138"/>
      <c r="Q353" s="138"/>
      <c r="R353" s="147"/>
      <c r="S353" s="139"/>
      <c r="T353" s="148"/>
      <c r="U353" s="144">
        <f>+U352*$U$299/$U$298</f>
        <v>4226691.0420475323</v>
      </c>
      <c r="V353" s="144" t="e">
        <f>+V352*$V$299/$V$298</f>
        <v>#REF!</v>
      </c>
      <c r="W353" s="138" t="e">
        <f>+W352*$W$299/$W$298</f>
        <v>#REF!</v>
      </c>
      <c r="X353" s="139"/>
      <c r="Y353" s="139"/>
      <c r="Z353" s="139"/>
      <c r="AA353" s="165"/>
      <c r="AB353" s="151"/>
      <c r="AC353" s="129"/>
      <c r="AD353" s="137"/>
      <c r="AE353" s="152"/>
      <c r="AF353" s="1114"/>
      <c r="AG353" s="772"/>
      <c r="AH353" s="775"/>
      <c r="AI353" s="775"/>
      <c r="AJ353" s="778"/>
      <c r="AK353" s="775"/>
      <c r="AL353" s="775"/>
      <c r="AM353" s="775"/>
      <c r="AN353" s="807"/>
      <c r="AO353" s="808"/>
      <c r="AP353" s="808"/>
      <c r="AQ353" s="806"/>
      <c r="AR353" s="806"/>
      <c r="AS353" s="806"/>
      <c r="AT353" s="806"/>
      <c r="AU353" s="795"/>
      <c r="AV353" s="795"/>
      <c r="AW353" s="795"/>
      <c r="AX353" s="797"/>
      <c r="AY353" s="159"/>
    </row>
    <row r="354" spans="1:51" ht="27.75" customHeight="1" x14ac:dyDescent="0.25">
      <c r="A354" s="815"/>
      <c r="B354" s="1043"/>
      <c r="C354" s="818"/>
      <c r="D354" s="136" t="s">
        <v>42</v>
      </c>
      <c r="E354" s="142"/>
      <c r="F354" s="143"/>
      <c r="G354" s="144"/>
      <c r="H354" s="144"/>
      <c r="I354" s="144"/>
      <c r="J354" s="138"/>
      <c r="K354" s="137"/>
      <c r="L354" s="138"/>
      <c r="M354" s="138"/>
      <c r="N354" s="138"/>
      <c r="O354" s="138"/>
      <c r="P354" s="138"/>
      <c r="Q354" s="138"/>
      <c r="R354" s="147"/>
      <c r="S354" s="139"/>
      <c r="T354" s="148"/>
      <c r="U354" s="148"/>
      <c r="V354" s="148"/>
      <c r="W354" s="146"/>
      <c r="X354" s="139"/>
      <c r="Y354" s="139"/>
      <c r="Z354" s="139"/>
      <c r="AA354" s="165"/>
      <c r="AB354" s="151"/>
      <c r="AC354" s="129"/>
      <c r="AD354" s="137"/>
      <c r="AE354" s="152"/>
      <c r="AF354" s="1114"/>
      <c r="AG354" s="772"/>
      <c r="AH354" s="775"/>
      <c r="AI354" s="775"/>
      <c r="AJ354" s="778"/>
      <c r="AK354" s="775"/>
      <c r="AL354" s="775"/>
      <c r="AM354" s="775"/>
      <c r="AN354" s="807"/>
      <c r="AO354" s="808"/>
      <c r="AP354" s="808"/>
      <c r="AQ354" s="806"/>
      <c r="AR354" s="806"/>
      <c r="AS354" s="806"/>
      <c r="AT354" s="806"/>
      <c r="AU354" s="795"/>
      <c r="AV354" s="795"/>
      <c r="AW354" s="795"/>
      <c r="AX354" s="797"/>
      <c r="AY354" s="159"/>
    </row>
    <row r="355" spans="1:51" ht="27.75" customHeight="1" x14ac:dyDescent="0.25">
      <c r="A355" s="815"/>
      <c r="B355" s="1043"/>
      <c r="C355" s="818"/>
      <c r="D355" s="132" t="s">
        <v>4</v>
      </c>
      <c r="E355" s="142"/>
      <c r="F355" s="143"/>
      <c r="G355" s="144"/>
      <c r="H355" s="144"/>
      <c r="I355" s="144"/>
      <c r="J355" s="138"/>
      <c r="K355" s="137"/>
      <c r="L355" s="138"/>
      <c r="M355" s="138"/>
      <c r="N355" s="138"/>
      <c r="O355" s="138"/>
      <c r="P355" s="138"/>
      <c r="Q355" s="138"/>
      <c r="R355" s="147"/>
      <c r="S355" s="139"/>
      <c r="T355" s="148"/>
      <c r="U355" s="148"/>
      <c r="V355" s="148"/>
      <c r="W355" s="146"/>
      <c r="X355" s="139"/>
      <c r="Y355" s="139"/>
      <c r="Z355" s="139"/>
      <c r="AA355" s="165"/>
      <c r="AB355" s="151"/>
      <c r="AC355" s="129"/>
      <c r="AD355" s="137"/>
      <c r="AE355" s="152"/>
      <c r="AF355" s="1114"/>
      <c r="AG355" s="772"/>
      <c r="AH355" s="775"/>
      <c r="AI355" s="775"/>
      <c r="AJ355" s="778"/>
      <c r="AK355" s="775"/>
      <c r="AL355" s="775"/>
      <c r="AM355" s="775"/>
      <c r="AN355" s="807"/>
      <c r="AO355" s="808"/>
      <c r="AP355" s="808"/>
      <c r="AQ355" s="806"/>
      <c r="AR355" s="806"/>
      <c r="AS355" s="806"/>
      <c r="AT355" s="806"/>
      <c r="AU355" s="795"/>
      <c r="AV355" s="795"/>
      <c r="AW355" s="795"/>
      <c r="AX355" s="797"/>
      <c r="AY355" s="159"/>
    </row>
    <row r="356" spans="1:51" ht="27.75" customHeight="1" x14ac:dyDescent="0.25">
      <c r="A356" s="815"/>
      <c r="B356" s="1043"/>
      <c r="C356" s="818"/>
      <c r="D356" s="136" t="s">
        <v>43</v>
      </c>
      <c r="E356" s="142"/>
      <c r="F356" s="143"/>
      <c r="G356" s="144"/>
      <c r="H356" s="144">
        <v>85</v>
      </c>
      <c r="I356" s="144">
        <v>85</v>
      </c>
      <c r="J356" s="138">
        <v>85</v>
      </c>
      <c r="K356" s="137"/>
      <c r="L356" s="138"/>
      <c r="M356" s="138"/>
      <c r="N356" s="138"/>
      <c r="O356" s="138"/>
      <c r="P356" s="138"/>
      <c r="Q356" s="138"/>
      <c r="R356" s="147"/>
      <c r="S356" s="139"/>
      <c r="T356" s="148"/>
      <c r="U356" s="148">
        <v>85</v>
      </c>
      <c r="V356" s="144">
        <v>85</v>
      </c>
      <c r="W356" s="138">
        <v>85</v>
      </c>
      <c r="X356" s="139"/>
      <c r="Y356" s="139"/>
      <c r="Z356" s="139"/>
      <c r="AA356" s="165"/>
      <c r="AB356" s="151"/>
      <c r="AC356" s="129"/>
      <c r="AD356" s="137"/>
      <c r="AE356" s="152"/>
      <c r="AF356" s="1114"/>
      <c r="AG356" s="772"/>
      <c r="AH356" s="775"/>
      <c r="AI356" s="775"/>
      <c r="AJ356" s="778"/>
      <c r="AK356" s="775"/>
      <c r="AL356" s="775"/>
      <c r="AM356" s="775"/>
      <c r="AN356" s="807"/>
      <c r="AO356" s="808"/>
      <c r="AP356" s="808"/>
      <c r="AQ356" s="806"/>
      <c r="AR356" s="806"/>
      <c r="AS356" s="806"/>
      <c r="AT356" s="806"/>
      <c r="AU356" s="795"/>
      <c r="AV356" s="795"/>
      <c r="AW356" s="795"/>
      <c r="AX356" s="797"/>
      <c r="AY356" s="159"/>
    </row>
    <row r="357" spans="1:51" ht="27.75" customHeight="1" thickBot="1" x14ac:dyDescent="0.3">
      <c r="A357" s="815"/>
      <c r="B357" s="1043"/>
      <c r="C357" s="818"/>
      <c r="D357" s="140" t="s">
        <v>45</v>
      </c>
      <c r="E357" s="142"/>
      <c r="F357" s="143"/>
      <c r="G357" s="144"/>
      <c r="H357" s="144">
        <f>+H356*$H$299/$H$298</f>
        <v>832635.71428571432</v>
      </c>
      <c r="I357" s="144" t="e">
        <f>+I356*$I$299/$I$298</f>
        <v>#REF!</v>
      </c>
      <c r="J357" s="138" t="e">
        <f>+J356*$J$299/$J$298</f>
        <v>#REF!</v>
      </c>
      <c r="K357" s="137"/>
      <c r="L357" s="138"/>
      <c r="M357" s="138"/>
      <c r="N357" s="138"/>
      <c r="O357" s="138"/>
      <c r="P357" s="138"/>
      <c r="Q357" s="138"/>
      <c r="R357" s="147"/>
      <c r="S357" s="139"/>
      <c r="T357" s="148"/>
      <c r="U357" s="144">
        <f>+U356*$U$299/$U$298</f>
        <v>4226691.0420475323</v>
      </c>
      <c r="V357" s="144" t="e">
        <f>+V356*$V$299/$V$298</f>
        <v>#REF!</v>
      </c>
      <c r="W357" s="138" t="e">
        <f>+W356*$W$299/$W$298</f>
        <v>#REF!</v>
      </c>
      <c r="X357" s="139"/>
      <c r="Y357" s="139"/>
      <c r="Z357" s="139"/>
      <c r="AA357" s="165"/>
      <c r="AB357" s="151"/>
      <c r="AC357" s="129"/>
      <c r="AD357" s="137"/>
      <c r="AE357" s="152"/>
      <c r="AF357" s="1114"/>
      <c r="AG357" s="773"/>
      <c r="AH357" s="776"/>
      <c r="AI357" s="776"/>
      <c r="AJ357" s="779"/>
      <c r="AK357" s="776"/>
      <c r="AL357" s="776"/>
      <c r="AM357" s="776"/>
      <c r="AN357" s="807"/>
      <c r="AO357" s="808"/>
      <c r="AP357" s="808"/>
      <c r="AQ357" s="806"/>
      <c r="AR357" s="806"/>
      <c r="AS357" s="806"/>
      <c r="AT357" s="806"/>
      <c r="AU357" s="795"/>
      <c r="AV357" s="795"/>
      <c r="AW357" s="795"/>
      <c r="AX357" s="798"/>
      <c r="AY357" s="159"/>
    </row>
    <row r="358" spans="1:51" ht="19.350000000000001" hidden="1" customHeight="1" x14ac:dyDescent="0.25">
      <c r="A358" s="815"/>
      <c r="B358" s="1043"/>
      <c r="C358" s="838" t="s">
        <v>324</v>
      </c>
      <c r="D358" s="141" t="s">
        <v>41</v>
      </c>
      <c r="E358" s="142"/>
      <c r="F358" s="143"/>
      <c r="G358" s="144"/>
      <c r="H358" s="144"/>
      <c r="I358" s="144"/>
      <c r="J358" s="138"/>
      <c r="K358" s="137"/>
      <c r="L358" s="138"/>
      <c r="M358" s="138"/>
      <c r="N358" s="138"/>
      <c r="O358" s="138"/>
      <c r="P358" s="138"/>
      <c r="Q358" s="138"/>
      <c r="R358" s="147"/>
      <c r="S358" s="139"/>
      <c r="T358" s="148"/>
      <c r="U358" s="148"/>
      <c r="V358" s="148"/>
      <c r="W358" s="146"/>
      <c r="X358" s="139"/>
      <c r="Y358" s="139"/>
      <c r="Z358" s="139"/>
      <c r="AA358" s="165"/>
      <c r="AB358" s="151"/>
      <c r="AC358" s="129"/>
      <c r="AD358" s="137"/>
      <c r="AE358" s="152"/>
      <c r="AF358" s="158"/>
      <c r="AG358" s="771" t="s">
        <v>324</v>
      </c>
      <c r="AH358" s="774" t="s">
        <v>350</v>
      </c>
      <c r="AI358" s="774" t="s">
        <v>350</v>
      </c>
      <c r="AJ358" s="777" t="s">
        <v>491</v>
      </c>
      <c r="AK358" s="774" t="s">
        <v>315</v>
      </c>
      <c r="AL358" s="774" t="s">
        <v>70</v>
      </c>
      <c r="AM358" s="774" t="s">
        <v>480</v>
      </c>
      <c r="AN358" s="807">
        <v>22438</v>
      </c>
      <c r="AO358" s="808">
        <v>181364</v>
      </c>
      <c r="AP358" s="808">
        <v>191238</v>
      </c>
      <c r="AQ358" s="806" t="s">
        <v>317</v>
      </c>
      <c r="AR358" s="806" t="s">
        <v>317</v>
      </c>
      <c r="AS358" s="806" t="s">
        <v>317</v>
      </c>
      <c r="AT358" s="806" t="s">
        <v>317</v>
      </c>
      <c r="AU358" s="795" t="s">
        <v>317</v>
      </c>
      <c r="AV358" s="795" t="s">
        <v>317</v>
      </c>
      <c r="AW358" s="795" t="s">
        <v>317</v>
      </c>
      <c r="AX358" s="796">
        <v>22438</v>
      </c>
      <c r="AY358" s="159"/>
    </row>
    <row r="359" spans="1:51" ht="18.75" hidden="1" customHeight="1" x14ac:dyDescent="0.25">
      <c r="A359" s="815"/>
      <c r="B359" s="1043"/>
      <c r="C359" s="838"/>
      <c r="D359" s="132" t="s">
        <v>3</v>
      </c>
      <c r="E359" s="142"/>
      <c r="F359" s="143"/>
      <c r="G359" s="144"/>
      <c r="H359" s="144"/>
      <c r="I359" s="144"/>
      <c r="J359" s="138"/>
      <c r="K359" s="137"/>
      <c r="L359" s="138"/>
      <c r="M359" s="138"/>
      <c r="N359" s="138"/>
      <c r="O359" s="138"/>
      <c r="P359" s="138"/>
      <c r="Q359" s="138"/>
      <c r="R359" s="147"/>
      <c r="S359" s="139"/>
      <c r="T359" s="148"/>
      <c r="U359" s="148"/>
      <c r="V359" s="148"/>
      <c r="W359" s="146"/>
      <c r="X359" s="139"/>
      <c r="Y359" s="139"/>
      <c r="Z359" s="139"/>
      <c r="AA359" s="165"/>
      <c r="AB359" s="151"/>
      <c r="AC359" s="129"/>
      <c r="AD359" s="137"/>
      <c r="AE359" s="152"/>
      <c r="AF359" s="158"/>
      <c r="AG359" s="772"/>
      <c r="AH359" s="775"/>
      <c r="AI359" s="775"/>
      <c r="AJ359" s="778"/>
      <c r="AK359" s="775"/>
      <c r="AL359" s="775"/>
      <c r="AM359" s="775"/>
      <c r="AN359" s="807"/>
      <c r="AO359" s="808"/>
      <c r="AP359" s="808"/>
      <c r="AQ359" s="806"/>
      <c r="AR359" s="806"/>
      <c r="AS359" s="806"/>
      <c r="AT359" s="806"/>
      <c r="AU359" s="795"/>
      <c r="AV359" s="795"/>
      <c r="AW359" s="795"/>
      <c r="AX359" s="797"/>
      <c r="AY359" s="159"/>
    </row>
    <row r="360" spans="1:51" ht="27.75" hidden="1" customHeight="1" x14ac:dyDescent="0.25">
      <c r="A360" s="815"/>
      <c r="B360" s="1043"/>
      <c r="C360" s="838"/>
      <c r="D360" s="136" t="s">
        <v>42</v>
      </c>
      <c r="E360" s="142"/>
      <c r="F360" s="143"/>
      <c r="G360" s="144"/>
      <c r="H360" s="144"/>
      <c r="I360" s="144"/>
      <c r="J360" s="138"/>
      <c r="K360" s="137"/>
      <c r="L360" s="138"/>
      <c r="M360" s="138"/>
      <c r="N360" s="138"/>
      <c r="O360" s="138"/>
      <c r="P360" s="138"/>
      <c r="Q360" s="138"/>
      <c r="R360" s="147"/>
      <c r="S360" s="139"/>
      <c r="T360" s="148"/>
      <c r="U360" s="148"/>
      <c r="V360" s="148"/>
      <c r="W360" s="146"/>
      <c r="X360" s="139"/>
      <c r="Y360" s="139"/>
      <c r="Z360" s="139"/>
      <c r="AA360" s="165"/>
      <c r="AB360" s="151"/>
      <c r="AC360" s="129"/>
      <c r="AD360" s="137"/>
      <c r="AE360" s="152"/>
      <c r="AF360" s="158"/>
      <c r="AG360" s="772"/>
      <c r="AH360" s="775"/>
      <c r="AI360" s="775"/>
      <c r="AJ360" s="778"/>
      <c r="AK360" s="775"/>
      <c r="AL360" s="775"/>
      <c r="AM360" s="775"/>
      <c r="AN360" s="807"/>
      <c r="AO360" s="808"/>
      <c r="AP360" s="808"/>
      <c r="AQ360" s="806"/>
      <c r="AR360" s="806"/>
      <c r="AS360" s="806"/>
      <c r="AT360" s="806"/>
      <c r="AU360" s="795"/>
      <c r="AV360" s="795"/>
      <c r="AW360" s="795"/>
      <c r="AX360" s="797"/>
      <c r="AY360" s="159"/>
    </row>
    <row r="361" spans="1:51" ht="27.75" hidden="1" customHeight="1" x14ac:dyDescent="0.25">
      <c r="A361" s="815"/>
      <c r="B361" s="1043"/>
      <c r="C361" s="838"/>
      <c r="D361" s="132" t="s">
        <v>4</v>
      </c>
      <c r="E361" s="142"/>
      <c r="F361" s="143"/>
      <c r="G361" s="144"/>
      <c r="H361" s="144"/>
      <c r="I361" s="144"/>
      <c r="J361" s="138"/>
      <c r="K361" s="137"/>
      <c r="L361" s="138"/>
      <c r="M361" s="138"/>
      <c r="N361" s="138"/>
      <c r="O361" s="138"/>
      <c r="P361" s="138"/>
      <c r="Q361" s="138"/>
      <c r="R361" s="147"/>
      <c r="S361" s="139"/>
      <c r="T361" s="148"/>
      <c r="U361" s="148"/>
      <c r="V361" s="148"/>
      <c r="W361" s="146"/>
      <c r="X361" s="139"/>
      <c r="Y361" s="139"/>
      <c r="Z361" s="139"/>
      <c r="AA361" s="165"/>
      <c r="AB361" s="151"/>
      <c r="AC361" s="129"/>
      <c r="AD361" s="137"/>
      <c r="AE361" s="152"/>
      <c r="AF361" s="158"/>
      <c r="AG361" s="772"/>
      <c r="AH361" s="775"/>
      <c r="AI361" s="775"/>
      <c r="AJ361" s="778"/>
      <c r="AK361" s="775"/>
      <c r="AL361" s="775"/>
      <c r="AM361" s="775"/>
      <c r="AN361" s="807"/>
      <c r="AO361" s="808"/>
      <c r="AP361" s="808"/>
      <c r="AQ361" s="806"/>
      <c r="AR361" s="806"/>
      <c r="AS361" s="806"/>
      <c r="AT361" s="806"/>
      <c r="AU361" s="795"/>
      <c r="AV361" s="795"/>
      <c r="AW361" s="795"/>
      <c r="AX361" s="797"/>
      <c r="AY361" s="159"/>
    </row>
    <row r="362" spans="1:51" ht="27.75" hidden="1" customHeight="1" x14ac:dyDescent="0.25">
      <c r="A362" s="815"/>
      <c r="B362" s="1043"/>
      <c r="C362" s="838"/>
      <c r="D362" s="136" t="s">
        <v>43</v>
      </c>
      <c r="E362" s="142"/>
      <c r="F362" s="143"/>
      <c r="G362" s="144"/>
      <c r="H362" s="144"/>
      <c r="I362" s="144"/>
      <c r="J362" s="138"/>
      <c r="K362" s="137"/>
      <c r="L362" s="138"/>
      <c r="M362" s="138"/>
      <c r="N362" s="138"/>
      <c r="O362" s="138"/>
      <c r="P362" s="138"/>
      <c r="Q362" s="138"/>
      <c r="R362" s="147"/>
      <c r="S362" s="139"/>
      <c r="T362" s="148"/>
      <c r="U362" s="148"/>
      <c r="V362" s="148"/>
      <c r="W362" s="146"/>
      <c r="X362" s="139"/>
      <c r="Y362" s="139"/>
      <c r="Z362" s="139"/>
      <c r="AA362" s="165"/>
      <c r="AB362" s="151"/>
      <c r="AC362" s="129"/>
      <c r="AD362" s="137"/>
      <c r="AE362" s="152"/>
      <c r="AF362" s="158"/>
      <c r="AG362" s="772"/>
      <c r="AH362" s="775"/>
      <c r="AI362" s="775"/>
      <c r="AJ362" s="778"/>
      <c r="AK362" s="775"/>
      <c r="AL362" s="775"/>
      <c r="AM362" s="775"/>
      <c r="AN362" s="807"/>
      <c r="AO362" s="808"/>
      <c r="AP362" s="808"/>
      <c r="AQ362" s="806"/>
      <c r="AR362" s="806"/>
      <c r="AS362" s="806"/>
      <c r="AT362" s="806"/>
      <c r="AU362" s="795"/>
      <c r="AV362" s="795"/>
      <c r="AW362" s="795"/>
      <c r="AX362" s="797"/>
      <c r="AY362" s="159"/>
    </row>
    <row r="363" spans="1:51" ht="27.75" hidden="1" customHeight="1" thickBot="1" x14ac:dyDescent="0.3">
      <c r="A363" s="815"/>
      <c r="B363" s="1043"/>
      <c r="C363" s="838"/>
      <c r="D363" s="140" t="s">
        <v>45</v>
      </c>
      <c r="E363" s="142"/>
      <c r="F363" s="143"/>
      <c r="G363" s="144"/>
      <c r="H363" s="144"/>
      <c r="I363" s="144"/>
      <c r="J363" s="138"/>
      <c r="K363" s="137"/>
      <c r="L363" s="138"/>
      <c r="M363" s="138"/>
      <c r="N363" s="138"/>
      <c r="O363" s="138"/>
      <c r="P363" s="138"/>
      <c r="Q363" s="138"/>
      <c r="R363" s="147"/>
      <c r="S363" s="139"/>
      <c r="T363" s="148"/>
      <c r="U363" s="148"/>
      <c r="V363" s="148"/>
      <c r="W363" s="146"/>
      <c r="X363" s="139"/>
      <c r="Y363" s="139"/>
      <c r="Z363" s="139"/>
      <c r="AA363" s="165"/>
      <c r="AB363" s="151"/>
      <c r="AC363" s="129"/>
      <c r="AD363" s="137"/>
      <c r="AE363" s="152"/>
      <c r="AF363" s="158"/>
      <c r="AG363" s="773"/>
      <c r="AH363" s="776"/>
      <c r="AI363" s="776"/>
      <c r="AJ363" s="779"/>
      <c r="AK363" s="776"/>
      <c r="AL363" s="776"/>
      <c r="AM363" s="776"/>
      <c r="AN363" s="807"/>
      <c r="AO363" s="808"/>
      <c r="AP363" s="808"/>
      <c r="AQ363" s="806"/>
      <c r="AR363" s="806"/>
      <c r="AS363" s="806"/>
      <c r="AT363" s="806"/>
      <c r="AU363" s="795"/>
      <c r="AV363" s="795"/>
      <c r="AW363" s="795"/>
      <c r="AX363" s="798"/>
      <c r="AY363" s="159"/>
    </row>
    <row r="364" spans="1:51" ht="19.350000000000001" hidden="1" customHeight="1" x14ac:dyDescent="0.25">
      <c r="A364" s="815"/>
      <c r="B364" s="1043"/>
      <c r="C364" s="838" t="s">
        <v>352</v>
      </c>
      <c r="D364" s="141" t="s">
        <v>41</v>
      </c>
      <c r="E364" s="142"/>
      <c r="F364" s="143"/>
      <c r="G364" s="144"/>
      <c r="H364" s="144"/>
      <c r="I364" s="144"/>
      <c r="J364" s="138"/>
      <c r="K364" s="137"/>
      <c r="L364" s="138"/>
      <c r="M364" s="138"/>
      <c r="N364" s="138"/>
      <c r="O364" s="138"/>
      <c r="P364" s="138"/>
      <c r="Q364" s="138"/>
      <c r="R364" s="147"/>
      <c r="S364" s="139"/>
      <c r="T364" s="148"/>
      <c r="U364" s="148"/>
      <c r="V364" s="148"/>
      <c r="W364" s="146"/>
      <c r="X364" s="139"/>
      <c r="Y364" s="139"/>
      <c r="Z364" s="139"/>
      <c r="AA364" s="165"/>
      <c r="AB364" s="151"/>
      <c r="AC364" s="129"/>
      <c r="AD364" s="137"/>
      <c r="AE364" s="152"/>
      <c r="AF364" s="158"/>
      <c r="AG364" s="771" t="s">
        <v>352</v>
      </c>
      <c r="AH364" s="774" t="s">
        <v>350</v>
      </c>
      <c r="AI364" s="774" t="s">
        <v>350</v>
      </c>
      <c r="AJ364" s="777" t="s">
        <v>491</v>
      </c>
      <c r="AK364" s="774" t="s">
        <v>315</v>
      </c>
      <c r="AL364" s="774" t="s">
        <v>70</v>
      </c>
      <c r="AM364" s="774" t="s">
        <v>480</v>
      </c>
      <c r="AN364" s="807">
        <v>186383</v>
      </c>
      <c r="AO364" s="808">
        <v>86612</v>
      </c>
      <c r="AP364" s="808">
        <v>92493</v>
      </c>
      <c r="AQ364" s="806" t="s">
        <v>317</v>
      </c>
      <c r="AR364" s="806" t="s">
        <v>317</v>
      </c>
      <c r="AS364" s="806" t="s">
        <v>317</v>
      </c>
      <c r="AT364" s="806" t="s">
        <v>317</v>
      </c>
      <c r="AU364" s="795" t="s">
        <v>317</v>
      </c>
      <c r="AV364" s="795" t="s">
        <v>317</v>
      </c>
      <c r="AW364" s="795" t="s">
        <v>317</v>
      </c>
      <c r="AX364" s="796">
        <v>186383</v>
      </c>
      <c r="AY364" s="159"/>
    </row>
    <row r="365" spans="1:51" ht="18.75" hidden="1" customHeight="1" x14ac:dyDescent="0.25">
      <c r="A365" s="815"/>
      <c r="B365" s="1043"/>
      <c r="C365" s="838"/>
      <c r="D365" s="132" t="s">
        <v>3</v>
      </c>
      <c r="E365" s="142"/>
      <c r="F365" s="143"/>
      <c r="G365" s="144"/>
      <c r="H365" s="144"/>
      <c r="I365" s="144"/>
      <c r="J365" s="138"/>
      <c r="K365" s="137"/>
      <c r="L365" s="138"/>
      <c r="M365" s="138"/>
      <c r="N365" s="138"/>
      <c r="O365" s="138"/>
      <c r="P365" s="138"/>
      <c r="Q365" s="138"/>
      <c r="R365" s="147"/>
      <c r="S365" s="139"/>
      <c r="T365" s="148"/>
      <c r="U365" s="148"/>
      <c r="V365" s="148"/>
      <c r="W365" s="146"/>
      <c r="X365" s="139"/>
      <c r="Y365" s="139"/>
      <c r="Z365" s="139"/>
      <c r="AA365" s="165"/>
      <c r="AB365" s="151"/>
      <c r="AC365" s="129"/>
      <c r="AD365" s="137"/>
      <c r="AE365" s="152"/>
      <c r="AF365" s="158"/>
      <c r="AG365" s="772"/>
      <c r="AH365" s="775"/>
      <c r="AI365" s="775"/>
      <c r="AJ365" s="778"/>
      <c r="AK365" s="775"/>
      <c r="AL365" s="775"/>
      <c r="AM365" s="775"/>
      <c r="AN365" s="807"/>
      <c r="AO365" s="808"/>
      <c r="AP365" s="808"/>
      <c r="AQ365" s="806"/>
      <c r="AR365" s="806"/>
      <c r="AS365" s="806"/>
      <c r="AT365" s="806"/>
      <c r="AU365" s="795"/>
      <c r="AV365" s="795"/>
      <c r="AW365" s="795"/>
      <c r="AX365" s="797"/>
      <c r="AY365" s="159"/>
    </row>
    <row r="366" spans="1:51" ht="27.75" hidden="1" customHeight="1" x14ac:dyDescent="0.25">
      <c r="A366" s="815"/>
      <c r="B366" s="1043"/>
      <c r="C366" s="838"/>
      <c r="D366" s="136" t="s">
        <v>42</v>
      </c>
      <c r="E366" s="142"/>
      <c r="F366" s="143"/>
      <c r="G366" s="144"/>
      <c r="H366" s="144"/>
      <c r="I366" s="144"/>
      <c r="J366" s="138"/>
      <c r="K366" s="137"/>
      <c r="L366" s="138"/>
      <c r="M366" s="138"/>
      <c r="N366" s="138"/>
      <c r="O366" s="138"/>
      <c r="P366" s="138"/>
      <c r="Q366" s="138"/>
      <c r="R366" s="147"/>
      <c r="S366" s="139"/>
      <c r="T366" s="148"/>
      <c r="U366" s="148"/>
      <c r="V366" s="148"/>
      <c r="W366" s="146"/>
      <c r="X366" s="139"/>
      <c r="Y366" s="139"/>
      <c r="Z366" s="139"/>
      <c r="AA366" s="165"/>
      <c r="AB366" s="151"/>
      <c r="AC366" s="129"/>
      <c r="AD366" s="137"/>
      <c r="AE366" s="152"/>
      <c r="AF366" s="158"/>
      <c r="AG366" s="772"/>
      <c r="AH366" s="775"/>
      <c r="AI366" s="775"/>
      <c r="AJ366" s="778"/>
      <c r="AK366" s="775"/>
      <c r="AL366" s="775"/>
      <c r="AM366" s="775"/>
      <c r="AN366" s="807"/>
      <c r="AO366" s="808"/>
      <c r="AP366" s="808"/>
      <c r="AQ366" s="806"/>
      <c r="AR366" s="806"/>
      <c r="AS366" s="806"/>
      <c r="AT366" s="806"/>
      <c r="AU366" s="795"/>
      <c r="AV366" s="795"/>
      <c r="AW366" s="795"/>
      <c r="AX366" s="797"/>
      <c r="AY366" s="159"/>
    </row>
    <row r="367" spans="1:51" ht="27.75" hidden="1" customHeight="1" x14ac:dyDescent="0.25">
      <c r="A367" s="815"/>
      <c r="B367" s="1043"/>
      <c r="C367" s="838"/>
      <c r="D367" s="132" t="s">
        <v>4</v>
      </c>
      <c r="E367" s="142"/>
      <c r="F367" s="143"/>
      <c r="G367" s="144"/>
      <c r="H367" s="144"/>
      <c r="I367" s="144"/>
      <c r="J367" s="138"/>
      <c r="K367" s="137"/>
      <c r="L367" s="138"/>
      <c r="M367" s="138"/>
      <c r="N367" s="138"/>
      <c r="O367" s="138"/>
      <c r="P367" s="138"/>
      <c r="Q367" s="138"/>
      <c r="R367" s="147"/>
      <c r="S367" s="139"/>
      <c r="T367" s="148"/>
      <c r="U367" s="148"/>
      <c r="V367" s="148"/>
      <c r="W367" s="146"/>
      <c r="X367" s="139"/>
      <c r="Y367" s="139"/>
      <c r="Z367" s="139"/>
      <c r="AA367" s="165"/>
      <c r="AB367" s="151"/>
      <c r="AC367" s="129"/>
      <c r="AD367" s="137"/>
      <c r="AE367" s="152"/>
      <c r="AF367" s="158"/>
      <c r="AG367" s="772"/>
      <c r="AH367" s="775"/>
      <c r="AI367" s="775"/>
      <c r="AJ367" s="778"/>
      <c r="AK367" s="775"/>
      <c r="AL367" s="775"/>
      <c r="AM367" s="775"/>
      <c r="AN367" s="807"/>
      <c r="AO367" s="808"/>
      <c r="AP367" s="808"/>
      <c r="AQ367" s="806"/>
      <c r="AR367" s="806"/>
      <c r="AS367" s="806"/>
      <c r="AT367" s="806"/>
      <c r="AU367" s="795"/>
      <c r="AV367" s="795"/>
      <c r="AW367" s="795"/>
      <c r="AX367" s="797"/>
      <c r="AY367" s="159"/>
    </row>
    <row r="368" spans="1:51" ht="27.75" hidden="1" customHeight="1" x14ac:dyDescent="0.25">
      <c r="A368" s="815"/>
      <c r="B368" s="1043"/>
      <c r="C368" s="838"/>
      <c r="D368" s="136" t="s">
        <v>43</v>
      </c>
      <c r="E368" s="142"/>
      <c r="F368" s="143"/>
      <c r="G368" s="144"/>
      <c r="H368" s="144"/>
      <c r="I368" s="144"/>
      <c r="J368" s="138"/>
      <c r="K368" s="137"/>
      <c r="L368" s="138"/>
      <c r="M368" s="138"/>
      <c r="N368" s="138"/>
      <c r="O368" s="138"/>
      <c r="P368" s="138"/>
      <c r="Q368" s="138"/>
      <c r="R368" s="147"/>
      <c r="S368" s="139"/>
      <c r="T368" s="148"/>
      <c r="U368" s="148"/>
      <c r="V368" s="148"/>
      <c r="W368" s="146"/>
      <c r="X368" s="139"/>
      <c r="Y368" s="139"/>
      <c r="Z368" s="139"/>
      <c r="AA368" s="165"/>
      <c r="AB368" s="151"/>
      <c r="AC368" s="129"/>
      <c r="AD368" s="137"/>
      <c r="AE368" s="152"/>
      <c r="AF368" s="158"/>
      <c r="AG368" s="772"/>
      <c r="AH368" s="775"/>
      <c r="AI368" s="775"/>
      <c r="AJ368" s="778"/>
      <c r="AK368" s="775"/>
      <c r="AL368" s="775"/>
      <c r="AM368" s="775"/>
      <c r="AN368" s="807"/>
      <c r="AO368" s="808"/>
      <c r="AP368" s="808"/>
      <c r="AQ368" s="806"/>
      <c r="AR368" s="806"/>
      <c r="AS368" s="806"/>
      <c r="AT368" s="806"/>
      <c r="AU368" s="795"/>
      <c r="AV368" s="795"/>
      <c r="AW368" s="795"/>
      <c r="AX368" s="797"/>
      <c r="AY368" s="159"/>
    </row>
    <row r="369" spans="1:51" ht="27.75" hidden="1" customHeight="1" thickBot="1" x14ac:dyDescent="0.3">
      <c r="A369" s="815"/>
      <c r="B369" s="1043"/>
      <c r="C369" s="838"/>
      <c r="D369" s="140" t="s">
        <v>45</v>
      </c>
      <c r="E369" s="142"/>
      <c r="F369" s="143"/>
      <c r="G369" s="144"/>
      <c r="H369" s="144"/>
      <c r="I369" s="144"/>
      <c r="J369" s="138"/>
      <c r="K369" s="137"/>
      <c r="L369" s="138"/>
      <c r="M369" s="138"/>
      <c r="N369" s="138"/>
      <c r="O369" s="138"/>
      <c r="P369" s="138"/>
      <c r="Q369" s="138"/>
      <c r="R369" s="147"/>
      <c r="S369" s="139"/>
      <c r="T369" s="148"/>
      <c r="U369" s="148"/>
      <c r="V369" s="148"/>
      <c r="W369" s="146"/>
      <c r="X369" s="139"/>
      <c r="Y369" s="139"/>
      <c r="Z369" s="139"/>
      <c r="AA369" s="165"/>
      <c r="AB369" s="151"/>
      <c r="AC369" s="129"/>
      <c r="AD369" s="137"/>
      <c r="AE369" s="152"/>
      <c r="AF369" s="158"/>
      <c r="AG369" s="773"/>
      <c r="AH369" s="776"/>
      <c r="AI369" s="776"/>
      <c r="AJ369" s="779"/>
      <c r="AK369" s="776"/>
      <c r="AL369" s="776"/>
      <c r="AM369" s="776"/>
      <c r="AN369" s="807"/>
      <c r="AO369" s="808"/>
      <c r="AP369" s="808"/>
      <c r="AQ369" s="806"/>
      <c r="AR369" s="806"/>
      <c r="AS369" s="806"/>
      <c r="AT369" s="806"/>
      <c r="AU369" s="795"/>
      <c r="AV369" s="795"/>
      <c r="AW369" s="795"/>
      <c r="AX369" s="798"/>
      <c r="AY369" s="159"/>
    </row>
    <row r="370" spans="1:51" ht="19.350000000000001" hidden="1" customHeight="1" x14ac:dyDescent="0.25">
      <c r="A370" s="815"/>
      <c r="B370" s="1043"/>
      <c r="C370" s="838" t="s">
        <v>356</v>
      </c>
      <c r="D370" s="141" t="s">
        <v>41</v>
      </c>
      <c r="E370" s="142"/>
      <c r="F370" s="143"/>
      <c r="G370" s="144"/>
      <c r="H370" s="144"/>
      <c r="I370" s="144"/>
      <c r="J370" s="138"/>
      <c r="K370" s="137"/>
      <c r="L370" s="138"/>
      <c r="M370" s="138"/>
      <c r="N370" s="138"/>
      <c r="O370" s="138"/>
      <c r="P370" s="138"/>
      <c r="Q370" s="138"/>
      <c r="R370" s="147"/>
      <c r="S370" s="139"/>
      <c r="T370" s="148"/>
      <c r="U370" s="148"/>
      <c r="V370" s="148"/>
      <c r="W370" s="146"/>
      <c r="X370" s="139"/>
      <c r="Y370" s="139"/>
      <c r="Z370" s="139"/>
      <c r="AA370" s="165"/>
      <c r="AB370" s="151"/>
      <c r="AC370" s="129"/>
      <c r="AD370" s="137"/>
      <c r="AE370" s="152"/>
      <c r="AF370" s="158"/>
      <c r="AG370" s="771" t="s">
        <v>356</v>
      </c>
      <c r="AH370" s="774" t="s">
        <v>350</v>
      </c>
      <c r="AI370" s="774" t="s">
        <v>350</v>
      </c>
      <c r="AJ370" s="777" t="s">
        <v>491</v>
      </c>
      <c r="AK370" s="774" t="s">
        <v>315</v>
      </c>
      <c r="AL370" s="774" t="s">
        <v>70</v>
      </c>
      <c r="AM370" s="774" t="s">
        <v>480</v>
      </c>
      <c r="AN370" s="807">
        <v>753496</v>
      </c>
      <c r="AO370" s="808">
        <v>350318</v>
      </c>
      <c r="AP370" s="808">
        <v>376910</v>
      </c>
      <c r="AQ370" s="806" t="s">
        <v>317</v>
      </c>
      <c r="AR370" s="806" t="s">
        <v>317</v>
      </c>
      <c r="AS370" s="806" t="s">
        <v>317</v>
      </c>
      <c r="AT370" s="806" t="s">
        <v>317</v>
      </c>
      <c r="AU370" s="795" t="s">
        <v>317</v>
      </c>
      <c r="AV370" s="795" t="s">
        <v>317</v>
      </c>
      <c r="AW370" s="795" t="s">
        <v>317</v>
      </c>
      <c r="AX370" s="796">
        <v>753496</v>
      </c>
      <c r="AY370" s="159"/>
    </row>
    <row r="371" spans="1:51" ht="18.75" hidden="1" customHeight="1" x14ac:dyDescent="0.25">
      <c r="A371" s="815"/>
      <c r="B371" s="1043"/>
      <c r="C371" s="838"/>
      <c r="D371" s="132" t="s">
        <v>3</v>
      </c>
      <c r="E371" s="142"/>
      <c r="F371" s="143"/>
      <c r="G371" s="144"/>
      <c r="H371" s="144"/>
      <c r="I371" s="144"/>
      <c r="J371" s="138"/>
      <c r="K371" s="137"/>
      <c r="L371" s="138"/>
      <c r="M371" s="138"/>
      <c r="N371" s="138"/>
      <c r="O371" s="138"/>
      <c r="P371" s="138"/>
      <c r="Q371" s="138"/>
      <c r="R371" s="147"/>
      <c r="S371" s="139"/>
      <c r="T371" s="148"/>
      <c r="U371" s="148"/>
      <c r="V371" s="148"/>
      <c r="W371" s="146"/>
      <c r="X371" s="139"/>
      <c r="Y371" s="139"/>
      <c r="Z371" s="139"/>
      <c r="AA371" s="165"/>
      <c r="AB371" s="151"/>
      <c r="AC371" s="129"/>
      <c r="AD371" s="137"/>
      <c r="AE371" s="152"/>
      <c r="AF371" s="158"/>
      <c r="AG371" s="772"/>
      <c r="AH371" s="775"/>
      <c r="AI371" s="775"/>
      <c r="AJ371" s="778"/>
      <c r="AK371" s="775"/>
      <c r="AL371" s="775"/>
      <c r="AM371" s="775"/>
      <c r="AN371" s="807"/>
      <c r="AO371" s="808"/>
      <c r="AP371" s="808"/>
      <c r="AQ371" s="806"/>
      <c r="AR371" s="806"/>
      <c r="AS371" s="806"/>
      <c r="AT371" s="806"/>
      <c r="AU371" s="795"/>
      <c r="AV371" s="795"/>
      <c r="AW371" s="795"/>
      <c r="AX371" s="797"/>
      <c r="AY371" s="159"/>
    </row>
    <row r="372" spans="1:51" ht="27.75" hidden="1" customHeight="1" x14ac:dyDescent="0.25">
      <c r="A372" s="815"/>
      <c r="B372" s="1043"/>
      <c r="C372" s="838"/>
      <c r="D372" s="136" t="s">
        <v>42</v>
      </c>
      <c r="E372" s="142"/>
      <c r="F372" s="143"/>
      <c r="G372" s="144"/>
      <c r="H372" s="144"/>
      <c r="I372" s="144"/>
      <c r="J372" s="138"/>
      <c r="K372" s="137"/>
      <c r="L372" s="138"/>
      <c r="M372" s="138"/>
      <c r="N372" s="138"/>
      <c r="O372" s="138"/>
      <c r="P372" s="138"/>
      <c r="Q372" s="138"/>
      <c r="R372" s="147"/>
      <c r="S372" s="139"/>
      <c r="T372" s="148"/>
      <c r="U372" s="148"/>
      <c r="V372" s="148"/>
      <c r="W372" s="146"/>
      <c r="X372" s="139"/>
      <c r="Y372" s="139"/>
      <c r="Z372" s="139"/>
      <c r="AA372" s="165"/>
      <c r="AB372" s="151"/>
      <c r="AC372" s="129"/>
      <c r="AD372" s="137"/>
      <c r="AE372" s="152"/>
      <c r="AF372" s="158"/>
      <c r="AG372" s="772"/>
      <c r="AH372" s="775"/>
      <c r="AI372" s="775"/>
      <c r="AJ372" s="778"/>
      <c r="AK372" s="775"/>
      <c r="AL372" s="775"/>
      <c r="AM372" s="775"/>
      <c r="AN372" s="807"/>
      <c r="AO372" s="808"/>
      <c r="AP372" s="808"/>
      <c r="AQ372" s="806"/>
      <c r="AR372" s="806"/>
      <c r="AS372" s="806"/>
      <c r="AT372" s="806"/>
      <c r="AU372" s="795"/>
      <c r="AV372" s="795"/>
      <c r="AW372" s="795"/>
      <c r="AX372" s="797"/>
      <c r="AY372" s="159"/>
    </row>
    <row r="373" spans="1:51" ht="27.75" hidden="1" customHeight="1" x14ac:dyDescent="0.25">
      <c r="A373" s="815"/>
      <c r="B373" s="1043"/>
      <c r="C373" s="838"/>
      <c r="D373" s="132" t="s">
        <v>4</v>
      </c>
      <c r="E373" s="142"/>
      <c r="F373" s="143"/>
      <c r="G373" s="144"/>
      <c r="H373" s="144"/>
      <c r="I373" s="144"/>
      <c r="J373" s="138"/>
      <c r="K373" s="137"/>
      <c r="L373" s="138"/>
      <c r="M373" s="138"/>
      <c r="N373" s="138"/>
      <c r="O373" s="138"/>
      <c r="P373" s="138"/>
      <c r="Q373" s="138"/>
      <c r="R373" s="147"/>
      <c r="S373" s="139"/>
      <c r="T373" s="148"/>
      <c r="U373" s="148"/>
      <c r="V373" s="148"/>
      <c r="W373" s="146"/>
      <c r="X373" s="139"/>
      <c r="Y373" s="139"/>
      <c r="Z373" s="139"/>
      <c r="AA373" s="165"/>
      <c r="AB373" s="151"/>
      <c r="AC373" s="129"/>
      <c r="AD373" s="137"/>
      <c r="AE373" s="152"/>
      <c r="AF373" s="158"/>
      <c r="AG373" s="772"/>
      <c r="AH373" s="775"/>
      <c r="AI373" s="775"/>
      <c r="AJ373" s="778"/>
      <c r="AK373" s="775"/>
      <c r="AL373" s="775"/>
      <c r="AM373" s="775"/>
      <c r="AN373" s="807"/>
      <c r="AO373" s="808"/>
      <c r="AP373" s="808"/>
      <c r="AQ373" s="806"/>
      <c r="AR373" s="806"/>
      <c r="AS373" s="806"/>
      <c r="AT373" s="806"/>
      <c r="AU373" s="795"/>
      <c r="AV373" s="795"/>
      <c r="AW373" s="795"/>
      <c r="AX373" s="797"/>
      <c r="AY373" s="159"/>
    </row>
    <row r="374" spans="1:51" ht="27.75" hidden="1" customHeight="1" x14ac:dyDescent="0.25">
      <c r="A374" s="815"/>
      <c r="B374" s="1043"/>
      <c r="C374" s="838"/>
      <c r="D374" s="136" t="s">
        <v>43</v>
      </c>
      <c r="E374" s="142"/>
      <c r="F374" s="143"/>
      <c r="G374" s="144"/>
      <c r="H374" s="144"/>
      <c r="I374" s="144"/>
      <c r="J374" s="138"/>
      <c r="K374" s="137"/>
      <c r="L374" s="138"/>
      <c r="M374" s="138"/>
      <c r="N374" s="138"/>
      <c r="O374" s="138"/>
      <c r="P374" s="138"/>
      <c r="Q374" s="138"/>
      <c r="R374" s="147"/>
      <c r="S374" s="139"/>
      <c r="T374" s="148"/>
      <c r="U374" s="148"/>
      <c r="V374" s="148"/>
      <c r="W374" s="146"/>
      <c r="X374" s="139"/>
      <c r="Y374" s="139"/>
      <c r="Z374" s="139"/>
      <c r="AA374" s="165"/>
      <c r="AB374" s="151"/>
      <c r="AC374" s="129"/>
      <c r="AD374" s="137"/>
      <c r="AE374" s="152"/>
      <c r="AF374" s="158"/>
      <c r="AG374" s="772"/>
      <c r="AH374" s="775"/>
      <c r="AI374" s="775"/>
      <c r="AJ374" s="778"/>
      <c r="AK374" s="775"/>
      <c r="AL374" s="775"/>
      <c r="AM374" s="775"/>
      <c r="AN374" s="807"/>
      <c r="AO374" s="808"/>
      <c r="AP374" s="808"/>
      <c r="AQ374" s="806"/>
      <c r="AR374" s="806"/>
      <c r="AS374" s="806"/>
      <c r="AT374" s="806"/>
      <c r="AU374" s="795"/>
      <c r="AV374" s="795"/>
      <c r="AW374" s="795"/>
      <c r="AX374" s="797"/>
      <c r="AY374" s="159"/>
    </row>
    <row r="375" spans="1:51" ht="27.75" hidden="1" customHeight="1" thickBot="1" x14ac:dyDescent="0.3">
      <c r="A375" s="815"/>
      <c r="B375" s="1043"/>
      <c r="C375" s="838"/>
      <c r="D375" s="140" t="s">
        <v>45</v>
      </c>
      <c r="E375" s="142"/>
      <c r="F375" s="143"/>
      <c r="G375" s="144"/>
      <c r="H375" s="144"/>
      <c r="I375" s="144"/>
      <c r="J375" s="138"/>
      <c r="K375" s="137"/>
      <c r="L375" s="138"/>
      <c r="M375" s="138"/>
      <c r="N375" s="138"/>
      <c r="O375" s="138"/>
      <c r="P375" s="138"/>
      <c r="Q375" s="138"/>
      <c r="R375" s="147"/>
      <c r="S375" s="139"/>
      <c r="T375" s="148"/>
      <c r="U375" s="148"/>
      <c r="V375" s="148"/>
      <c r="W375" s="146"/>
      <c r="X375" s="139"/>
      <c r="Y375" s="139"/>
      <c r="Z375" s="139"/>
      <c r="AA375" s="165"/>
      <c r="AB375" s="151"/>
      <c r="AC375" s="129"/>
      <c r="AD375" s="137"/>
      <c r="AE375" s="152"/>
      <c r="AF375" s="158"/>
      <c r="AG375" s="773"/>
      <c r="AH375" s="776"/>
      <c r="AI375" s="776"/>
      <c r="AJ375" s="779"/>
      <c r="AK375" s="776"/>
      <c r="AL375" s="776"/>
      <c r="AM375" s="776"/>
      <c r="AN375" s="807"/>
      <c r="AO375" s="808"/>
      <c r="AP375" s="808"/>
      <c r="AQ375" s="806"/>
      <c r="AR375" s="806"/>
      <c r="AS375" s="806"/>
      <c r="AT375" s="806"/>
      <c r="AU375" s="795"/>
      <c r="AV375" s="795"/>
      <c r="AW375" s="795"/>
      <c r="AX375" s="798"/>
      <c r="AY375" s="159"/>
    </row>
    <row r="376" spans="1:51" ht="19.350000000000001" hidden="1" customHeight="1" x14ac:dyDescent="0.25">
      <c r="A376" s="815"/>
      <c r="B376" s="1043"/>
      <c r="C376" s="838" t="s">
        <v>361</v>
      </c>
      <c r="D376" s="141" t="s">
        <v>41</v>
      </c>
      <c r="E376" s="142"/>
      <c r="F376" s="143"/>
      <c r="G376" s="144"/>
      <c r="H376" s="144"/>
      <c r="I376" s="144"/>
      <c r="J376" s="138"/>
      <c r="K376" s="137"/>
      <c r="L376" s="138"/>
      <c r="M376" s="138"/>
      <c r="N376" s="138"/>
      <c r="O376" s="138"/>
      <c r="P376" s="138"/>
      <c r="Q376" s="138"/>
      <c r="R376" s="147"/>
      <c r="S376" s="139"/>
      <c r="T376" s="148"/>
      <c r="U376" s="148"/>
      <c r="V376" s="148"/>
      <c r="W376" s="146"/>
      <c r="X376" s="139"/>
      <c r="Y376" s="139"/>
      <c r="Z376" s="139"/>
      <c r="AA376" s="165"/>
      <c r="AB376" s="151"/>
      <c r="AC376" s="129"/>
      <c r="AD376" s="137"/>
      <c r="AE376" s="152"/>
      <c r="AF376" s="158"/>
      <c r="AG376" s="771" t="s">
        <v>361</v>
      </c>
      <c r="AH376" s="774" t="s">
        <v>350</v>
      </c>
      <c r="AI376" s="774" t="s">
        <v>350</v>
      </c>
      <c r="AJ376" s="777" t="s">
        <v>491</v>
      </c>
      <c r="AK376" s="774" t="s">
        <v>315</v>
      </c>
      <c r="AL376" s="774" t="s">
        <v>70</v>
      </c>
      <c r="AM376" s="774" t="s">
        <v>480</v>
      </c>
      <c r="AN376" s="807">
        <v>1230539</v>
      </c>
      <c r="AO376" s="808">
        <v>511137</v>
      </c>
      <c r="AP376" s="808">
        <v>556761</v>
      </c>
      <c r="AQ376" s="806" t="s">
        <v>317</v>
      </c>
      <c r="AR376" s="806" t="s">
        <v>317</v>
      </c>
      <c r="AS376" s="806" t="s">
        <v>317</v>
      </c>
      <c r="AT376" s="806" t="s">
        <v>317</v>
      </c>
      <c r="AU376" s="795" t="s">
        <v>317</v>
      </c>
      <c r="AV376" s="795" t="s">
        <v>317</v>
      </c>
      <c r="AW376" s="795" t="s">
        <v>317</v>
      </c>
      <c r="AX376" s="796">
        <v>1230539</v>
      </c>
      <c r="AY376" s="159"/>
    </row>
    <row r="377" spans="1:51" ht="18.75" hidden="1" customHeight="1" x14ac:dyDescent="0.25">
      <c r="A377" s="815"/>
      <c r="B377" s="1043"/>
      <c r="C377" s="838"/>
      <c r="D377" s="132" t="s">
        <v>3</v>
      </c>
      <c r="E377" s="142"/>
      <c r="F377" s="143"/>
      <c r="G377" s="144"/>
      <c r="H377" s="144"/>
      <c r="I377" s="144"/>
      <c r="J377" s="138"/>
      <c r="K377" s="137"/>
      <c r="L377" s="138"/>
      <c r="M377" s="138"/>
      <c r="N377" s="138"/>
      <c r="O377" s="138"/>
      <c r="P377" s="138"/>
      <c r="Q377" s="138"/>
      <c r="R377" s="147"/>
      <c r="S377" s="139"/>
      <c r="T377" s="148"/>
      <c r="U377" s="148"/>
      <c r="V377" s="148"/>
      <c r="W377" s="146"/>
      <c r="X377" s="139"/>
      <c r="Y377" s="139"/>
      <c r="Z377" s="139"/>
      <c r="AA377" s="165"/>
      <c r="AB377" s="151"/>
      <c r="AC377" s="129"/>
      <c r="AD377" s="137"/>
      <c r="AE377" s="152"/>
      <c r="AF377" s="158"/>
      <c r="AG377" s="772"/>
      <c r="AH377" s="775"/>
      <c r="AI377" s="775"/>
      <c r="AJ377" s="778"/>
      <c r="AK377" s="775"/>
      <c r="AL377" s="775"/>
      <c r="AM377" s="775"/>
      <c r="AN377" s="807"/>
      <c r="AO377" s="808"/>
      <c r="AP377" s="808"/>
      <c r="AQ377" s="806"/>
      <c r="AR377" s="806"/>
      <c r="AS377" s="806"/>
      <c r="AT377" s="806"/>
      <c r="AU377" s="795"/>
      <c r="AV377" s="795"/>
      <c r="AW377" s="795"/>
      <c r="AX377" s="797"/>
      <c r="AY377" s="159"/>
    </row>
    <row r="378" spans="1:51" ht="27.75" hidden="1" customHeight="1" x14ac:dyDescent="0.25">
      <c r="A378" s="815"/>
      <c r="B378" s="1043"/>
      <c r="C378" s="838"/>
      <c r="D378" s="136" t="s">
        <v>42</v>
      </c>
      <c r="E378" s="142"/>
      <c r="F378" s="143"/>
      <c r="G378" s="144"/>
      <c r="H378" s="144"/>
      <c r="I378" s="144"/>
      <c r="J378" s="138"/>
      <c r="K378" s="137"/>
      <c r="L378" s="138"/>
      <c r="M378" s="138"/>
      <c r="N378" s="138"/>
      <c r="O378" s="138"/>
      <c r="P378" s="138"/>
      <c r="Q378" s="138"/>
      <c r="R378" s="147"/>
      <c r="S378" s="139"/>
      <c r="T378" s="148"/>
      <c r="U378" s="148"/>
      <c r="V378" s="148"/>
      <c r="W378" s="146"/>
      <c r="X378" s="139"/>
      <c r="Y378" s="139"/>
      <c r="Z378" s="139"/>
      <c r="AA378" s="165"/>
      <c r="AB378" s="151"/>
      <c r="AC378" s="129"/>
      <c r="AD378" s="137"/>
      <c r="AE378" s="152"/>
      <c r="AF378" s="158"/>
      <c r="AG378" s="772"/>
      <c r="AH378" s="775"/>
      <c r="AI378" s="775"/>
      <c r="AJ378" s="778"/>
      <c r="AK378" s="775"/>
      <c r="AL378" s="775"/>
      <c r="AM378" s="775"/>
      <c r="AN378" s="807"/>
      <c r="AO378" s="808"/>
      <c r="AP378" s="808"/>
      <c r="AQ378" s="806"/>
      <c r="AR378" s="806"/>
      <c r="AS378" s="806"/>
      <c r="AT378" s="806"/>
      <c r="AU378" s="795"/>
      <c r="AV378" s="795"/>
      <c r="AW378" s="795"/>
      <c r="AX378" s="797"/>
      <c r="AY378" s="159"/>
    </row>
    <row r="379" spans="1:51" ht="27.75" hidden="1" customHeight="1" x14ac:dyDescent="0.25">
      <c r="A379" s="815"/>
      <c r="B379" s="1043"/>
      <c r="C379" s="838"/>
      <c r="D379" s="132" t="s">
        <v>4</v>
      </c>
      <c r="E379" s="142"/>
      <c r="F379" s="143"/>
      <c r="G379" s="144"/>
      <c r="H379" s="144"/>
      <c r="I379" s="144"/>
      <c r="J379" s="138"/>
      <c r="K379" s="137"/>
      <c r="L379" s="138"/>
      <c r="M379" s="138"/>
      <c r="N379" s="138"/>
      <c r="O379" s="138"/>
      <c r="P379" s="138"/>
      <c r="Q379" s="138"/>
      <c r="R379" s="147"/>
      <c r="S379" s="139"/>
      <c r="T379" s="148"/>
      <c r="U379" s="148"/>
      <c r="V379" s="148"/>
      <c r="W379" s="146"/>
      <c r="X379" s="139"/>
      <c r="Y379" s="139"/>
      <c r="Z379" s="139"/>
      <c r="AA379" s="165"/>
      <c r="AB379" s="151"/>
      <c r="AC379" s="129"/>
      <c r="AD379" s="137"/>
      <c r="AE379" s="152"/>
      <c r="AF379" s="158"/>
      <c r="AG379" s="772"/>
      <c r="AH379" s="775"/>
      <c r="AI379" s="775"/>
      <c r="AJ379" s="778"/>
      <c r="AK379" s="775"/>
      <c r="AL379" s="775"/>
      <c r="AM379" s="775"/>
      <c r="AN379" s="807"/>
      <c r="AO379" s="808"/>
      <c r="AP379" s="808"/>
      <c r="AQ379" s="806"/>
      <c r="AR379" s="806"/>
      <c r="AS379" s="806"/>
      <c r="AT379" s="806"/>
      <c r="AU379" s="795"/>
      <c r="AV379" s="795"/>
      <c r="AW379" s="795"/>
      <c r="AX379" s="797"/>
      <c r="AY379" s="159"/>
    </row>
    <row r="380" spans="1:51" ht="27.75" hidden="1" customHeight="1" x14ac:dyDescent="0.25">
      <c r="A380" s="815"/>
      <c r="B380" s="1043"/>
      <c r="C380" s="838"/>
      <c r="D380" s="136" t="s">
        <v>43</v>
      </c>
      <c r="E380" s="142"/>
      <c r="F380" s="143"/>
      <c r="G380" s="144"/>
      <c r="H380" s="144"/>
      <c r="I380" s="144"/>
      <c r="J380" s="138"/>
      <c r="K380" s="137"/>
      <c r="L380" s="138"/>
      <c r="M380" s="138"/>
      <c r="N380" s="138"/>
      <c r="O380" s="138"/>
      <c r="P380" s="138"/>
      <c r="Q380" s="138"/>
      <c r="R380" s="147"/>
      <c r="S380" s="139"/>
      <c r="T380" s="148"/>
      <c r="U380" s="148"/>
      <c r="V380" s="148"/>
      <c r="W380" s="146"/>
      <c r="X380" s="139"/>
      <c r="Y380" s="139"/>
      <c r="Z380" s="139"/>
      <c r="AA380" s="165"/>
      <c r="AB380" s="151"/>
      <c r="AC380" s="129"/>
      <c r="AD380" s="137"/>
      <c r="AE380" s="152"/>
      <c r="AF380" s="158"/>
      <c r="AG380" s="772"/>
      <c r="AH380" s="775"/>
      <c r="AI380" s="775"/>
      <c r="AJ380" s="778"/>
      <c r="AK380" s="775"/>
      <c r="AL380" s="775"/>
      <c r="AM380" s="775"/>
      <c r="AN380" s="807"/>
      <c r="AO380" s="808"/>
      <c r="AP380" s="808"/>
      <c r="AQ380" s="806"/>
      <c r="AR380" s="806"/>
      <c r="AS380" s="806"/>
      <c r="AT380" s="806"/>
      <c r="AU380" s="795"/>
      <c r="AV380" s="795"/>
      <c r="AW380" s="795"/>
      <c r="AX380" s="797"/>
      <c r="AY380" s="159"/>
    </row>
    <row r="381" spans="1:51" ht="27.75" hidden="1" customHeight="1" thickBot="1" x14ac:dyDescent="0.3">
      <c r="A381" s="815"/>
      <c r="B381" s="1043"/>
      <c r="C381" s="838"/>
      <c r="D381" s="140" t="s">
        <v>45</v>
      </c>
      <c r="E381" s="142"/>
      <c r="F381" s="143"/>
      <c r="G381" s="144"/>
      <c r="H381" s="144"/>
      <c r="I381" s="144"/>
      <c r="J381" s="138"/>
      <c r="K381" s="137"/>
      <c r="L381" s="138"/>
      <c r="M381" s="138"/>
      <c r="N381" s="138"/>
      <c r="O381" s="138"/>
      <c r="P381" s="138"/>
      <c r="Q381" s="138"/>
      <c r="R381" s="147"/>
      <c r="S381" s="139"/>
      <c r="T381" s="148"/>
      <c r="U381" s="148"/>
      <c r="V381" s="148"/>
      <c r="W381" s="146"/>
      <c r="X381" s="139"/>
      <c r="Y381" s="139"/>
      <c r="Z381" s="139"/>
      <c r="AA381" s="165"/>
      <c r="AB381" s="151"/>
      <c r="AC381" s="129"/>
      <c r="AD381" s="137"/>
      <c r="AE381" s="152"/>
      <c r="AF381" s="158"/>
      <c r="AG381" s="773"/>
      <c r="AH381" s="776"/>
      <c r="AI381" s="776"/>
      <c r="AJ381" s="779"/>
      <c r="AK381" s="776"/>
      <c r="AL381" s="776"/>
      <c r="AM381" s="776"/>
      <c r="AN381" s="807"/>
      <c r="AO381" s="808"/>
      <c r="AP381" s="808"/>
      <c r="AQ381" s="806"/>
      <c r="AR381" s="806"/>
      <c r="AS381" s="806"/>
      <c r="AT381" s="806"/>
      <c r="AU381" s="795"/>
      <c r="AV381" s="795"/>
      <c r="AW381" s="795"/>
      <c r="AX381" s="798"/>
      <c r="AY381" s="159"/>
    </row>
    <row r="382" spans="1:51" ht="19.350000000000001" hidden="1" customHeight="1" x14ac:dyDescent="0.25">
      <c r="A382" s="815"/>
      <c r="B382" s="1043"/>
      <c r="C382" s="838" t="s">
        <v>366</v>
      </c>
      <c r="D382" s="141" t="s">
        <v>41</v>
      </c>
      <c r="E382" s="142"/>
      <c r="F382" s="143"/>
      <c r="G382" s="144"/>
      <c r="H382" s="144"/>
      <c r="I382" s="144"/>
      <c r="J382" s="138"/>
      <c r="K382" s="137"/>
      <c r="L382" s="138"/>
      <c r="M382" s="138"/>
      <c r="N382" s="138"/>
      <c r="O382" s="138"/>
      <c r="P382" s="138"/>
      <c r="Q382" s="138"/>
      <c r="R382" s="147"/>
      <c r="S382" s="139"/>
      <c r="T382" s="148"/>
      <c r="U382" s="148"/>
      <c r="V382" s="148"/>
      <c r="W382" s="146"/>
      <c r="X382" s="139"/>
      <c r="Y382" s="139"/>
      <c r="Z382" s="139"/>
      <c r="AA382" s="165"/>
      <c r="AB382" s="151"/>
      <c r="AC382" s="129"/>
      <c r="AD382" s="137"/>
      <c r="AE382" s="152"/>
      <c r="AF382" s="158"/>
      <c r="AG382" s="771" t="s">
        <v>433</v>
      </c>
      <c r="AH382" s="774" t="s">
        <v>350</v>
      </c>
      <c r="AI382" s="774" t="s">
        <v>350</v>
      </c>
      <c r="AJ382" s="777" t="s">
        <v>491</v>
      </c>
      <c r="AK382" s="774" t="s">
        <v>315</v>
      </c>
      <c r="AL382" s="774" t="s">
        <v>70</v>
      </c>
      <c r="AM382" s="774" t="s">
        <v>480</v>
      </c>
      <c r="AN382" s="807">
        <v>424038</v>
      </c>
      <c r="AO382" s="808">
        <v>181876</v>
      </c>
      <c r="AP382" s="808">
        <v>201858</v>
      </c>
      <c r="AQ382" s="806" t="s">
        <v>317</v>
      </c>
      <c r="AR382" s="806" t="s">
        <v>317</v>
      </c>
      <c r="AS382" s="806" t="s">
        <v>317</v>
      </c>
      <c r="AT382" s="806" t="s">
        <v>317</v>
      </c>
      <c r="AU382" s="795" t="s">
        <v>317</v>
      </c>
      <c r="AV382" s="795" t="s">
        <v>317</v>
      </c>
      <c r="AW382" s="795" t="s">
        <v>317</v>
      </c>
      <c r="AX382" s="796">
        <v>424038</v>
      </c>
      <c r="AY382" s="159"/>
    </row>
    <row r="383" spans="1:51" ht="18.75" hidden="1" customHeight="1" x14ac:dyDescent="0.25">
      <c r="A383" s="815"/>
      <c r="B383" s="1043"/>
      <c r="C383" s="838"/>
      <c r="D383" s="132" t="s">
        <v>3</v>
      </c>
      <c r="E383" s="142"/>
      <c r="F383" s="143"/>
      <c r="G383" s="144"/>
      <c r="H383" s="144"/>
      <c r="I383" s="144"/>
      <c r="J383" s="138"/>
      <c r="K383" s="137"/>
      <c r="L383" s="138"/>
      <c r="M383" s="138"/>
      <c r="N383" s="138"/>
      <c r="O383" s="138"/>
      <c r="P383" s="138"/>
      <c r="Q383" s="138"/>
      <c r="R383" s="147"/>
      <c r="S383" s="139"/>
      <c r="T383" s="148"/>
      <c r="U383" s="148"/>
      <c r="V383" s="148"/>
      <c r="W383" s="146"/>
      <c r="X383" s="139"/>
      <c r="Y383" s="139"/>
      <c r="Z383" s="139"/>
      <c r="AA383" s="165"/>
      <c r="AB383" s="151"/>
      <c r="AC383" s="129"/>
      <c r="AD383" s="137"/>
      <c r="AE383" s="152"/>
      <c r="AF383" s="158"/>
      <c r="AG383" s="772"/>
      <c r="AH383" s="775"/>
      <c r="AI383" s="775"/>
      <c r="AJ383" s="778"/>
      <c r="AK383" s="775"/>
      <c r="AL383" s="775"/>
      <c r="AM383" s="775"/>
      <c r="AN383" s="807"/>
      <c r="AO383" s="808"/>
      <c r="AP383" s="808"/>
      <c r="AQ383" s="806"/>
      <c r="AR383" s="806"/>
      <c r="AS383" s="806"/>
      <c r="AT383" s="806"/>
      <c r="AU383" s="795"/>
      <c r="AV383" s="795"/>
      <c r="AW383" s="795"/>
      <c r="AX383" s="797"/>
      <c r="AY383" s="159"/>
    </row>
    <row r="384" spans="1:51" ht="27.75" hidden="1" customHeight="1" x14ac:dyDescent="0.25">
      <c r="A384" s="815"/>
      <c r="B384" s="1043"/>
      <c r="C384" s="838"/>
      <c r="D384" s="136" t="s">
        <v>42</v>
      </c>
      <c r="E384" s="142"/>
      <c r="F384" s="143"/>
      <c r="G384" s="144"/>
      <c r="H384" s="144"/>
      <c r="I384" s="144"/>
      <c r="J384" s="138"/>
      <c r="K384" s="137"/>
      <c r="L384" s="138"/>
      <c r="M384" s="138"/>
      <c r="N384" s="138"/>
      <c r="O384" s="138"/>
      <c r="P384" s="138"/>
      <c r="Q384" s="138"/>
      <c r="R384" s="147"/>
      <c r="S384" s="139"/>
      <c r="T384" s="148"/>
      <c r="U384" s="148"/>
      <c r="V384" s="148"/>
      <c r="W384" s="146"/>
      <c r="X384" s="139"/>
      <c r="Y384" s="139"/>
      <c r="Z384" s="139"/>
      <c r="AA384" s="165"/>
      <c r="AB384" s="151"/>
      <c r="AC384" s="129"/>
      <c r="AD384" s="137"/>
      <c r="AE384" s="152"/>
      <c r="AF384" s="158"/>
      <c r="AG384" s="772"/>
      <c r="AH384" s="775"/>
      <c r="AI384" s="775"/>
      <c r="AJ384" s="778"/>
      <c r="AK384" s="775"/>
      <c r="AL384" s="775"/>
      <c r="AM384" s="775"/>
      <c r="AN384" s="807"/>
      <c r="AO384" s="808"/>
      <c r="AP384" s="808"/>
      <c r="AQ384" s="806"/>
      <c r="AR384" s="806"/>
      <c r="AS384" s="806"/>
      <c r="AT384" s="806"/>
      <c r="AU384" s="795"/>
      <c r="AV384" s="795"/>
      <c r="AW384" s="795"/>
      <c r="AX384" s="797"/>
      <c r="AY384" s="159"/>
    </row>
    <row r="385" spans="1:51" ht="27.75" hidden="1" customHeight="1" x14ac:dyDescent="0.25">
      <c r="A385" s="815"/>
      <c r="B385" s="1043"/>
      <c r="C385" s="838"/>
      <c r="D385" s="132" t="s">
        <v>4</v>
      </c>
      <c r="E385" s="142"/>
      <c r="F385" s="143"/>
      <c r="G385" s="144"/>
      <c r="H385" s="144"/>
      <c r="I385" s="144"/>
      <c r="J385" s="138"/>
      <c r="K385" s="137"/>
      <c r="L385" s="138"/>
      <c r="M385" s="138"/>
      <c r="N385" s="138"/>
      <c r="O385" s="138"/>
      <c r="P385" s="138"/>
      <c r="Q385" s="138"/>
      <c r="R385" s="147"/>
      <c r="S385" s="139"/>
      <c r="T385" s="148"/>
      <c r="U385" s="148"/>
      <c r="V385" s="148"/>
      <c r="W385" s="146"/>
      <c r="X385" s="139"/>
      <c r="Y385" s="139"/>
      <c r="Z385" s="139"/>
      <c r="AA385" s="165"/>
      <c r="AB385" s="151"/>
      <c r="AC385" s="129"/>
      <c r="AD385" s="137"/>
      <c r="AE385" s="152"/>
      <c r="AF385" s="158"/>
      <c r="AG385" s="772"/>
      <c r="AH385" s="775"/>
      <c r="AI385" s="775"/>
      <c r="AJ385" s="778"/>
      <c r="AK385" s="775"/>
      <c r="AL385" s="775"/>
      <c r="AM385" s="775"/>
      <c r="AN385" s="807"/>
      <c r="AO385" s="808"/>
      <c r="AP385" s="808"/>
      <c r="AQ385" s="806"/>
      <c r="AR385" s="806"/>
      <c r="AS385" s="806"/>
      <c r="AT385" s="806"/>
      <c r="AU385" s="795"/>
      <c r="AV385" s="795"/>
      <c r="AW385" s="795"/>
      <c r="AX385" s="797"/>
      <c r="AY385" s="159"/>
    </row>
    <row r="386" spans="1:51" ht="27.75" hidden="1" customHeight="1" x14ac:dyDescent="0.25">
      <c r="A386" s="815"/>
      <c r="B386" s="1043"/>
      <c r="C386" s="838"/>
      <c r="D386" s="136" t="s">
        <v>43</v>
      </c>
      <c r="E386" s="142"/>
      <c r="F386" s="143"/>
      <c r="G386" s="144"/>
      <c r="H386" s="144"/>
      <c r="I386" s="144"/>
      <c r="J386" s="138"/>
      <c r="K386" s="137"/>
      <c r="L386" s="138"/>
      <c r="M386" s="138"/>
      <c r="N386" s="138"/>
      <c r="O386" s="138"/>
      <c r="P386" s="138"/>
      <c r="Q386" s="138"/>
      <c r="R386" s="147"/>
      <c r="S386" s="139"/>
      <c r="T386" s="148"/>
      <c r="U386" s="148"/>
      <c r="V386" s="148"/>
      <c r="W386" s="146"/>
      <c r="X386" s="139"/>
      <c r="Y386" s="139"/>
      <c r="Z386" s="139"/>
      <c r="AA386" s="165"/>
      <c r="AB386" s="151"/>
      <c r="AC386" s="129"/>
      <c r="AD386" s="137"/>
      <c r="AE386" s="152"/>
      <c r="AF386" s="158"/>
      <c r="AG386" s="772"/>
      <c r="AH386" s="775"/>
      <c r="AI386" s="775"/>
      <c r="AJ386" s="778"/>
      <c r="AK386" s="775"/>
      <c r="AL386" s="775"/>
      <c r="AM386" s="775"/>
      <c r="AN386" s="807"/>
      <c r="AO386" s="808"/>
      <c r="AP386" s="808"/>
      <c r="AQ386" s="806"/>
      <c r="AR386" s="806"/>
      <c r="AS386" s="806"/>
      <c r="AT386" s="806"/>
      <c r="AU386" s="795"/>
      <c r="AV386" s="795"/>
      <c r="AW386" s="795"/>
      <c r="AX386" s="797"/>
      <c r="AY386" s="159"/>
    </row>
    <row r="387" spans="1:51" ht="27.75" hidden="1" customHeight="1" thickBot="1" x14ac:dyDescent="0.3">
      <c r="A387" s="815"/>
      <c r="B387" s="1043"/>
      <c r="C387" s="838"/>
      <c r="D387" s="140" t="s">
        <v>45</v>
      </c>
      <c r="E387" s="142"/>
      <c r="F387" s="143"/>
      <c r="G387" s="144"/>
      <c r="H387" s="144"/>
      <c r="I387" s="144"/>
      <c r="J387" s="138"/>
      <c r="K387" s="137"/>
      <c r="L387" s="138"/>
      <c r="M387" s="138"/>
      <c r="N387" s="138"/>
      <c r="O387" s="138"/>
      <c r="P387" s="138"/>
      <c r="Q387" s="138"/>
      <c r="R387" s="147"/>
      <c r="S387" s="139"/>
      <c r="T387" s="148"/>
      <c r="U387" s="148"/>
      <c r="V387" s="148"/>
      <c r="W387" s="146"/>
      <c r="X387" s="139"/>
      <c r="Y387" s="139"/>
      <c r="Z387" s="139"/>
      <c r="AA387" s="165"/>
      <c r="AB387" s="151"/>
      <c r="AC387" s="129"/>
      <c r="AD387" s="137"/>
      <c r="AE387" s="152"/>
      <c r="AF387" s="158"/>
      <c r="AG387" s="773"/>
      <c r="AH387" s="776"/>
      <c r="AI387" s="776"/>
      <c r="AJ387" s="779"/>
      <c r="AK387" s="776"/>
      <c r="AL387" s="776"/>
      <c r="AM387" s="776"/>
      <c r="AN387" s="807"/>
      <c r="AO387" s="808"/>
      <c r="AP387" s="808"/>
      <c r="AQ387" s="806"/>
      <c r="AR387" s="806"/>
      <c r="AS387" s="806"/>
      <c r="AT387" s="806"/>
      <c r="AU387" s="795"/>
      <c r="AV387" s="795"/>
      <c r="AW387" s="795"/>
      <c r="AX387" s="798"/>
      <c r="AY387" s="159"/>
    </row>
    <row r="388" spans="1:51" ht="19.350000000000001" customHeight="1" x14ac:dyDescent="0.25">
      <c r="A388" s="815"/>
      <c r="B388" s="1043"/>
      <c r="C388" s="838" t="s">
        <v>519</v>
      </c>
      <c r="D388" s="141" t="s">
        <v>41</v>
      </c>
      <c r="E388" s="142"/>
      <c r="F388" s="143"/>
      <c r="G388" s="144"/>
      <c r="H388" s="144"/>
      <c r="I388" s="144"/>
      <c r="J388" s="138">
        <v>300</v>
      </c>
      <c r="K388" s="145">
        <v>300</v>
      </c>
      <c r="L388" s="138"/>
      <c r="M388" s="138"/>
      <c r="N388" s="138"/>
      <c r="O388" s="138"/>
      <c r="P388" s="138"/>
      <c r="Q388" s="138">
        <v>12</v>
      </c>
      <c r="R388" s="147">
        <v>17</v>
      </c>
      <c r="S388" s="139"/>
      <c r="T388" s="148"/>
      <c r="U388" s="148"/>
      <c r="V388" s="148"/>
      <c r="W388" s="149">
        <v>300</v>
      </c>
      <c r="X388" s="150">
        <v>300</v>
      </c>
      <c r="Y388" s="139"/>
      <c r="Z388" s="139"/>
      <c r="AA388" s="165"/>
      <c r="AB388" s="151"/>
      <c r="AC388" s="129"/>
      <c r="AD388" s="137">
        <v>12</v>
      </c>
      <c r="AE388" s="152">
        <v>17</v>
      </c>
      <c r="AF388" s="1115" t="s">
        <v>520</v>
      </c>
      <c r="AG388" s="771" t="s">
        <v>371</v>
      </c>
      <c r="AH388" s="774" t="s">
        <v>521</v>
      </c>
      <c r="AI388" s="774" t="s">
        <v>522</v>
      </c>
      <c r="AJ388" s="777" t="s">
        <v>491</v>
      </c>
      <c r="AK388" s="774" t="s">
        <v>315</v>
      </c>
      <c r="AL388" s="774" t="s">
        <v>70</v>
      </c>
      <c r="AM388" s="774" t="s">
        <v>480</v>
      </c>
      <c r="AN388" s="807">
        <v>887886</v>
      </c>
      <c r="AO388" s="808">
        <v>392164</v>
      </c>
      <c r="AP388" s="808">
        <v>439214</v>
      </c>
      <c r="AQ388" s="806" t="s">
        <v>317</v>
      </c>
      <c r="AR388" s="806" t="s">
        <v>317</v>
      </c>
      <c r="AS388" s="806" t="s">
        <v>317</v>
      </c>
      <c r="AT388" s="806" t="s">
        <v>317</v>
      </c>
      <c r="AU388" s="795" t="s">
        <v>317</v>
      </c>
      <c r="AV388" s="795" t="s">
        <v>317</v>
      </c>
      <c r="AW388" s="795" t="s">
        <v>317</v>
      </c>
      <c r="AX388" s="796">
        <v>887886</v>
      </c>
      <c r="AY388" s="159"/>
    </row>
    <row r="389" spans="1:51" ht="18.75" customHeight="1" x14ac:dyDescent="0.25">
      <c r="A389" s="815"/>
      <c r="B389" s="1043"/>
      <c r="C389" s="838"/>
      <c r="D389" s="132" t="s">
        <v>3</v>
      </c>
      <c r="E389" s="142"/>
      <c r="F389" s="143"/>
      <c r="G389" s="144"/>
      <c r="H389" s="144"/>
      <c r="I389" s="144"/>
      <c r="J389" s="138" t="e">
        <f>+J388*$J$299/$J$298</f>
        <v>#REF!</v>
      </c>
      <c r="K389" s="137"/>
      <c r="L389" s="138"/>
      <c r="M389" s="138"/>
      <c r="N389" s="138"/>
      <c r="O389" s="138"/>
      <c r="P389" s="138"/>
      <c r="Q389" s="138" t="e">
        <f>+Q388*$Q$299/$Q$298</f>
        <v>#REF!</v>
      </c>
      <c r="R389" s="138" t="e">
        <f>+R388*$R$299/$R$298</f>
        <v>#REF!</v>
      </c>
      <c r="S389" s="139"/>
      <c r="T389" s="148"/>
      <c r="U389" s="148"/>
      <c r="V389" s="148"/>
      <c r="W389" s="138" t="e">
        <f>+W388*$W$299/$W$298</f>
        <v>#REF!</v>
      </c>
      <c r="X389" s="139"/>
      <c r="Y389" s="139"/>
      <c r="Z389" s="139"/>
      <c r="AA389" s="165"/>
      <c r="AB389" s="151"/>
      <c r="AC389" s="129"/>
      <c r="AD389" s="137" t="e">
        <f>+AD388*$AD$299/$AD$298</f>
        <v>#REF!</v>
      </c>
      <c r="AE389" s="137" t="e">
        <f>+AE388*$AE$299/$AE$298</f>
        <v>#REF!</v>
      </c>
      <c r="AF389" s="1115"/>
      <c r="AG389" s="772"/>
      <c r="AH389" s="775"/>
      <c r="AI389" s="775"/>
      <c r="AJ389" s="778"/>
      <c r="AK389" s="775"/>
      <c r="AL389" s="775"/>
      <c r="AM389" s="775"/>
      <c r="AN389" s="807"/>
      <c r="AO389" s="808"/>
      <c r="AP389" s="808"/>
      <c r="AQ389" s="806"/>
      <c r="AR389" s="806"/>
      <c r="AS389" s="806"/>
      <c r="AT389" s="806"/>
      <c r="AU389" s="795"/>
      <c r="AV389" s="795"/>
      <c r="AW389" s="795"/>
      <c r="AX389" s="797"/>
      <c r="AY389" s="159"/>
    </row>
    <row r="390" spans="1:51" ht="27.75" customHeight="1" x14ac:dyDescent="0.25">
      <c r="A390" s="815"/>
      <c r="B390" s="1043"/>
      <c r="C390" s="838"/>
      <c r="D390" s="136" t="s">
        <v>42</v>
      </c>
      <c r="E390" s="142"/>
      <c r="F390" s="143"/>
      <c r="G390" s="144"/>
      <c r="H390" s="144"/>
      <c r="I390" s="144"/>
      <c r="J390" s="138"/>
      <c r="K390" s="137"/>
      <c r="L390" s="138"/>
      <c r="M390" s="138"/>
      <c r="N390" s="138"/>
      <c r="O390" s="138"/>
      <c r="P390" s="138"/>
      <c r="Q390" s="138"/>
      <c r="R390" s="147"/>
      <c r="S390" s="139"/>
      <c r="T390" s="148"/>
      <c r="U390" s="148"/>
      <c r="V390" s="148"/>
      <c r="W390" s="146"/>
      <c r="X390" s="139"/>
      <c r="Y390" s="139"/>
      <c r="Z390" s="139"/>
      <c r="AA390" s="165"/>
      <c r="AB390" s="151"/>
      <c r="AC390" s="129"/>
      <c r="AD390" s="137"/>
      <c r="AE390" s="152"/>
      <c r="AF390" s="1115"/>
      <c r="AG390" s="772"/>
      <c r="AH390" s="775"/>
      <c r="AI390" s="775"/>
      <c r="AJ390" s="778"/>
      <c r="AK390" s="775"/>
      <c r="AL390" s="775"/>
      <c r="AM390" s="775"/>
      <c r="AN390" s="807"/>
      <c r="AO390" s="808"/>
      <c r="AP390" s="808"/>
      <c r="AQ390" s="806"/>
      <c r="AR390" s="806"/>
      <c r="AS390" s="806"/>
      <c r="AT390" s="806"/>
      <c r="AU390" s="795"/>
      <c r="AV390" s="795"/>
      <c r="AW390" s="795"/>
      <c r="AX390" s="797"/>
      <c r="AY390" s="159"/>
    </row>
    <row r="391" spans="1:51" ht="27.75" customHeight="1" x14ac:dyDescent="0.25">
      <c r="A391" s="815"/>
      <c r="B391" s="1043"/>
      <c r="C391" s="838"/>
      <c r="D391" s="132" t="s">
        <v>4</v>
      </c>
      <c r="E391" s="142"/>
      <c r="F391" s="143"/>
      <c r="G391" s="144"/>
      <c r="H391" s="144"/>
      <c r="I391" s="144"/>
      <c r="J391" s="138"/>
      <c r="K391" s="137"/>
      <c r="L391" s="138"/>
      <c r="M391" s="138"/>
      <c r="N391" s="138"/>
      <c r="O391" s="138"/>
      <c r="P391" s="138"/>
      <c r="Q391" s="138"/>
      <c r="R391" s="147"/>
      <c r="S391" s="139"/>
      <c r="T391" s="148"/>
      <c r="U391" s="148"/>
      <c r="V391" s="148"/>
      <c r="W391" s="146"/>
      <c r="X391" s="139"/>
      <c r="Y391" s="139"/>
      <c r="Z391" s="139"/>
      <c r="AA391" s="165"/>
      <c r="AB391" s="151"/>
      <c r="AC391" s="129"/>
      <c r="AD391" s="137"/>
      <c r="AE391" s="152"/>
      <c r="AF391" s="1115"/>
      <c r="AG391" s="772"/>
      <c r="AH391" s="775"/>
      <c r="AI391" s="775"/>
      <c r="AJ391" s="778"/>
      <c r="AK391" s="775"/>
      <c r="AL391" s="775"/>
      <c r="AM391" s="775"/>
      <c r="AN391" s="807"/>
      <c r="AO391" s="808"/>
      <c r="AP391" s="808"/>
      <c r="AQ391" s="806"/>
      <c r="AR391" s="806"/>
      <c r="AS391" s="806"/>
      <c r="AT391" s="806"/>
      <c r="AU391" s="795"/>
      <c r="AV391" s="795"/>
      <c r="AW391" s="795"/>
      <c r="AX391" s="797"/>
      <c r="AY391" s="159"/>
    </row>
    <row r="392" spans="1:51" ht="27.75" customHeight="1" x14ac:dyDescent="0.25">
      <c r="A392" s="815"/>
      <c r="B392" s="1043"/>
      <c r="C392" s="838"/>
      <c r="D392" s="136" t="s">
        <v>43</v>
      </c>
      <c r="E392" s="142"/>
      <c r="F392" s="143"/>
      <c r="G392" s="144"/>
      <c r="H392" s="144"/>
      <c r="I392" s="144"/>
      <c r="J392" s="138">
        <v>300</v>
      </c>
      <c r="K392" s="137"/>
      <c r="L392" s="138"/>
      <c r="M392" s="138"/>
      <c r="N392" s="138"/>
      <c r="O392" s="138"/>
      <c r="P392" s="138"/>
      <c r="Q392" s="138">
        <v>12</v>
      </c>
      <c r="R392" s="147">
        <v>17</v>
      </c>
      <c r="S392" s="139"/>
      <c r="T392" s="148"/>
      <c r="U392" s="148"/>
      <c r="V392" s="148"/>
      <c r="W392" s="138">
        <v>300</v>
      </c>
      <c r="X392" s="139"/>
      <c r="Y392" s="139"/>
      <c r="Z392" s="139"/>
      <c r="AA392" s="165"/>
      <c r="AB392" s="151"/>
      <c r="AC392" s="129"/>
      <c r="AD392" s="137">
        <v>12</v>
      </c>
      <c r="AE392" s="152">
        <v>17</v>
      </c>
      <c r="AF392" s="1115"/>
      <c r="AG392" s="772"/>
      <c r="AH392" s="775"/>
      <c r="AI392" s="775"/>
      <c r="AJ392" s="778"/>
      <c r="AK392" s="775"/>
      <c r="AL392" s="775"/>
      <c r="AM392" s="775"/>
      <c r="AN392" s="807"/>
      <c r="AO392" s="808"/>
      <c r="AP392" s="808"/>
      <c r="AQ392" s="806"/>
      <c r="AR392" s="806"/>
      <c r="AS392" s="806"/>
      <c r="AT392" s="806"/>
      <c r="AU392" s="795"/>
      <c r="AV392" s="795"/>
      <c r="AW392" s="795"/>
      <c r="AX392" s="797"/>
      <c r="AY392" s="159"/>
    </row>
    <row r="393" spans="1:51" ht="27.75" customHeight="1" thickBot="1" x14ac:dyDescent="0.3">
      <c r="A393" s="815"/>
      <c r="B393" s="1043"/>
      <c r="C393" s="838"/>
      <c r="D393" s="140" t="s">
        <v>45</v>
      </c>
      <c r="E393" s="142"/>
      <c r="F393" s="143"/>
      <c r="G393" s="144"/>
      <c r="H393" s="144"/>
      <c r="I393" s="144"/>
      <c r="J393" s="138" t="e">
        <f>+J392*$J$299/$J$298</f>
        <v>#REF!</v>
      </c>
      <c r="K393" s="137"/>
      <c r="L393" s="138"/>
      <c r="M393" s="138"/>
      <c r="N393" s="138"/>
      <c r="O393" s="138"/>
      <c r="P393" s="138"/>
      <c r="Q393" s="138" t="e">
        <f>+Q392*$Q$299/$Q$298</f>
        <v>#REF!</v>
      </c>
      <c r="R393" s="138" t="e">
        <f>+R392*$R$299/$R$298</f>
        <v>#REF!</v>
      </c>
      <c r="S393" s="139"/>
      <c r="T393" s="148"/>
      <c r="U393" s="148"/>
      <c r="V393" s="148"/>
      <c r="W393" s="138" t="e">
        <f>+W392*$W$299/$W$298</f>
        <v>#REF!</v>
      </c>
      <c r="X393" s="139"/>
      <c r="Y393" s="139"/>
      <c r="Z393" s="139"/>
      <c r="AA393" s="165"/>
      <c r="AB393" s="151"/>
      <c r="AC393" s="129"/>
      <c r="AD393" s="137" t="e">
        <f>+AD392*$AD$299/$AD$298</f>
        <v>#REF!</v>
      </c>
      <c r="AE393" s="137" t="e">
        <f>+AE392*$AE$299/$AE$298</f>
        <v>#REF!</v>
      </c>
      <c r="AF393" s="1115"/>
      <c r="AG393" s="773"/>
      <c r="AH393" s="776"/>
      <c r="AI393" s="776"/>
      <c r="AJ393" s="779"/>
      <c r="AK393" s="776"/>
      <c r="AL393" s="776"/>
      <c r="AM393" s="776"/>
      <c r="AN393" s="807"/>
      <c r="AO393" s="808"/>
      <c r="AP393" s="808"/>
      <c r="AQ393" s="806"/>
      <c r="AR393" s="806"/>
      <c r="AS393" s="806"/>
      <c r="AT393" s="806"/>
      <c r="AU393" s="795"/>
      <c r="AV393" s="795"/>
      <c r="AW393" s="795"/>
      <c r="AX393" s="798"/>
      <c r="AY393" s="159"/>
    </row>
    <row r="394" spans="1:51" ht="19.350000000000001" hidden="1" customHeight="1" x14ac:dyDescent="0.25">
      <c r="A394" s="815"/>
      <c r="B394" s="1043"/>
      <c r="C394" s="838" t="s">
        <v>378</v>
      </c>
      <c r="D394" s="141" t="s">
        <v>41</v>
      </c>
      <c r="E394" s="142"/>
      <c r="F394" s="143"/>
      <c r="G394" s="144"/>
      <c r="H394" s="144"/>
      <c r="I394" s="144"/>
      <c r="J394" s="138"/>
      <c r="K394" s="137"/>
      <c r="L394" s="138"/>
      <c r="M394" s="138"/>
      <c r="N394" s="138">
        <v>30</v>
      </c>
      <c r="O394" s="138">
        <v>30</v>
      </c>
      <c r="P394" s="138">
        <v>30</v>
      </c>
      <c r="Q394" s="138">
        <v>30</v>
      </c>
      <c r="R394" s="147">
        <v>30</v>
      </c>
      <c r="S394" s="139"/>
      <c r="T394" s="148"/>
      <c r="U394" s="148"/>
      <c r="V394" s="148"/>
      <c r="W394" s="146"/>
      <c r="X394" s="139"/>
      <c r="Y394" s="139"/>
      <c r="Z394" s="139"/>
      <c r="AA394" s="165">
        <v>30</v>
      </c>
      <c r="AB394" s="151">
        <v>30</v>
      </c>
      <c r="AC394" s="129">
        <v>30</v>
      </c>
      <c r="AD394" s="137">
        <v>30</v>
      </c>
      <c r="AE394" s="152">
        <v>30</v>
      </c>
      <c r="AF394" s="158"/>
      <c r="AG394" s="771" t="s">
        <v>378</v>
      </c>
      <c r="AH394" s="774" t="s">
        <v>523</v>
      </c>
      <c r="AI394" s="774" t="s">
        <v>524</v>
      </c>
      <c r="AJ394" s="777" t="s">
        <v>525</v>
      </c>
      <c r="AK394" s="774" t="s">
        <v>315</v>
      </c>
      <c r="AL394" s="774" t="s">
        <v>70</v>
      </c>
      <c r="AM394" s="774" t="s">
        <v>480</v>
      </c>
      <c r="AN394" s="807">
        <v>1215896</v>
      </c>
      <c r="AO394" s="808">
        <v>572451</v>
      </c>
      <c r="AP394" s="808">
        <v>643445</v>
      </c>
      <c r="AQ394" s="806" t="s">
        <v>317</v>
      </c>
      <c r="AR394" s="806" t="s">
        <v>317</v>
      </c>
      <c r="AS394" s="806" t="s">
        <v>317</v>
      </c>
      <c r="AT394" s="806" t="s">
        <v>317</v>
      </c>
      <c r="AU394" s="795" t="s">
        <v>317</v>
      </c>
      <c r="AV394" s="795" t="s">
        <v>317</v>
      </c>
      <c r="AW394" s="795" t="s">
        <v>317</v>
      </c>
      <c r="AX394" s="796">
        <v>1215896</v>
      </c>
      <c r="AY394" s="159"/>
    </row>
    <row r="395" spans="1:51" ht="18" hidden="1" customHeight="1" x14ac:dyDescent="0.25">
      <c r="A395" s="815"/>
      <c r="B395" s="1043"/>
      <c r="C395" s="838"/>
      <c r="D395" s="132" t="s">
        <v>3</v>
      </c>
      <c r="E395" s="142"/>
      <c r="F395" s="143"/>
      <c r="G395" s="144"/>
      <c r="H395" s="144"/>
      <c r="I395" s="144"/>
      <c r="J395" s="138"/>
      <c r="K395" s="137"/>
      <c r="L395" s="138"/>
      <c r="M395" s="138"/>
      <c r="N395" s="138">
        <f>+N394*$N$299/$N$298</f>
        <v>294552</v>
      </c>
      <c r="O395" s="138">
        <f>+O394*$O$299/$O$298</f>
        <v>294552</v>
      </c>
      <c r="P395" s="138" t="e">
        <f>+P394*$P$299/$P$298</f>
        <v>#REF!</v>
      </c>
      <c r="Q395" s="138" t="e">
        <f>+Q394*$Q$299/$Q$298</f>
        <v>#REF!</v>
      </c>
      <c r="R395" s="138" t="e">
        <f>+R394*$R$299/$R$298</f>
        <v>#REF!</v>
      </c>
      <c r="S395" s="139"/>
      <c r="T395" s="148"/>
      <c r="U395" s="148"/>
      <c r="V395" s="148"/>
      <c r="W395" s="146"/>
      <c r="X395" s="139"/>
      <c r="Y395" s="139"/>
      <c r="Z395" s="139"/>
      <c r="AA395" s="137">
        <f>+AA394*$AA$299/$AA$298</f>
        <v>430121.45748987852</v>
      </c>
      <c r="AB395" s="137">
        <f>+AB394*$AB$299/$AB$298</f>
        <v>253556.08591885443</v>
      </c>
      <c r="AC395" s="137" t="e">
        <f>+AC394*$AC$299/$AC$298</f>
        <v>#REF!</v>
      </c>
      <c r="AD395" s="137" t="e">
        <f>+AD394*$AD$299/$AD$298</f>
        <v>#REF!</v>
      </c>
      <c r="AE395" s="137" t="e">
        <f>+AE394*$AE$299/$AE$298</f>
        <v>#REF!</v>
      </c>
      <c r="AF395" s="158"/>
      <c r="AG395" s="772"/>
      <c r="AH395" s="775"/>
      <c r="AI395" s="775"/>
      <c r="AJ395" s="778"/>
      <c r="AK395" s="775"/>
      <c r="AL395" s="775"/>
      <c r="AM395" s="775"/>
      <c r="AN395" s="807"/>
      <c r="AO395" s="808"/>
      <c r="AP395" s="808"/>
      <c r="AQ395" s="806"/>
      <c r="AR395" s="806"/>
      <c r="AS395" s="806"/>
      <c r="AT395" s="806"/>
      <c r="AU395" s="795"/>
      <c r="AV395" s="795"/>
      <c r="AW395" s="795"/>
      <c r="AX395" s="797"/>
      <c r="AY395" s="159"/>
    </row>
    <row r="396" spans="1:51" ht="27" hidden="1" customHeight="1" x14ac:dyDescent="0.25">
      <c r="A396" s="815"/>
      <c r="B396" s="1043"/>
      <c r="C396" s="838"/>
      <c r="D396" s="136" t="s">
        <v>42</v>
      </c>
      <c r="E396" s="142"/>
      <c r="F396" s="143"/>
      <c r="G396" s="144"/>
      <c r="H396" s="144"/>
      <c r="I396" s="144"/>
      <c r="J396" s="138"/>
      <c r="K396" s="137"/>
      <c r="L396" s="138"/>
      <c r="M396" s="138"/>
      <c r="N396" s="138"/>
      <c r="O396" s="138"/>
      <c r="P396" s="138"/>
      <c r="Q396" s="138"/>
      <c r="R396" s="147"/>
      <c r="S396" s="139"/>
      <c r="T396" s="148"/>
      <c r="U396" s="148"/>
      <c r="V396" s="148"/>
      <c r="W396" s="146"/>
      <c r="X396" s="139"/>
      <c r="Y396" s="139"/>
      <c r="Z396" s="139"/>
      <c r="AA396" s="165"/>
      <c r="AB396" s="151"/>
      <c r="AC396" s="129"/>
      <c r="AD396" s="137"/>
      <c r="AE396" s="152"/>
      <c r="AF396" s="158"/>
      <c r="AG396" s="772"/>
      <c r="AH396" s="775"/>
      <c r="AI396" s="775"/>
      <c r="AJ396" s="778"/>
      <c r="AK396" s="775"/>
      <c r="AL396" s="775"/>
      <c r="AM396" s="775"/>
      <c r="AN396" s="807"/>
      <c r="AO396" s="808"/>
      <c r="AP396" s="808"/>
      <c r="AQ396" s="806"/>
      <c r="AR396" s="806"/>
      <c r="AS396" s="806"/>
      <c r="AT396" s="806"/>
      <c r="AU396" s="795"/>
      <c r="AV396" s="795"/>
      <c r="AW396" s="795"/>
      <c r="AX396" s="797"/>
      <c r="AY396" s="159"/>
    </row>
    <row r="397" spans="1:51" ht="27" hidden="1" customHeight="1" x14ac:dyDescent="0.25">
      <c r="A397" s="815"/>
      <c r="B397" s="1043"/>
      <c r="C397" s="838"/>
      <c r="D397" s="132" t="s">
        <v>4</v>
      </c>
      <c r="E397" s="142"/>
      <c r="F397" s="143"/>
      <c r="G397" s="144"/>
      <c r="H397" s="144"/>
      <c r="I397" s="144"/>
      <c r="J397" s="138"/>
      <c r="K397" s="137"/>
      <c r="L397" s="138"/>
      <c r="M397" s="138"/>
      <c r="N397" s="138"/>
      <c r="O397" s="138"/>
      <c r="P397" s="138"/>
      <c r="Q397" s="138"/>
      <c r="R397" s="147"/>
      <c r="S397" s="139"/>
      <c r="T397" s="148"/>
      <c r="U397" s="148"/>
      <c r="V397" s="148"/>
      <c r="W397" s="146"/>
      <c r="X397" s="139"/>
      <c r="Y397" s="139"/>
      <c r="Z397" s="139"/>
      <c r="AA397" s="165"/>
      <c r="AB397" s="151"/>
      <c r="AC397" s="129"/>
      <c r="AD397" s="137"/>
      <c r="AE397" s="152"/>
      <c r="AF397" s="158"/>
      <c r="AG397" s="772"/>
      <c r="AH397" s="775"/>
      <c r="AI397" s="775"/>
      <c r="AJ397" s="778"/>
      <c r="AK397" s="775"/>
      <c r="AL397" s="775"/>
      <c r="AM397" s="775"/>
      <c r="AN397" s="807"/>
      <c r="AO397" s="808"/>
      <c r="AP397" s="808"/>
      <c r="AQ397" s="806"/>
      <c r="AR397" s="806"/>
      <c r="AS397" s="806"/>
      <c r="AT397" s="806"/>
      <c r="AU397" s="795"/>
      <c r="AV397" s="795"/>
      <c r="AW397" s="795"/>
      <c r="AX397" s="797"/>
      <c r="AY397" s="159"/>
    </row>
    <row r="398" spans="1:51" ht="27" hidden="1" customHeight="1" x14ac:dyDescent="0.25">
      <c r="A398" s="815"/>
      <c r="B398" s="1043"/>
      <c r="C398" s="838"/>
      <c r="D398" s="136" t="s">
        <v>43</v>
      </c>
      <c r="E398" s="142"/>
      <c r="F398" s="143"/>
      <c r="G398" s="144"/>
      <c r="H398" s="144"/>
      <c r="I398" s="144"/>
      <c r="J398" s="138"/>
      <c r="K398" s="137"/>
      <c r="L398" s="138"/>
      <c r="M398" s="138"/>
      <c r="N398" s="138"/>
      <c r="O398" s="138">
        <f>+O394</f>
        <v>30</v>
      </c>
      <c r="P398" s="138">
        <v>30</v>
      </c>
      <c r="Q398" s="138">
        <v>30</v>
      </c>
      <c r="R398" s="147">
        <v>30</v>
      </c>
      <c r="S398" s="139"/>
      <c r="T398" s="148"/>
      <c r="U398" s="148"/>
      <c r="V398" s="148"/>
      <c r="W398" s="146"/>
      <c r="X398" s="139"/>
      <c r="Y398" s="139"/>
      <c r="Z398" s="139"/>
      <c r="AA398" s="165"/>
      <c r="AB398" s="137">
        <f>+AB394</f>
        <v>30</v>
      </c>
      <c r="AC398" s="129">
        <v>30</v>
      </c>
      <c r="AD398" s="137">
        <v>30</v>
      </c>
      <c r="AE398" s="152">
        <v>30</v>
      </c>
      <c r="AF398" s="158"/>
      <c r="AG398" s="772"/>
      <c r="AH398" s="775"/>
      <c r="AI398" s="775"/>
      <c r="AJ398" s="778"/>
      <c r="AK398" s="775"/>
      <c r="AL398" s="775"/>
      <c r="AM398" s="775"/>
      <c r="AN398" s="807"/>
      <c r="AO398" s="808"/>
      <c r="AP398" s="808"/>
      <c r="AQ398" s="806"/>
      <c r="AR398" s="806"/>
      <c r="AS398" s="806"/>
      <c r="AT398" s="806"/>
      <c r="AU398" s="795"/>
      <c r="AV398" s="795"/>
      <c r="AW398" s="795"/>
      <c r="AX398" s="797"/>
      <c r="AY398" s="159"/>
    </row>
    <row r="399" spans="1:51" ht="27.75" hidden="1" customHeight="1" thickBot="1" x14ac:dyDescent="0.3">
      <c r="A399" s="815"/>
      <c r="B399" s="1043"/>
      <c r="C399" s="838"/>
      <c r="D399" s="140" t="s">
        <v>45</v>
      </c>
      <c r="E399" s="142"/>
      <c r="F399" s="143"/>
      <c r="G399" s="144"/>
      <c r="H399" s="144"/>
      <c r="I399" s="144"/>
      <c r="J399" s="138"/>
      <c r="K399" s="137"/>
      <c r="L399" s="138"/>
      <c r="M399" s="138"/>
      <c r="N399" s="138"/>
      <c r="O399" s="138">
        <f>+O395</f>
        <v>294552</v>
      </c>
      <c r="P399" s="138" t="e">
        <f>+P398*$P$299/$P$298</f>
        <v>#REF!</v>
      </c>
      <c r="Q399" s="138" t="e">
        <f>+Q398*$Q$299/$Q$298</f>
        <v>#REF!</v>
      </c>
      <c r="R399" s="138" t="e">
        <f>+R398*$R$299/$R$298</f>
        <v>#REF!</v>
      </c>
      <c r="S399" s="139"/>
      <c r="T399" s="148"/>
      <c r="U399" s="148"/>
      <c r="V399" s="148"/>
      <c r="W399" s="146"/>
      <c r="X399" s="139"/>
      <c r="Y399" s="139"/>
      <c r="Z399" s="139"/>
      <c r="AA399" s="165"/>
      <c r="AB399" s="137">
        <f>+AB395</f>
        <v>253556.08591885443</v>
      </c>
      <c r="AC399" s="137" t="e">
        <f>+AC398*$AC$299/$AC$298</f>
        <v>#REF!</v>
      </c>
      <c r="AD399" s="137" t="e">
        <f>+AD398*$AD$299/$AD$298</f>
        <v>#REF!</v>
      </c>
      <c r="AE399" s="137" t="e">
        <f>+AE398*$AE$299/$AE$298</f>
        <v>#REF!</v>
      </c>
      <c r="AF399" s="158"/>
      <c r="AG399" s="773"/>
      <c r="AH399" s="776"/>
      <c r="AI399" s="776"/>
      <c r="AJ399" s="779"/>
      <c r="AK399" s="776"/>
      <c r="AL399" s="776"/>
      <c r="AM399" s="776"/>
      <c r="AN399" s="807"/>
      <c r="AO399" s="808"/>
      <c r="AP399" s="808"/>
      <c r="AQ399" s="806"/>
      <c r="AR399" s="806"/>
      <c r="AS399" s="806"/>
      <c r="AT399" s="806"/>
      <c r="AU399" s="795"/>
      <c r="AV399" s="795"/>
      <c r="AW399" s="795"/>
      <c r="AX399" s="798"/>
      <c r="AY399" s="159"/>
    </row>
    <row r="400" spans="1:51" ht="19.350000000000001" hidden="1" customHeight="1" x14ac:dyDescent="0.25">
      <c r="A400" s="815"/>
      <c r="B400" s="1043"/>
      <c r="C400" s="838" t="s">
        <v>383</v>
      </c>
      <c r="D400" s="141" t="s">
        <v>41</v>
      </c>
      <c r="E400" s="142"/>
      <c r="F400" s="143"/>
      <c r="G400" s="144"/>
      <c r="H400" s="144"/>
      <c r="I400" s="144"/>
      <c r="J400" s="138"/>
      <c r="K400" s="137"/>
      <c r="L400" s="138"/>
      <c r="M400" s="138"/>
      <c r="N400" s="138"/>
      <c r="O400" s="138"/>
      <c r="P400" s="138"/>
      <c r="Q400" s="138">
        <v>15</v>
      </c>
      <c r="R400" s="147">
        <v>15</v>
      </c>
      <c r="S400" s="139"/>
      <c r="T400" s="148"/>
      <c r="U400" s="148"/>
      <c r="V400" s="148"/>
      <c r="W400" s="146"/>
      <c r="X400" s="139"/>
      <c r="Y400" s="139"/>
      <c r="Z400" s="139"/>
      <c r="AA400" s="165"/>
      <c r="AB400" s="151"/>
      <c r="AC400" s="129"/>
      <c r="AD400" s="137">
        <v>15</v>
      </c>
      <c r="AE400" s="152">
        <v>15</v>
      </c>
      <c r="AF400" s="158"/>
      <c r="AG400" s="771" t="s">
        <v>383</v>
      </c>
      <c r="AH400" s="774" t="s">
        <v>526</v>
      </c>
      <c r="AI400" s="774" t="s">
        <v>527</v>
      </c>
      <c r="AJ400" s="777" t="s">
        <v>525</v>
      </c>
      <c r="AK400" s="774" t="s">
        <v>315</v>
      </c>
      <c r="AL400" s="774" t="s">
        <v>70</v>
      </c>
      <c r="AM400" s="774" t="s">
        <v>480</v>
      </c>
      <c r="AN400" s="807">
        <v>270280</v>
      </c>
      <c r="AO400" s="808">
        <v>64519</v>
      </c>
      <c r="AP400" s="808">
        <v>72507</v>
      </c>
      <c r="AQ400" s="806" t="s">
        <v>317</v>
      </c>
      <c r="AR400" s="806" t="s">
        <v>317</v>
      </c>
      <c r="AS400" s="806" t="s">
        <v>317</v>
      </c>
      <c r="AT400" s="806" t="s">
        <v>317</v>
      </c>
      <c r="AU400" s="795" t="s">
        <v>317</v>
      </c>
      <c r="AV400" s="795" t="s">
        <v>317</v>
      </c>
      <c r="AW400" s="795" t="s">
        <v>317</v>
      </c>
      <c r="AX400" s="796">
        <v>270280</v>
      </c>
      <c r="AY400" s="159"/>
    </row>
    <row r="401" spans="1:51" ht="18.75" hidden="1" customHeight="1" x14ac:dyDescent="0.25">
      <c r="A401" s="815"/>
      <c r="B401" s="1043"/>
      <c r="C401" s="838"/>
      <c r="D401" s="132" t="s">
        <v>3</v>
      </c>
      <c r="E401" s="142"/>
      <c r="F401" s="143"/>
      <c r="G401" s="144"/>
      <c r="H401" s="144"/>
      <c r="I401" s="144"/>
      <c r="J401" s="138"/>
      <c r="K401" s="137"/>
      <c r="L401" s="138"/>
      <c r="M401" s="138"/>
      <c r="N401" s="138"/>
      <c r="O401" s="138"/>
      <c r="P401" s="138"/>
      <c r="Q401" s="138" t="e">
        <f>+Q400*$Q$299/$Q$298</f>
        <v>#REF!</v>
      </c>
      <c r="R401" s="138" t="e">
        <f>+R400*$R$299/$R$298</f>
        <v>#REF!</v>
      </c>
      <c r="S401" s="139"/>
      <c r="T401" s="148"/>
      <c r="U401" s="148"/>
      <c r="V401" s="148"/>
      <c r="W401" s="146"/>
      <c r="X401" s="139"/>
      <c r="Y401" s="139"/>
      <c r="Z401" s="139"/>
      <c r="AA401" s="165"/>
      <c r="AB401" s="151"/>
      <c r="AC401" s="129"/>
      <c r="AD401" s="137" t="e">
        <f>+AD400*$AD$299/$AD$298</f>
        <v>#REF!</v>
      </c>
      <c r="AE401" s="137" t="e">
        <f>+AE400*$AE$299/$AE$298</f>
        <v>#REF!</v>
      </c>
      <c r="AF401" s="158"/>
      <c r="AG401" s="772"/>
      <c r="AH401" s="775"/>
      <c r="AI401" s="775"/>
      <c r="AJ401" s="778"/>
      <c r="AK401" s="775"/>
      <c r="AL401" s="775"/>
      <c r="AM401" s="775"/>
      <c r="AN401" s="807"/>
      <c r="AO401" s="808"/>
      <c r="AP401" s="808"/>
      <c r="AQ401" s="806"/>
      <c r="AR401" s="806"/>
      <c r="AS401" s="806"/>
      <c r="AT401" s="806"/>
      <c r="AU401" s="795"/>
      <c r="AV401" s="795"/>
      <c r="AW401" s="795"/>
      <c r="AX401" s="797"/>
      <c r="AY401" s="159"/>
    </row>
    <row r="402" spans="1:51" ht="27.75" hidden="1" customHeight="1" x14ac:dyDescent="0.25">
      <c r="A402" s="815"/>
      <c r="B402" s="1043"/>
      <c r="C402" s="838"/>
      <c r="D402" s="136" t="s">
        <v>42</v>
      </c>
      <c r="E402" s="142"/>
      <c r="F402" s="143"/>
      <c r="G402" s="144"/>
      <c r="H402" s="144"/>
      <c r="I402" s="144"/>
      <c r="J402" s="138"/>
      <c r="K402" s="137"/>
      <c r="L402" s="138"/>
      <c r="M402" s="138"/>
      <c r="N402" s="138"/>
      <c r="O402" s="138"/>
      <c r="P402" s="138"/>
      <c r="Q402" s="138"/>
      <c r="R402" s="147"/>
      <c r="S402" s="139"/>
      <c r="T402" s="148"/>
      <c r="U402" s="148"/>
      <c r="V402" s="148"/>
      <c r="W402" s="146"/>
      <c r="X402" s="139"/>
      <c r="Y402" s="139"/>
      <c r="Z402" s="139"/>
      <c r="AA402" s="165"/>
      <c r="AB402" s="151"/>
      <c r="AC402" s="129"/>
      <c r="AD402" s="137"/>
      <c r="AE402" s="152"/>
      <c r="AF402" s="158"/>
      <c r="AG402" s="772"/>
      <c r="AH402" s="775"/>
      <c r="AI402" s="775"/>
      <c r="AJ402" s="778"/>
      <c r="AK402" s="775"/>
      <c r="AL402" s="775"/>
      <c r="AM402" s="775"/>
      <c r="AN402" s="807"/>
      <c r="AO402" s="808"/>
      <c r="AP402" s="808"/>
      <c r="AQ402" s="806"/>
      <c r="AR402" s="806"/>
      <c r="AS402" s="806"/>
      <c r="AT402" s="806"/>
      <c r="AU402" s="795"/>
      <c r="AV402" s="795"/>
      <c r="AW402" s="795"/>
      <c r="AX402" s="797"/>
      <c r="AY402" s="159"/>
    </row>
    <row r="403" spans="1:51" ht="27.75" hidden="1" customHeight="1" x14ac:dyDescent="0.25">
      <c r="A403" s="815"/>
      <c r="B403" s="1043"/>
      <c r="C403" s="838"/>
      <c r="D403" s="132" t="s">
        <v>4</v>
      </c>
      <c r="E403" s="142"/>
      <c r="F403" s="143"/>
      <c r="G403" s="144"/>
      <c r="H403" s="144"/>
      <c r="I403" s="144"/>
      <c r="J403" s="138"/>
      <c r="K403" s="137"/>
      <c r="L403" s="138"/>
      <c r="M403" s="138"/>
      <c r="N403" s="138"/>
      <c r="O403" s="138"/>
      <c r="P403" s="138"/>
      <c r="Q403" s="138"/>
      <c r="R403" s="147"/>
      <c r="S403" s="139"/>
      <c r="T403" s="148"/>
      <c r="U403" s="148"/>
      <c r="V403" s="148"/>
      <c r="W403" s="146"/>
      <c r="X403" s="139"/>
      <c r="Y403" s="139"/>
      <c r="Z403" s="139"/>
      <c r="AA403" s="165"/>
      <c r="AB403" s="151"/>
      <c r="AC403" s="129"/>
      <c r="AD403" s="137"/>
      <c r="AE403" s="152"/>
      <c r="AF403" s="158"/>
      <c r="AG403" s="772"/>
      <c r="AH403" s="775"/>
      <c r="AI403" s="775"/>
      <c r="AJ403" s="778"/>
      <c r="AK403" s="775"/>
      <c r="AL403" s="775"/>
      <c r="AM403" s="775"/>
      <c r="AN403" s="807"/>
      <c r="AO403" s="808"/>
      <c r="AP403" s="808"/>
      <c r="AQ403" s="806"/>
      <c r="AR403" s="806"/>
      <c r="AS403" s="806"/>
      <c r="AT403" s="806"/>
      <c r="AU403" s="795"/>
      <c r="AV403" s="795"/>
      <c r="AW403" s="795"/>
      <c r="AX403" s="797"/>
      <c r="AY403" s="159"/>
    </row>
    <row r="404" spans="1:51" ht="27.75" hidden="1" customHeight="1" x14ac:dyDescent="0.25">
      <c r="A404" s="815"/>
      <c r="B404" s="1043"/>
      <c r="C404" s="838"/>
      <c r="D404" s="136" t="s">
        <v>43</v>
      </c>
      <c r="E404" s="142"/>
      <c r="F404" s="143"/>
      <c r="G404" s="144"/>
      <c r="H404" s="144"/>
      <c r="I404" s="144"/>
      <c r="J404" s="138"/>
      <c r="K404" s="137"/>
      <c r="L404" s="138"/>
      <c r="M404" s="138"/>
      <c r="N404" s="138"/>
      <c r="O404" s="138"/>
      <c r="P404" s="138"/>
      <c r="Q404" s="138">
        <v>15</v>
      </c>
      <c r="R404" s="147">
        <v>15</v>
      </c>
      <c r="S404" s="139"/>
      <c r="T404" s="148"/>
      <c r="U404" s="148"/>
      <c r="V404" s="148"/>
      <c r="W404" s="146"/>
      <c r="X404" s="139"/>
      <c r="Y404" s="139"/>
      <c r="Z404" s="139"/>
      <c r="AA404" s="165"/>
      <c r="AB404" s="151"/>
      <c r="AC404" s="129"/>
      <c r="AD404" s="137">
        <v>15</v>
      </c>
      <c r="AE404" s="152">
        <v>15</v>
      </c>
      <c r="AF404" s="158"/>
      <c r="AG404" s="772"/>
      <c r="AH404" s="775"/>
      <c r="AI404" s="775"/>
      <c r="AJ404" s="778"/>
      <c r="AK404" s="775"/>
      <c r="AL404" s="775"/>
      <c r="AM404" s="775"/>
      <c r="AN404" s="807"/>
      <c r="AO404" s="808"/>
      <c r="AP404" s="808"/>
      <c r="AQ404" s="806"/>
      <c r="AR404" s="806"/>
      <c r="AS404" s="806"/>
      <c r="AT404" s="806"/>
      <c r="AU404" s="795"/>
      <c r="AV404" s="795"/>
      <c r="AW404" s="795"/>
      <c r="AX404" s="797"/>
      <c r="AY404" s="159"/>
    </row>
    <row r="405" spans="1:51" ht="27.75" hidden="1" customHeight="1" thickBot="1" x14ac:dyDescent="0.3">
      <c r="A405" s="815"/>
      <c r="B405" s="1043"/>
      <c r="C405" s="838"/>
      <c r="D405" s="140" t="s">
        <v>45</v>
      </c>
      <c r="E405" s="142"/>
      <c r="F405" s="143"/>
      <c r="G405" s="144"/>
      <c r="H405" s="144"/>
      <c r="I405" s="144"/>
      <c r="J405" s="138"/>
      <c r="K405" s="137"/>
      <c r="L405" s="138"/>
      <c r="M405" s="138"/>
      <c r="N405" s="138"/>
      <c r="O405" s="138"/>
      <c r="P405" s="138"/>
      <c r="Q405" s="138" t="e">
        <f>+Q404*$Q$299/$Q$298</f>
        <v>#REF!</v>
      </c>
      <c r="R405" s="138" t="e">
        <f>+R404*$R$299/$R$298</f>
        <v>#REF!</v>
      </c>
      <c r="S405" s="139"/>
      <c r="T405" s="148"/>
      <c r="U405" s="148"/>
      <c r="V405" s="148"/>
      <c r="W405" s="146"/>
      <c r="X405" s="139"/>
      <c r="Y405" s="139"/>
      <c r="Z405" s="139"/>
      <c r="AA405" s="165"/>
      <c r="AB405" s="151"/>
      <c r="AC405" s="129"/>
      <c r="AD405" s="137" t="e">
        <f>+AD404*$AD$299/$AD$298</f>
        <v>#REF!</v>
      </c>
      <c r="AE405" s="137" t="e">
        <f>+AE404*$AE$299/$AE$298</f>
        <v>#REF!</v>
      </c>
      <c r="AF405" s="158"/>
      <c r="AG405" s="773"/>
      <c r="AH405" s="776"/>
      <c r="AI405" s="776"/>
      <c r="AJ405" s="779"/>
      <c r="AK405" s="776"/>
      <c r="AL405" s="776"/>
      <c r="AM405" s="776"/>
      <c r="AN405" s="807"/>
      <c r="AO405" s="808"/>
      <c r="AP405" s="808"/>
      <c r="AQ405" s="806"/>
      <c r="AR405" s="806"/>
      <c r="AS405" s="806"/>
      <c r="AT405" s="806"/>
      <c r="AU405" s="795"/>
      <c r="AV405" s="795"/>
      <c r="AW405" s="795"/>
      <c r="AX405" s="798"/>
      <c r="AY405" s="159"/>
    </row>
    <row r="406" spans="1:51" ht="19.350000000000001" hidden="1" customHeight="1" x14ac:dyDescent="0.25">
      <c r="A406" s="815"/>
      <c r="B406" s="1043"/>
      <c r="C406" s="838" t="s">
        <v>386</v>
      </c>
      <c r="D406" s="141" t="s">
        <v>41</v>
      </c>
      <c r="E406" s="142"/>
      <c r="F406" s="143"/>
      <c r="G406" s="144"/>
      <c r="H406" s="144"/>
      <c r="I406" s="144"/>
      <c r="J406" s="138"/>
      <c r="K406" s="137"/>
      <c r="L406" s="138"/>
      <c r="M406" s="138"/>
      <c r="N406" s="138"/>
      <c r="O406" s="138"/>
      <c r="P406" s="138"/>
      <c r="Q406" s="138"/>
      <c r="R406" s="147"/>
      <c r="S406" s="139"/>
      <c r="T406" s="148"/>
      <c r="U406" s="148"/>
      <c r="V406" s="148"/>
      <c r="W406" s="146"/>
      <c r="X406" s="139"/>
      <c r="Y406" s="139"/>
      <c r="Z406" s="139"/>
      <c r="AA406" s="165"/>
      <c r="AB406" s="151"/>
      <c r="AC406" s="129"/>
      <c r="AD406" s="137"/>
      <c r="AE406" s="152"/>
      <c r="AF406" s="158"/>
      <c r="AG406" s="771" t="s">
        <v>386</v>
      </c>
      <c r="AH406" s="774" t="s">
        <v>350</v>
      </c>
      <c r="AI406" s="774" t="s">
        <v>350</v>
      </c>
      <c r="AJ406" s="774" t="s">
        <v>350</v>
      </c>
      <c r="AK406" s="774" t="s">
        <v>315</v>
      </c>
      <c r="AL406" s="774" t="s">
        <v>70</v>
      </c>
      <c r="AM406" s="774" t="s">
        <v>480</v>
      </c>
      <c r="AN406" s="807">
        <v>140135</v>
      </c>
      <c r="AO406" s="808">
        <v>70844</v>
      </c>
      <c r="AP406" s="808">
        <v>80573</v>
      </c>
      <c r="AQ406" s="806" t="s">
        <v>317</v>
      </c>
      <c r="AR406" s="806" t="s">
        <v>317</v>
      </c>
      <c r="AS406" s="806" t="s">
        <v>317</v>
      </c>
      <c r="AT406" s="806" t="s">
        <v>317</v>
      </c>
      <c r="AU406" s="795" t="s">
        <v>317</v>
      </c>
      <c r="AV406" s="795" t="s">
        <v>317</v>
      </c>
      <c r="AW406" s="795" t="s">
        <v>317</v>
      </c>
      <c r="AX406" s="796">
        <v>140135</v>
      </c>
      <c r="AY406" s="159"/>
    </row>
    <row r="407" spans="1:51" ht="18.75" hidden="1" customHeight="1" x14ac:dyDescent="0.25">
      <c r="A407" s="815"/>
      <c r="B407" s="1043"/>
      <c r="C407" s="838"/>
      <c r="D407" s="132" t="s">
        <v>3</v>
      </c>
      <c r="E407" s="142"/>
      <c r="F407" s="143"/>
      <c r="G407" s="144"/>
      <c r="H407" s="144"/>
      <c r="I407" s="144"/>
      <c r="J407" s="138"/>
      <c r="K407" s="137"/>
      <c r="L407" s="138"/>
      <c r="M407" s="138"/>
      <c r="N407" s="138"/>
      <c r="O407" s="138"/>
      <c r="P407" s="138"/>
      <c r="Q407" s="138"/>
      <c r="R407" s="147"/>
      <c r="S407" s="139"/>
      <c r="T407" s="148"/>
      <c r="U407" s="148"/>
      <c r="V407" s="148"/>
      <c r="W407" s="146"/>
      <c r="X407" s="139"/>
      <c r="Y407" s="139"/>
      <c r="Z407" s="139"/>
      <c r="AA407" s="165"/>
      <c r="AB407" s="151"/>
      <c r="AC407" s="129"/>
      <c r="AD407" s="137"/>
      <c r="AE407" s="152"/>
      <c r="AF407" s="158"/>
      <c r="AG407" s="772"/>
      <c r="AH407" s="775"/>
      <c r="AI407" s="775"/>
      <c r="AJ407" s="775"/>
      <c r="AK407" s="775"/>
      <c r="AL407" s="775"/>
      <c r="AM407" s="775"/>
      <c r="AN407" s="807"/>
      <c r="AO407" s="808"/>
      <c r="AP407" s="808"/>
      <c r="AQ407" s="806"/>
      <c r="AR407" s="806"/>
      <c r="AS407" s="806"/>
      <c r="AT407" s="806"/>
      <c r="AU407" s="795"/>
      <c r="AV407" s="795"/>
      <c r="AW407" s="795"/>
      <c r="AX407" s="797"/>
      <c r="AY407" s="159"/>
    </row>
    <row r="408" spans="1:51" ht="27.75" hidden="1" customHeight="1" x14ac:dyDescent="0.25">
      <c r="A408" s="815"/>
      <c r="B408" s="1043"/>
      <c r="C408" s="838"/>
      <c r="D408" s="136" t="s">
        <v>42</v>
      </c>
      <c r="E408" s="142"/>
      <c r="F408" s="143"/>
      <c r="G408" s="144"/>
      <c r="H408" s="144"/>
      <c r="I408" s="144"/>
      <c r="J408" s="138"/>
      <c r="K408" s="137"/>
      <c r="L408" s="138"/>
      <c r="M408" s="138"/>
      <c r="N408" s="138"/>
      <c r="O408" s="138"/>
      <c r="P408" s="138"/>
      <c r="Q408" s="138"/>
      <c r="R408" s="147"/>
      <c r="S408" s="139"/>
      <c r="T408" s="148"/>
      <c r="U408" s="148"/>
      <c r="V408" s="148"/>
      <c r="W408" s="146"/>
      <c r="X408" s="139"/>
      <c r="Y408" s="139"/>
      <c r="Z408" s="139"/>
      <c r="AA408" s="165"/>
      <c r="AB408" s="151"/>
      <c r="AC408" s="129"/>
      <c r="AD408" s="137"/>
      <c r="AE408" s="152"/>
      <c r="AF408" s="158"/>
      <c r="AG408" s="772"/>
      <c r="AH408" s="775"/>
      <c r="AI408" s="775"/>
      <c r="AJ408" s="775"/>
      <c r="AK408" s="775"/>
      <c r="AL408" s="775"/>
      <c r="AM408" s="775"/>
      <c r="AN408" s="807"/>
      <c r="AO408" s="808"/>
      <c r="AP408" s="808"/>
      <c r="AQ408" s="806"/>
      <c r="AR408" s="806"/>
      <c r="AS408" s="806"/>
      <c r="AT408" s="806"/>
      <c r="AU408" s="795"/>
      <c r="AV408" s="795"/>
      <c r="AW408" s="795"/>
      <c r="AX408" s="797"/>
      <c r="AY408" s="159"/>
    </row>
    <row r="409" spans="1:51" ht="27.75" hidden="1" customHeight="1" x14ac:dyDescent="0.25">
      <c r="A409" s="815"/>
      <c r="B409" s="1043"/>
      <c r="C409" s="838"/>
      <c r="D409" s="132" t="s">
        <v>4</v>
      </c>
      <c r="E409" s="142"/>
      <c r="F409" s="143"/>
      <c r="G409" s="144"/>
      <c r="H409" s="144"/>
      <c r="I409" s="144"/>
      <c r="J409" s="138"/>
      <c r="K409" s="137"/>
      <c r="L409" s="138"/>
      <c r="M409" s="138"/>
      <c r="N409" s="138"/>
      <c r="O409" s="138"/>
      <c r="P409" s="138"/>
      <c r="Q409" s="138"/>
      <c r="R409" s="147"/>
      <c r="S409" s="139"/>
      <c r="T409" s="148"/>
      <c r="U409" s="148"/>
      <c r="V409" s="148"/>
      <c r="W409" s="146"/>
      <c r="X409" s="139"/>
      <c r="Y409" s="139"/>
      <c r="Z409" s="139"/>
      <c r="AA409" s="165"/>
      <c r="AB409" s="151"/>
      <c r="AC409" s="129"/>
      <c r="AD409" s="137"/>
      <c r="AE409" s="152"/>
      <c r="AF409" s="158"/>
      <c r="AG409" s="772"/>
      <c r="AH409" s="775"/>
      <c r="AI409" s="775"/>
      <c r="AJ409" s="775"/>
      <c r="AK409" s="775"/>
      <c r="AL409" s="775"/>
      <c r="AM409" s="775"/>
      <c r="AN409" s="807"/>
      <c r="AO409" s="808"/>
      <c r="AP409" s="808"/>
      <c r="AQ409" s="806"/>
      <c r="AR409" s="806"/>
      <c r="AS409" s="806"/>
      <c r="AT409" s="806"/>
      <c r="AU409" s="795"/>
      <c r="AV409" s="795"/>
      <c r="AW409" s="795"/>
      <c r="AX409" s="797"/>
      <c r="AY409" s="159"/>
    </row>
    <row r="410" spans="1:51" ht="27.75" hidden="1" customHeight="1" x14ac:dyDescent="0.25">
      <c r="A410" s="815"/>
      <c r="B410" s="1043"/>
      <c r="C410" s="838"/>
      <c r="D410" s="136" t="s">
        <v>43</v>
      </c>
      <c r="E410" s="142"/>
      <c r="F410" s="143"/>
      <c r="G410" s="144"/>
      <c r="H410" s="144"/>
      <c r="I410" s="144"/>
      <c r="J410" s="138"/>
      <c r="K410" s="137"/>
      <c r="L410" s="138"/>
      <c r="M410" s="138"/>
      <c r="N410" s="138"/>
      <c r="O410" s="138"/>
      <c r="P410" s="138"/>
      <c r="Q410" s="138"/>
      <c r="R410" s="147"/>
      <c r="S410" s="139"/>
      <c r="T410" s="148"/>
      <c r="U410" s="148"/>
      <c r="V410" s="148"/>
      <c r="W410" s="146"/>
      <c r="X410" s="139"/>
      <c r="Y410" s="139"/>
      <c r="Z410" s="139"/>
      <c r="AA410" s="165"/>
      <c r="AB410" s="151"/>
      <c r="AC410" s="129"/>
      <c r="AD410" s="137"/>
      <c r="AE410" s="152"/>
      <c r="AF410" s="158"/>
      <c r="AG410" s="772"/>
      <c r="AH410" s="775"/>
      <c r="AI410" s="775"/>
      <c r="AJ410" s="775"/>
      <c r="AK410" s="775"/>
      <c r="AL410" s="775"/>
      <c r="AM410" s="775"/>
      <c r="AN410" s="807"/>
      <c r="AO410" s="808"/>
      <c r="AP410" s="808"/>
      <c r="AQ410" s="806"/>
      <c r="AR410" s="806"/>
      <c r="AS410" s="806"/>
      <c r="AT410" s="806"/>
      <c r="AU410" s="795"/>
      <c r="AV410" s="795"/>
      <c r="AW410" s="795"/>
      <c r="AX410" s="797"/>
      <c r="AY410" s="159"/>
    </row>
    <row r="411" spans="1:51" ht="27.75" hidden="1" customHeight="1" thickBot="1" x14ac:dyDescent="0.3">
      <c r="A411" s="815"/>
      <c r="B411" s="1043"/>
      <c r="C411" s="838"/>
      <c r="D411" s="140" t="s">
        <v>45</v>
      </c>
      <c r="E411" s="142"/>
      <c r="F411" s="143"/>
      <c r="G411" s="144"/>
      <c r="H411" s="144"/>
      <c r="I411" s="144"/>
      <c r="J411" s="138"/>
      <c r="K411" s="137"/>
      <c r="L411" s="138"/>
      <c r="M411" s="138"/>
      <c r="N411" s="138"/>
      <c r="O411" s="138"/>
      <c r="P411" s="138"/>
      <c r="Q411" s="138"/>
      <c r="R411" s="147"/>
      <c r="S411" s="139"/>
      <c r="T411" s="148"/>
      <c r="U411" s="148"/>
      <c r="V411" s="148"/>
      <c r="W411" s="146"/>
      <c r="X411" s="139"/>
      <c r="Y411" s="139"/>
      <c r="Z411" s="139"/>
      <c r="AA411" s="165"/>
      <c r="AB411" s="151"/>
      <c r="AC411" s="129"/>
      <c r="AD411" s="137"/>
      <c r="AE411" s="152"/>
      <c r="AF411" s="158"/>
      <c r="AG411" s="773"/>
      <c r="AH411" s="776"/>
      <c r="AI411" s="776"/>
      <c r="AJ411" s="776"/>
      <c r="AK411" s="776"/>
      <c r="AL411" s="776"/>
      <c r="AM411" s="776"/>
      <c r="AN411" s="807"/>
      <c r="AO411" s="808"/>
      <c r="AP411" s="808"/>
      <c r="AQ411" s="806"/>
      <c r="AR411" s="806"/>
      <c r="AS411" s="806"/>
      <c r="AT411" s="806"/>
      <c r="AU411" s="795"/>
      <c r="AV411" s="795"/>
      <c r="AW411" s="795"/>
      <c r="AX411" s="798"/>
      <c r="AY411" s="159"/>
    </row>
    <row r="412" spans="1:51" ht="19.350000000000001" customHeight="1" x14ac:dyDescent="0.25">
      <c r="A412" s="815"/>
      <c r="B412" s="1043"/>
      <c r="C412" s="838" t="s">
        <v>528</v>
      </c>
      <c r="D412" s="141" t="s">
        <v>41</v>
      </c>
      <c r="E412" s="142"/>
      <c r="F412" s="143"/>
      <c r="G412" s="144"/>
      <c r="H412" s="144"/>
      <c r="I412" s="144">
        <v>102</v>
      </c>
      <c r="J412" s="138">
        <v>102</v>
      </c>
      <c r="K412" s="145">
        <v>102</v>
      </c>
      <c r="L412" s="138"/>
      <c r="M412" s="138"/>
      <c r="N412" s="138"/>
      <c r="O412" s="138"/>
      <c r="P412" s="138"/>
      <c r="Q412" s="138"/>
      <c r="R412" s="147"/>
      <c r="S412" s="139"/>
      <c r="T412" s="148"/>
      <c r="U412" s="148"/>
      <c r="V412" s="148">
        <v>102</v>
      </c>
      <c r="W412" s="146">
        <v>102</v>
      </c>
      <c r="X412" s="150">
        <v>102</v>
      </c>
      <c r="Y412" s="139"/>
      <c r="Z412" s="139"/>
      <c r="AA412" s="165"/>
      <c r="AB412" s="151"/>
      <c r="AC412" s="129"/>
      <c r="AD412" s="137"/>
      <c r="AE412" s="152"/>
      <c r="AF412" s="1114" t="s">
        <v>529</v>
      </c>
      <c r="AG412" s="771" t="s">
        <v>389</v>
      </c>
      <c r="AH412" s="774" t="s">
        <v>530</v>
      </c>
      <c r="AI412" s="774" t="s">
        <v>531</v>
      </c>
      <c r="AJ412" s="777" t="s">
        <v>491</v>
      </c>
      <c r="AK412" s="774" t="s">
        <v>315</v>
      </c>
      <c r="AL412" s="774" t="s">
        <v>70</v>
      </c>
      <c r="AM412" s="774" t="s">
        <v>480</v>
      </c>
      <c r="AN412" s="807">
        <v>93248</v>
      </c>
      <c r="AO412" s="808">
        <v>37102</v>
      </c>
      <c r="AP412" s="808">
        <v>38674</v>
      </c>
      <c r="AQ412" s="806" t="s">
        <v>317</v>
      </c>
      <c r="AR412" s="806" t="s">
        <v>317</v>
      </c>
      <c r="AS412" s="806" t="s">
        <v>317</v>
      </c>
      <c r="AT412" s="806" t="s">
        <v>317</v>
      </c>
      <c r="AU412" s="795" t="s">
        <v>317</v>
      </c>
      <c r="AV412" s="795" t="s">
        <v>317</v>
      </c>
      <c r="AW412" s="795" t="s">
        <v>317</v>
      </c>
      <c r="AX412" s="796">
        <v>93248</v>
      </c>
      <c r="AY412" s="159"/>
    </row>
    <row r="413" spans="1:51" ht="18.75" customHeight="1" x14ac:dyDescent="0.25">
      <c r="A413" s="815"/>
      <c r="B413" s="1043"/>
      <c r="C413" s="838"/>
      <c r="D413" s="132" t="s">
        <v>3</v>
      </c>
      <c r="E413" s="142"/>
      <c r="F413" s="143"/>
      <c r="G413" s="144"/>
      <c r="H413" s="144"/>
      <c r="I413" s="144" t="e">
        <f>+I412*$I$299/$I$298</f>
        <v>#REF!</v>
      </c>
      <c r="J413" s="138" t="e">
        <f>+J412*$J$299/$J$298</f>
        <v>#REF!</v>
      </c>
      <c r="K413" s="137"/>
      <c r="L413" s="138"/>
      <c r="M413" s="138"/>
      <c r="N413" s="138"/>
      <c r="O413" s="138"/>
      <c r="P413" s="138"/>
      <c r="Q413" s="138"/>
      <c r="R413" s="147"/>
      <c r="S413" s="139"/>
      <c r="T413" s="148"/>
      <c r="U413" s="148"/>
      <c r="V413" s="144" t="e">
        <f>+V412*$V$299/$V$298</f>
        <v>#REF!</v>
      </c>
      <c r="W413" s="138" t="e">
        <f>+W412*$W$299/$W$298</f>
        <v>#REF!</v>
      </c>
      <c r="X413" s="139"/>
      <c r="Y413" s="139"/>
      <c r="Z413" s="139"/>
      <c r="AA413" s="165"/>
      <c r="AB413" s="151"/>
      <c r="AC413" s="129"/>
      <c r="AD413" s="137"/>
      <c r="AE413" s="152"/>
      <c r="AF413" s="1114"/>
      <c r="AG413" s="772"/>
      <c r="AH413" s="775"/>
      <c r="AI413" s="775"/>
      <c r="AJ413" s="778"/>
      <c r="AK413" s="775"/>
      <c r="AL413" s="775"/>
      <c r="AM413" s="775"/>
      <c r="AN413" s="807"/>
      <c r="AO413" s="808"/>
      <c r="AP413" s="808"/>
      <c r="AQ413" s="806"/>
      <c r="AR413" s="806"/>
      <c r="AS413" s="806"/>
      <c r="AT413" s="806"/>
      <c r="AU413" s="795"/>
      <c r="AV413" s="795"/>
      <c r="AW413" s="795"/>
      <c r="AX413" s="797"/>
      <c r="AY413" s="159"/>
    </row>
    <row r="414" spans="1:51" ht="27.75" customHeight="1" x14ac:dyDescent="0.25">
      <c r="A414" s="815"/>
      <c r="B414" s="1043"/>
      <c r="C414" s="838"/>
      <c r="D414" s="136" t="s">
        <v>42</v>
      </c>
      <c r="E414" s="142"/>
      <c r="F414" s="143"/>
      <c r="G414" s="144"/>
      <c r="H414" s="144"/>
      <c r="I414" s="144"/>
      <c r="J414" s="138"/>
      <c r="K414" s="137"/>
      <c r="L414" s="138"/>
      <c r="M414" s="138"/>
      <c r="N414" s="138"/>
      <c r="O414" s="138"/>
      <c r="P414" s="138"/>
      <c r="Q414" s="138"/>
      <c r="R414" s="147"/>
      <c r="S414" s="139"/>
      <c r="T414" s="148"/>
      <c r="U414" s="148"/>
      <c r="V414" s="148"/>
      <c r="W414" s="146"/>
      <c r="X414" s="139"/>
      <c r="Y414" s="139"/>
      <c r="Z414" s="139"/>
      <c r="AA414" s="165"/>
      <c r="AB414" s="151"/>
      <c r="AC414" s="129"/>
      <c r="AD414" s="137"/>
      <c r="AE414" s="152"/>
      <c r="AF414" s="1114"/>
      <c r="AG414" s="772"/>
      <c r="AH414" s="775"/>
      <c r="AI414" s="775"/>
      <c r="AJ414" s="778"/>
      <c r="AK414" s="775"/>
      <c r="AL414" s="775"/>
      <c r="AM414" s="775"/>
      <c r="AN414" s="807"/>
      <c r="AO414" s="808"/>
      <c r="AP414" s="808"/>
      <c r="AQ414" s="806"/>
      <c r="AR414" s="806"/>
      <c r="AS414" s="806"/>
      <c r="AT414" s="806"/>
      <c r="AU414" s="795"/>
      <c r="AV414" s="795"/>
      <c r="AW414" s="795"/>
      <c r="AX414" s="797"/>
      <c r="AY414" s="159"/>
    </row>
    <row r="415" spans="1:51" ht="27.75" customHeight="1" x14ac:dyDescent="0.25">
      <c r="A415" s="815"/>
      <c r="B415" s="1043"/>
      <c r="C415" s="838"/>
      <c r="D415" s="132" t="s">
        <v>4</v>
      </c>
      <c r="E415" s="142"/>
      <c r="F415" s="143"/>
      <c r="G415" s="144"/>
      <c r="H415" s="144"/>
      <c r="I415" s="144"/>
      <c r="J415" s="138"/>
      <c r="K415" s="137"/>
      <c r="L415" s="138"/>
      <c r="M415" s="138"/>
      <c r="N415" s="138"/>
      <c r="O415" s="138"/>
      <c r="P415" s="138"/>
      <c r="Q415" s="138"/>
      <c r="R415" s="147"/>
      <c r="S415" s="139"/>
      <c r="T415" s="148"/>
      <c r="U415" s="148"/>
      <c r="V415" s="148"/>
      <c r="W415" s="146"/>
      <c r="X415" s="139"/>
      <c r="Y415" s="139"/>
      <c r="Z415" s="139"/>
      <c r="AA415" s="165"/>
      <c r="AB415" s="151"/>
      <c r="AC415" s="129"/>
      <c r="AD415" s="137"/>
      <c r="AE415" s="152"/>
      <c r="AF415" s="1114"/>
      <c r="AG415" s="772"/>
      <c r="AH415" s="775"/>
      <c r="AI415" s="775"/>
      <c r="AJ415" s="778"/>
      <c r="AK415" s="775"/>
      <c r="AL415" s="775"/>
      <c r="AM415" s="775"/>
      <c r="AN415" s="807"/>
      <c r="AO415" s="808"/>
      <c r="AP415" s="808"/>
      <c r="AQ415" s="806"/>
      <c r="AR415" s="806"/>
      <c r="AS415" s="806"/>
      <c r="AT415" s="806"/>
      <c r="AU415" s="795"/>
      <c r="AV415" s="795"/>
      <c r="AW415" s="795"/>
      <c r="AX415" s="797"/>
      <c r="AY415" s="159"/>
    </row>
    <row r="416" spans="1:51" ht="27.75" customHeight="1" x14ac:dyDescent="0.25">
      <c r="A416" s="815"/>
      <c r="B416" s="1043"/>
      <c r="C416" s="838"/>
      <c r="D416" s="136" t="s">
        <v>43</v>
      </c>
      <c r="E416" s="142"/>
      <c r="F416" s="143"/>
      <c r="G416" s="144"/>
      <c r="H416" s="144"/>
      <c r="I416" s="144">
        <v>102</v>
      </c>
      <c r="J416" s="138">
        <v>102</v>
      </c>
      <c r="K416" s="137"/>
      <c r="L416" s="138"/>
      <c r="M416" s="138"/>
      <c r="N416" s="138"/>
      <c r="O416" s="138"/>
      <c r="P416" s="138"/>
      <c r="Q416" s="138"/>
      <c r="R416" s="147"/>
      <c r="S416" s="139"/>
      <c r="T416" s="148"/>
      <c r="U416" s="148"/>
      <c r="V416" s="144">
        <v>102</v>
      </c>
      <c r="W416" s="138">
        <v>102</v>
      </c>
      <c r="X416" s="139"/>
      <c r="Y416" s="139"/>
      <c r="Z416" s="139"/>
      <c r="AA416" s="165"/>
      <c r="AB416" s="151"/>
      <c r="AC416" s="129"/>
      <c r="AD416" s="137"/>
      <c r="AE416" s="152"/>
      <c r="AF416" s="1114"/>
      <c r="AG416" s="772"/>
      <c r="AH416" s="775"/>
      <c r="AI416" s="775"/>
      <c r="AJ416" s="778"/>
      <c r="AK416" s="775"/>
      <c r="AL416" s="775"/>
      <c r="AM416" s="775"/>
      <c r="AN416" s="807"/>
      <c r="AO416" s="808"/>
      <c r="AP416" s="808"/>
      <c r="AQ416" s="806"/>
      <c r="AR416" s="806"/>
      <c r="AS416" s="806"/>
      <c r="AT416" s="806"/>
      <c r="AU416" s="795"/>
      <c r="AV416" s="795"/>
      <c r="AW416" s="795"/>
      <c r="AX416" s="797"/>
      <c r="AY416" s="159"/>
    </row>
    <row r="417" spans="1:51" ht="27.75" customHeight="1" thickBot="1" x14ac:dyDescent="0.3">
      <c r="A417" s="815"/>
      <c r="B417" s="1043"/>
      <c r="C417" s="838"/>
      <c r="D417" s="140" t="s">
        <v>45</v>
      </c>
      <c r="E417" s="142"/>
      <c r="F417" s="143"/>
      <c r="G417" s="144"/>
      <c r="H417" s="144"/>
      <c r="I417" s="144" t="e">
        <f>+I416*$I$299/$I$298</f>
        <v>#REF!</v>
      </c>
      <c r="J417" s="138" t="e">
        <f>+J416*$J$299/$J$298</f>
        <v>#REF!</v>
      </c>
      <c r="K417" s="137"/>
      <c r="L417" s="138"/>
      <c r="M417" s="138"/>
      <c r="N417" s="138"/>
      <c r="O417" s="138"/>
      <c r="P417" s="138"/>
      <c r="Q417" s="138"/>
      <c r="R417" s="147"/>
      <c r="S417" s="139"/>
      <c r="T417" s="148"/>
      <c r="U417" s="148"/>
      <c r="V417" s="144" t="e">
        <f>+V416*$V$299/$V$298</f>
        <v>#REF!</v>
      </c>
      <c r="W417" s="138" t="e">
        <f>+W416*$W$299/$W$298</f>
        <v>#REF!</v>
      </c>
      <c r="X417" s="139"/>
      <c r="Y417" s="139"/>
      <c r="Z417" s="139"/>
      <c r="AA417" s="165"/>
      <c r="AB417" s="151"/>
      <c r="AC417" s="129"/>
      <c r="AD417" s="137"/>
      <c r="AE417" s="152"/>
      <c r="AF417" s="1114"/>
      <c r="AG417" s="773"/>
      <c r="AH417" s="776"/>
      <c r="AI417" s="776"/>
      <c r="AJ417" s="779"/>
      <c r="AK417" s="776"/>
      <c r="AL417" s="776"/>
      <c r="AM417" s="776"/>
      <c r="AN417" s="807"/>
      <c r="AO417" s="808"/>
      <c r="AP417" s="808"/>
      <c r="AQ417" s="806"/>
      <c r="AR417" s="806"/>
      <c r="AS417" s="806"/>
      <c r="AT417" s="806"/>
      <c r="AU417" s="795"/>
      <c r="AV417" s="795"/>
      <c r="AW417" s="795"/>
      <c r="AX417" s="798"/>
      <c r="AY417" s="159"/>
    </row>
    <row r="418" spans="1:51" ht="19.350000000000001" customHeight="1" x14ac:dyDescent="0.25">
      <c r="A418" s="815"/>
      <c r="B418" s="1043"/>
      <c r="C418" s="838" t="s">
        <v>532</v>
      </c>
      <c r="D418" s="141" t="s">
        <v>41</v>
      </c>
      <c r="E418" s="142"/>
      <c r="F418" s="143"/>
      <c r="G418" s="144"/>
      <c r="H418" s="144"/>
      <c r="I418" s="144">
        <v>52</v>
      </c>
      <c r="J418" s="138">
        <v>52</v>
      </c>
      <c r="K418" s="145">
        <v>52</v>
      </c>
      <c r="L418" s="138"/>
      <c r="M418" s="138"/>
      <c r="N418" s="138"/>
      <c r="O418" s="138"/>
      <c r="P418" s="138"/>
      <c r="Q418" s="138"/>
      <c r="R418" s="147"/>
      <c r="S418" s="139"/>
      <c r="T418" s="148"/>
      <c r="U418" s="148"/>
      <c r="V418" s="148">
        <v>52</v>
      </c>
      <c r="W418" s="146">
        <v>52</v>
      </c>
      <c r="X418" s="150">
        <v>52</v>
      </c>
      <c r="Y418" s="139"/>
      <c r="Z418" s="139"/>
      <c r="AA418" s="165"/>
      <c r="AB418" s="151"/>
      <c r="AC418" s="129"/>
      <c r="AD418" s="137"/>
      <c r="AE418" s="152"/>
      <c r="AF418" s="1114" t="s">
        <v>533</v>
      </c>
      <c r="AG418" s="771" t="s">
        <v>389</v>
      </c>
      <c r="AH418" s="774" t="s">
        <v>530</v>
      </c>
      <c r="AI418" s="774" t="s">
        <v>534</v>
      </c>
      <c r="AJ418" s="777" t="s">
        <v>491</v>
      </c>
      <c r="AK418" s="774" t="s">
        <v>315</v>
      </c>
      <c r="AL418" s="774" t="s">
        <v>70</v>
      </c>
      <c r="AM418" s="774" t="s">
        <v>480</v>
      </c>
      <c r="AN418" s="807">
        <v>93248</v>
      </c>
      <c r="AO418" s="808">
        <v>37102</v>
      </c>
      <c r="AP418" s="808">
        <v>38674</v>
      </c>
      <c r="AQ418" s="806" t="s">
        <v>317</v>
      </c>
      <c r="AR418" s="806" t="s">
        <v>317</v>
      </c>
      <c r="AS418" s="806" t="s">
        <v>317</v>
      </c>
      <c r="AT418" s="806" t="s">
        <v>317</v>
      </c>
      <c r="AU418" s="795" t="s">
        <v>317</v>
      </c>
      <c r="AV418" s="795" t="s">
        <v>317</v>
      </c>
      <c r="AW418" s="795" t="s">
        <v>317</v>
      </c>
      <c r="AX418" s="796">
        <v>93248</v>
      </c>
      <c r="AY418" s="159"/>
    </row>
    <row r="419" spans="1:51" ht="18.75" customHeight="1" x14ac:dyDescent="0.25">
      <c r="A419" s="815"/>
      <c r="B419" s="1043"/>
      <c r="C419" s="838"/>
      <c r="D419" s="132" t="s">
        <v>3</v>
      </c>
      <c r="E419" s="142"/>
      <c r="F419" s="143"/>
      <c r="G419" s="144"/>
      <c r="H419" s="144"/>
      <c r="I419" s="144" t="e">
        <f>+I418*$I$299/$I$298</f>
        <v>#REF!</v>
      </c>
      <c r="J419" s="138" t="e">
        <f>+J418*$J$299/$J$298</f>
        <v>#REF!</v>
      </c>
      <c r="K419" s="137"/>
      <c r="L419" s="138"/>
      <c r="M419" s="138"/>
      <c r="N419" s="138"/>
      <c r="O419" s="138"/>
      <c r="P419" s="138"/>
      <c r="Q419" s="138"/>
      <c r="R419" s="147"/>
      <c r="S419" s="139"/>
      <c r="T419" s="148"/>
      <c r="U419" s="148"/>
      <c r="V419" s="144" t="e">
        <f>+V418*$V$299/$V$298</f>
        <v>#REF!</v>
      </c>
      <c r="W419" s="138" t="e">
        <f>+W418*$W$299/$W$298</f>
        <v>#REF!</v>
      </c>
      <c r="X419" s="139"/>
      <c r="Y419" s="139"/>
      <c r="Z419" s="139"/>
      <c r="AA419" s="165"/>
      <c r="AB419" s="151"/>
      <c r="AC419" s="129"/>
      <c r="AD419" s="137"/>
      <c r="AE419" s="152"/>
      <c r="AF419" s="1114"/>
      <c r="AG419" s="772"/>
      <c r="AH419" s="775"/>
      <c r="AI419" s="775"/>
      <c r="AJ419" s="778"/>
      <c r="AK419" s="775"/>
      <c r="AL419" s="775"/>
      <c r="AM419" s="775"/>
      <c r="AN419" s="807"/>
      <c r="AO419" s="808"/>
      <c r="AP419" s="808"/>
      <c r="AQ419" s="806"/>
      <c r="AR419" s="806"/>
      <c r="AS419" s="806"/>
      <c r="AT419" s="806"/>
      <c r="AU419" s="795"/>
      <c r="AV419" s="795"/>
      <c r="AW419" s="795"/>
      <c r="AX419" s="797"/>
      <c r="AY419" s="159"/>
    </row>
    <row r="420" spans="1:51" ht="27.75" customHeight="1" x14ac:dyDescent="0.25">
      <c r="A420" s="815"/>
      <c r="B420" s="1043"/>
      <c r="C420" s="838"/>
      <c r="D420" s="136" t="s">
        <v>42</v>
      </c>
      <c r="E420" s="142"/>
      <c r="F420" s="143"/>
      <c r="G420" s="144"/>
      <c r="H420" s="144"/>
      <c r="I420" s="144"/>
      <c r="J420" s="138"/>
      <c r="K420" s="137"/>
      <c r="L420" s="138"/>
      <c r="M420" s="138"/>
      <c r="N420" s="138"/>
      <c r="O420" s="138"/>
      <c r="P420" s="138"/>
      <c r="Q420" s="138"/>
      <c r="R420" s="147"/>
      <c r="S420" s="139"/>
      <c r="T420" s="148"/>
      <c r="U420" s="148"/>
      <c r="V420" s="148"/>
      <c r="W420" s="146"/>
      <c r="X420" s="139"/>
      <c r="Y420" s="139"/>
      <c r="Z420" s="139"/>
      <c r="AA420" s="165"/>
      <c r="AB420" s="151"/>
      <c r="AC420" s="129"/>
      <c r="AD420" s="137"/>
      <c r="AE420" s="152"/>
      <c r="AF420" s="1114"/>
      <c r="AG420" s="772"/>
      <c r="AH420" s="775"/>
      <c r="AI420" s="775"/>
      <c r="AJ420" s="778"/>
      <c r="AK420" s="775"/>
      <c r="AL420" s="775"/>
      <c r="AM420" s="775"/>
      <c r="AN420" s="807"/>
      <c r="AO420" s="808"/>
      <c r="AP420" s="808"/>
      <c r="AQ420" s="806"/>
      <c r="AR420" s="806"/>
      <c r="AS420" s="806"/>
      <c r="AT420" s="806"/>
      <c r="AU420" s="795"/>
      <c r="AV420" s="795"/>
      <c r="AW420" s="795"/>
      <c r="AX420" s="797"/>
      <c r="AY420" s="159"/>
    </row>
    <row r="421" spans="1:51" ht="27.75" customHeight="1" x14ac:dyDescent="0.25">
      <c r="A421" s="815"/>
      <c r="B421" s="1043"/>
      <c r="C421" s="838"/>
      <c r="D421" s="132" t="s">
        <v>4</v>
      </c>
      <c r="E421" s="142"/>
      <c r="F421" s="143"/>
      <c r="G421" s="144"/>
      <c r="H421" s="144"/>
      <c r="I421" s="144"/>
      <c r="J421" s="138"/>
      <c r="K421" s="137"/>
      <c r="L421" s="138"/>
      <c r="M421" s="138"/>
      <c r="N421" s="138"/>
      <c r="O421" s="138"/>
      <c r="P421" s="138"/>
      <c r="Q421" s="138"/>
      <c r="R421" s="147"/>
      <c r="S421" s="139"/>
      <c r="T421" s="148"/>
      <c r="U421" s="148"/>
      <c r="V421" s="148"/>
      <c r="W421" s="146"/>
      <c r="X421" s="139"/>
      <c r="Y421" s="139"/>
      <c r="Z421" s="139"/>
      <c r="AA421" s="165"/>
      <c r="AB421" s="151"/>
      <c r="AC421" s="129"/>
      <c r="AD421" s="137"/>
      <c r="AE421" s="152"/>
      <c r="AF421" s="1114"/>
      <c r="AG421" s="772"/>
      <c r="AH421" s="775"/>
      <c r="AI421" s="775"/>
      <c r="AJ421" s="778"/>
      <c r="AK421" s="775"/>
      <c r="AL421" s="775"/>
      <c r="AM421" s="775"/>
      <c r="AN421" s="807"/>
      <c r="AO421" s="808"/>
      <c r="AP421" s="808"/>
      <c r="AQ421" s="806"/>
      <c r="AR421" s="806"/>
      <c r="AS421" s="806"/>
      <c r="AT421" s="806"/>
      <c r="AU421" s="795"/>
      <c r="AV421" s="795"/>
      <c r="AW421" s="795"/>
      <c r="AX421" s="797"/>
      <c r="AY421" s="159"/>
    </row>
    <row r="422" spans="1:51" ht="27.75" customHeight="1" x14ac:dyDescent="0.25">
      <c r="A422" s="815"/>
      <c r="B422" s="1043"/>
      <c r="C422" s="838"/>
      <c r="D422" s="136" t="s">
        <v>43</v>
      </c>
      <c r="E422" s="142"/>
      <c r="F422" s="143"/>
      <c r="G422" s="144"/>
      <c r="H422" s="144"/>
      <c r="I422" s="144">
        <v>52</v>
      </c>
      <c r="J422" s="138">
        <v>52</v>
      </c>
      <c r="K422" s="137"/>
      <c r="L422" s="138"/>
      <c r="M422" s="138"/>
      <c r="N422" s="138"/>
      <c r="O422" s="138"/>
      <c r="P422" s="138"/>
      <c r="Q422" s="138"/>
      <c r="R422" s="147"/>
      <c r="S422" s="139"/>
      <c r="T422" s="148"/>
      <c r="U422" s="148"/>
      <c r="V422" s="144">
        <v>52</v>
      </c>
      <c r="W422" s="138">
        <v>52</v>
      </c>
      <c r="X422" s="139"/>
      <c r="Y422" s="139"/>
      <c r="Z422" s="139"/>
      <c r="AA422" s="165"/>
      <c r="AB422" s="151"/>
      <c r="AC422" s="129"/>
      <c r="AD422" s="137"/>
      <c r="AE422" s="152"/>
      <c r="AF422" s="1114"/>
      <c r="AG422" s="772"/>
      <c r="AH422" s="775"/>
      <c r="AI422" s="775"/>
      <c r="AJ422" s="778"/>
      <c r="AK422" s="775"/>
      <c r="AL422" s="775"/>
      <c r="AM422" s="775"/>
      <c r="AN422" s="807"/>
      <c r="AO422" s="808"/>
      <c r="AP422" s="808"/>
      <c r="AQ422" s="806"/>
      <c r="AR422" s="806"/>
      <c r="AS422" s="806"/>
      <c r="AT422" s="806"/>
      <c r="AU422" s="795"/>
      <c r="AV422" s="795"/>
      <c r="AW422" s="795"/>
      <c r="AX422" s="797"/>
      <c r="AY422" s="159"/>
    </row>
    <row r="423" spans="1:51" ht="27.75" customHeight="1" thickBot="1" x14ac:dyDescent="0.3">
      <c r="A423" s="815"/>
      <c r="B423" s="1043"/>
      <c r="C423" s="838"/>
      <c r="D423" s="140" t="s">
        <v>45</v>
      </c>
      <c r="E423" s="142"/>
      <c r="F423" s="143"/>
      <c r="G423" s="144"/>
      <c r="H423" s="144"/>
      <c r="I423" s="144" t="e">
        <f>+I422*$I$299/$I$298</f>
        <v>#REF!</v>
      </c>
      <c r="J423" s="138" t="e">
        <f>+J422*$J$299/$J$298</f>
        <v>#REF!</v>
      </c>
      <c r="K423" s="137"/>
      <c r="L423" s="138"/>
      <c r="M423" s="138"/>
      <c r="N423" s="138"/>
      <c r="O423" s="138"/>
      <c r="P423" s="138"/>
      <c r="Q423" s="138"/>
      <c r="R423" s="147"/>
      <c r="S423" s="139"/>
      <c r="T423" s="148"/>
      <c r="U423" s="148"/>
      <c r="V423" s="144" t="e">
        <f>+V422*$V$299/$V$298</f>
        <v>#REF!</v>
      </c>
      <c r="W423" s="138" t="e">
        <f>+W422*$W$299/$W$298</f>
        <v>#REF!</v>
      </c>
      <c r="X423" s="139"/>
      <c r="Y423" s="139"/>
      <c r="Z423" s="139"/>
      <c r="AA423" s="165"/>
      <c r="AB423" s="151"/>
      <c r="AC423" s="129"/>
      <c r="AD423" s="137"/>
      <c r="AE423" s="152"/>
      <c r="AF423" s="1114"/>
      <c r="AG423" s="773"/>
      <c r="AH423" s="776"/>
      <c r="AI423" s="776"/>
      <c r="AJ423" s="779"/>
      <c r="AK423" s="776"/>
      <c r="AL423" s="776"/>
      <c r="AM423" s="776"/>
      <c r="AN423" s="807"/>
      <c r="AO423" s="808"/>
      <c r="AP423" s="808"/>
      <c r="AQ423" s="806"/>
      <c r="AR423" s="806"/>
      <c r="AS423" s="806"/>
      <c r="AT423" s="806"/>
      <c r="AU423" s="795"/>
      <c r="AV423" s="795"/>
      <c r="AW423" s="795"/>
      <c r="AX423" s="798"/>
      <c r="AY423" s="159"/>
    </row>
    <row r="424" spans="1:51" ht="19.350000000000001" hidden="1" customHeight="1" x14ac:dyDescent="0.25">
      <c r="A424" s="815"/>
      <c r="B424" s="1043"/>
      <c r="C424" s="838" t="s">
        <v>390</v>
      </c>
      <c r="D424" s="141" t="s">
        <v>41</v>
      </c>
      <c r="E424" s="142"/>
      <c r="F424" s="143"/>
      <c r="G424" s="144"/>
      <c r="H424" s="144"/>
      <c r="I424" s="144"/>
      <c r="J424" s="138"/>
      <c r="K424" s="137"/>
      <c r="L424" s="138"/>
      <c r="M424" s="138"/>
      <c r="N424" s="138"/>
      <c r="O424" s="138"/>
      <c r="P424" s="138"/>
      <c r="Q424" s="138"/>
      <c r="R424" s="147"/>
      <c r="S424" s="139"/>
      <c r="T424" s="148"/>
      <c r="U424" s="148"/>
      <c r="V424" s="148"/>
      <c r="W424" s="146"/>
      <c r="X424" s="139"/>
      <c r="Y424" s="139"/>
      <c r="Z424" s="139"/>
      <c r="AA424" s="165"/>
      <c r="AB424" s="151"/>
      <c r="AC424" s="129"/>
      <c r="AD424" s="137"/>
      <c r="AE424" s="152"/>
      <c r="AF424" s="158"/>
      <c r="AG424" s="771" t="s">
        <v>390</v>
      </c>
      <c r="AH424" s="774" t="s">
        <v>350</v>
      </c>
      <c r="AI424" s="774" t="s">
        <v>350</v>
      </c>
      <c r="AJ424" s="774" t="s">
        <v>350</v>
      </c>
      <c r="AK424" s="774" t="s">
        <v>315</v>
      </c>
      <c r="AL424" s="774" t="s">
        <v>70</v>
      </c>
      <c r="AM424" s="774" t="s">
        <v>480</v>
      </c>
      <c r="AN424" s="807">
        <v>109254</v>
      </c>
      <c r="AO424" s="808">
        <v>39611</v>
      </c>
      <c r="AP424" s="808">
        <v>43209</v>
      </c>
      <c r="AQ424" s="806" t="s">
        <v>317</v>
      </c>
      <c r="AR424" s="806" t="s">
        <v>317</v>
      </c>
      <c r="AS424" s="806" t="s">
        <v>317</v>
      </c>
      <c r="AT424" s="806" t="s">
        <v>317</v>
      </c>
      <c r="AU424" s="795" t="s">
        <v>317</v>
      </c>
      <c r="AV424" s="795" t="s">
        <v>317</v>
      </c>
      <c r="AW424" s="795" t="s">
        <v>317</v>
      </c>
      <c r="AX424" s="796">
        <v>109254</v>
      </c>
      <c r="AY424" s="159"/>
    </row>
    <row r="425" spans="1:51" ht="18.75" hidden="1" customHeight="1" x14ac:dyDescent="0.25">
      <c r="A425" s="815"/>
      <c r="B425" s="1043"/>
      <c r="C425" s="838"/>
      <c r="D425" s="132" t="s">
        <v>3</v>
      </c>
      <c r="E425" s="142"/>
      <c r="F425" s="143"/>
      <c r="G425" s="144"/>
      <c r="H425" s="144"/>
      <c r="I425" s="144"/>
      <c r="J425" s="138"/>
      <c r="K425" s="137"/>
      <c r="L425" s="138"/>
      <c r="M425" s="138"/>
      <c r="N425" s="138"/>
      <c r="O425" s="138"/>
      <c r="P425" s="138"/>
      <c r="Q425" s="138"/>
      <c r="R425" s="147"/>
      <c r="S425" s="139"/>
      <c r="T425" s="148"/>
      <c r="U425" s="148"/>
      <c r="V425" s="148"/>
      <c r="W425" s="146"/>
      <c r="X425" s="139"/>
      <c r="Y425" s="139"/>
      <c r="Z425" s="139"/>
      <c r="AA425" s="165"/>
      <c r="AB425" s="151"/>
      <c r="AC425" s="129"/>
      <c r="AD425" s="137"/>
      <c r="AE425" s="152"/>
      <c r="AF425" s="158"/>
      <c r="AG425" s="772"/>
      <c r="AH425" s="775"/>
      <c r="AI425" s="775"/>
      <c r="AJ425" s="775"/>
      <c r="AK425" s="775"/>
      <c r="AL425" s="775"/>
      <c r="AM425" s="775"/>
      <c r="AN425" s="807"/>
      <c r="AO425" s="808"/>
      <c r="AP425" s="808"/>
      <c r="AQ425" s="806"/>
      <c r="AR425" s="806"/>
      <c r="AS425" s="806"/>
      <c r="AT425" s="806"/>
      <c r="AU425" s="795"/>
      <c r="AV425" s="795"/>
      <c r="AW425" s="795"/>
      <c r="AX425" s="797"/>
      <c r="AY425" s="159"/>
    </row>
    <row r="426" spans="1:51" ht="27.75" hidden="1" customHeight="1" x14ac:dyDescent="0.25">
      <c r="A426" s="815"/>
      <c r="B426" s="1043"/>
      <c r="C426" s="838"/>
      <c r="D426" s="136" t="s">
        <v>42</v>
      </c>
      <c r="E426" s="142"/>
      <c r="F426" s="143"/>
      <c r="G426" s="144"/>
      <c r="H426" s="144"/>
      <c r="I426" s="144"/>
      <c r="J426" s="138"/>
      <c r="K426" s="137"/>
      <c r="L426" s="138"/>
      <c r="M426" s="138"/>
      <c r="N426" s="138"/>
      <c r="O426" s="138"/>
      <c r="P426" s="138"/>
      <c r="Q426" s="138"/>
      <c r="R426" s="147"/>
      <c r="S426" s="139"/>
      <c r="T426" s="148"/>
      <c r="U426" s="148"/>
      <c r="V426" s="148"/>
      <c r="W426" s="146"/>
      <c r="X426" s="139"/>
      <c r="Y426" s="139"/>
      <c r="Z426" s="139"/>
      <c r="AA426" s="165"/>
      <c r="AB426" s="151"/>
      <c r="AC426" s="129"/>
      <c r="AD426" s="137"/>
      <c r="AE426" s="152"/>
      <c r="AF426" s="158"/>
      <c r="AG426" s="772"/>
      <c r="AH426" s="775"/>
      <c r="AI426" s="775"/>
      <c r="AJ426" s="775"/>
      <c r="AK426" s="775"/>
      <c r="AL426" s="775"/>
      <c r="AM426" s="775"/>
      <c r="AN426" s="807"/>
      <c r="AO426" s="808"/>
      <c r="AP426" s="808"/>
      <c r="AQ426" s="806"/>
      <c r="AR426" s="806"/>
      <c r="AS426" s="806"/>
      <c r="AT426" s="806"/>
      <c r="AU426" s="795"/>
      <c r="AV426" s="795"/>
      <c r="AW426" s="795"/>
      <c r="AX426" s="797"/>
      <c r="AY426" s="159"/>
    </row>
    <row r="427" spans="1:51" ht="27.75" hidden="1" customHeight="1" x14ac:dyDescent="0.25">
      <c r="A427" s="815"/>
      <c r="B427" s="1043"/>
      <c r="C427" s="838"/>
      <c r="D427" s="132" t="s">
        <v>4</v>
      </c>
      <c r="E427" s="142"/>
      <c r="F427" s="143"/>
      <c r="G427" s="144"/>
      <c r="H427" s="144"/>
      <c r="I427" s="144"/>
      <c r="J427" s="138"/>
      <c r="K427" s="137"/>
      <c r="L427" s="138"/>
      <c r="M427" s="138"/>
      <c r="N427" s="138"/>
      <c r="O427" s="138"/>
      <c r="P427" s="138"/>
      <c r="Q427" s="138"/>
      <c r="R427" s="147"/>
      <c r="S427" s="139"/>
      <c r="T427" s="148"/>
      <c r="U427" s="148"/>
      <c r="V427" s="148"/>
      <c r="W427" s="146"/>
      <c r="X427" s="139"/>
      <c r="Y427" s="139"/>
      <c r="Z427" s="139"/>
      <c r="AA427" s="165"/>
      <c r="AB427" s="151"/>
      <c r="AC427" s="129"/>
      <c r="AD427" s="137"/>
      <c r="AE427" s="152"/>
      <c r="AF427" s="158"/>
      <c r="AG427" s="772"/>
      <c r="AH427" s="775"/>
      <c r="AI427" s="775"/>
      <c r="AJ427" s="775"/>
      <c r="AK427" s="775"/>
      <c r="AL427" s="775"/>
      <c r="AM427" s="775"/>
      <c r="AN427" s="807"/>
      <c r="AO427" s="808"/>
      <c r="AP427" s="808"/>
      <c r="AQ427" s="806"/>
      <c r="AR427" s="806"/>
      <c r="AS427" s="806"/>
      <c r="AT427" s="806"/>
      <c r="AU427" s="795"/>
      <c r="AV427" s="795"/>
      <c r="AW427" s="795"/>
      <c r="AX427" s="797"/>
      <c r="AY427" s="159"/>
    </row>
    <row r="428" spans="1:51" ht="27.75" hidden="1" customHeight="1" x14ac:dyDescent="0.25">
      <c r="A428" s="815"/>
      <c r="B428" s="1043"/>
      <c r="C428" s="838"/>
      <c r="D428" s="136" t="s">
        <v>43</v>
      </c>
      <c r="E428" s="142"/>
      <c r="F428" s="143"/>
      <c r="G428" s="144"/>
      <c r="H428" s="144"/>
      <c r="I428" s="144"/>
      <c r="J428" s="138"/>
      <c r="K428" s="137"/>
      <c r="L428" s="138"/>
      <c r="M428" s="138"/>
      <c r="N428" s="138"/>
      <c r="O428" s="138"/>
      <c r="P428" s="138"/>
      <c r="Q428" s="138"/>
      <c r="R428" s="147"/>
      <c r="S428" s="139"/>
      <c r="T428" s="148"/>
      <c r="U428" s="148"/>
      <c r="V428" s="148"/>
      <c r="W428" s="146"/>
      <c r="X428" s="139"/>
      <c r="Y428" s="139"/>
      <c r="Z428" s="139"/>
      <c r="AA428" s="165"/>
      <c r="AB428" s="151"/>
      <c r="AC428" s="129"/>
      <c r="AD428" s="137"/>
      <c r="AE428" s="152"/>
      <c r="AF428" s="158"/>
      <c r="AG428" s="772"/>
      <c r="AH428" s="775"/>
      <c r="AI428" s="775"/>
      <c r="AJ428" s="775"/>
      <c r="AK428" s="775"/>
      <c r="AL428" s="775"/>
      <c r="AM428" s="775"/>
      <c r="AN428" s="807"/>
      <c r="AO428" s="808"/>
      <c r="AP428" s="808"/>
      <c r="AQ428" s="806"/>
      <c r="AR428" s="806"/>
      <c r="AS428" s="806"/>
      <c r="AT428" s="806"/>
      <c r="AU428" s="795"/>
      <c r="AV428" s="795"/>
      <c r="AW428" s="795"/>
      <c r="AX428" s="797"/>
      <c r="AY428" s="159"/>
    </row>
    <row r="429" spans="1:51" ht="27.75" hidden="1" customHeight="1" thickBot="1" x14ac:dyDescent="0.3">
      <c r="A429" s="815"/>
      <c r="B429" s="1043"/>
      <c r="C429" s="838"/>
      <c r="D429" s="140" t="s">
        <v>45</v>
      </c>
      <c r="E429" s="142"/>
      <c r="F429" s="143"/>
      <c r="G429" s="144"/>
      <c r="H429" s="144"/>
      <c r="I429" s="144"/>
      <c r="J429" s="138"/>
      <c r="K429" s="137"/>
      <c r="L429" s="138"/>
      <c r="M429" s="138"/>
      <c r="N429" s="138"/>
      <c r="O429" s="138"/>
      <c r="P429" s="138"/>
      <c r="Q429" s="138"/>
      <c r="R429" s="147"/>
      <c r="S429" s="139"/>
      <c r="T429" s="148"/>
      <c r="U429" s="148"/>
      <c r="V429" s="148"/>
      <c r="W429" s="146"/>
      <c r="X429" s="139"/>
      <c r="Y429" s="139"/>
      <c r="Z429" s="139"/>
      <c r="AA429" s="165"/>
      <c r="AB429" s="151"/>
      <c r="AC429" s="129"/>
      <c r="AD429" s="137"/>
      <c r="AE429" s="152"/>
      <c r="AF429" s="158"/>
      <c r="AG429" s="773"/>
      <c r="AH429" s="776"/>
      <c r="AI429" s="776"/>
      <c r="AJ429" s="776"/>
      <c r="AK429" s="776"/>
      <c r="AL429" s="776"/>
      <c r="AM429" s="776"/>
      <c r="AN429" s="807"/>
      <c r="AO429" s="808"/>
      <c r="AP429" s="808"/>
      <c r="AQ429" s="806"/>
      <c r="AR429" s="806"/>
      <c r="AS429" s="806"/>
      <c r="AT429" s="806"/>
      <c r="AU429" s="795"/>
      <c r="AV429" s="795"/>
      <c r="AW429" s="795"/>
      <c r="AX429" s="798"/>
      <c r="AY429" s="159"/>
    </row>
    <row r="430" spans="1:51" ht="19.350000000000001" hidden="1" customHeight="1" x14ac:dyDescent="0.25">
      <c r="A430" s="815"/>
      <c r="B430" s="1043"/>
      <c r="C430" s="838" t="s">
        <v>394</v>
      </c>
      <c r="D430" s="141" t="s">
        <v>41</v>
      </c>
      <c r="E430" s="142"/>
      <c r="F430" s="143"/>
      <c r="G430" s="144"/>
      <c r="H430" s="144"/>
      <c r="I430" s="144"/>
      <c r="J430" s="138"/>
      <c r="K430" s="137"/>
      <c r="L430" s="138"/>
      <c r="M430" s="138"/>
      <c r="N430" s="138"/>
      <c r="O430" s="138"/>
      <c r="P430" s="138"/>
      <c r="Q430" s="138"/>
      <c r="R430" s="147"/>
      <c r="S430" s="139"/>
      <c r="T430" s="148"/>
      <c r="U430" s="148"/>
      <c r="V430" s="148"/>
      <c r="W430" s="146"/>
      <c r="X430" s="139"/>
      <c r="Y430" s="139"/>
      <c r="Z430" s="139"/>
      <c r="AA430" s="165"/>
      <c r="AB430" s="151"/>
      <c r="AC430" s="129"/>
      <c r="AD430" s="137"/>
      <c r="AE430" s="152"/>
      <c r="AF430" s="158"/>
      <c r="AG430" s="771" t="s">
        <v>454</v>
      </c>
      <c r="AH430" s="774" t="s">
        <v>350</v>
      </c>
      <c r="AI430" s="774" t="s">
        <v>350</v>
      </c>
      <c r="AJ430" s="774" t="s">
        <v>350</v>
      </c>
      <c r="AK430" s="774" t="s">
        <v>315</v>
      </c>
      <c r="AL430" s="774" t="s">
        <v>70</v>
      </c>
      <c r="AM430" s="774" t="s">
        <v>480</v>
      </c>
      <c r="AN430" s="807">
        <v>22438</v>
      </c>
      <c r="AO430" s="808">
        <v>118748</v>
      </c>
      <c r="AP430" s="808">
        <v>132822</v>
      </c>
      <c r="AQ430" s="806" t="s">
        <v>317</v>
      </c>
      <c r="AR430" s="806" t="s">
        <v>317</v>
      </c>
      <c r="AS430" s="806" t="s">
        <v>317</v>
      </c>
      <c r="AT430" s="806" t="s">
        <v>317</v>
      </c>
      <c r="AU430" s="795" t="s">
        <v>317</v>
      </c>
      <c r="AV430" s="795" t="s">
        <v>317</v>
      </c>
      <c r="AW430" s="795" t="s">
        <v>317</v>
      </c>
      <c r="AX430" s="796">
        <v>22438</v>
      </c>
      <c r="AY430" s="159"/>
    </row>
    <row r="431" spans="1:51" ht="18.75" hidden="1" customHeight="1" x14ac:dyDescent="0.25">
      <c r="A431" s="815"/>
      <c r="B431" s="1043"/>
      <c r="C431" s="838"/>
      <c r="D431" s="132" t="s">
        <v>3</v>
      </c>
      <c r="E431" s="142"/>
      <c r="F431" s="143"/>
      <c r="G431" s="144"/>
      <c r="H431" s="144"/>
      <c r="I431" s="144"/>
      <c r="J431" s="138"/>
      <c r="K431" s="137"/>
      <c r="L431" s="138"/>
      <c r="M431" s="138"/>
      <c r="N431" s="138"/>
      <c r="O431" s="138"/>
      <c r="P431" s="138"/>
      <c r="Q431" s="138"/>
      <c r="R431" s="147"/>
      <c r="S431" s="139"/>
      <c r="T431" s="148"/>
      <c r="U431" s="148"/>
      <c r="V431" s="148"/>
      <c r="W431" s="146"/>
      <c r="X431" s="139"/>
      <c r="Y431" s="139"/>
      <c r="Z431" s="139"/>
      <c r="AA431" s="165"/>
      <c r="AB431" s="151"/>
      <c r="AC431" s="129"/>
      <c r="AD431" s="137"/>
      <c r="AE431" s="152"/>
      <c r="AF431" s="158"/>
      <c r="AG431" s="772"/>
      <c r="AH431" s="775"/>
      <c r="AI431" s="775"/>
      <c r="AJ431" s="775"/>
      <c r="AK431" s="775"/>
      <c r="AL431" s="775"/>
      <c r="AM431" s="775"/>
      <c r="AN431" s="807"/>
      <c r="AO431" s="808"/>
      <c r="AP431" s="808"/>
      <c r="AQ431" s="806"/>
      <c r="AR431" s="806"/>
      <c r="AS431" s="806"/>
      <c r="AT431" s="806"/>
      <c r="AU431" s="795"/>
      <c r="AV431" s="795"/>
      <c r="AW431" s="795"/>
      <c r="AX431" s="797"/>
      <c r="AY431" s="159"/>
    </row>
    <row r="432" spans="1:51" ht="27.75" hidden="1" customHeight="1" x14ac:dyDescent="0.25">
      <c r="A432" s="815"/>
      <c r="B432" s="1043"/>
      <c r="C432" s="838"/>
      <c r="D432" s="136" t="s">
        <v>42</v>
      </c>
      <c r="E432" s="142"/>
      <c r="F432" s="143"/>
      <c r="G432" s="144"/>
      <c r="H432" s="144"/>
      <c r="I432" s="144"/>
      <c r="J432" s="138"/>
      <c r="K432" s="137"/>
      <c r="L432" s="138"/>
      <c r="M432" s="138"/>
      <c r="N432" s="138"/>
      <c r="O432" s="138"/>
      <c r="P432" s="138"/>
      <c r="Q432" s="138"/>
      <c r="R432" s="147"/>
      <c r="S432" s="139"/>
      <c r="T432" s="148"/>
      <c r="U432" s="148"/>
      <c r="V432" s="148"/>
      <c r="W432" s="146"/>
      <c r="X432" s="139"/>
      <c r="Y432" s="139"/>
      <c r="Z432" s="139"/>
      <c r="AA432" s="165"/>
      <c r="AB432" s="151"/>
      <c r="AC432" s="129"/>
      <c r="AD432" s="137"/>
      <c r="AE432" s="152"/>
      <c r="AF432" s="158"/>
      <c r="AG432" s="772"/>
      <c r="AH432" s="775"/>
      <c r="AI432" s="775"/>
      <c r="AJ432" s="775"/>
      <c r="AK432" s="775"/>
      <c r="AL432" s="775"/>
      <c r="AM432" s="775"/>
      <c r="AN432" s="807"/>
      <c r="AO432" s="808"/>
      <c r="AP432" s="808"/>
      <c r="AQ432" s="806"/>
      <c r="AR432" s="806"/>
      <c r="AS432" s="806"/>
      <c r="AT432" s="806"/>
      <c r="AU432" s="795"/>
      <c r="AV432" s="795"/>
      <c r="AW432" s="795"/>
      <c r="AX432" s="797"/>
      <c r="AY432" s="159"/>
    </row>
    <row r="433" spans="1:51" ht="27.75" hidden="1" customHeight="1" x14ac:dyDescent="0.25">
      <c r="A433" s="815"/>
      <c r="B433" s="1043"/>
      <c r="C433" s="838"/>
      <c r="D433" s="132" t="s">
        <v>4</v>
      </c>
      <c r="E433" s="142"/>
      <c r="F433" s="143"/>
      <c r="G433" s="144"/>
      <c r="H433" s="144"/>
      <c r="I433" s="144"/>
      <c r="J433" s="138"/>
      <c r="K433" s="137"/>
      <c r="L433" s="138"/>
      <c r="M433" s="138"/>
      <c r="N433" s="138"/>
      <c r="O433" s="138"/>
      <c r="P433" s="138"/>
      <c r="Q433" s="138"/>
      <c r="R433" s="147"/>
      <c r="S433" s="139"/>
      <c r="T433" s="148"/>
      <c r="U433" s="148"/>
      <c r="V433" s="148"/>
      <c r="W433" s="146"/>
      <c r="X433" s="139"/>
      <c r="Y433" s="139"/>
      <c r="Z433" s="139"/>
      <c r="AA433" s="165"/>
      <c r="AB433" s="151"/>
      <c r="AC433" s="129"/>
      <c r="AD433" s="137"/>
      <c r="AE433" s="152"/>
      <c r="AF433" s="158"/>
      <c r="AG433" s="772"/>
      <c r="AH433" s="775"/>
      <c r="AI433" s="775"/>
      <c r="AJ433" s="775"/>
      <c r="AK433" s="775"/>
      <c r="AL433" s="775"/>
      <c r="AM433" s="775"/>
      <c r="AN433" s="807"/>
      <c r="AO433" s="808"/>
      <c r="AP433" s="808"/>
      <c r="AQ433" s="806"/>
      <c r="AR433" s="806"/>
      <c r="AS433" s="806"/>
      <c r="AT433" s="806"/>
      <c r="AU433" s="795"/>
      <c r="AV433" s="795"/>
      <c r="AW433" s="795"/>
      <c r="AX433" s="797"/>
      <c r="AY433" s="159"/>
    </row>
    <row r="434" spans="1:51" ht="27.75" hidden="1" customHeight="1" x14ac:dyDescent="0.25">
      <c r="A434" s="815"/>
      <c r="B434" s="1043"/>
      <c r="C434" s="838"/>
      <c r="D434" s="136" t="s">
        <v>43</v>
      </c>
      <c r="E434" s="142"/>
      <c r="F434" s="143"/>
      <c r="G434" s="144"/>
      <c r="H434" s="144"/>
      <c r="I434" s="144"/>
      <c r="J434" s="138"/>
      <c r="K434" s="137"/>
      <c r="L434" s="138"/>
      <c r="M434" s="138"/>
      <c r="N434" s="138"/>
      <c r="O434" s="138"/>
      <c r="P434" s="138"/>
      <c r="Q434" s="138"/>
      <c r="R434" s="147"/>
      <c r="S434" s="139"/>
      <c r="T434" s="148"/>
      <c r="U434" s="148"/>
      <c r="V434" s="148"/>
      <c r="W434" s="146"/>
      <c r="X434" s="139"/>
      <c r="Y434" s="139"/>
      <c r="Z434" s="139"/>
      <c r="AA434" s="165"/>
      <c r="AB434" s="151"/>
      <c r="AC434" s="129"/>
      <c r="AD434" s="137"/>
      <c r="AE434" s="152"/>
      <c r="AF434" s="158"/>
      <c r="AG434" s="772"/>
      <c r="AH434" s="775"/>
      <c r="AI434" s="775"/>
      <c r="AJ434" s="775"/>
      <c r="AK434" s="775"/>
      <c r="AL434" s="775"/>
      <c r="AM434" s="775"/>
      <c r="AN434" s="807"/>
      <c r="AO434" s="808"/>
      <c r="AP434" s="808"/>
      <c r="AQ434" s="806"/>
      <c r="AR434" s="806"/>
      <c r="AS434" s="806"/>
      <c r="AT434" s="806"/>
      <c r="AU434" s="795"/>
      <c r="AV434" s="795"/>
      <c r="AW434" s="795"/>
      <c r="AX434" s="797"/>
      <c r="AY434" s="159"/>
    </row>
    <row r="435" spans="1:51" ht="27.75" hidden="1" customHeight="1" thickBot="1" x14ac:dyDescent="0.3">
      <c r="A435" s="815"/>
      <c r="B435" s="1043"/>
      <c r="C435" s="838"/>
      <c r="D435" s="140" t="s">
        <v>45</v>
      </c>
      <c r="E435" s="142"/>
      <c r="F435" s="143"/>
      <c r="G435" s="144"/>
      <c r="H435" s="144"/>
      <c r="I435" s="144"/>
      <c r="J435" s="138"/>
      <c r="K435" s="137"/>
      <c r="L435" s="138"/>
      <c r="M435" s="138"/>
      <c r="N435" s="138"/>
      <c r="O435" s="138"/>
      <c r="P435" s="138"/>
      <c r="Q435" s="138"/>
      <c r="R435" s="147"/>
      <c r="S435" s="139"/>
      <c r="T435" s="148"/>
      <c r="U435" s="148"/>
      <c r="V435" s="148"/>
      <c r="W435" s="146"/>
      <c r="X435" s="139"/>
      <c r="Y435" s="139"/>
      <c r="Z435" s="139"/>
      <c r="AA435" s="165"/>
      <c r="AB435" s="151"/>
      <c r="AC435" s="129"/>
      <c r="AD435" s="137"/>
      <c r="AE435" s="152"/>
      <c r="AF435" s="158"/>
      <c r="AG435" s="773"/>
      <c r="AH435" s="776"/>
      <c r="AI435" s="776"/>
      <c r="AJ435" s="776"/>
      <c r="AK435" s="776"/>
      <c r="AL435" s="776"/>
      <c r="AM435" s="776"/>
      <c r="AN435" s="807"/>
      <c r="AO435" s="808"/>
      <c r="AP435" s="808"/>
      <c r="AQ435" s="806"/>
      <c r="AR435" s="806"/>
      <c r="AS435" s="806"/>
      <c r="AT435" s="806"/>
      <c r="AU435" s="795"/>
      <c r="AV435" s="795"/>
      <c r="AW435" s="795"/>
      <c r="AX435" s="798"/>
      <c r="AY435" s="159"/>
    </row>
    <row r="436" spans="1:51" ht="19.350000000000001" hidden="1" customHeight="1" x14ac:dyDescent="0.25">
      <c r="A436" s="815"/>
      <c r="B436" s="1043"/>
      <c r="C436" s="838" t="s">
        <v>386</v>
      </c>
      <c r="D436" s="141" t="s">
        <v>41</v>
      </c>
      <c r="E436" s="142"/>
      <c r="F436" s="143"/>
      <c r="G436" s="144"/>
      <c r="H436" s="144"/>
      <c r="I436" s="144"/>
      <c r="J436" s="138"/>
      <c r="K436" s="137"/>
      <c r="L436" s="138"/>
      <c r="M436" s="138"/>
      <c r="N436" s="138"/>
      <c r="O436" s="138"/>
      <c r="P436" s="138">
        <v>16</v>
      </c>
      <c r="Q436" s="138">
        <v>93</v>
      </c>
      <c r="R436" s="147">
        <v>93</v>
      </c>
      <c r="S436" s="139"/>
      <c r="T436" s="148"/>
      <c r="U436" s="148"/>
      <c r="V436" s="148"/>
      <c r="W436" s="146"/>
      <c r="X436" s="139"/>
      <c r="Y436" s="139"/>
      <c r="Z436" s="139"/>
      <c r="AA436" s="165"/>
      <c r="AB436" s="151"/>
      <c r="AC436" s="137">
        <v>16</v>
      </c>
      <c r="AD436" s="137">
        <v>93</v>
      </c>
      <c r="AE436" s="152">
        <v>93</v>
      </c>
      <c r="AF436" s="158"/>
      <c r="AG436" s="771" t="s">
        <v>386</v>
      </c>
      <c r="AH436" s="774" t="s">
        <v>535</v>
      </c>
      <c r="AI436" s="774" t="s">
        <v>536</v>
      </c>
      <c r="AJ436" s="777" t="s">
        <v>525</v>
      </c>
      <c r="AK436" s="774" t="s">
        <v>315</v>
      </c>
      <c r="AL436" s="774" t="s">
        <v>70</v>
      </c>
      <c r="AM436" s="774" t="s">
        <v>480</v>
      </c>
      <c r="AN436" s="807">
        <v>140135</v>
      </c>
      <c r="AO436" s="808">
        <v>70844</v>
      </c>
      <c r="AP436" s="808">
        <v>80573</v>
      </c>
      <c r="AQ436" s="806" t="s">
        <v>317</v>
      </c>
      <c r="AR436" s="806" t="s">
        <v>317</v>
      </c>
      <c r="AS436" s="806" t="s">
        <v>317</v>
      </c>
      <c r="AT436" s="806" t="s">
        <v>317</v>
      </c>
      <c r="AU436" s="795" t="s">
        <v>317</v>
      </c>
      <c r="AV436" s="795" t="s">
        <v>317</v>
      </c>
      <c r="AW436" s="795" t="s">
        <v>317</v>
      </c>
      <c r="AX436" s="796">
        <v>140135</v>
      </c>
      <c r="AY436" s="159"/>
    </row>
    <row r="437" spans="1:51" ht="18.75" hidden="1" customHeight="1" x14ac:dyDescent="0.25">
      <c r="A437" s="815"/>
      <c r="B437" s="1043"/>
      <c r="C437" s="838"/>
      <c r="D437" s="132" t="s">
        <v>3</v>
      </c>
      <c r="E437" s="142"/>
      <c r="F437" s="143"/>
      <c r="G437" s="144"/>
      <c r="H437" s="144"/>
      <c r="I437" s="144"/>
      <c r="J437" s="138"/>
      <c r="K437" s="137"/>
      <c r="L437" s="138"/>
      <c r="M437" s="138"/>
      <c r="N437" s="138"/>
      <c r="O437" s="138"/>
      <c r="P437" s="138" t="e">
        <f>+P436*$P$299/$P$298</f>
        <v>#REF!</v>
      </c>
      <c r="Q437" s="138" t="e">
        <f>+Q436*$Q$299/$Q$298</f>
        <v>#REF!</v>
      </c>
      <c r="R437" s="138" t="e">
        <f>+R436*$R$299/$R$298</f>
        <v>#REF!</v>
      </c>
      <c r="S437" s="139"/>
      <c r="T437" s="148"/>
      <c r="U437" s="148"/>
      <c r="V437" s="148"/>
      <c r="W437" s="146"/>
      <c r="X437" s="139"/>
      <c r="Y437" s="139"/>
      <c r="Z437" s="139"/>
      <c r="AA437" s="165"/>
      <c r="AB437" s="151"/>
      <c r="AC437" s="137" t="e">
        <f>+AC436*$AC$299/$AC$298</f>
        <v>#REF!</v>
      </c>
      <c r="AD437" s="137" t="e">
        <f>+AD436*$AD$299/$AD$298</f>
        <v>#REF!</v>
      </c>
      <c r="AE437" s="137" t="e">
        <f>+AE436*$AE$299/$AE$298</f>
        <v>#REF!</v>
      </c>
      <c r="AF437" s="158"/>
      <c r="AG437" s="772"/>
      <c r="AH437" s="775"/>
      <c r="AI437" s="775"/>
      <c r="AJ437" s="778"/>
      <c r="AK437" s="775"/>
      <c r="AL437" s="775"/>
      <c r="AM437" s="775"/>
      <c r="AN437" s="807"/>
      <c r="AO437" s="808"/>
      <c r="AP437" s="808"/>
      <c r="AQ437" s="806"/>
      <c r="AR437" s="806"/>
      <c r="AS437" s="806"/>
      <c r="AT437" s="806"/>
      <c r="AU437" s="795"/>
      <c r="AV437" s="795"/>
      <c r="AW437" s="795"/>
      <c r="AX437" s="797"/>
      <c r="AY437" s="159"/>
    </row>
    <row r="438" spans="1:51" ht="27.75" hidden="1" customHeight="1" x14ac:dyDescent="0.25">
      <c r="A438" s="815"/>
      <c r="B438" s="1043"/>
      <c r="C438" s="838"/>
      <c r="D438" s="136" t="s">
        <v>42</v>
      </c>
      <c r="E438" s="142"/>
      <c r="F438" s="143"/>
      <c r="G438" s="144"/>
      <c r="H438" s="144"/>
      <c r="I438" s="144"/>
      <c r="J438" s="138"/>
      <c r="K438" s="137"/>
      <c r="L438" s="138"/>
      <c r="M438" s="138"/>
      <c r="N438" s="138"/>
      <c r="O438" s="138"/>
      <c r="P438" s="138"/>
      <c r="Q438" s="138"/>
      <c r="R438" s="147"/>
      <c r="S438" s="139"/>
      <c r="T438" s="148"/>
      <c r="U438" s="148"/>
      <c r="V438" s="148"/>
      <c r="W438" s="146"/>
      <c r="X438" s="139"/>
      <c r="Y438" s="139"/>
      <c r="Z438" s="139"/>
      <c r="AA438" s="165"/>
      <c r="AB438" s="151"/>
      <c r="AC438" s="137"/>
      <c r="AD438" s="137"/>
      <c r="AE438" s="152"/>
      <c r="AF438" s="158"/>
      <c r="AG438" s="772"/>
      <c r="AH438" s="775"/>
      <c r="AI438" s="775"/>
      <c r="AJ438" s="778"/>
      <c r="AK438" s="775"/>
      <c r="AL438" s="775"/>
      <c r="AM438" s="775"/>
      <c r="AN438" s="807"/>
      <c r="AO438" s="808"/>
      <c r="AP438" s="808"/>
      <c r="AQ438" s="806"/>
      <c r="AR438" s="806"/>
      <c r="AS438" s="806"/>
      <c r="AT438" s="806"/>
      <c r="AU438" s="795"/>
      <c r="AV438" s="795"/>
      <c r="AW438" s="795"/>
      <c r="AX438" s="797"/>
      <c r="AY438" s="159"/>
    </row>
    <row r="439" spans="1:51" ht="27.75" hidden="1" customHeight="1" x14ac:dyDescent="0.25">
      <c r="A439" s="815"/>
      <c r="B439" s="1043"/>
      <c r="C439" s="838"/>
      <c r="D439" s="132" t="s">
        <v>4</v>
      </c>
      <c r="E439" s="142"/>
      <c r="F439" s="143"/>
      <c r="G439" s="144"/>
      <c r="H439" s="144"/>
      <c r="I439" s="144"/>
      <c r="J439" s="138"/>
      <c r="K439" s="137"/>
      <c r="L439" s="138"/>
      <c r="M439" s="138"/>
      <c r="N439" s="138"/>
      <c r="O439" s="138"/>
      <c r="P439" s="138"/>
      <c r="Q439" s="138"/>
      <c r="R439" s="147"/>
      <c r="S439" s="139"/>
      <c r="T439" s="148"/>
      <c r="U439" s="148"/>
      <c r="V439" s="148"/>
      <c r="W439" s="146"/>
      <c r="X439" s="139"/>
      <c r="Y439" s="139"/>
      <c r="Z439" s="139"/>
      <c r="AA439" s="165"/>
      <c r="AB439" s="151"/>
      <c r="AC439" s="137"/>
      <c r="AD439" s="137"/>
      <c r="AE439" s="152"/>
      <c r="AF439" s="158"/>
      <c r="AG439" s="772"/>
      <c r="AH439" s="775"/>
      <c r="AI439" s="775"/>
      <c r="AJ439" s="778"/>
      <c r="AK439" s="775"/>
      <c r="AL439" s="775"/>
      <c r="AM439" s="775"/>
      <c r="AN439" s="807"/>
      <c r="AO439" s="808"/>
      <c r="AP439" s="808"/>
      <c r="AQ439" s="806"/>
      <c r="AR439" s="806"/>
      <c r="AS439" s="806"/>
      <c r="AT439" s="806"/>
      <c r="AU439" s="795"/>
      <c r="AV439" s="795"/>
      <c r="AW439" s="795"/>
      <c r="AX439" s="797"/>
      <c r="AY439" s="159"/>
    </row>
    <row r="440" spans="1:51" ht="27.75" hidden="1" customHeight="1" x14ac:dyDescent="0.25">
      <c r="A440" s="815"/>
      <c r="B440" s="1043"/>
      <c r="C440" s="838"/>
      <c r="D440" s="136" t="s">
        <v>43</v>
      </c>
      <c r="E440" s="142"/>
      <c r="F440" s="143"/>
      <c r="G440" s="144"/>
      <c r="H440" s="144"/>
      <c r="I440" s="144"/>
      <c r="J440" s="138"/>
      <c r="K440" s="137"/>
      <c r="L440" s="138"/>
      <c r="M440" s="138"/>
      <c r="N440" s="138"/>
      <c r="O440" s="138"/>
      <c r="P440" s="138">
        <v>16</v>
      </c>
      <c r="Q440" s="138">
        <v>93</v>
      </c>
      <c r="R440" s="147">
        <v>93</v>
      </c>
      <c r="S440" s="139"/>
      <c r="T440" s="148"/>
      <c r="U440" s="148"/>
      <c r="V440" s="148"/>
      <c r="W440" s="146"/>
      <c r="X440" s="139"/>
      <c r="Y440" s="139"/>
      <c r="Z440" s="139"/>
      <c r="AA440" s="165"/>
      <c r="AB440" s="151"/>
      <c r="AC440" s="137">
        <v>16</v>
      </c>
      <c r="AD440" s="137">
        <v>93</v>
      </c>
      <c r="AE440" s="152">
        <v>93</v>
      </c>
      <c r="AF440" s="158"/>
      <c r="AG440" s="772"/>
      <c r="AH440" s="775"/>
      <c r="AI440" s="775"/>
      <c r="AJ440" s="778"/>
      <c r="AK440" s="775"/>
      <c r="AL440" s="775"/>
      <c r="AM440" s="775"/>
      <c r="AN440" s="807"/>
      <c r="AO440" s="808"/>
      <c r="AP440" s="808"/>
      <c r="AQ440" s="806"/>
      <c r="AR440" s="806"/>
      <c r="AS440" s="806"/>
      <c r="AT440" s="806"/>
      <c r="AU440" s="795"/>
      <c r="AV440" s="795"/>
      <c r="AW440" s="795"/>
      <c r="AX440" s="797"/>
      <c r="AY440" s="159"/>
    </row>
    <row r="441" spans="1:51" ht="27.75" hidden="1" customHeight="1" thickBot="1" x14ac:dyDescent="0.3">
      <c r="A441" s="815"/>
      <c r="B441" s="1043"/>
      <c r="C441" s="838"/>
      <c r="D441" s="140" t="s">
        <v>45</v>
      </c>
      <c r="E441" s="142"/>
      <c r="F441" s="143"/>
      <c r="G441" s="144"/>
      <c r="H441" s="144"/>
      <c r="I441" s="144"/>
      <c r="J441" s="138"/>
      <c r="K441" s="137"/>
      <c r="L441" s="138"/>
      <c r="M441" s="138"/>
      <c r="N441" s="138"/>
      <c r="O441" s="138"/>
      <c r="P441" s="138" t="e">
        <f>+P440*$P$299/$P$298</f>
        <v>#REF!</v>
      </c>
      <c r="Q441" s="138" t="e">
        <f>+Q440*$Q$299/$Q$298</f>
        <v>#REF!</v>
      </c>
      <c r="R441" s="138" t="e">
        <f>+R440*$R$299/$R$298</f>
        <v>#REF!</v>
      </c>
      <c r="S441" s="139"/>
      <c r="T441" s="148"/>
      <c r="U441" s="148"/>
      <c r="V441" s="148"/>
      <c r="W441" s="146"/>
      <c r="X441" s="139"/>
      <c r="Y441" s="139"/>
      <c r="Z441" s="139"/>
      <c r="AA441" s="165"/>
      <c r="AB441" s="151"/>
      <c r="AC441" s="137" t="e">
        <f>+AC440*$AC$299/$AC$298</f>
        <v>#REF!</v>
      </c>
      <c r="AD441" s="137" t="e">
        <f>+AD440*$AD$299/$AD$298</f>
        <v>#REF!</v>
      </c>
      <c r="AE441" s="137" t="e">
        <f>+AE440*$AE$299/$AE$298</f>
        <v>#REF!</v>
      </c>
      <c r="AF441" s="158"/>
      <c r="AG441" s="773"/>
      <c r="AH441" s="776"/>
      <c r="AI441" s="776"/>
      <c r="AJ441" s="779"/>
      <c r="AK441" s="776"/>
      <c r="AL441" s="776"/>
      <c r="AM441" s="776"/>
      <c r="AN441" s="807"/>
      <c r="AO441" s="808"/>
      <c r="AP441" s="808"/>
      <c r="AQ441" s="806"/>
      <c r="AR441" s="806"/>
      <c r="AS441" s="806"/>
      <c r="AT441" s="806"/>
      <c r="AU441" s="795"/>
      <c r="AV441" s="795"/>
      <c r="AW441" s="795"/>
      <c r="AX441" s="798"/>
      <c r="AY441" s="159"/>
    </row>
    <row r="442" spans="1:51" ht="19.350000000000001" hidden="1" customHeight="1" x14ac:dyDescent="0.25">
      <c r="A442" s="815"/>
      <c r="B442" s="1043"/>
      <c r="C442" s="838" t="s">
        <v>389</v>
      </c>
      <c r="D442" s="141" t="s">
        <v>41</v>
      </c>
      <c r="E442" s="142"/>
      <c r="F442" s="143"/>
      <c r="G442" s="144"/>
      <c r="H442" s="144"/>
      <c r="I442" s="144"/>
      <c r="J442" s="138"/>
      <c r="K442" s="137"/>
      <c r="L442" s="138"/>
      <c r="M442" s="138"/>
      <c r="N442" s="138"/>
      <c r="O442" s="138"/>
      <c r="P442" s="138"/>
      <c r="Q442" s="138"/>
      <c r="R442" s="147"/>
      <c r="S442" s="139"/>
      <c r="T442" s="148"/>
      <c r="U442" s="148"/>
      <c r="V442" s="148"/>
      <c r="W442" s="146"/>
      <c r="X442" s="139"/>
      <c r="Y442" s="139"/>
      <c r="Z442" s="139"/>
      <c r="AA442" s="165"/>
      <c r="AB442" s="151"/>
      <c r="AC442" s="137"/>
      <c r="AD442" s="137"/>
      <c r="AE442" s="152"/>
      <c r="AF442" s="158"/>
      <c r="AG442" s="771" t="s">
        <v>389</v>
      </c>
      <c r="AH442" s="774" t="s">
        <v>350</v>
      </c>
      <c r="AI442" s="774" t="s">
        <v>350</v>
      </c>
      <c r="AJ442" s="777" t="s">
        <v>525</v>
      </c>
      <c r="AK442" s="774" t="s">
        <v>315</v>
      </c>
      <c r="AL442" s="774" t="s">
        <v>70</v>
      </c>
      <c r="AM442" s="774" t="s">
        <v>480</v>
      </c>
      <c r="AN442" s="807">
        <v>93248</v>
      </c>
      <c r="AO442" s="808">
        <v>37102</v>
      </c>
      <c r="AP442" s="808">
        <v>38674</v>
      </c>
      <c r="AQ442" s="806" t="s">
        <v>317</v>
      </c>
      <c r="AR442" s="806" t="s">
        <v>317</v>
      </c>
      <c r="AS442" s="806" t="s">
        <v>317</v>
      </c>
      <c r="AT442" s="806" t="s">
        <v>317</v>
      </c>
      <c r="AU442" s="795" t="s">
        <v>317</v>
      </c>
      <c r="AV442" s="795" t="s">
        <v>317</v>
      </c>
      <c r="AW442" s="795" t="s">
        <v>317</v>
      </c>
      <c r="AX442" s="796">
        <v>93248</v>
      </c>
      <c r="AY442" s="159"/>
    </row>
    <row r="443" spans="1:51" ht="18.75" hidden="1" customHeight="1" x14ac:dyDescent="0.25">
      <c r="A443" s="815"/>
      <c r="B443" s="1043"/>
      <c r="C443" s="838"/>
      <c r="D443" s="132" t="s">
        <v>3</v>
      </c>
      <c r="E443" s="142"/>
      <c r="F443" s="143"/>
      <c r="G443" s="144"/>
      <c r="H443" s="144"/>
      <c r="I443" s="144"/>
      <c r="J443" s="138"/>
      <c r="K443" s="137"/>
      <c r="L443" s="138"/>
      <c r="M443" s="138"/>
      <c r="N443" s="138"/>
      <c r="O443" s="138"/>
      <c r="P443" s="138"/>
      <c r="Q443" s="138"/>
      <c r="R443" s="147"/>
      <c r="S443" s="139"/>
      <c r="T443" s="148"/>
      <c r="U443" s="148"/>
      <c r="V443" s="148"/>
      <c r="W443" s="146"/>
      <c r="X443" s="139"/>
      <c r="Y443" s="139"/>
      <c r="Z443" s="139"/>
      <c r="AA443" s="165"/>
      <c r="AB443" s="151"/>
      <c r="AC443" s="137"/>
      <c r="AD443" s="137"/>
      <c r="AE443" s="152"/>
      <c r="AF443" s="158"/>
      <c r="AG443" s="772"/>
      <c r="AH443" s="775"/>
      <c r="AI443" s="775"/>
      <c r="AJ443" s="778"/>
      <c r="AK443" s="775"/>
      <c r="AL443" s="775"/>
      <c r="AM443" s="775"/>
      <c r="AN443" s="807"/>
      <c r="AO443" s="808"/>
      <c r="AP443" s="808"/>
      <c r="AQ443" s="806"/>
      <c r="AR443" s="806"/>
      <c r="AS443" s="806"/>
      <c r="AT443" s="806"/>
      <c r="AU443" s="795"/>
      <c r="AV443" s="795"/>
      <c r="AW443" s="795"/>
      <c r="AX443" s="797"/>
      <c r="AY443" s="159"/>
    </row>
    <row r="444" spans="1:51" ht="27.75" hidden="1" customHeight="1" x14ac:dyDescent="0.25">
      <c r="A444" s="815"/>
      <c r="B444" s="1043"/>
      <c r="C444" s="838"/>
      <c r="D444" s="136" t="s">
        <v>42</v>
      </c>
      <c r="E444" s="142"/>
      <c r="F444" s="143"/>
      <c r="G444" s="144"/>
      <c r="H444" s="144"/>
      <c r="I444" s="144"/>
      <c r="J444" s="138"/>
      <c r="K444" s="137"/>
      <c r="L444" s="138"/>
      <c r="M444" s="138"/>
      <c r="N444" s="138"/>
      <c r="O444" s="138"/>
      <c r="P444" s="138"/>
      <c r="Q444" s="138"/>
      <c r="R444" s="147"/>
      <c r="S444" s="139"/>
      <c r="T444" s="148"/>
      <c r="U444" s="148"/>
      <c r="V444" s="148"/>
      <c r="W444" s="146"/>
      <c r="X444" s="139"/>
      <c r="Y444" s="139"/>
      <c r="Z444" s="139"/>
      <c r="AA444" s="165"/>
      <c r="AB444" s="151"/>
      <c r="AC444" s="137"/>
      <c r="AD444" s="137"/>
      <c r="AE444" s="152"/>
      <c r="AF444" s="158"/>
      <c r="AG444" s="772"/>
      <c r="AH444" s="775"/>
      <c r="AI444" s="775"/>
      <c r="AJ444" s="778"/>
      <c r="AK444" s="775"/>
      <c r="AL444" s="775"/>
      <c r="AM444" s="775"/>
      <c r="AN444" s="807"/>
      <c r="AO444" s="808"/>
      <c r="AP444" s="808"/>
      <c r="AQ444" s="806"/>
      <c r="AR444" s="806"/>
      <c r="AS444" s="806"/>
      <c r="AT444" s="806"/>
      <c r="AU444" s="795"/>
      <c r="AV444" s="795"/>
      <c r="AW444" s="795"/>
      <c r="AX444" s="797"/>
      <c r="AY444" s="159"/>
    </row>
    <row r="445" spans="1:51" ht="27.75" hidden="1" customHeight="1" x14ac:dyDescent="0.25">
      <c r="A445" s="815"/>
      <c r="B445" s="1043"/>
      <c r="C445" s="838"/>
      <c r="D445" s="132" t="s">
        <v>4</v>
      </c>
      <c r="E445" s="142"/>
      <c r="F445" s="143"/>
      <c r="G445" s="144"/>
      <c r="H445" s="144"/>
      <c r="I445" s="144"/>
      <c r="J445" s="138"/>
      <c r="K445" s="137"/>
      <c r="L445" s="138"/>
      <c r="M445" s="138"/>
      <c r="N445" s="138"/>
      <c r="O445" s="138"/>
      <c r="P445" s="138"/>
      <c r="Q445" s="138"/>
      <c r="R445" s="147"/>
      <c r="S445" s="139"/>
      <c r="T445" s="148"/>
      <c r="U445" s="148"/>
      <c r="V445" s="148"/>
      <c r="W445" s="146"/>
      <c r="X445" s="139"/>
      <c r="Y445" s="139"/>
      <c r="Z445" s="139"/>
      <c r="AA445" s="165"/>
      <c r="AB445" s="151"/>
      <c r="AC445" s="137"/>
      <c r="AD445" s="137"/>
      <c r="AE445" s="152"/>
      <c r="AF445" s="158"/>
      <c r="AG445" s="772"/>
      <c r="AH445" s="775"/>
      <c r="AI445" s="775"/>
      <c r="AJ445" s="778"/>
      <c r="AK445" s="775"/>
      <c r="AL445" s="775"/>
      <c r="AM445" s="775"/>
      <c r="AN445" s="807"/>
      <c r="AO445" s="808"/>
      <c r="AP445" s="808"/>
      <c r="AQ445" s="806"/>
      <c r="AR445" s="806"/>
      <c r="AS445" s="806"/>
      <c r="AT445" s="806"/>
      <c r="AU445" s="795"/>
      <c r="AV445" s="795"/>
      <c r="AW445" s="795"/>
      <c r="AX445" s="797"/>
      <c r="AY445" s="159"/>
    </row>
    <row r="446" spans="1:51" ht="27.75" hidden="1" customHeight="1" x14ac:dyDescent="0.25">
      <c r="A446" s="815"/>
      <c r="B446" s="1043"/>
      <c r="C446" s="838"/>
      <c r="D446" s="136" t="s">
        <v>43</v>
      </c>
      <c r="E446" s="142"/>
      <c r="F446" s="143"/>
      <c r="G446" s="144"/>
      <c r="H446" s="144"/>
      <c r="I446" s="144"/>
      <c r="J446" s="138"/>
      <c r="K446" s="137"/>
      <c r="L446" s="138"/>
      <c r="M446" s="138"/>
      <c r="N446" s="138"/>
      <c r="O446" s="138"/>
      <c r="P446" s="138"/>
      <c r="Q446" s="138"/>
      <c r="R446" s="147"/>
      <c r="S446" s="139"/>
      <c r="T446" s="148"/>
      <c r="U446" s="148"/>
      <c r="V446" s="148"/>
      <c r="W446" s="146"/>
      <c r="X446" s="139"/>
      <c r="Y446" s="139"/>
      <c r="Z446" s="139"/>
      <c r="AA446" s="165"/>
      <c r="AB446" s="151"/>
      <c r="AC446" s="137"/>
      <c r="AD446" s="137"/>
      <c r="AE446" s="152"/>
      <c r="AF446" s="158"/>
      <c r="AG446" s="772"/>
      <c r="AH446" s="775"/>
      <c r="AI446" s="775"/>
      <c r="AJ446" s="778"/>
      <c r="AK446" s="775"/>
      <c r="AL446" s="775"/>
      <c r="AM446" s="775"/>
      <c r="AN446" s="807"/>
      <c r="AO446" s="808"/>
      <c r="AP446" s="808"/>
      <c r="AQ446" s="806"/>
      <c r="AR446" s="806"/>
      <c r="AS446" s="806"/>
      <c r="AT446" s="806"/>
      <c r="AU446" s="795"/>
      <c r="AV446" s="795"/>
      <c r="AW446" s="795"/>
      <c r="AX446" s="797"/>
      <c r="AY446" s="159"/>
    </row>
    <row r="447" spans="1:51" ht="27.75" hidden="1" customHeight="1" thickBot="1" x14ac:dyDescent="0.3">
      <c r="A447" s="815"/>
      <c r="B447" s="1043"/>
      <c r="C447" s="838"/>
      <c r="D447" s="140" t="s">
        <v>45</v>
      </c>
      <c r="E447" s="142"/>
      <c r="F447" s="143"/>
      <c r="G447" s="144"/>
      <c r="H447" s="144"/>
      <c r="I447" s="144"/>
      <c r="J447" s="138"/>
      <c r="K447" s="137"/>
      <c r="L447" s="138"/>
      <c r="M447" s="138"/>
      <c r="N447" s="138"/>
      <c r="O447" s="138"/>
      <c r="P447" s="138"/>
      <c r="Q447" s="138"/>
      <c r="R447" s="147"/>
      <c r="S447" s="139"/>
      <c r="T447" s="148"/>
      <c r="U447" s="148"/>
      <c r="V447" s="148"/>
      <c r="W447" s="146"/>
      <c r="X447" s="139"/>
      <c r="Y447" s="139"/>
      <c r="Z447" s="139"/>
      <c r="AA447" s="165"/>
      <c r="AB447" s="151"/>
      <c r="AC447" s="137"/>
      <c r="AD447" s="137"/>
      <c r="AE447" s="152"/>
      <c r="AF447" s="158"/>
      <c r="AG447" s="773"/>
      <c r="AH447" s="776"/>
      <c r="AI447" s="776"/>
      <c r="AJ447" s="779"/>
      <c r="AK447" s="776"/>
      <c r="AL447" s="776"/>
      <c r="AM447" s="776"/>
      <c r="AN447" s="807"/>
      <c r="AO447" s="808"/>
      <c r="AP447" s="808"/>
      <c r="AQ447" s="806"/>
      <c r="AR447" s="806"/>
      <c r="AS447" s="806"/>
      <c r="AT447" s="806"/>
      <c r="AU447" s="795"/>
      <c r="AV447" s="795"/>
      <c r="AW447" s="795"/>
      <c r="AX447" s="798"/>
      <c r="AY447" s="159"/>
    </row>
    <row r="448" spans="1:51" ht="19.350000000000001" hidden="1" customHeight="1" x14ac:dyDescent="0.25">
      <c r="A448" s="815"/>
      <c r="B448" s="1043"/>
      <c r="C448" s="838" t="s">
        <v>390</v>
      </c>
      <c r="D448" s="141" t="s">
        <v>41</v>
      </c>
      <c r="E448" s="142"/>
      <c r="F448" s="143"/>
      <c r="G448" s="144"/>
      <c r="H448" s="144"/>
      <c r="I448" s="144"/>
      <c r="J448" s="138"/>
      <c r="K448" s="137"/>
      <c r="L448" s="138"/>
      <c r="M448" s="138"/>
      <c r="N448" s="138"/>
      <c r="O448" s="138"/>
      <c r="P448" s="138"/>
      <c r="Q448" s="138"/>
      <c r="R448" s="147"/>
      <c r="S448" s="139"/>
      <c r="T448" s="148"/>
      <c r="U448" s="148"/>
      <c r="V448" s="148"/>
      <c r="W448" s="146"/>
      <c r="X448" s="139"/>
      <c r="Y448" s="139"/>
      <c r="Z448" s="139"/>
      <c r="AA448" s="165"/>
      <c r="AB448" s="151"/>
      <c r="AC448" s="137"/>
      <c r="AD448" s="137"/>
      <c r="AE448" s="152"/>
      <c r="AF448" s="158"/>
      <c r="AG448" s="771" t="s">
        <v>390</v>
      </c>
      <c r="AH448" s="774" t="s">
        <v>350</v>
      </c>
      <c r="AI448" s="774" t="s">
        <v>350</v>
      </c>
      <c r="AJ448" s="777" t="s">
        <v>525</v>
      </c>
      <c r="AK448" s="774" t="s">
        <v>315</v>
      </c>
      <c r="AL448" s="774" t="s">
        <v>70</v>
      </c>
      <c r="AM448" s="774" t="s">
        <v>480</v>
      </c>
      <c r="AN448" s="807">
        <v>109254</v>
      </c>
      <c r="AO448" s="808">
        <v>39611</v>
      </c>
      <c r="AP448" s="808">
        <v>43209</v>
      </c>
      <c r="AQ448" s="806" t="s">
        <v>317</v>
      </c>
      <c r="AR448" s="806" t="s">
        <v>317</v>
      </c>
      <c r="AS448" s="806" t="s">
        <v>317</v>
      </c>
      <c r="AT448" s="806" t="s">
        <v>317</v>
      </c>
      <c r="AU448" s="795" t="s">
        <v>317</v>
      </c>
      <c r="AV448" s="795" t="s">
        <v>317</v>
      </c>
      <c r="AW448" s="795" t="s">
        <v>317</v>
      </c>
      <c r="AX448" s="796">
        <v>109254</v>
      </c>
      <c r="AY448" s="159"/>
    </row>
    <row r="449" spans="1:51" ht="18.75" hidden="1" customHeight="1" x14ac:dyDescent="0.25">
      <c r="A449" s="815"/>
      <c r="B449" s="1043"/>
      <c r="C449" s="838"/>
      <c r="D449" s="132" t="s">
        <v>3</v>
      </c>
      <c r="E449" s="142"/>
      <c r="F449" s="143"/>
      <c r="G449" s="144"/>
      <c r="H449" s="144"/>
      <c r="I449" s="144"/>
      <c r="J449" s="138"/>
      <c r="K449" s="137"/>
      <c r="L449" s="138"/>
      <c r="M449" s="138"/>
      <c r="N449" s="138"/>
      <c r="O449" s="138"/>
      <c r="P449" s="138"/>
      <c r="Q449" s="138"/>
      <c r="R449" s="147"/>
      <c r="S449" s="139"/>
      <c r="T449" s="148"/>
      <c r="U449" s="148"/>
      <c r="V449" s="148"/>
      <c r="W449" s="146"/>
      <c r="X449" s="139"/>
      <c r="Y449" s="139"/>
      <c r="Z449" s="139"/>
      <c r="AA449" s="165"/>
      <c r="AB449" s="151"/>
      <c r="AC449" s="137"/>
      <c r="AD449" s="137"/>
      <c r="AE449" s="152"/>
      <c r="AF449" s="158"/>
      <c r="AG449" s="772"/>
      <c r="AH449" s="775"/>
      <c r="AI449" s="775"/>
      <c r="AJ449" s="778"/>
      <c r="AK449" s="775"/>
      <c r="AL449" s="775"/>
      <c r="AM449" s="775"/>
      <c r="AN449" s="807"/>
      <c r="AO449" s="808"/>
      <c r="AP449" s="808"/>
      <c r="AQ449" s="806"/>
      <c r="AR449" s="806"/>
      <c r="AS449" s="806"/>
      <c r="AT449" s="806"/>
      <c r="AU449" s="795"/>
      <c r="AV449" s="795"/>
      <c r="AW449" s="795"/>
      <c r="AX449" s="797"/>
      <c r="AY449" s="159"/>
    </row>
    <row r="450" spans="1:51" ht="27.75" hidden="1" customHeight="1" x14ac:dyDescent="0.25">
      <c r="A450" s="815"/>
      <c r="B450" s="1043"/>
      <c r="C450" s="838"/>
      <c r="D450" s="136" t="s">
        <v>42</v>
      </c>
      <c r="E450" s="142"/>
      <c r="F450" s="143"/>
      <c r="G450" s="144"/>
      <c r="H450" s="144"/>
      <c r="I450" s="144"/>
      <c r="J450" s="138"/>
      <c r="K450" s="137"/>
      <c r="L450" s="138"/>
      <c r="M450" s="138"/>
      <c r="N450" s="138"/>
      <c r="O450" s="138"/>
      <c r="P450" s="138"/>
      <c r="Q450" s="138"/>
      <c r="R450" s="147"/>
      <c r="S450" s="139"/>
      <c r="T450" s="148"/>
      <c r="U450" s="148"/>
      <c r="V450" s="148"/>
      <c r="W450" s="146"/>
      <c r="X450" s="139"/>
      <c r="Y450" s="139"/>
      <c r="Z450" s="139"/>
      <c r="AA450" s="165"/>
      <c r="AB450" s="151"/>
      <c r="AC450" s="137"/>
      <c r="AD450" s="137"/>
      <c r="AE450" s="152"/>
      <c r="AF450" s="158"/>
      <c r="AG450" s="772"/>
      <c r="AH450" s="775"/>
      <c r="AI450" s="775"/>
      <c r="AJ450" s="778"/>
      <c r="AK450" s="775"/>
      <c r="AL450" s="775"/>
      <c r="AM450" s="775"/>
      <c r="AN450" s="807"/>
      <c r="AO450" s="808"/>
      <c r="AP450" s="808"/>
      <c r="AQ450" s="806"/>
      <c r="AR450" s="806"/>
      <c r="AS450" s="806"/>
      <c r="AT450" s="806"/>
      <c r="AU450" s="795"/>
      <c r="AV450" s="795"/>
      <c r="AW450" s="795"/>
      <c r="AX450" s="797"/>
      <c r="AY450" s="159"/>
    </row>
    <row r="451" spans="1:51" ht="27.75" hidden="1" customHeight="1" x14ac:dyDescent="0.25">
      <c r="A451" s="815"/>
      <c r="B451" s="1043"/>
      <c r="C451" s="838"/>
      <c r="D451" s="132" t="s">
        <v>4</v>
      </c>
      <c r="E451" s="142"/>
      <c r="F451" s="143"/>
      <c r="G451" s="144"/>
      <c r="H451" s="144"/>
      <c r="I451" s="144"/>
      <c r="J451" s="138"/>
      <c r="K451" s="137"/>
      <c r="L451" s="138"/>
      <c r="M451" s="138"/>
      <c r="N451" s="138"/>
      <c r="O451" s="138"/>
      <c r="P451" s="138"/>
      <c r="Q451" s="138"/>
      <c r="R451" s="147"/>
      <c r="S451" s="139"/>
      <c r="T451" s="148"/>
      <c r="U451" s="148"/>
      <c r="V451" s="148"/>
      <c r="W451" s="146"/>
      <c r="X451" s="139"/>
      <c r="Y451" s="139"/>
      <c r="Z451" s="139"/>
      <c r="AA451" s="165"/>
      <c r="AB451" s="151"/>
      <c r="AC451" s="137"/>
      <c r="AD451" s="137"/>
      <c r="AE451" s="152"/>
      <c r="AF451" s="158"/>
      <c r="AG451" s="772"/>
      <c r="AH451" s="775"/>
      <c r="AI451" s="775"/>
      <c r="AJ451" s="778"/>
      <c r="AK451" s="775"/>
      <c r="AL451" s="775"/>
      <c r="AM451" s="775"/>
      <c r="AN451" s="807"/>
      <c r="AO451" s="808"/>
      <c r="AP451" s="808"/>
      <c r="AQ451" s="806"/>
      <c r="AR451" s="806"/>
      <c r="AS451" s="806"/>
      <c r="AT451" s="806"/>
      <c r="AU451" s="795"/>
      <c r="AV451" s="795"/>
      <c r="AW451" s="795"/>
      <c r="AX451" s="797"/>
      <c r="AY451" s="159"/>
    </row>
    <row r="452" spans="1:51" ht="27.75" hidden="1" customHeight="1" x14ac:dyDescent="0.25">
      <c r="A452" s="815"/>
      <c r="B452" s="1043"/>
      <c r="C452" s="838"/>
      <c r="D452" s="136" t="s">
        <v>43</v>
      </c>
      <c r="E452" s="142"/>
      <c r="F452" s="143"/>
      <c r="G452" s="144"/>
      <c r="H452" s="144"/>
      <c r="I452" s="144"/>
      <c r="J452" s="138"/>
      <c r="K452" s="137"/>
      <c r="L452" s="138"/>
      <c r="M452" s="138"/>
      <c r="N452" s="138"/>
      <c r="O452" s="138"/>
      <c r="P452" s="138"/>
      <c r="Q452" s="138"/>
      <c r="R452" s="147"/>
      <c r="S452" s="139"/>
      <c r="T452" s="148"/>
      <c r="U452" s="148"/>
      <c r="V452" s="148"/>
      <c r="W452" s="146"/>
      <c r="X452" s="139"/>
      <c r="Y452" s="139"/>
      <c r="Z452" s="139"/>
      <c r="AA452" s="165"/>
      <c r="AB452" s="151"/>
      <c r="AC452" s="137"/>
      <c r="AD452" s="137"/>
      <c r="AE452" s="152"/>
      <c r="AF452" s="158"/>
      <c r="AG452" s="772"/>
      <c r="AH452" s="775"/>
      <c r="AI452" s="775"/>
      <c r="AJ452" s="778"/>
      <c r="AK452" s="775"/>
      <c r="AL452" s="775"/>
      <c r="AM452" s="775"/>
      <c r="AN452" s="807"/>
      <c r="AO452" s="808"/>
      <c r="AP452" s="808"/>
      <c r="AQ452" s="806"/>
      <c r="AR452" s="806"/>
      <c r="AS452" s="806"/>
      <c r="AT452" s="806"/>
      <c r="AU452" s="795"/>
      <c r="AV452" s="795"/>
      <c r="AW452" s="795"/>
      <c r="AX452" s="797"/>
      <c r="AY452" s="159"/>
    </row>
    <row r="453" spans="1:51" ht="27.75" hidden="1" customHeight="1" thickBot="1" x14ac:dyDescent="0.3">
      <c r="A453" s="815"/>
      <c r="B453" s="1043"/>
      <c r="C453" s="838"/>
      <c r="D453" s="140" t="s">
        <v>45</v>
      </c>
      <c r="E453" s="142"/>
      <c r="F453" s="143"/>
      <c r="G453" s="144"/>
      <c r="H453" s="144"/>
      <c r="I453" s="144"/>
      <c r="J453" s="138"/>
      <c r="K453" s="137"/>
      <c r="L453" s="138"/>
      <c r="M453" s="138"/>
      <c r="N453" s="138"/>
      <c r="O453" s="138"/>
      <c r="P453" s="138"/>
      <c r="Q453" s="138"/>
      <c r="R453" s="147"/>
      <c r="S453" s="139"/>
      <c r="T453" s="148"/>
      <c r="U453" s="148"/>
      <c r="V453" s="148"/>
      <c r="W453" s="146"/>
      <c r="X453" s="139"/>
      <c r="Y453" s="139"/>
      <c r="Z453" s="139"/>
      <c r="AA453" s="165"/>
      <c r="AB453" s="151"/>
      <c r="AC453" s="137"/>
      <c r="AD453" s="137"/>
      <c r="AE453" s="152"/>
      <c r="AF453" s="158"/>
      <c r="AG453" s="773"/>
      <c r="AH453" s="776"/>
      <c r="AI453" s="776"/>
      <c r="AJ453" s="779"/>
      <c r="AK453" s="776"/>
      <c r="AL453" s="776"/>
      <c r="AM453" s="776"/>
      <c r="AN453" s="807"/>
      <c r="AO453" s="808"/>
      <c r="AP453" s="808"/>
      <c r="AQ453" s="806"/>
      <c r="AR453" s="806"/>
      <c r="AS453" s="806"/>
      <c r="AT453" s="806"/>
      <c r="AU453" s="795"/>
      <c r="AV453" s="795"/>
      <c r="AW453" s="795"/>
      <c r="AX453" s="798"/>
      <c r="AY453" s="159"/>
    </row>
    <row r="454" spans="1:51" ht="19.350000000000001" hidden="1" customHeight="1" x14ac:dyDescent="0.25">
      <c r="A454" s="815"/>
      <c r="B454" s="1043"/>
      <c r="C454" s="838" t="s">
        <v>394</v>
      </c>
      <c r="D454" s="141" t="s">
        <v>41</v>
      </c>
      <c r="E454" s="142"/>
      <c r="F454" s="143"/>
      <c r="G454" s="144"/>
      <c r="H454" s="144"/>
      <c r="I454" s="144"/>
      <c r="J454" s="138"/>
      <c r="K454" s="137"/>
      <c r="L454" s="138"/>
      <c r="M454" s="138"/>
      <c r="N454" s="138"/>
      <c r="O454" s="138"/>
      <c r="P454" s="138">
        <v>300</v>
      </c>
      <c r="Q454" s="138">
        <v>300</v>
      </c>
      <c r="R454" s="147">
        <v>390</v>
      </c>
      <c r="S454" s="139"/>
      <c r="T454" s="148"/>
      <c r="U454" s="148"/>
      <c r="V454" s="148"/>
      <c r="W454" s="146"/>
      <c r="X454" s="139"/>
      <c r="Y454" s="139"/>
      <c r="Z454" s="139"/>
      <c r="AA454" s="165"/>
      <c r="AB454" s="151"/>
      <c r="AC454" s="137">
        <v>300</v>
      </c>
      <c r="AD454" s="137">
        <v>300</v>
      </c>
      <c r="AE454" s="152">
        <v>390</v>
      </c>
      <c r="AF454" s="158"/>
      <c r="AG454" s="771" t="s">
        <v>454</v>
      </c>
      <c r="AH454" s="774" t="s">
        <v>537</v>
      </c>
      <c r="AI454" s="774" t="s">
        <v>538</v>
      </c>
      <c r="AJ454" s="777" t="s">
        <v>525</v>
      </c>
      <c r="AK454" s="774" t="s">
        <v>315</v>
      </c>
      <c r="AL454" s="774" t="s">
        <v>70</v>
      </c>
      <c r="AM454" s="774" t="s">
        <v>480</v>
      </c>
      <c r="AN454" s="807">
        <v>22438</v>
      </c>
      <c r="AO454" s="808">
        <v>118748</v>
      </c>
      <c r="AP454" s="808">
        <v>132822</v>
      </c>
      <c r="AQ454" s="806" t="s">
        <v>317</v>
      </c>
      <c r="AR454" s="806" t="s">
        <v>317</v>
      </c>
      <c r="AS454" s="806" t="s">
        <v>317</v>
      </c>
      <c r="AT454" s="806" t="s">
        <v>317</v>
      </c>
      <c r="AU454" s="795" t="s">
        <v>317</v>
      </c>
      <c r="AV454" s="795" t="s">
        <v>317</v>
      </c>
      <c r="AW454" s="795" t="s">
        <v>317</v>
      </c>
      <c r="AX454" s="796">
        <v>22438</v>
      </c>
      <c r="AY454" s="159"/>
    </row>
    <row r="455" spans="1:51" ht="18.75" hidden="1" customHeight="1" x14ac:dyDescent="0.25">
      <c r="A455" s="815"/>
      <c r="B455" s="1043"/>
      <c r="C455" s="838"/>
      <c r="D455" s="132" t="s">
        <v>3</v>
      </c>
      <c r="E455" s="142"/>
      <c r="F455" s="143"/>
      <c r="G455" s="144"/>
      <c r="H455" s="144"/>
      <c r="I455" s="144"/>
      <c r="J455" s="138"/>
      <c r="K455" s="137"/>
      <c r="L455" s="138"/>
      <c r="M455" s="138"/>
      <c r="N455" s="138"/>
      <c r="O455" s="138"/>
      <c r="P455" s="138" t="e">
        <f>+P454*$P$299/$P$298</f>
        <v>#REF!</v>
      </c>
      <c r="Q455" s="138" t="e">
        <f>+Q454*$Q$299/$Q$298</f>
        <v>#REF!</v>
      </c>
      <c r="R455" s="138" t="e">
        <f>+R454*$R$299/$R$298</f>
        <v>#REF!</v>
      </c>
      <c r="S455" s="139"/>
      <c r="T455" s="148"/>
      <c r="U455" s="148"/>
      <c r="V455" s="148"/>
      <c r="W455" s="146"/>
      <c r="X455" s="139"/>
      <c r="Y455" s="139"/>
      <c r="Z455" s="139"/>
      <c r="AA455" s="165"/>
      <c r="AB455" s="151"/>
      <c r="AC455" s="137" t="e">
        <f>+AC454*$AC$299/$AC$298</f>
        <v>#REF!</v>
      </c>
      <c r="AD455" s="137" t="e">
        <f>+AD454*$AD$299/$AD$298</f>
        <v>#REF!</v>
      </c>
      <c r="AE455" s="137" t="e">
        <f>+AE454*$AE$299/$AE$298</f>
        <v>#REF!</v>
      </c>
      <c r="AF455" s="158"/>
      <c r="AG455" s="772"/>
      <c r="AH455" s="775"/>
      <c r="AI455" s="775"/>
      <c r="AJ455" s="778"/>
      <c r="AK455" s="775"/>
      <c r="AL455" s="775"/>
      <c r="AM455" s="775"/>
      <c r="AN455" s="807"/>
      <c r="AO455" s="808"/>
      <c r="AP455" s="808"/>
      <c r="AQ455" s="806"/>
      <c r="AR455" s="806"/>
      <c r="AS455" s="806"/>
      <c r="AT455" s="806"/>
      <c r="AU455" s="795"/>
      <c r="AV455" s="795"/>
      <c r="AW455" s="795"/>
      <c r="AX455" s="797"/>
      <c r="AY455" s="159"/>
    </row>
    <row r="456" spans="1:51" ht="27.75" hidden="1" customHeight="1" x14ac:dyDescent="0.25">
      <c r="A456" s="815"/>
      <c r="B456" s="1043"/>
      <c r="C456" s="838"/>
      <c r="D456" s="136" t="s">
        <v>42</v>
      </c>
      <c r="E456" s="142"/>
      <c r="F456" s="143"/>
      <c r="G456" s="144"/>
      <c r="H456" s="144"/>
      <c r="I456" s="144"/>
      <c r="J456" s="138"/>
      <c r="K456" s="137"/>
      <c r="L456" s="138"/>
      <c r="M456" s="138"/>
      <c r="N456" s="138"/>
      <c r="O456" s="138"/>
      <c r="P456" s="138"/>
      <c r="Q456" s="138"/>
      <c r="R456" s="147"/>
      <c r="S456" s="139"/>
      <c r="T456" s="148"/>
      <c r="U456" s="148"/>
      <c r="V456" s="148"/>
      <c r="W456" s="146"/>
      <c r="X456" s="139"/>
      <c r="Y456" s="139"/>
      <c r="Z456" s="139"/>
      <c r="AA456" s="165"/>
      <c r="AB456" s="151"/>
      <c r="AC456" s="137"/>
      <c r="AD456" s="137"/>
      <c r="AE456" s="152"/>
      <c r="AF456" s="158"/>
      <c r="AG456" s="772"/>
      <c r="AH456" s="775"/>
      <c r="AI456" s="775"/>
      <c r="AJ456" s="778"/>
      <c r="AK456" s="775"/>
      <c r="AL456" s="775"/>
      <c r="AM456" s="775"/>
      <c r="AN456" s="807"/>
      <c r="AO456" s="808"/>
      <c r="AP456" s="808"/>
      <c r="AQ456" s="806"/>
      <c r="AR456" s="806"/>
      <c r="AS456" s="806"/>
      <c r="AT456" s="806"/>
      <c r="AU456" s="795"/>
      <c r="AV456" s="795"/>
      <c r="AW456" s="795"/>
      <c r="AX456" s="797"/>
      <c r="AY456" s="159"/>
    </row>
    <row r="457" spans="1:51" ht="27.75" hidden="1" customHeight="1" x14ac:dyDescent="0.25">
      <c r="A457" s="815"/>
      <c r="B457" s="1043"/>
      <c r="C457" s="838"/>
      <c r="D457" s="132" t="s">
        <v>4</v>
      </c>
      <c r="E457" s="142"/>
      <c r="F457" s="143"/>
      <c r="G457" s="144"/>
      <c r="H457" s="144"/>
      <c r="I457" s="144"/>
      <c r="J457" s="138"/>
      <c r="K457" s="137"/>
      <c r="L457" s="138"/>
      <c r="M457" s="138"/>
      <c r="N457" s="138"/>
      <c r="O457" s="138"/>
      <c r="P457" s="138"/>
      <c r="Q457" s="138"/>
      <c r="R457" s="147"/>
      <c r="S457" s="139"/>
      <c r="T457" s="148"/>
      <c r="U457" s="148"/>
      <c r="V457" s="148"/>
      <c r="W457" s="146"/>
      <c r="X457" s="139"/>
      <c r="Y457" s="139"/>
      <c r="Z457" s="139"/>
      <c r="AA457" s="165"/>
      <c r="AB457" s="151"/>
      <c r="AC457" s="137"/>
      <c r="AD457" s="137"/>
      <c r="AE457" s="152"/>
      <c r="AF457" s="158"/>
      <c r="AG457" s="772"/>
      <c r="AH457" s="775"/>
      <c r="AI457" s="775"/>
      <c r="AJ457" s="778"/>
      <c r="AK457" s="775"/>
      <c r="AL457" s="775"/>
      <c r="AM457" s="775"/>
      <c r="AN457" s="807"/>
      <c r="AO457" s="808"/>
      <c r="AP457" s="808"/>
      <c r="AQ457" s="806"/>
      <c r="AR457" s="806"/>
      <c r="AS457" s="806"/>
      <c r="AT457" s="806"/>
      <c r="AU457" s="795"/>
      <c r="AV457" s="795"/>
      <c r="AW457" s="795"/>
      <c r="AX457" s="797"/>
      <c r="AY457" s="159"/>
    </row>
    <row r="458" spans="1:51" ht="27.75" hidden="1" customHeight="1" x14ac:dyDescent="0.25">
      <c r="A458" s="815"/>
      <c r="B458" s="1043"/>
      <c r="C458" s="838"/>
      <c r="D458" s="136" t="s">
        <v>43</v>
      </c>
      <c r="E458" s="142"/>
      <c r="F458" s="143"/>
      <c r="G458" s="144"/>
      <c r="H458" s="144"/>
      <c r="I458" s="144"/>
      <c r="J458" s="138"/>
      <c r="K458" s="137"/>
      <c r="L458" s="138"/>
      <c r="M458" s="138"/>
      <c r="N458" s="138"/>
      <c r="O458" s="138"/>
      <c r="P458" s="138">
        <v>300</v>
      </c>
      <c r="Q458" s="138">
        <v>300</v>
      </c>
      <c r="R458" s="147">
        <v>390</v>
      </c>
      <c r="S458" s="139"/>
      <c r="T458" s="148"/>
      <c r="U458" s="148"/>
      <c r="V458" s="148"/>
      <c r="W458" s="146"/>
      <c r="X458" s="139"/>
      <c r="Y458" s="139"/>
      <c r="Z458" s="139"/>
      <c r="AA458" s="165"/>
      <c r="AB458" s="151"/>
      <c r="AC458" s="137">
        <v>300</v>
      </c>
      <c r="AD458" s="137">
        <v>300</v>
      </c>
      <c r="AE458" s="152">
        <v>390</v>
      </c>
      <c r="AF458" s="158"/>
      <c r="AG458" s="772"/>
      <c r="AH458" s="775"/>
      <c r="AI458" s="775"/>
      <c r="AJ458" s="778"/>
      <c r="AK458" s="775"/>
      <c r="AL458" s="775"/>
      <c r="AM458" s="775"/>
      <c r="AN458" s="807"/>
      <c r="AO458" s="808"/>
      <c r="AP458" s="808"/>
      <c r="AQ458" s="806"/>
      <c r="AR458" s="806"/>
      <c r="AS458" s="806"/>
      <c r="AT458" s="806"/>
      <c r="AU458" s="795"/>
      <c r="AV458" s="795"/>
      <c r="AW458" s="795"/>
      <c r="AX458" s="797"/>
      <c r="AY458" s="159"/>
    </row>
    <row r="459" spans="1:51" ht="27.75" hidden="1" customHeight="1" thickBot="1" x14ac:dyDescent="0.3">
      <c r="A459" s="815"/>
      <c r="B459" s="1043"/>
      <c r="C459" s="838"/>
      <c r="D459" s="140" t="s">
        <v>45</v>
      </c>
      <c r="E459" s="142"/>
      <c r="F459" s="143"/>
      <c r="G459" s="144"/>
      <c r="H459" s="144"/>
      <c r="I459" s="144"/>
      <c r="J459" s="138"/>
      <c r="K459" s="137"/>
      <c r="L459" s="138"/>
      <c r="M459" s="138"/>
      <c r="N459" s="138"/>
      <c r="O459" s="138"/>
      <c r="P459" s="138" t="e">
        <f>+P458*$P$299/$P$298</f>
        <v>#REF!</v>
      </c>
      <c r="Q459" s="138" t="e">
        <f>+Q458*$Q$299/$Q$298</f>
        <v>#REF!</v>
      </c>
      <c r="R459" s="138" t="e">
        <f>+R458*$R$299/$R$298</f>
        <v>#REF!</v>
      </c>
      <c r="S459" s="139"/>
      <c r="T459" s="148"/>
      <c r="U459" s="148"/>
      <c r="V459" s="148"/>
      <c r="W459" s="146"/>
      <c r="X459" s="139"/>
      <c r="Y459" s="139"/>
      <c r="Z459" s="139"/>
      <c r="AA459" s="165"/>
      <c r="AB459" s="151"/>
      <c r="AC459" s="137" t="e">
        <f>+AC458*$AC$299/$AC$298</f>
        <v>#REF!</v>
      </c>
      <c r="AD459" s="137" t="e">
        <f>+AD458*$AD$299/$AD$298</f>
        <v>#REF!</v>
      </c>
      <c r="AE459" s="137" t="e">
        <f>+AE458*$AE$299/$AE$298</f>
        <v>#REF!</v>
      </c>
      <c r="AF459" s="158"/>
      <c r="AG459" s="773"/>
      <c r="AH459" s="776"/>
      <c r="AI459" s="776"/>
      <c r="AJ459" s="779"/>
      <c r="AK459" s="776"/>
      <c r="AL459" s="776"/>
      <c r="AM459" s="776"/>
      <c r="AN459" s="807"/>
      <c r="AO459" s="808"/>
      <c r="AP459" s="808"/>
      <c r="AQ459" s="806"/>
      <c r="AR459" s="806"/>
      <c r="AS459" s="806"/>
      <c r="AT459" s="806"/>
      <c r="AU459" s="795"/>
      <c r="AV459" s="795"/>
      <c r="AW459" s="795"/>
      <c r="AX459" s="798"/>
      <c r="AY459" s="159"/>
    </row>
    <row r="460" spans="1:51" ht="19.350000000000001" hidden="1" customHeight="1" x14ac:dyDescent="0.25">
      <c r="A460" s="815"/>
      <c r="B460" s="1043"/>
      <c r="C460" s="838" t="s">
        <v>330</v>
      </c>
      <c r="D460" s="141" t="s">
        <v>41</v>
      </c>
      <c r="E460" s="142"/>
      <c r="F460" s="143"/>
      <c r="G460" s="144"/>
      <c r="H460" s="144"/>
      <c r="I460" s="144"/>
      <c r="J460" s="138"/>
      <c r="K460" s="137"/>
      <c r="L460" s="138"/>
      <c r="M460" s="138"/>
      <c r="N460" s="138">
        <v>98</v>
      </c>
      <c r="O460" s="138">
        <v>98</v>
      </c>
      <c r="P460" s="138">
        <v>98</v>
      </c>
      <c r="Q460" s="138">
        <v>98</v>
      </c>
      <c r="R460" s="147">
        <v>98</v>
      </c>
      <c r="S460" s="139"/>
      <c r="T460" s="148"/>
      <c r="U460" s="148"/>
      <c r="V460" s="148"/>
      <c r="W460" s="146"/>
      <c r="X460" s="139"/>
      <c r="Y460" s="139"/>
      <c r="Z460" s="139"/>
      <c r="AA460" s="165">
        <v>98</v>
      </c>
      <c r="AB460" s="151">
        <v>38</v>
      </c>
      <c r="AC460" s="129">
        <v>98</v>
      </c>
      <c r="AD460" s="137">
        <v>98</v>
      </c>
      <c r="AE460" s="152">
        <v>98</v>
      </c>
      <c r="AF460" s="158"/>
      <c r="AG460" s="771" t="s">
        <v>330</v>
      </c>
      <c r="AH460" s="774" t="s">
        <v>331</v>
      </c>
      <c r="AI460" s="774" t="s">
        <v>539</v>
      </c>
      <c r="AJ460" s="777" t="s">
        <v>525</v>
      </c>
      <c r="AK460" s="774" t="s">
        <v>315</v>
      </c>
      <c r="AL460" s="774" t="s">
        <v>70</v>
      </c>
      <c r="AM460" s="774" t="s">
        <v>480</v>
      </c>
      <c r="AN460" s="807">
        <v>18703</v>
      </c>
      <c r="AO460" s="808">
        <v>9562</v>
      </c>
      <c r="AP460" s="808">
        <v>9141</v>
      </c>
      <c r="AQ460" s="806" t="s">
        <v>317</v>
      </c>
      <c r="AR460" s="806" t="s">
        <v>317</v>
      </c>
      <c r="AS460" s="806" t="s">
        <v>317</v>
      </c>
      <c r="AT460" s="806" t="s">
        <v>317</v>
      </c>
      <c r="AU460" s="795" t="s">
        <v>317</v>
      </c>
      <c r="AV460" s="795" t="s">
        <v>317</v>
      </c>
      <c r="AW460" s="795" t="s">
        <v>317</v>
      </c>
      <c r="AX460" s="796">
        <v>18703</v>
      </c>
      <c r="AY460" s="159"/>
    </row>
    <row r="461" spans="1:51" ht="18" hidden="1" customHeight="1" x14ac:dyDescent="0.25">
      <c r="A461" s="815"/>
      <c r="B461" s="1043"/>
      <c r="C461" s="838"/>
      <c r="D461" s="132" t="s">
        <v>3</v>
      </c>
      <c r="E461" s="142"/>
      <c r="F461" s="143"/>
      <c r="G461" s="144"/>
      <c r="H461" s="144"/>
      <c r="I461" s="144"/>
      <c r="J461" s="138"/>
      <c r="K461" s="137"/>
      <c r="L461" s="138"/>
      <c r="M461" s="138"/>
      <c r="N461" s="138">
        <f>+N460*$N$299/$N$298</f>
        <v>962203.2</v>
      </c>
      <c r="O461" s="138">
        <f>+O460*$O$299/$O$298</f>
        <v>962203.2</v>
      </c>
      <c r="P461" s="138" t="e">
        <f>+P460*$P$299/$P$298</f>
        <v>#REF!</v>
      </c>
      <c r="Q461" s="138" t="e">
        <f>+Q460*$Q$299/$Q$298</f>
        <v>#REF!</v>
      </c>
      <c r="R461" s="138" t="e">
        <f>+R460*$R$299/$R$298</f>
        <v>#REF!</v>
      </c>
      <c r="S461" s="139"/>
      <c r="T461" s="148"/>
      <c r="U461" s="148"/>
      <c r="V461" s="148"/>
      <c r="W461" s="146"/>
      <c r="X461" s="139"/>
      <c r="Y461" s="139"/>
      <c r="Z461" s="139"/>
      <c r="AA461" s="137">
        <f>+AA460*$AA$299/$AA$298</f>
        <v>1405063.4278002698</v>
      </c>
      <c r="AB461" s="137">
        <f>+AB460*$AB$299/$AB$298</f>
        <v>321171.04216388229</v>
      </c>
      <c r="AC461" s="137" t="e">
        <f>+AC460*$AC$299/$AC$298</f>
        <v>#REF!</v>
      </c>
      <c r="AD461" s="137" t="e">
        <f>+AD460*$AD$299/$AD$298</f>
        <v>#REF!</v>
      </c>
      <c r="AE461" s="137" t="e">
        <f>+AE460*$AE$299/$AE$298</f>
        <v>#REF!</v>
      </c>
      <c r="AF461" s="158"/>
      <c r="AG461" s="772"/>
      <c r="AH461" s="775"/>
      <c r="AI461" s="775"/>
      <c r="AJ461" s="778"/>
      <c r="AK461" s="775"/>
      <c r="AL461" s="775"/>
      <c r="AM461" s="775"/>
      <c r="AN461" s="807"/>
      <c r="AO461" s="808"/>
      <c r="AP461" s="808"/>
      <c r="AQ461" s="806"/>
      <c r="AR461" s="806"/>
      <c r="AS461" s="806"/>
      <c r="AT461" s="806"/>
      <c r="AU461" s="795"/>
      <c r="AV461" s="795"/>
      <c r="AW461" s="795"/>
      <c r="AX461" s="797"/>
      <c r="AY461" s="159"/>
    </row>
    <row r="462" spans="1:51" ht="27" hidden="1" customHeight="1" x14ac:dyDescent="0.25">
      <c r="A462" s="815"/>
      <c r="B462" s="1043"/>
      <c r="C462" s="838"/>
      <c r="D462" s="136" t="s">
        <v>42</v>
      </c>
      <c r="E462" s="142"/>
      <c r="F462" s="143"/>
      <c r="G462" s="144"/>
      <c r="H462" s="144"/>
      <c r="I462" s="144"/>
      <c r="J462" s="138"/>
      <c r="K462" s="137"/>
      <c r="L462" s="138"/>
      <c r="M462" s="138"/>
      <c r="N462" s="138"/>
      <c r="O462" s="138"/>
      <c r="P462" s="138"/>
      <c r="Q462" s="138"/>
      <c r="R462" s="147"/>
      <c r="S462" s="139"/>
      <c r="T462" s="148"/>
      <c r="U462" s="148"/>
      <c r="V462" s="148"/>
      <c r="W462" s="146"/>
      <c r="X462" s="139"/>
      <c r="Y462" s="139"/>
      <c r="Z462" s="139"/>
      <c r="AA462" s="165"/>
      <c r="AB462" s="151"/>
      <c r="AC462" s="129"/>
      <c r="AD462" s="137"/>
      <c r="AE462" s="152"/>
      <c r="AF462" s="158"/>
      <c r="AG462" s="772"/>
      <c r="AH462" s="775"/>
      <c r="AI462" s="775"/>
      <c r="AJ462" s="778"/>
      <c r="AK462" s="775"/>
      <c r="AL462" s="775"/>
      <c r="AM462" s="775"/>
      <c r="AN462" s="807"/>
      <c r="AO462" s="808"/>
      <c r="AP462" s="808"/>
      <c r="AQ462" s="806"/>
      <c r="AR462" s="806"/>
      <c r="AS462" s="806"/>
      <c r="AT462" s="806"/>
      <c r="AU462" s="795"/>
      <c r="AV462" s="795"/>
      <c r="AW462" s="795"/>
      <c r="AX462" s="797"/>
      <c r="AY462" s="159"/>
    </row>
    <row r="463" spans="1:51" ht="27" hidden="1" customHeight="1" x14ac:dyDescent="0.25">
      <c r="A463" s="815"/>
      <c r="B463" s="1043"/>
      <c r="C463" s="838"/>
      <c r="D463" s="132" t="s">
        <v>4</v>
      </c>
      <c r="E463" s="142"/>
      <c r="F463" s="143"/>
      <c r="G463" s="144"/>
      <c r="H463" s="144"/>
      <c r="I463" s="144"/>
      <c r="J463" s="138"/>
      <c r="K463" s="137"/>
      <c r="L463" s="138"/>
      <c r="M463" s="138"/>
      <c r="N463" s="138"/>
      <c r="O463" s="138"/>
      <c r="P463" s="138"/>
      <c r="Q463" s="138"/>
      <c r="R463" s="147"/>
      <c r="S463" s="139"/>
      <c r="T463" s="148"/>
      <c r="U463" s="148"/>
      <c r="V463" s="148"/>
      <c r="W463" s="146"/>
      <c r="X463" s="139"/>
      <c r="Y463" s="139"/>
      <c r="Z463" s="139"/>
      <c r="AA463" s="165"/>
      <c r="AB463" s="151"/>
      <c r="AC463" s="129"/>
      <c r="AD463" s="137"/>
      <c r="AE463" s="152"/>
      <c r="AF463" s="158"/>
      <c r="AG463" s="772"/>
      <c r="AH463" s="775"/>
      <c r="AI463" s="775"/>
      <c r="AJ463" s="778"/>
      <c r="AK463" s="775"/>
      <c r="AL463" s="775"/>
      <c r="AM463" s="775"/>
      <c r="AN463" s="807"/>
      <c r="AO463" s="808"/>
      <c r="AP463" s="808"/>
      <c r="AQ463" s="806"/>
      <c r="AR463" s="806"/>
      <c r="AS463" s="806"/>
      <c r="AT463" s="806"/>
      <c r="AU463" s="795"/>
      <c r="AV463" s="795"/>
      <c r="AW463" s="795"/>
      <c r="AX463" s="797"/>
      <c r="AY463" s="159"/>
    </row>
    <row r="464" spans="1:51" ht="27" hidden="1" customHeight="1" x14ac:dyDescent="0.25">
      <c r="A464" s="815"/>
      <c r="B464" s="1043"/>
      <c r="C464" s="838"/>
      <c r="D464" s="136" t="s">
        <v>43</v>
      </c>
      <c r="E464" s="142"/>
      <c r="F464" s="143"/>
      <c r="G464" s="144"/>
      <c r="H464" s="144"/>
      <c r="I464" s="144"/>
      <c r="J464" s="138"/>
      <c r="K464" s="137"/>
      <c r="L464" s="138"/>
      <c r="M464" s="138"/>
      <c r="N464" s="138"/>
      <c r="O464" s="138">
        <f>+O460</f>
        <v>98</v>
      </c>
      <c r="P464" s="138">
        <v>98</v>
      </c>
      <c r="Q464" s="138">
        <v>98</v>
      </c>
      <c r="R464" s="147">
        <v>98</v>
      </c>
      <c r="S464" s="139"/>
      <c r="T464" s="148"/>
      <c r="U464" s="148"/>
      <c r="V464" s="148"/>
      <c r="W464" s="146"/>
      <c r="X464" s="139"/>
      <c r="Y464" s="139"/>
      <c r="Z464" s="139"/>
      <c r="AA464" s="165"/>
      <c r="AB464" s="137">
        <f>+AB460</f>
        <v>38</v>
      </c>
      <c r="AC464" s="129">
        <v>98</v>
      </c>
      <c r="AD464" s="137">
        <v>98</v>
      </c>
      <c r="AE464" s="152">
        <v>98</v>
      </c>
      <c r="AF464" s="158"/>
      <c r="AG464" s="772"/>
      <c r="AH464" s="775"/>
      <c r="AI464" s="775"/>
      <c r="AJ464" s="778"/>
      <c r="AK464" s="775"/>
      <c r="AL464" s="775"/>
      <c r="AM464" s="775"/>
      <c r="AN464" s="807"/>
      <c r="AO464" s="808"/>
      <c r="AP464" s="808"/>
      <c r="AQ464" s="806"/>
      <c r="AR464" s="806"/>
      <c r="AS464" s="806"/>
      <c r="AT464" s="806"/>
      <c r="AU464" s="795"/>
      <c r="AV464" s="795"/>
      <c r="AW464" s="795"/>
      <c r="AX464" s="797"/>
      <c r="AY464" s="159"/>
    </row>
    <row r="465" spans="1:51" ht="27.75" hidden="1" customHeight="1" thickBot="1" x14ac:dyDescent="0.3">
      <c r="A465" s="815"/>
      <c r="B465" s="1043"/>
      <c r="C465" s="838"/>
      <c r="D465" s="140" t="s">
        <v>45</v>
      </c>
      <c r="E465" s="142"/>
      <c r="F465" s="143"/>
      <c r="G465" s="144"/>
      <c r="H465" s="144"/>
      <c r="I465" s="144"/>
      <c r="J465" s="138"/>
      <c r="K465" s="137"/>
      <c r="L465" s="138"/>
      <c r="M465" s="138"/>
      <c r="N465" s="138"/>
      <c r="O465" s="138">
        <f>+O461</f>
        <v>962203.2</v>
      </c>
      <c r="P465" s="138" t="e">
        <f>+P464*$P$299/$P$298</f>
        <v>#REF!</v>
      </c>
      <c r="Q465" s="138" t="e">
        <f>+Q464*$Q$299/$Q$298</f>
        <v>#REF!</v>
      </c>
      <c r="R465" s="138" t="e">
        <f>+R464*$R$299/$R$298</f>
        <v>#REF!</v>
      </c>
      <c r="S465" s="139"/>
      <c r="T465" s="148"/>
      <c r="U465" s="148"/>
      <c r="V465" s="148"/>
      <c r="W465" s="146"/>
      <c r="X465" s="139"/>
      <c r="Y465" s="139"/>
      <c r="Z465" s="139"/>
      <c r="AA465" s="165"/>
      <c r="AB465" s="137">
        <f>+AB461</f>
        <v>321171.04216388229</v>
      </c>
      <c r="AC465" s="137" t="e">
        <f>+AC464*$AC$299/$AC$298</f>
        <v>#REF!</v>
      </c>
      <c r="AD465" s="137" t="e">
        <f>+AD464*$AD$299/$AD$298</f>
        <v>#REF!</v>
      </c>
      <c r="AE465" s="137" t="e">
        <f>+AE464*$AE$299/$AE$298</f>
        <v>#REF!</v>
      </c>
      <c r="AF465" s="167"/>
      <c r="AG465" s="773"/>
      <c r="AH465" s="776"/>
      <c r="AI465" s="776"/>
      <c r="AJ465" s="779"/>
      <c r="AK465" s="776"/>
      <c r="AL465" s="776"/>
      <c r="AM465" s="776"/>
      <c r="AN465" s="807"/>
      <c r="AO465" s="808"/>
      <c r="AP465" s="808"/>
      <c r="AQ465" s="806"/>
      <c r="AR465" s="806"/>
      <c r="AS465" s="806"/>
      <c r="AT465" s="806"/>
      <c r="AU465" s="795"/>
      <c r="AV465" s="795"/>
      <c r="AW465" s="795"/>
      <c r="AX465" s="798"/>
      <c r="AY465" s="159"/>
    </row>
    <row r="466" spans="1:51" ht="19.350000000000001" hidden="1" customHeight="1" x14ac:dyDescent="0.25">
      <c r="A466" s="815"/>
      <c r="B466" s="1043"/>
      <c r="C466" s="838" t="s">
        <v>398</v>
      </c>
      <c r="D466" s="141" t="s">
        <v>41</v>
      </c>
      <c r="E466" s="142"/>
      <c r="F466" s="143"/>
      <c r="G466" s="144"/>
      <c r="H466" s="144"/>
      <c r="I466" s="144"/>
      <c r="J466" s="138"/>
      <c r="K466" s="137"/>
      <c r="L466" s="138"/>
      <c r="M466" s="138"/>
      <c r="N466" s="138"/>
      <c r="O466" s="138"/>
      <c r="P466" s="138"/>
      <c r="Q466" s="138"/>
      <c r="R466" s="147"/>
      <c r="S466" s="139"/>
      <c r="T466" s="148"/>
      <c r="U466" s="148"/>
      <c r="V466" s="148"/>
      <c r="W466" s="146"/>
      <c r="X466" s="139"/>
      <c r="Y466" s="139"/>
      <c r="Z466" s="139"/>
      <c r="AA466" s="165"/>
      <c r="AB466" s="151"/>
      <c r="AC466" s="129"/>
      <c r="AD466" s="162"/>
      <c r="AE466" s="152"/>
      <c r="AF466" s="202"/>
      <c r="AG466" s="771" t="s">
        <v>398</v>
      </c>
      <c r="AH466" s="774" t="s">
        <v>350</v>
      </c>
      <c r="AI466" s="774" t="s">
        <v>350</v>
      </c>
      <c r="AJ466" s="777" t="s">
        <v>525</v>
      </c>
      <c r="AK466" s="774" t="s">
        <v>315</v>
      </c>
      <c r="AL466" s="774" t="s">
        <v>70</v>
      </c>
      <c r="AM466" s="774" t="s">
        <v>480</v>
      </c>
      <c r="AN466" s="807">
        <v>348023</v>
      </c>
      <c r="AO466" s="808">
        <v>179866</v>
      </c>
      <c r="AP466" s="808">
        <v>192751</v>
      </c>
      <c r="AQ466" s="806" t="s">
        <v>317</v>
      </c>
      <c r="AR466" s="806" t="s">
        <v>317</v>
      </c>
      <c r="AS466" s="806" t="s">
        <v>317</v>
      </c>
      <c r="AT466" s="806" t="s">
        <v>317</v>
      </c>
      <c r="AU466" s="795" t="s">
        <v>317</v>
      </c>
      <c r="AV466" s="795" t="s">
        <v>317</v>
      </c>
      <c r="AW466" s="795" t="s">
        <v>317</v>
      </c>
      <c r="AX466" s="796">
        <v>348023</v>
      </c>
      <c r="AY466" s="159"/>
    </row>
    <row r="467" spans="1:51" ht="18.75" hidden="1" customHeight="1" x14ac:dyDescent="0.25">
      <c r="A467" s="815"/>
      <c r="B467" s="1043"/>
      <c r="C467" s="838"/>
      <c r="D467" s="132" t="s">
        <v>3</v>
      </c>
      <c r="E467" s="142"/>
      <c r="F467" s="143"/>
      <c r="G467" s="144"/>
      <c r="H467" s="144"/>
      <c r="I467" s="144"/>
      <c r="J467" s="138"/>
      <c r="K467" s="137"/>
      <c r="L467" s="138"/>
      <c r="M467" s="138"/>
      <c r="N467" s="138"/>
      <c r="O467" s="138"/>
      <c r="P467" s="138"/>
      <c r="Q467" s="138"/>
      <c r="R467" s="147"/>
      <c r="S467" s="139"/>
      <c r="T467" s="148"/>
      <c r="U467" s="148"/>
      <c r="V467" s="148"/>
      <c r="W467" s="146"/>
      <c r="X467" s="139"/>
      <c r="Y467" s="139"/>
      <c r="Z467" s="139"/>
      <c r="AA467" s="165"/>
      <c r="AB467" s="151"/>
      <c r="AC467" s="129"/>
      <c r="AD467" s="162"/>
      <c r="AE467" s="152"/>
      <c r="AF467" s="202"/>
      <c r="AG467" s="772"/>
      <c r="AH467" s="775"/>
      <c r="AI467" s="775"/>
      <c r="AJ467" s="778"/>
      <c r="AK467" s="775"/>
      <c r="AL467" s="775"/>
      <c r="AM467" s="775"/>
      <c r="AN467" s="807"/>
      <c r="AO467" s="808"/>
      <c r="AP467" s="808"/>
      <c r="AQ467" s="806"/>
      <c r="AR467" s="806"/>
      <c r="AS467" s="806"/>
      <c r="AT467" s="806"/>
      <c r="AU467" s="795"/>
      <c r="AV467" s="795"/>
      <c r="AW467" s="795"/>
      <c r="AX467" s="797"/>
      <c r="AY467" s="159"/>
    </row>
    <row r="468" spans="1:51" ht="27.75" hidden="1" customHeight="1" x14ac:dyDescent="0.25">
      <c r="A468" s="815"/>
      <c r="B468" s="1043"/>
      <c r="C468" s="838"/>
      <c r="D468" s="136" t="s">
        <v>42</v>
      </c>
      <c r="E468" s="142"/>
      <c r="F468" s="143"/>
      <c r="G468" s="144"/>
      <c r="H468" s="144"/>
      <c r="I468" s="144"/>
      <c r="J468" s="138"/>
      <c r="K468" s="137"/>
      <c r="L468" s="138"/>
      <c r="M468" s="138"/>
      <c r="N468" s="138"/>
      <c r="O468" s="138"/>
      <c r="P468" s="138"/>
      <c r="Q468" s="138"/>
      <c r="R468" s="147"/>
      <c r="S468" s="139"/>
      <c r="T468" s="148"/>
      <c r="U468" s="148"/>
      <c r="V468" s="148"/>
      <c r="W468" s="146"/>
      <c r="X468" s="139"/>
      <c r="Y468" s="139"/>
      <c r="Z468" s="139"/>
      <c r="AA468" s="165"/>
      <c r="AB468" s="151"/>
      <c r="AC468" s="129"/>
      <c r="AD468" s="162"/>
      <c r="AE468" s="152"/>
      <c r="AF468" s="202"/>
      <c r="AG468" s="772"/>
      <c r="AH468" s="775"/>
      <c r="AI468" s="775"/>
      <c r="AJ468" s="778"/>
      <c r="AK468" s="775"/>
      <c r="AL468" s="775"/>
      <c r="AM468" s="775"/>
      <c r="AN468" s="807"/>
      <c r="AO468" s="808"/>
      <c r="AP468" s="808"/>
      <c r="AQ468" s="806"/>
      <c r="AR468" s="806"/>
      <c r="AS468" s="806"/>
      <c r="AT468" s="806"/>
      <c r="AU468" s="795"/>
      <c r="AV468" s="795"/>
      <c r="AW468" s="795"/>
      <c r="AX468" s="797"/>
      <c r="AY468" s="159"/>
    </row>
    <row r="469" spans="1:51" ht="27.75" hidden="1" customHeight="1" x14ac:dyDescent="0.25">
      <c r="A469" s="815"/>
      <c r="B469" s="1043"/>
      <c r="C469" s="838"/>
      <c r="D469" s="132" t="s">
        <v>4</v>
      </c>
      <c r="E469" s="142"/>
      <c r="F469" s="143"/>
      <c r="G469" s="144"/>
      <c r="H469" s="144"/>
      <c r="I469" s="144"/>
      <c r="J469" s="138"/>
      <c r="K469" s="137"/>
      <c r="L469" s="138"/>
      <c r="M469" s="138"/>
      <c r="N469" s="138"/>
      <c r="O469" s="138"/>
      <c r="P469" s="138"/>
      <c r="Q469" s="138"/>
      <c r="R469" s="147"/>
      <c r="S469" s="139"/>
      <c r="T469" s="148"/>
      <c r="U469" s="148"/>
      <c r="V469" s="148"/>
      <c r="W469" s="146"/>
      <c r="X469" s="139"/>
      <c r="Y469" s="139"/>
      <c r="Z469" s="139"/>
      <c r="AA469" s="165"/>
      <c r="AB469" s="151"/>
      <c r="AC469" s="129"/>
      <c r="AD469" s="162"/>
      <c r="AE469" s="152"/>
      <c r="AF469" s="202"/>
      <c r="AG469" s="772"/>
      <c r="AH469" s="775"/>
      <c r="AI469" s="775"/>
      <c r="AJ469" s="778"/>
      <c r="AK469" s="775"/>
      <c r="AL469" s="775"/>
      <c r="AM469" s="775"/>
      <c r="AN469" s="807"/>
      <c r="AO469" s="808"/>
      <c r="AP469" s="808"/>
      <c r="AQ469" s="806"/>
      <c r="AR469" s="806"/>
      <c r="AS469" s="806"/>
      <c r="AT469" s="806"/>
      <c r="AU469" s="795"/>
      <c r="AV469" s="795"/>
      <c r="AW469" s="795"/>
      <c r="AX469" s="797"/>
      <c r="AY469" s="159"/>
    </row>
    <row r="470" spans="1:51" ht="27.75" hidden="1" customHeight="1" x14ac:dyDescent="0.25">
      <c r="A470" s="815"/>
      <c r="B470" s="1043"/>
      <c r="C470" s="838"/>
      <c r="D470" s="136" t="s">
        <v>43</v>
      </c>
      <c r="E470" s="142"/>
      <c r="F470" s="143"/>
      <c r="G470" s="144"/>
      <c r="H470" s="144"/>
      <c r="I470" s="144"/>
      <c r="J470" s="138"/>
      <c r="K470" s="137"/>
      <c r="L470" s="138"/>
      <c r="M470" s="138"/>
      <c r="N470" s="138"/>
      <c r="O470" s="138"/>
      <c r="P470" s="138"/>
      <c r="Q470" s="138"/>
      <c r="R470" s="147"/>
      <c r="S470" s="139"/>
      <c r="T470" s="148"/>
      <c r="U470" s="148"/>
      <c r="V470" s="148"/>
      <c r="W470" s="146"/>
      <c r="X470" s="139"/>
      <c r="Y470" s="139"/>
      <c r="Z470" s="139"/>
      <c r="AA470" s="165"/>
      <c r="AB470" s="151"/>
      <c r="AC470" s="129"/>
      <c r="AD470" s="162"/>
      <c r="AE470" s="152"/>
      <c r="AF470" s="202"/>
      <c r="AG470" s="772"/>
      <c r="AH470" s="775"/>
      <c r="AI470" s="775"/>
      <c r="AJ470" s="778"/>
      <c r="AK470" s="775"/>
      <c r="AL470" s="775"/>
      <c r="AM470" s="775"/>
      <c r="AN470" s="807"/>
      <c r="AO470" s="808"/>
      <c r="AP470" s="808"/>
      <c r="AQ470" s="806"/>
      <c r="AR470" s="806"/>
      <c r="AS470" s="806"/>
      <c r="AT470" s="806"/>
      <c r="AU470" s="795"/>
      <c r="AV470" s="795"/>
      <c r="AW470" s="795"/>
      <c r="AX470" s="797"/>
      <c r="AY470" s="159"/>
    </row>
    <row r="471" spans="1:51" ht="27.75" hidden="1" customHeight="1" thickBot="1" x14ac:dyDescent="0.3">
      <c r="A471" s="815"/>
      <c r="B471" s="1043"/>
      <c r="C471" s="838"/>
      <c r="D471" s="140" t="s">
        <v>45</v>
      </c>
      <c r="E471" s="142"/>
      <c r="F471" s="143"/>
      <c r="G471" s="144"/>
      <c r="H471" s="144"/>
      <c r="I471" s="144"/>
      <c r="J471" s="138"/>
      <c r="K471" s="137"/>
      <c r="L471" s="138"/>
      <c r="M471" s="138"/>
      <c r="N471" s="138"/>
      <c r="O471" s="138"/>
      <c r="P471" s="138"/>
      <c r="Q471" s="138"/>
      <c r="R471" s="147"/>
      <c r="S471" s="139"/>
      <c r="T471" s="148"/>
      <c r="U471" s="148"/>
      <c r="V471" s="148"/>
      <c r="W471" s="146"/>
      <c r="X471" s="139"/>
      <c r="Y471" s="139"/>
      <c r="Z471" s="139"/>
      <c r="AA471" s="165"/>
      <c r="AB471" s="151"/>
      <c r="AC471" s="129"/>
      <c r="AD471" s="162"/>
      <c r="AE471" s="152"/>
      <c r="AF471" s="202"/>
      <c r="AG471" s="773"/>
      <c r="AH471" s="776"/>
      <c r="AI471" s="776"/>
      <c r="AJ471" s="779"/>
      <c r="AK471" s="776"/>
      <c r="AL471" s="776"/>
      <c r="AM471" s="776"/>
      <c r="AN471" s="807"/>
      <c r="AO471" s="808"/>
      <c r="AP471" s="808"/>
      <c r="AQ471" s="806"/>
      <c r="AR471" s="806"/>
      <c r="AS471" s="806"/>
      <c r="AT471" s="806"/>
      <c r="AU471" s="795"/>
      <c r="AV471" s="795"/>
      <c r="AW471" s="795"/>
      <c r="AX471" s="798"/>
      <c r="AY471" s="159"/>
    </row>
    <row r="472" spans="1:51" ht="19.350000000000001" hidden="1" customHeight="1" x14ac:dyDescent="0.25">
      <c r="A472" s="815"/>
      <c r="B472" s="1043"/>
      <c r="C472" s="838" t="s">
        <v>404</v>
      </c>
      <c r="D472" s="141" t="s">
        <v>41</v>
      </c>
      <c r="E472" s="142"/>
      <c r="F472" s="143"/>
      <c r="G472" s="144"/>
      <c r="H472" s="144"/>
      <c r="I472" s="144"/>
      <c r="J472" s="138"/>
      <c r="K472" s="137"/>
      <c r="L472" s="138"/>
      <c r="M472" s="138"/>
      <c r="N472" s="138"/>
      <c r="O472" s="138"/>
      <c r="P472" s="138"/>
      <c r="Q472" s="138"/>
      <c r="R472" s="147"/>
      <c r="S472" s="139"/>
      <c r="T472" s="148"/>
      <c r="U472" s="148"/>
      <c r="V472" s="148"/>
      <c r="W472" s="146"/>
      <c r="X472" s="139"/>
      <c r="Y472" s="139"/>
      <c r="Z472" s="139"/>
      <c r="AA472" s="165"/>
      <c r="AB472" s="151"/>
      <c r="AC472" s="129"/>
      <c r="AD472" s="162"/>
      <c r="AE472" s="152"/>
      <c r="AF472" s="202"/>
      <c r="AG472" s="771" t="s">
        <v>404</v>
      </c>
      <c r="AH472" s="774" t="s">
        <v>350</v>
      </c>
      <c r="AI472" s="774" t="s">
        <v>350</v>
      </c>
      <c r="AJ472" s="777" t="s">
        <v>525</v>
      </c>
      <c r="AK472" s="774" t="s">
        <v>315</v>
      </c>
      <c r="AL472" s="774" t="s">
        <v>70</v>
      </c>
      <c r="AM472" s="774" t="s">
        <v>480</v>
      </c>
      <c r="AN472" s="807">
        <v>392220</v>
      </c>
      <c r="AO472" s="808">
        <v>303282</v>
      </c>
      <c r="AP472" s="808">
        <v>318086</v>
      </c>
      <c r="AQ472" s="806" t="s">
        <v>317</v>
      </c>
      <c r="AR472" s="806" t="s">
        <v>317</v>
      </c>
      <c r="AS472" s="806" t="s">
        <v>317</v>
      </c>
      <c r="AT472" s="806" t="s">
        <v>317</v>
      </c>
      <c r="AU472" s="795" t="s">
        <v>317</v>
      </c>
      <c r="AV472" s="795" t="s">
        <v>317</v>
      </c>
      <c r="AW472" s="795" t="s">
        <v>317</v>
      </c>
      <c r="AX472" s="796">
        <v>392220</v>
      </c>
      <c r="AY472" s="159"/>
    </row>
    <row r="473" spans="1:51" ht="18.75" hidden="1" customHeight="1" x14ac:dyDescent="0.25">
      <c r="A473" s="815"/>
      <c r="B473" s="1043"/>
      <c r="C473" s="838"/>
      <c r="D473" s="132" t="s">
        <v>3</v>
      </c>
      <c r="E473" s="142"/>
      <c r="F473" s="143"/>
      <c r="G473" s="144"/>
      <c r="H473" s="144"/>
      <c r="I473" s="144"/>
      <c r="J473" s="138"/>
      <c r="K473" s="137"/>
      <c r="L473" s="138"/>
      <c r="M473" s="138"/>
      <c r="N473" s="138"/>
      <c r="O473" s="138"/>
      <c r="P473" s="138"/>
      <c r="Q473" s="138"/>
      <c r="R473" s="147"/>
      <c r="S473" s="139"/>
      <c r="T473" s="148"/>
      <c r="U473" s="148"/>
      <c r="V473" s="148"/>
      <c r="W473" s="146"/>
      <c r="X473" s="139"/>
      <c r="Y473" s="139"/>
      <c r="Z473" s="139"/>
      <c r="AA473" s="165"/>
      <c r="AB473" s="151"/>
      <c r="AC473" s="129"/>
      <c r="AD473" s="162"/>
      <c r="AE473" s="152"/>
      <c r="AF473" s="202"/>
      <c r="AG473" s="772"/>
      <c r="AH473" s="775"/>
      <c r="AI473" s="775"/>
      <c r="AJ473" s="778"/>
      <c r="AK473" s="775"/>
      <c r="AL473" s="775"/>
      <c r="AM473" s="775"/>
      <c r="AN473" s="807"/>
      <c r="AO473" s="808"/>
      <c r="AP473" s="808"/>
      <c r="AQ473" s="806"/>
      <c r="AR473" s="806"/>
      <c r="AS473" s="806"/>
      <c r="AT473" s="806"/>
      <c r="AU473" s="795"/>
      <c r="AV473" s="795"/>
      <c r="AW473" s="795"/>
      <c r="AX473" s="797"/>
      <c r="AY473" s="159"/>
    </row>
    <row r="474" spans="1:51" ht="27.75" hidden="1" customHeight="1" x14ac:dyDescent="0.25">
      <c r="A474" s="815"/>
      <c r="B474" s="1043"/>
      <c r="C474" s="838"/>
      <c r="D474" s="136" t="s">
        <v>42</v>
      </c>
      <c r="E474" s="142"/>
      <c r="F474" s="143"/>
      <c r="G474" s="144"/>
      <c r="H474" s="144"/>
      <c r="I474" s="144"/>
      <c r="J474" s="138"/>
      <c r="K474" s="137"/>
      <c r="L474" s="138"/>
      <c r="M474" s="138"/>
      <c r="N474" s="138"/>
      <c r="O474" s="138"/>
      <c r="P474" s="138"/>
      <c r="Q474" s="138"/>
      <c r="R474" s="147"/>
      <c r="S474" s="139"/>
      <c r="T474" s="148"/>
      <c r="U474" s="148"/>
      <c r="V474" s="148"/>
      <c r="W474" s="146"/>
      <c r="X474" s="139"/>
      <c r="Y474" s="139"/>
      <c r="Z474" s="139"/>
      <c r="AA474" s="165"/>
      <c r="AB474" s="151"/>
      <c r="AC474" s="129"/>
      <c r="AD474" s="162"/>
      <c r="AE474" s="152"/>
      <c r="AF474" s="202"/>
      <c r="AG474" s="772"/>
      <c r="AH474" s="775"/>
      <c r="AI474" s="775"/>
      <c r="AJ474" s="778"/>
      <c r="AK474" s="775"/>
      <c r="AL474" s="775"/>
      <c r="AM474" s="775"/>
      <c r="AN474" s="807"/>
      <c r="AO474" s="808"/>
      <c r="AP474" s="808"/>
      <c r="AQ474" s="806"/>
      <c r="AR474" s="806"/>
      <c r="AS474" s="806"/>
      <c r="AT474" s="806"/>
      <c r="AU474" s="795"/>
      <c r="AV474" s="795"/>
      <c r="AW474" s="795"/>
      <c r="AX474" s="797"/>
      <c r="AY474" s="159"/>
    </row>
    <row r="475" spans="1:51" ht="27.75" hidden="1" customHeight="1" x14ac:dyDescent="0.25">
      <c r="A475" s="815"/>
      <c r="B475" s="1043"/>
      <c r="C475" s="838"/>
      <c r="D475" s="132" t="s">
        <v>4</v>
      </c>
      <c r="E475" s="142"/>
      <c r="F475" s="143"/>
      <c r="G475" s="144"/>
      <c r="H475" s="144"/>
      <c r="I475" s="144"/>
      <c r="J475" s="138"/>
      <c r="K475" s="137"/>
      <c r="L475" s="138"/>
      <c r="M475" s="138"/>
      <c r="N475" s="138"/>
      <c r="O475" s="138"/>
      <c r="P475" s="138"/>
      <c r="Q475" s="138"/>
      <c r="R475" s="147"/>
      <c r="S475" s="139"/>
      <c r="T475" s="148"/>
      <c r="U475" s="148"/>
      <c r="V475" s="148"/>
      <c r="W475" s="146"/>
      <c r="X475" s="139"/>
      <c r="Y475" s="139"/>
      <c r="Z475" s="139"/>
      <c r="AA475" s="165"/>
      <c r="AB475" s="151"/>
      <c r="AC475" s="129"/>
      <c r="AD475" s="162"/>
      <c r="AE475" s="152"/>
      <c r="AF475" s="202"/>
      <c r="AG475" s="772"/>
      <c r="AH475" s="775"/>
      <c r="AI475" s="775"/>
      <c r="AJ475" s="778"/>
      <c r="AK475" s="775"/>
      <c r="AL475" s="775"/>
      <c r="AM475" s="775"/>
      <c r="AN475" s="807"/>
      <c r="AO475" s="808"/>
      <c r="AP475" s="808"/>
      <c r="AQ475" s="806"/>
      <c r="AR475" s="806"/>
      <c r="AS475" s="806"/>
      <c r="AT475" s="806"/>
      <c r="AU475" s="795"/>
      <c r="AV475" s="795"/>
      <c r="AW475" s="795"/>
      <c r="AX475" s="797"/>
      <c r="AY475" s="159"/>
    </row>
    <row r="476" spans="1:51" ht="27.75" hidden="1" customHeight="1" x14ac:dyDescent="0.25">
      <c r="A476" s="815"/>
      <c r="B476" s="1043"/>
      <c r="C476" s="838"/>
      <c r="D476" s="136" t="s">
        <v>43</v>
      </c>
      <c r="E476" s="142"/>
      <c r="F476" s="143"/>
      <c r="G476" s="144"/>
      <c r="H476" s="144"/>
      <c r="I476" s="144"/>
      <c r="J476" s="138"/>
      <c r="K476" s="137"/>
      <c r="L476" s="138"/>
      <c r="M476" s="138"/>
      <c r="N476" s="138"/>
      <c r="O476" s="138"/>
      <c r="P476" s="138"/>
      <c r="Q476" s="138"/>
      <c r="R476" s="147"/>
      <c r="S476" s="139"/>
      <c r="T476" s="148"/>
      <c r="U476" s="148"/>
      <c r="V476" s="148"/>
      <c r="W476" s="146"/>
      <c r="X476" s="139"/>
      <c r="Y476" s="139"/>
      <c r="Z476" s="139"/>
      <c r="AA476" s="165"/>
      <c r="AB476" s="151"/>
      <c r="AC476" s="129"/>
      <c r="AD476" s="162"/>
      <c r="AE476" s="152"/>
      <c r="AF476" s="202"/>
      <c r="AG476" s="772"/>
      <c r="AH476" s="775"/>
      <c r="AI476" s="775"/>
      <c r="AJ476" s="778"/>
      <c r="AK476" s="775"/>
      <c r="AL476" s="775"/>
      <c r="AM476" s="775"/>
      <c r="AN476" s="807"/>
      <c r="AO476" s="808"/>
      <c r="AP476" s="808"/>
      <c r="AQ476" s="806"/>
      <c r="AR476" s="806"/>
      <c r="AS476" s="806"/>
      <c r="AT476" s="806"/>
      <c r="AU476" s="795"/>
      <c r="AV476" s="795"/>
      <c r="AW476" s="795"/>
      <c r="AX476" s="797"/>
      <c r="AY476" s="159"/>
    </row>
    <row r="477" spans="1:51" ht="27.75" hidden="1" customHeight="1" thickBot="1" x14ac:dyDescent="0.3">
      <c r="A477" s="815"/>
      <c r="B477" s="1043"/>
      <c r="C477" s="838"/>
      <c r="D477" s="140" t="s">
        <v>45</v>
      </c>
      <c r="E477" s="142"/>
      <c r="F477" s="143"/>
      <c r="G477" s="144"/>
      <c r="H477" s="144"/>
      <c r="I477" s="144"/>
      <c r="J477" s="138"/>
      <c r="K477" s="137"/>
      <c r="L477" s="138"/>
      <c r="M477" s="138"/>
      <c r="N477" s="138"/>
      <c r="O477" s="138"/>
      <c r="P477" s="138"/>
      <c r="Q477" s="138"/>
      <c r="R477" s="147"/>
      <c r="S477" s="203"/>
      <c r="T477" s="148"/>
      <c r="U477" s="148"/>
      <c r="V477" s="148"/>
      <c r="W477" s="146"/>
      <c r="X477" s="139"/>
      <c r="Y477" s="139"/>
      <c r="Z477" s="139"/>
      <c r="AA477" s="165"/>
      <c r="AB477" s="151"/>
      <c r="AC477" s="129"/>
      <c r="AD477" s="162"/>
      <c r="AE477" s="152"/>
      <c r="AF477" s="202"/>
      <c r="AG477" s="773"/>
      <c r="AH477" s="776"/>
      <c r="AI477" s="776"/>
      <c r="AJ477" s="779"/>
      <c r="AK477" s="776"/>
      <c r="AL477" s="776"/>
      <c r="AM477" s="776"/>
      <c r="AN477" s="807"/>
      <c r="AO477" s="808"/>
      <c r="AP477" s="808"/>
      <c r="AQ477" s="806"/>
      <c r="AR477" s="806"/>
      <c r="AS477" s="806"/>
      <c r="AT477" s="806"/>
      <c r="AU477" s="795"/>
      <c r="AV477" s="795"/>
      <c r="AW477" s="795"/>
      <c r="AX477" s="798"/>
      <c r="AY477" s="159"/>
    </row>
    <row r="478" spans="1:51" ht="19.350000000000001" customHeight="1" x14ac:dyDescent="0.25">
      <c r="A478" s="815"/>
      <c r="B478" s="1043"/>
      <c r="C478" s="838" t="s">
        <v>409</v>
      </c>
      <c r="D478" s="141" t="s">
        <v>41</v>
      </c>
      <c r="E478" s="142"/>
      <c r="F478" s="143"/>
      <c r="G478" s="144">
        <v>3254</v>
      </c>
      <c r="H478" s="155">
        <v>2953</v>
      </c>
      <c r="I478" s="144">
        <v>2657</v>
      </c>
      <c r="J478" s="138">
        <v>2357</v>
      </c>
      <c r="K478" s="145">
        <v>2037</v>
      </c>
      <c r="L478" s="138"/>
      <c r="M478" s="138"/>
      <c r="N478" s="138">
        <v>1759</v>
      </c>
      <c r="O478" s="138">
        <v>1243</v>
      </c>
      <c r="P478" s="138">
        <v>592</v>
      </c>
      <c r="Q478" s="138">
        <v>290</v>
      </c>
      <c r="R478" s="147">
        <v>0</v>
      </c>
      <c r="S478" s="139"/>
      <c r="T478" s="148"/>
      <c r="U478" s="148"/>
      <c r="V478" s="148"/>
      <c r="W478" s="146"/>
      <c r="X478" s="139"/>
      <c r="Y478" s="139"/>
      <c r="Z478" s="139"/>
      <c r="AA478" s="165"/>
      <c r="AB478" s="188"/>
      <c r="AC478" s="129"/>
      <c r="AD478" s="162"/>
      <c r="AE478" s="152"/>
      <c r="AF478" s="202"/>
      <c r="AG478" s="771"/>
      <c r="AH478" s="774"/>
      <c r="AI478" s="774"/>
      <c r="AJ478" s="777"/>
      <c r="AK478" s="774"/>
      <c r="AL478" s="774"/>
      <c r="AM478" s="774"/>
      <c r="AN478" s="808">
        <v>7804660</v>
      </c>
      <c r="AO478" s="796">
        <v>3721767</v>
      </c>
      <c r="AP478" s="796">
        <v>4082893</v>
      </c>
      <c r="AQ478" s="806" t="s">
        <v>317</v>
      </c>
      <c r="AR478" s="806" t="s">
        <v>317</v>
      </c>
      <c r="AS478" s="806" t="s">
        <v>317</v>
      </c>
      <c r="AT478" s="806" t="s">
        <v>317</v>
      </c>
      <c r="AU478" s="795" t="s">
        <v>317</v>
      </c>
      <c r="AV478" s="795" t="s">
        <v>317</v>
      </c>
      <c r="AW478" s="795" t="s">
        <v>317</v>
      </c>
      <c r="AX478" s="796">
        <v>7804660</v>
      </c>
      <c r="AY478" s="159"/>
    </row>
    <row r="479" spans="1:51" ht="18" x14ac:dyDescent="0.25">
      <c r="A479" s="815"/>
      <c r="B479" s="1043"/>
      <c r="C479" s="838"/>
      <c r="D479" s="132" t="s">
        <v>3</v>
      </c>
      <c r="E479" s="142"/>
      <c r="F479" s="143"/>
      <c r="G479" s="144">
        <f>+G478*$G$299/$G$298</f>
        <v>31875254.285714287</v>
      </c>
      <c r="H479" s="144">
        <f>+H478*$H$299/$H$298</f>
        <v>28926744.285714287</v>
      </c>
      <c r="I479" s="144" t="e">
        <f>+I478*$I$299/$I$298</f>
        <v>#REF!</v>
      </c>
      <c r="J479" s="138" t="e">
        <f>+J478*$J$299/$J$298</f>
        <v>#REF!</v>
      </c>
      <c r="K479" s="137"/>
      <c r="L479" s="138"/>
      <c r="M479" s="138"/>
      <c r="N479" s="138">
        <f>+N478*$N$299/$N$298</f>
        <v>17270565.600000001</v>
      </c>
      <c r="O479" s="138">
        <f>+O478*$O$299/$O$298</f>
        <v>12204271.199999999</v>
      </c>
      <c r="P479" s="138" t="e">
        <f>+P478*$P$299/$P$298</f>
        <v>#REF!</v>
      </c>
      <c r="Q479" s="138" t="e">
        <f>+Q478*$Q$299/$Q$298</f>
        <v>#REF!</v>
      </c>
      <c r="R479" s="138" t="e">
        <f>+R478*$R$299/$R$298</f>
        <v>#REF!</v>
      </c>
      <c r="S479" s="139"/>
      <c r="T479" s="148"/>
      <c r="U479" s="144"/>
      <c r="V479" s="148"/>
      <c r="W479" s="146"/>
      <c r="X479" s="139"/>
      <c r="Y479" s="139"/>
      <c r="Z479" s="139"/>
      <c r="AA479" s="165"/>
      <c r="AB479" s="151"/>
      <c r="AC479" s="137"/>
      <c r="AD479" s="162"/>
      <c r="AE479" s="152"/>
      <c r="AF479" s="202"/>
      <c r="AG479" s="772"/>
      <c r="AH479" s="775"/>
      <c r="AI479" s="775"/>
      <c r="AJ479" s="778"/>
      <c r="AK479" s="775"/>
      <c r="AL479" s="775"/>
      <c r="AM479" s="775"/>
      <c r="AN479" s="808"/>
      <c r="AO479" s="797"/>
      <c r="AP479" s="797"/>
      <c r="AQ479" s="806"/>
      <c r="AR479" s="806"/>
      <c r="AS479" s="806"/>
      <c r="AT479" s="806"/>
      <c r="AU479" s="795"/>
      <c r="AV479" s="795"/>
      <c r="AW479" s="795"/>
      <c r="AX479" s="797"/>
      <c r="AY479" s="159"/>
    </row>
    <row r="480" spans="1:51" ht="27" x14ac:dyDescent="0.25">
      <c r="A480" s="815"/>
      <c r="B480" s="1043"/>
      <c r="C480" s="838"/>
      <c r="D480" s="136" t="s">
        <v>42</v>
      </c>
      <c r="E480" s="142"/>
      <c r="F480" s="143"/>
      <c r="G480" s="144"/>
      <c r="H480" s="144"/>
      <c r="I480" s="144"/>
      <c r="J480" s="138"/>
      <c r="K480" s="137"/>
      <c r="L480" s="138"/>
      <c r="M480" s="138"/>
      <c r="N480" s="138"/>
      <c r="O480" s="138"/>
      <c r="P480" s="138"/>
      <c r="Q480" s="138"/>
      <c r="R480" s="147"/>
      <c r="S480" s="139"/>
      <c r="T480" s="148"/>
      <c r="U480" s="148"/>
      <c r="V480" s="148"/>
      <c r="W480" s="146"/>
      <c r="X480" s="139"/>
      <c r="Y480" s="139"/>
      <c r="Z480" s="139"/>
      <c r="AA480" s="165"/>
      <c r="AB480" s="151"/>
      <c r="AC480" s="129"/>
      <c r="AD480" s="162"/>
      <c r="AE480" s="152"/>
      <c r="AF480" s="202"/>
      <c r="AG480" s="772"/>
      <c r="AH480" s="775"/>
      <c r="AI480" s="775"/>
      <c r="AJ480" s="778"/>
      <c r="AK480" s="775"/>
      <c r="AL480" s="775"/>
      <c r="AM480" s="775"/>
      <c r="AN480" s="808"/>
      <c r="AO480" s="797"/>
      <c r="AP480" s="797"/>
      <c r="AQ480" s="806"/>
      <c r="AR480" s="806"/>
      <c r="AS480" s="806"/>
      <c r="AT480" s="806"/>
      <c r="AU480" s="795"/>
      <c r="AV480" s="795"/>
      <c r="AW480" s="795"/>
      <c r="AX480" s="797"/>
      <c r="AY480" s="159"/>
    </row>
    <row r="481" spans="1:51" ht="27" x14ac:dyDescent="0.25">
      <c r="A481" s="815"/>
      <c r="B481" s="1043"/>
      <c r="C481" s="838"/>
      <c r="D481" s="132" t="s">
        <v>4</v>
      </c>
      <c r="E481" s="142"/>
      <c r="F481" s="143"/>
      <c r="G481" s="144"/>
      <c r="H481" s="144"/>
      <c r="I481" s="144"/>
      <c r="J481" s="138"/>
      <c r="K481" s="137"/>
      <c r="L481" s="138"/>
      <c r="M481" s="138"/>
      <c r="N481" s="138"/>
      <c r="O481" s="138"/>
      <c r="P481" s="138"/>
      <c r="Q481" s="138"/>
      <c r="R481" s="147"/>
      <c r="S481" s="139"/>
      <c r="T481" s="148"/>
      <c r="U481" s="148"/>
      <c r="V481" s="148"/>
      <c r="W481" s="146"/>
      <c r="X481" s="139"/>
      <c r="Y481" s="139"/>
      <c r="Z481" s="139"/>
      <c r="AA481" s="165"/>
      <c r="AB481" s="151"/>
      <c r="AC481" s="129"/>
      <c r="AD481" s="162"/>
      <c r="AE481" s="152"/>
      <c r="AF481" s="202"/>
      <c r="AG481" s="772"/>
      <c r="AH481" s="775"/>
      <c r="AI481" s="775"/>
      <c r="AJ481" s="778"/>
      <c r="AK481" s="775"/>
      <c r="AL481" s="775"/>
      <c r="AM481" s="775"/>
      <c r="AN481" s="808"/>
      <c r="AO481" s="797"/>
      <c r="AP481" s="797"/>
      <c r="AQ481" s="806"/>
      <c r="AR481" s="806"/>
      <c r="AS481" s="806"/>
      <c r="AT481" s="806"/>
      <c r="AU481" s="795"/>
      <c r="AV481" s="795"/>
      <c r="AW481" s="795"/>
      <c r="AX481" s="797"/>
      <c r="AY481" s="159"/>
    </row>
    <row r="482" spans="1:51" ht="27" x14ac:dyDescent="0.25">
      <c r="A482" s="815"/>
      <c r="B482" s="1043"/>
      <c r="C482" s="838"/>
      <c r="D482" s="136" t="s">
        <v>43</v>
      </c>
      <c r="E482" s="142"/>
      <c r="F482" s="143"/>
      <c r="G482" s="144">
        <v>3254</v>
      </c>
      <c r="H482" s="155">
        <v>2953</v>
      </c>
      <c r="I482" s="144">
        <v>2657</v>
      </c>
      <c r="J482" s="138">
        <v>2357</v>
      </c>
      <c r="K482" s="137"/>
      <c r="L482" s="138"/>
      <c r="M482" s="138"/>
      <c r="N482" s="138"/>
      <c r="O482" s="138">
        <f>+O478</f>
        <v>1243</v>
      </c>
      <c r="P482" s="138">
        <v>592</v>
      </c>
      <c r="Q482" s="138">
        <v>290</v>
      </c>
      <c r="R482" s="147">
        <v>0</v>
      </c>
      <c r="S482" s="139"/>
      <c r="T482" s="148"/>
      <c r="U482" s="148"/>
      <c r="V482" s="148"/>
      <c r="W482" s="146"/>
      <c r="X482" s="139"/>
      <c r="Y482" s="139"/>
      <c r="Z482" s="139"/>
      <c r="AA482" s="165"/>
      <c r="AB482" s="151"/>
      <c r="AC482" s="129"/>
      <c r="AD482" s="162"/>
      <c r="AE482" s="152"/>
      <c r="AF482" s="202"/>
      <c r="AG482" s="772"/>
      <c r="AH482" s="775"/>
      <c r="AI482" s="775"/>
      <c r="AJ482" s="778"/>
      <c r="AK482" s="775"/>
      <c r="AL482" s="775"/>
      <c r="AM482" s="775"/>
      <c r="AN482" s="808"/>
      <c r="AO482" s="797"/>
      <c r="AP482" s="797"/>
      <c r="AQ482" s="806"/>
      <c r="AR482" s="806"/>
      <c r="AS482" s="806"/>
      <c r="AT482" s="806"/>
      <c r="AU482" s="795"/>
      <c r="AV482" s="795"/>
      <c r="AW482" s="795"/>
      <c r="AX482" s="797"/>
      <c r="AY482" s="159"/>
    </row>
    <row r="483" spans="1:51" ht="27.75" thickBot="1" x14ac:dyDescent="0.3">
      <c r="A483" s="815"/>
      <c r="B483" s="1043"/>
      <c r="C483" s="838"/>
      <c r="D483" s="140" t="s">
        <v>45</v>
      </c>
      <c r="E483" s="142"/>
      <c r="F483" s="143"/>
      <c r="G483" s="144">
        <f>+G482*$G$299/$G$298</f>
        <v>31875254.285714287</v>
      </c>
      <c r="H483" s="144">
        <f>+H482*$H$299/$H$298</f>
        <v>28926744.285714287</v>
      </c>
      <c r="I483" s="144" t="e">
        <f>+I482*$I$299/$I$298</f>
        <v>#REF!</v>
      </c>
      <c r="J483" s="138" t="e">
        <f>+J482*$J$299/$J$298</f>
        <v>#REF!</v>
      </c>
      <c r="K483" s="137"/>
      <c r="L483" s="138"/>
      <c r="M483" s="138"/>
      <c r="N483" s="138"/>
      <c r="O483" s="138">
        <f>+O479</f>
        <v>12204271.199999999</v>
      </c>
      <c r="P483" s="138" t="e">
        <f>+P482*$P$299/$P$298</f>
        <v>#REF!</v>
      </c>
      <c r="Q483" s="138" t="e">
        <f>+Q482*$Q$299/$Q$298</f>
        <v>#REF!</v>
      </c>
      <c r="R483" s="138" t="e">
        <f>+R482*$R$299/$R$298</f>
        <v>#REF!</v>
      </c>
      <c r="S483" s="139"/>
      <c r="T483" s="148"/>
      <c r="U483" s="148"/>
      <c r="V483" s="148"/>
      <c r="W483" s="146"/>
      <c r="X483" s="139"/>
      <c r="Y483" s="139"/>
      <c r="Z483" s="139"/>
      <c r="AA483" s="165"/>
      <c r="AB483" s="151"/>
      <c r="AC483" s="129"/>
      <c r="AD483" s="162"/>
      <c r="AE483" s="152"/>
      <c r="AF483" s="202"/>
      <c r="AG483" s="773"/>
      <c r="AH483" s="776"/>
      <c r="AI483" s="776"/>
      <c r="AJ483" s="779"/>
      <c r="AK483" s="776"/>
      <c r="AL483" s="776"/>
      <c r="AM483" s="776"/>
      <c r="AN483" s="808"/>
      <c r="AO483" s="798"/>
      <c r="AP483" s="798"/>
      <c r="AQ483" s="806"/>
      <c r="AR483" s="806"/>
      <c r="AS483" s="806"/>
      <c r="AT483" s="806"/>
      <c r="AU483" s="795"/>
      <c r="AV483" s="795"/>
      <c r="AW483" s="795"/>
      <c r="AX483" s="798"/>
      <c r="AY483" s="159"/>
    </row>
    <row r="484" spans="1:51" ht="25.5" customHeight="1" x14ac:dyDescent="0.25">
      <c r="A484" s="815"/>
      <c r="B484" s="1043"/>
      <c r="C484" s="838" t="s">
        <v>410</v>
      </c>
      <c r="D484" s="141" t="s">
        <v>41</v>
      </c>
      <c r="E484" s="142"/>
      <c r="F484" s="143"/>
      <c r="G484" s="144">
        <f t="shared" ref="G484:G489" si="23">+G322+G328+G334+G346+G478</f>
        <v>3500</v>
      </c>
      <c r="H484" s="144">
        <f>H316+H322+H328+H334+H346+H352+H478</f>
        <v>3500</v>
      </c>
      <c r="I484" s="144">
        <f>I316+I322+I328+I334+I340+I346+I352+I412+I418+I478</f>
        <v>3500</v>
      </c>
      <c r="J484" s="138">
        <f>J316+J322+J328+J334+J340+J346+J352+J388+J412+J418+J478</f>
        <v>3500</v>
      </c>
      <c r="K484" s="145">
        <v>3500</v>
      </c>
      <c r="L484" s="138"/>
      <c r="M484" s="138"/>
      <c r="N484" s="138">
        <f>+N304+N334+N394+N460+N478</f>
        <v>1887</v>
      </c>
      <c r="O484" s="138">
        <f>+O304+O334+O394+O460+O478</f>
        <v>1371</v>
      </c>
      <c r="P484" s="138">
        <f t="shared" ref="P484:P489" si="24">+P304+P328+P334+P394+P436+P454+P460+P478</f>
        <v>2474</v>
      </c>
      <c r="Q484" s="138">
        <f t="shared" ref="Q484:Q489" si="25">+Q304+Q328+Q334+Q388+Q394+Q400+Q436+Q454+Q460+Q478</f>
        <v>2474</v>
      </c>
      <c r="R484" s="138">
        <f t="shared" ref="R484:R489" si="26">+R304+R328+R334+R346+R388+R394+R400+R436+R454+R460+R478</f>
        <v>2859</v>
      </c>
      <c r="S484" s="139"/>
      <c r="T484" s="144">
        <f t="shared" ref="T484:T489" si="27">+T322+T328+T334+T346+T478</f>
        <v>246</v>
      </c>
      <c r="U484" s="144">
        <f t="shared" ref="U484:U489" si="28">U316+U322+U328+U334+U346+U352+U478</f>
        <v>547</v>
      </c>
      <c r="V484" s="144">
        <f>V316+V322+V328+V334+V340+V346+V352+V412+V418+V478</f>
        <v>843</v>
      </c>
      <c r="W484" s="138">
        <f>W316+W322+W328+W334+W340+W346+W352+W388+W412+W418+W478</f>
        <v>1143</v>
      </c>
      <c r="X484" s="190">
        <v>1463</v>
      </c>
      <c r="Y484" s="139"/>
      <c r="Z484" s="139"/>
      <c r="AA484" s="137">
        <f t="shared" ref="AA484:AA489" si="29">+AA304+AA334+AA394+AA460+AA478</f>
        <v>128</v>
      </c>
      <c r="AB484" s="188">
        <f>+AB304+AB334+AB394+AB460</f>
        <v>68</v>
      </c>
      <c r="AC484" s="137">
        <f t="shared" ref="AC484:AC489" si="30">+AC304+AC328+AC334+AC394+AC436+AC454+AC460+AC478</f>
        <v>1882</v>
      </c>
      <c r="AD484" s="137">
        <f t="shared" ref="AD484:AD489" si="31">+AD304+AD328+AD334+AD388+AD394+AD400+AD436+AD454+AD460+AD478</f>
        <v>2184.04</v>
      </c>
      <c r="AE484" s="137">
        <f t="shared" ref="AE484:AE489" si="32">+AE304+AE328+AE334+AE346+AE388+AE394+AE400+AE436+AE454+AE460+AE478</f>
        <v>2859</v>
      </c>
      <c r="AF484" s="202"/>
      <c r="AG484" s="817"/>
      <c r="AH484" s="818"/>
      <c r="AI484" s="818"/>
      <c r="AJ484" s="777"/>
      <c r="AK484" s="824"/>
      <c r="AL484" s="774" t="s">
        <v>70</v>
      </c>
      <c r="AM484" s="827" t="s">
        <v>480</v>
      </c>
      <c r="AN484" s="808">
        <v>7804660</v>
      </c>
      <c r="AO484" s="796">
        <v>3721767</v>
      </c>
      <c r="AP484" s="796">
        <v>4082893</v>
      </c>
      <c r="AQ484" s="795" t="s">
        <v>317</v>
      </c>
      <c r="AR484" s="795" t="s">
        <v>317</v>
      </c>
      <c r="AS484" s="795" t="s">
        <v>317</v>
      </c>
      <c r="AT484" s="795" t="s">
        <v>317</v>
      </c>
      <c r="AU484" s="795" t="s">
        <v>317</v>
      </c>
      <c r="AV484" s="795" t="s">
        <v>317</v>
      </c>
      <c r="AW484" s="795" t="s">
        <v>317</v>
      </c>
      <c r="AX484" s="796">
        <v>7804660</v>
      </c>
      <c r="AY484" s="159"/>
    </row>
    <row r="485" spans="1:51" ht="28.5" customHeight="1" x14ac:dyDescent="0.25">
      <c r="A485" s="815"/>
      <c r="B485" s="1043"/>
      <c r="C485" s="838"/>
      <c r="D485" s="132" t="s">
        <v>3</v>
      </c>
      <c r="E485" s="142"/>
      <c r="F485" s="143"/>
      <c r="G485" s="144">
        <f t="shared" si="23"/>
        <v>34285000</v>
      </c>
      <c r="H485" s="144">
        <f>+H323+H329+H335+H347+H479</f>
        <v>31336490</v>
      </c>
      <c r="I485" s="144" t="e">
        <f t="shared" ref="I485:I489" si="33">I317+I323+I329+I335+I341+I347+I353+I413+I419+I479</f>
        <v>#REF!</v>
      </c>
      <c r="J485" s="138" t="e">
        <f t="shared" ref="J485:J489" si="34">J317+J323+J329+J335+J341+J347+J353+J389+J413+J419+J479</f>
        <v>#REF!</v>
      </c>
      <c r="K485" s="137"/>
      <c r="L485" s="138"/>
      <c r="M485" s="138"/>
      <c r="N485" s="138">
        <f>+N305+N335+N395+N461+N479</f>
        <v>18527320.800000001</v>
      </c>
      <c r="O485" s="138">
        <f>+O484*$O$299/$O$298</f>
        <v>13461026.4</v>
      </c>
      <c r="P485" s="138" t="e">
        <f t="shared" si="24"/>
        <v>#REF!</v>
      </c>
      <c r="Q485" s="138" t="e">
        <f t="shared" si="25"/>
        <v>#REF!</v>
      </c>
      <c r="R485" s="138" t="e">
        <f t="shared" si="26"/>
        <v>#REF!</v>
      </c>
      <c r="S485" s="139"/>
      <c r="T485" s="144">
        <f t="shared" si="27"/>
        <v>0</v>
      </c>
      <c r="U485" s="144">
        <f t="shared" si="28"/>
        <v>27200000</v>
      </c>
      <c r="V485" s="144" t="e">
        <f t="shared" ref="V485:V489" si="35">V317+V323+V329+V335+V341+V347+V353+V413+V419+V479</f>
        <v>#REF!</v>
      </c>
      <c r="W485" s="138" t="e">
        <f t="shared" ref="W485:W489" si="36">W317+W323+W329+W335+W341+W347+W353+W389+W413+W419+W479</f>
        <v>#REF!</v>
      </c>
      <c r="X485" s="139"/>
      <c r="Y485" s="139"/>
      <c r="Z485" s="139"/>
      <c r="AA485" s="137">
        <f t="shared" si="29"/>
        <v>1835184.8852901482</v>
      </c>
      <c r="AB485" s="137">
        <f>+AB484*$O$299/$O$298</f>
        <v>667651.19999999995</v>
      </c>
      <c r="AC485" s="137" t="e">
        <f t="shared" si="30"/>
        <v>#REF!</v>
      </c>
      <c r="AD485" s="137" t="e">
        <f t="shared" si="31"/>
        <v>#REF!</v>
      </c>
      <c r="AE485" s="137" t="e">
        <f t="shared" si="32"/>
        <v>#REF!</v>
      </c>
      <c r="AF485" s="202"/>
      <c r="AG485" s="817"/>
      <c r="AH485" s="818"/>
      <c r="AI485" s="818"/>
      <c r="AJ485" s="778"/>
      <c r="AK485" s="825"/>
      <c r="AL485" s="775"/>
      <c r="AM485" s="827"/>
      <c r="AN485" s="808"/>
      <c r="AO485" s="797"/>
      <c r="AP485" s="797"/>
      <c r="AQ485" s="795"/>
      <c r="AR485" s="795"/>
      <c r="AS485" s="795"/>
      <c r="AT485" s="795"/>
      <c r="AU485" s="795"/>
      <c r="AV485" s="795"/>
      <c r="AW485" s="795"/>
      <c r="AX485" s="797"/>
      <c r="AY485" s="159"/>
    </row>
    <row r="486" spans="1:51" ht="27" x14ac:dyDescent="0.25">
      <c r="A486" s="815"/>
      <c r="B486" s="1043"/>
      <c r="C486" s="838"/>
      <c r="D486" s="136" t="s">
        <v>42</v>
      </c>
      <c r="E486" s="142"/>
      <c r="F486" s="143"/>
      <c r="G486" s="144">
        <f t="shared" si="23"/>
        <v>0</v>
      </c>
      <c r="H486" s="144">
        <f>+H324+H330+H336+H348+H480</f>
        <v>0</v>
      </c>
      <c r="I486" s="144">
        <f t="shared" si="33"/>
        <v>0</v>
      </c>
      <c r="J486" s="138">
        <f t="shared" si="34"/>
        <v>0</v>
      </c>
      <c r="K486" s="137"/>
      <c r="L486" s="138"/>
      <c r="M486" s="138"/>
      <c r="N486" s="138">
        <f>+N306+N336+N396+N462+N480</f>
        <v>0</v>
      </c>
      <c r="O486" s="138"/>
      <c r="P486" s="138">
        <f t="shared" si="24"/>
        <v>0</v>
      </c>
      <c r="Q486" s="138">
        <f t="shared" si="25"/>
        <v>0</v>
      </c>
      <c r="R486" s="138">
        <f t="shared" si="26"/>
        <v>0</v>
      </c>
      <c r="S486" s="139"/>
      <c r="T486" s="144">
        <f t="shared" si="27"/>
        <v>0</v>
      </c>
      <c r="U486" s="144">
        <f t="shared" si="28"/>
        <v>0</v>
      </c>
      <c r="V486" s="144">
        <f t="shared" si="35"/>
        <v>0</v>
      </c>
      <c r="W486" s="138">
        <f t="shared" si="36"/>
        <v>0</v>
      </c>
      <c r="X486" s="139"/>
      <c r="Y486" s="139"/>
      <c r="Z486" s="139"/>
      <c r="AA486" s="137">
        <f t="shared" si="29"/>
        <v>0</v>
      </c>
      <c r="AB486" s="151"/>
      <c r="AC486" s="137">
        <f t="shared" si="30"/>
        <v>0</v>
      </c>
      <c r="AD486" s="137" t="e">
        <f t="shared" si="31"/>
        <v>#REF!</v>
      </c>
      <c r="AE486" s="137">
        <f t="shared" si="32"/>
        <v>0</v>
      </c>
      <c r="AF486" s="202"/>
      <c r="AG486" s="817"/>
      <c r="AH486" s="818"/>
      <c r="AI486" s="818"/>
      <c r="AJ486" s="778"/>
      <c r="AK486" s="825"/>
      <c r="AL486" s="775"/>
      <c r="AM486" s="827"/>
      <c r="AN486" s="808"/>
      <c r="AO486" s="797"/>
      <c r="AP486" s="797"/>
      <c r="AQ486" s="795"/>
      <c r="AR486" s="795"/>
      <c r="AS486" s="795"/>
      <c r="AT486" s="795"/>
      <c r="AU486" s="795"/>
      <c r="AV486" s="795"/>
      <c r="AW486" s="795"/>
      <c r="AX486" s="797"/>
      <c r="AY486" s="159"/>
    </row>
    <row r="487" spans="1:51" ht="27" x14ac:dyDescent="0.25">
      <c r="A487" s="815"/>
      <c r="B487" s="1043"/>
      <c r="C487" s="838"/>
      <c r="D487" s="132" t="s">
        <v>4</v>
      </c>
      <c r="E487" s="142"/>
      <c r="F487" s="143"/>
      <c r="G487" s="144">
        <f t="shared" si="23"/>
        <v>0</v>
      </c>
      <c r="H487" s="144">
        <f>+H325+H331+H337+H349+H481</f>
        <v>0</v>
      </c>
      <c r="I487" s="144">
        <f t="shared" si="33"/>
        <v>0</v>
      </c>
      <c r="J487" s="138">
        <f t="shared" si="34"/>
        <v>0</v>
      </c>
      <c r="K487" s="137"/>
      <c r="L487" s="138"/>
      <c r="M487" s="138"/>
      <c r="N487" s="138">
        <f>+N307+N337+N397+N463+N481</f>
        <v>0</v>
      </c>
      <c r="O487" s="138"/>
      <c r="P487" s="138">
        <f t="shared" si="24"/>
        <v>0</v>
      </c>
      <c r="Q487" s="138">
        <f t="shared" si="25"/>
        <v>0</v>
      </c>
      <c r="R487" s="138">
        <f t="shared" si="26"/>
        <v>0</v>
      </c>
      <c r="S487" s="139"/>
      <c r="T487" s="144">
        <f t="shared" si="27"/>
        <v>3718400</v>
      </c>
      <c r="U487" s="144">
        <f t="shared" si="28"/>
        <v>3718400</v>
      </c>
      <c r="V487" s="144">
        <f t="shared" si="35"/>
        <v>0</v>
      </c>
      <c r="W487" s="138">
        <f t="shared" si="36"/>
        <v>0</v>
      </c>
      <c r="X487" s="139"/>
      <c r="Y487" s="139"/>
      <c r="Z487" s="139"/>
      <c r="AA487" s="137">
        <f t="shared" si="29"/>
        <v>0</v>
      </c>
      <c r="AB487" s="151"/>
      <c r="AC487" s="137">
        <f t="shared" si="30"/>
        <v>0</v>
      </c>
      <c r="AD487" s="137" t="e">
        <f t="shared" si="31"/>
        <v>#REF!</v>
      </c>
      <c r="AE487" s="137">
        <f t="shared" si="32"/>
        <v>0</v>
      </c>
      <c r="AF487" s="202"/>
      <c r="AG487" s="817"/>
      <c r="AH487" s="818"/>
      <c r="AI487" s="818"/>
      <c r="AJ487" s="778"/>
      <c r="AK487" s="825"/>
      <c r="AL487" s="775"/>
      <c r="AM487" s="827"/>
      <c r="AN487" s="808"/>
      <c r="AO487" s="797"/>
      <c r="AP487" s="797"/>
      <c r="AQ487" s="795"/>
      <c r="AR487" s="795"/>
      <c r="AS487" s="795"/>
      <c r="AT487" s="795"/>
      <c r="AU487" s="795"/>
      <c r="AV487" s="795"/>
      <c r="AW487" s="795"/>
      <c r="AX487" s="797"/>
      <c r="AY487" s="159"/>
    </row>
    <row r="488" spans="1:51" ht="27" x14ac:dyDescent="0.25">
      <c r="A488" s="815"/>
      <c r="B488" s="1043"/>
      <c r="C488" s="838"/>
      <c r="D488" s="136" t="s">
        <v>43</v>
      </c>
      <c r="E488" s="142"/>
      <c r="F488" s="143"/>
      <c r="G488" s="144">
        <f t="shared" si="23"/>
        <v>3500</v>
      </c>
      <c r="H488" s="144">
        <f>+H326+H332+H338+H350+H482</f>
        <v>3199</v>
      </c>
      <c r="I488" s="144">
        <f t="shared" si="33"/>
        <v>3500</v>
      </c>
      <c r="J488" s="138">
        <f t="shared" si="34"/>
        <v>3500</v>
      </c>
      <c r="K488" s="137"/>
      <c r="L488" s="138"/>
      <c r="M488" s="138"/>
      <c r="N488" s="138">
        <f>+N308+N338+N398+N464+N482</f>
        <v>0</v>
      </c>
      <c r="O488" s="138">
        <f>+O484</f>
        <v>1371</v>
      </c>
      <c r="P488" s="138">
        <f t="shared" si="24"/>
        <v>2474</v>
      </c>
      <c r="Q488" s="138">
        <f t="shared" si="25"/>
        <v>2474</v>
      </c>
      <c r="R488" s="138">
        <f t="shared" si="26"/>
        <v>2859</v>
      </c>
      <c r="S488" s="139"/>
      <c r="T488" s="144">
        <f t="shared" si="27"/>
        <v>246</v>
      </c>
      <c r="U488" s="144">
        <f t="shared" si="28"/>
        <v>547</v>
      </c>
      <c r="V488" s="144">
        <f t="shared" si="35"/>
        <v>843</v>
      </c>
      <c r="W488" s="138">
        <f t="shared" si="36"/>
        <v>1143</v>
      </c>
      <c r="X488" s="139"/>
      <c r="Y488" s="139"/>
      <c r="Z488" s="139"/>
      <c r="AA488" s="137">
        <f t="shared" si="29"/>
        <v>0</v>
      </c>
      <c r="AB488" s="137">
        <f>+AB484</f>
        <v>68</v>
      </c>
      <c r="AC488" s="137">
        <f t="shared" si="30"/>
        <v>1882</v>
      </c>
      <c r="AD488" s="137">
        <f t="shared" si="31"/>
        <v>2184.04</v>
      </c>
      <c r="AE488" s="137">
        <f t="shared" si="32"/>
        <v>2859</v>
      </c>
      <c r="AF488" s="202"/>
      <c r="AG488" s="817"/>
      <c r="AH488" s="818"/>
      <c r="AI488" s="818"/>
      <c r="AJ488" s="778"/>
      <c r="AK488" s="825"/>
      <c r="AL488" s="775"/>
      <c r="AM488" s="827"/>
      <c r="AN488" s="808"/>
      <c r="AO488" s="797"/>
      <c r="AP488" s="797"/>
      <c r="AQ488" s="795"/>
      <c r="AR488" s="795"/>
      <c r="AS488" s="795"/>
      <c r="AT488" s="795"/>
      <c r="AU488" s="795"/>
      <c r="AV488" s="795"/>
      <c r="AW488" s="795"/>
      <c r="AX488" s="797"/>
      <c r="AY488" s="159"/>
    </row>
    <row r="489" spans="1:51" ht="27.75" thickBot="1" x14ac:dyDescent="0.3">
      <c r="A489" s="816"/>
      <c r="B489" s="1048"/>
      <c r="C489" s="838"/>
      <c r="D489" s="140" t="s">
        <v>45</v>
      </c>
      <c r="E489" s="204"/>
      <c r="F489" s="205"/>
      <c r="G489" s="144">
        <f t="shared" si="23"/>
        <v>34285000</v>
      </c>
      <c r="H489" s="144">
        <f>+H327+H333+H339+H351+H483</f>
        <v>31336490</v>
      </c>
      <c r="I489" s="144" t="e">
        <f t="shared" si="33"/>
        <v>#REF!</v>
      </c>
      <c r="J489" s="138" t="e">
        <f t="shared" si="34"/>
        <v>#REF!</v>
      </c>
      <c r="K489" s="137"/>
      <c r="L489" s="138"/>
      <c r="M489" s="138"/>
      <c r="N489" s="138">
        <f>+N309+N339+N399+N465+N483</f>
        <v>0</v>
      </c>
      <c r="O489" s="138">
        <f>+O485</f>
        <v>13461026.4</v>
      </c>
      <c r="P489" s="138" t="e">
        <f t="shared" si="24"/>
        <v>#REF!</v>
      </c>
      <c r="Q489" s="138" t="e">
        <f t="shared" si="25"/>
        <v>#REF!</v>
      </c>
      <c r="R489" s="138" t="e">
        <f t="shared" si="26"/>
        <v>#REF!</v>
      </c>
      <c r="S489" s="139"/>
      <c r="T489" s="144">
        <f t="shared" si="27"/>
        <v>0</v>
      </c>
      <c r="U489" s="144">
        <f t="shared" si="28"/>
        <v>27200000</v>
      </c>
      <c r="V489" s="144" t="e">
        <f t="shared" si="35"/>
        <v>#REF!</v>
      </c>
      <c r="W489" s="138" t="e">
        <f t="shared" si="36"/>
        <v>#REF!</v>
      </c>
      <c r="X489" s="139"/>
      <c r="Y489" s="139"/>
      <c r="Z489" s="139"/>
      <c r="AA489" s="137">
        <f t="shared" si="29"/>
        <v>0</v>
      </c>
      <c r="AB489" s="137">
        <f>+AB485</f>
        <v>667651.19999999995</v>
      </c>
      <c r="AC489" s="137" t="e">
        <f t="shared" si="30"/>
        <v>#REF!</v>
      </c>
      <c r="AD489" s="137" t="e">
        <f t="shared" si="31"/>
        <v>#REF!</v>
      </c>
      <c r="AE489" s="137" t="e">
        <f t="shared" si="32"/>
        <v>#REF!</v>
      </c>
      <c r="AF489" s="202"/>
      <c r="AG489" s="817"/>
      <c r="AH489" s="818"/>
      <c r="AI489" s="818"/>
      <c r="AJ489" s="779"/>
      <c r="AK489" s="826"/>
      <c r="AL489" s="776"/>
      <c r="AM489" s="827"/>
      <c r="AN489" s="808"/>
      <c r="AO489" s="798"/>
      <c r="AP489" s="798"/>
      <c r="AQ489" s="795"/>
      <c r="AR489" s="795"/>
      <c r="AS489" s="795"/>
      <c r="AT489" s="795"/>
      <c r="AU489" s="795"/>
      <c r="AV489" s="795"/>
      <c r="AW489" s="795"/>
      <c r="AX489" s="798"/>
      <c r="AY489" s="159"/>
    </row>
    <row r="490" spans="1:51" ht="18" customHeight="1" x14ac:dyDescent="0.25">
      <c r="A490" s="814">
        <v>4</v>
      </c>
      <c r="B490" s="1042" t="s">
        <v>291</v>
      </c>
      <c r="C490" s="1110" t="s">
        <v>540</v>
      </c>
      <c r="D490" s="141" t="s">
        <v>41</v>
      </c>
      <c r="E490" s="204">
        <f>+[5]INVERSIÓN!U28</f>
        <v>0.2</v>
      </c>
      <c r="F490" s="206">
        <f>+[5]INVERSIÓN!V28</f>
        <v>0.2</v>
      </c>
      <c r="G490" s="207">
        <v>0.2</v>
      </c>
      <c r="H490" s="144">
        <v>0.2</v>
      </c>
      <c r="I490" s="144">
        <v>0.2</v>
      </c>
      <c r="J490" s="138">
        <v>0.19</v>
      </c>
      <c r="K490" s="145">
        <f>+INVERSIÓN!BA31</f>
        <v>0.15</v>
      </c>
      <c r="L490" s="138"/>
      <c r="M490" s="208">
        <f t="shared" ref="M490:M507" si="37">+F490</f>
        <v>0.2</v>
      </c>
      <c r="N490" s="138">
        <f>+[6]INVERSIÓN!K28</f>
        <v>0.05</v>
      </c>
      <c r="O490" s="138">
        <f>+[6]INVERSIÓN!M28</f>
        <v>0.05</v>
      </c>
      <c r="P490" s="138">
        <f>+[5]INVERSIÓN!O28</f>
        <v>0.05</v>
      </c>
      <c r="Q490" s="138">
        <v>0.05</v>
      </c>
      <c r="R490" s="147">
        <f>+[5]INVERSIÓN!S28</f>
        <v>0.05</v>
      </c>
      <c r="S490" s="217" t="s">
        <v>668</v>
      </c>
      <c r="T490" s="174">
        <f>+[5]INVERSIÓN!W28</f>
        <v>0.06</v>
      </c>
      <c r="U490" s="174">
        <f>+[5]INVERSIÓN!DR28</f>
        <v>0.09</v>
      </c>
      <c r="V490" s="174" t="e">
        <f>+#REF!</f>
        <v>#REF!</v>
      </c>
      <c r="W490" s="175" t="e">
        <f>+#REF!</f>
        <v>#REF!</v>
      </c>
      <c r="X490" s="217">
        <f>+INVERSIÓN!BB31</f>
        <v>0.15000000000000002</v>
      </c>
      <c r="Y490" s="177"/>
      <c r="Z490" s="177">
        <f>+[6]INVERSIÓN!J28</f>
        <v>0</v>
      </c>
      <c r="AA490" s="178">
        <f>+[6]INVERSIÓN!DX28</f>
        <v>0.01</v>
      </c>
      <c r="AB490" s="209">
        <f>+[6]INVERSIÓN!DY28</f>
        <v>0.02</v>
      </c>
      <c r="AC490" s="129">
        <f>+[5]INVERSIÓN!P28</f>
        <v>0.03</v>
      </c>
      <c r="AD490" s="210">
        <f>+[5]INVERSIÓN!R28</f>
        <v>0.04</v>
      </c>
      <c r="AE490" s="180" t="e">
        <f>+[5]INVERSIÓN!EB28</f>
        <v>#REF!</v>
      </c>
      <c r="AF490" s="1111" t="s">
        <v>668</v>
      </c>
      <c r="AG490" s="828" t="s">
        <v>541</v>
      </c>
      <c r="AH490" s="827" t="s">
        <v>70</v>
      </c>
      <c r="AI490" s="827" t="s">
        <v>70</v>
      </c>
      <c r="AJ490" s="827" t="s">
        <v>70</v>
      </c>
      <c r="AK490" s="818" t="s">
        <v>315</v>
      </c>
      <c r="AL490" s="774" t="s">
        <v>70</v>
      </c>
      <c r="AM490" s="827" t="s">
        <v>480</v>
      </c>
      <c r="AN490" s="808">
        <v>7804660</v>
      </c>
      <c r="AO490" s="796">
        <v>3721767</v>
      </c>
      <c r="AP490" s="796">
        <v>4082893</v>
      </c>
      <c r="AQ490" s="795" t="s">
        <v>317</v>
      </c>
      <c r="AR490" s="1107" t="s">
        <v>542</v>
      </c>
      <c r="AS490" s="1107">
        <f>6+9+7+10</f>
        <v>32</v>
      </c>
      <c r="AT490" s="1103" t="s">
        <v>543</v>
      </c>
      <c r="AU490" s="1103" t="s">
        <v>669</v>
      </c>
      <c r="AV490" s="795" t="s">
        <v>317</v>
      </c>
      <c r="AW490" s="795" t="s">
        <v>317</v>
      </c>
      <c r="AX490" s="796">
        <v>7804660</v>
      </c>
      <c r="AY490" s="1104" t="s">
        <v>670</v>
      </c>
    </row>
    <row r="491" spans="1:51" ht="18" x14ac:dyDescent="0.25">
      <c r="A491" s="815"/>
      <c r="B491" s="1043"/>
      <c r="C491" s="1110"/>
      <c r="D491" s="132" t="s">
        <v>3</v>
      </c>
      <c r="E491" s="204">
        <f>+[5]INVERSIÓN!U29</f>
        <v>68299000</v>
      </c>
      <c r="F491" s="206">
        <f>+[5]INVERSIÓN!V29</f>
        <v>68299000</v>
      </c>
      <c r="G491" s="207">
        <v>68299000</v>
      </c>
      <c r="H491" s="144">
        <v>68299000</v>
      </c>
      <c r="I491" s="144">
        <v>68299000</v>
      </c>
      <c r="J491" s="138">
        <v>67897116</v>
      </c>
      <c r="K491" s="145">
        <f>+INVERSIÓN!BA32</f>
        <v>76788500</v>
      </c>
      <c r="L491" s="183"/>
      <c r="M491" s="208">
        <f t="shared" si="37"/>
        <v>68299000</v>
      </c>
      <c r="N491" s="138">
        <f>+[6]INVERSIÓN!K29</f>
        <v>90000000</v>
      </c>
      <c r="O491" s="138">
        <f>+[6]INVERSIÓN!M29</f>
        <v>90000000</v>
      </c>
      <c r="P491" s="138">
        <f>+[5]INVERSIÓN!O29</f>
        <v>90000000</v>
      </c>
      <c r="Q491" s="183">
        <v>90000000</v>
      </c>
      <c r="R491" s="147">
        <f>+[5]INVERSIÓN!S29</f>
        <v>95347000</v>
      </c>
      <c r="S491" s="184"/>
      <c r="T491" s="174">
        <f>+[5]INVERSIÓN!W29</f>
        <v>0</v>
      </c>
      <c r="U491" s="174">
        <f>+[5]INVERSIÓN!DR29</f>
        <v>0</v>
      </c>
      <c r="V491" s="174" t="e">
        <f>+#REF!</f>
        <v>#REF!</v>
      </c>
      <c r="W491" s="175" t="e">
        <f>+#REF!</f>
        <v>#REF!</v>
      </c>
      <c r="X491" s="217">
        <f>+INVERSIÓN!BB32</f>
        <v>76788500</v>
      </c>
      <c r="Y491" s="184"/>
      <c r="Z491" s="177">
        <f>+[6]INVERSIÓN!J29</f>
        <v>0</v>
      </c>
      <c r="AA491" s="178">
        <f>+[6]INVERSIÓN!DX29</f>
        <v>69812000</v>
      </c>
      <c r="AB491" s="209">
        <f>+[6]INVERSIÓN!DY29</f>
        <v>69812000</v>
      </c>
      <c r="AC491" s="129">
        <f>+[5]INVERSIÓN!P29</f>
        <v>69812000</v>
      </c>
      <c r="AD491" s="210">
        <f>+[5]INVERSIÓN!R29</f>
        <v>69812000</v>
      </c>
      <c r="AE491" s="180" t="e">
        <f>+[5]INVERSIÓN!EB29</f>
        <v>#REF!</v>
      </c>
      <c r="AF491" s="1112"/>
      <c r="AG491" s="828"/>
      <c r="AH491" s="827"/>
      <c r="AI491" s="827"/>
      <c r="AJ491" s="827"/>
      <c r="AK491" s="818"/>
      <c r="AL491" s="775"/>
      <c r="AM491" s="827"/>
      <c r="AN491" s="808"/>
      <c r="AO491" s="797"/>
      <c r="AP491" s="797"/>
      <c r="AQ491" s="795"/>
      <c r="AR491" s="1108"/>
      <c r="AS491" s="1108"/>
      <c r="AT491" s="1103"/>
      <c r="AU491" s="1103"/>
      <c r="AV491" s="795"/>
      <c r="AW491" s="795"/>
      <c r="AX491" s="797"/>
      <c r="AY491" s="1105"/>
    </row>
    <row r="492" spans="1:51" ht="27" x14ac:dyDescent="0.25">
      <c r="A492" s="815"/>
      <c r="B492" s="1043"/>
      <c r="C492" s="1110"/>
      <c r="D492" s="136" t="s">
        <v>42</v>
      </c>
      <c r="E492" s="204" t="e">
        <f>+[5]INVERSIÓN!U30</f>
        <v>#REF!</v>
      </c>
      <c r="F492" s="206" t="e">
        <f>+[5]INVERSIÓN!V30</f>
        <v>#REF!</v>
      </c>
      <c r="G492" s="207">
        <v>0</v>
      </c>
      <c r="H492" s="144">
        <v>0</v>
      </c>
      <c r="I492" s="144">
        <v>0</v>
      </c>
      <c r="J492" s="138">
        <v>0</v>
      </c>
      <c r="K492" s="145">
        <f>+INVERSIÓN!BA33</f>
        <v>69040240</v>
      </c>
      <c r="L492" s="183"/>
      <c r="M492" s="208" t="e">
        <f t="shared" si="37"/>
        <v>#REF!</v>
      </c>
      <c r="N492" s="138">
        <f>+[6]INVERSIÓN!K30</f>
        <v>0</v>
      </c>
      <c r="O492" s="138">
        <f>+[6]INVERSIÓN!M30</f>
        <v>0</v>
      </c>
      <c r="P492" s="138" t="e">
        <f>+[5]INVERSIÓN!O30</f>
        <v>#REF!</v>
      </c>
      <c r="Q492" s="183">
        <v>0</v>
      </c>
      <c r="R492" s="147" t="e">
        <f>+[5]INVERSIÓN!S30</f>
        <v>#REF!</v>
      </c>
      <c r="S492" s="184"/>
      <c r="T492" s="174">
        <v>0</v>
      </c>
      <c r="U492" s="174">
        <v>0</v>
      </c>
      <c r="V492" s="174" t="e">
        <f>+#REF!</f>
        <v>#REF!</v>
      </c>
      <c r="W492" s="175" t="e">
        <f>+#REF!</f>
        <v>#REF!</v>
      </c>
      <c r="X492" s="217">
        <f>+INVERSIÓN!BB33</f>
        <v>69040240</v>
      </c>
      <c r="Y492" s="184"/>
      <c r="Z492" s="177">
        <f>+[6]INVERSIÓN!J30</f>
        <v>0</v>
      </c>
      <c r="AA492" s="178">
        <f>+[6]INVERSIÓN!DX30</f>
        <v>0</v>
      </c>
      <c r="AB492" s="209">
        <f>+[6]INVERSIÓN!DY30</f>
        <v>0</v>
      </c>
      <c r="AC492" s="129" t="e">
        <f>+[5]INVERSIÓN!P30</f>
        <v>#REF!</v>
      </c>
      <c r="AD492" s="210" t="e">
        <f>+[5]INVERSIÓN!R30</f>
        <v>#REF!</v>
      </c>
      <c r="AE492" s="180" t="e">
        <f>+[5]INVERSIÓN!EB30</f>
        <v>#REF!</v>
      </c>
      <c r="AF492" s="1112"/>
      <c r="AG492" s="828"/>
      <c r="AH492" s="827"/>
      <c r="AI492" s="827"/>
      <c r="AJ492" s="827"/>
      <c r="AK492" s="818"/>
      <c r="AL492" s="775"/>
      <c r="AM492" s="827"/>
      <c r="AN492" s="808"/>
      <c r="AO492" s="797"/>
      <c r="AP492" s="797"/>
      <c r="AQ492" s="795"/>
      <c r="AR492" s="1108"/>
      <c r="AS492" s="1108"/>
      <c r="AT492" s="1103"/>
      <c r="AU492" s="1103"/>
      <c r="AV492" s="795"/>
      <c r="AW492" s="795"/>
      <c r="AX492" s="797"/>
      <c r="AY492" s="1105"/>
    </row>
    <row r="493" spans="1:51" ht="19.149999999999999" customHeight="1" x14ac:dyDescent="0.25">
      <c r="A493" s="815"/>
      <c r="B493" s="1043"/>
      <c r="C493" s="1110"/>
      <c r="D493" s="132" t="s">
        <v>4</v>
      </c>
      <c r="E493" s="204">
        <f>+[5]INVERSIÓN!U31</f>
        <v>25242234</v>
      </c>
      <c r="F493" s="206">
        <f>+[5]INVERSIÓN!V31</f>
        <v>25242234</v>
      </c>
      <c r="G493" s="207">
        <v>25242234</v>
      </c>
      <c r="H493" s="144">
        <v>25242234</v>
      </c>
      <c r="I493" s="144">
        <v>25242234</v>
      </c>
      <c r="J493" s="138">
        <v>25242234</v>
      </c>
      <c r="K493" s="145">
        <f>+INVERSIÓN!BA34</f>
        <v>0</v>
      </c>
      <c r="L493" s="183"/>
      <c r="M493" s="208">
        <f t="shared" si="37"/>
        <v>25242234</v>
      </c>
      <c r="N493" s="138">
        <f>+[6]INVERSIÓN!K31</f>
        <v>0</v>
      </c>
      <c r="O493" s="138">
        <f>+[6]INVERSIÓN!M31</f>
        <v>0</v>
      </c>
      <c r="P493" s="138" t="e">
        <f>+[5]INVERSIÓN!O31</f>
        <v>#REF!</v>
      </c>
      <c r="Q493" s="183">
        <v>0</v>
      </c>
      <c r="R493" s="147" t="e">
        <f>+[5]INVERSIÓN!S31</f>
        <v>#REF!</v>
      </c>
      <c r="S493" s="184"/>
      <c r="T493" s="174">
        <f>+[5]INVERSIÓN!W31</f>
        <v>7079600</v>
      </c>
      <c r="U493" s="174">
        <f>+[5]INVERSIÓN!DR31</f>
        <v>16193367</v>
      </c>
      <c r="V493" s="174" t="e">
        <f>+#REF!</f>
        <v>#REF!</v>
      </c>
      <c r="W493" s="175" t="e">
        <f>+#REF!</f>
        <v>#REF!</v>
      </c>
      <c r="X493" s="217">
        <f>+INVERSIÓN!BB34</f>
        <v>0</v>
      </c>
      <c r="Y493" s="184"/>
      <c r="Z493" s="177">
        <f>+[6]INVERSIÓN!J31</f>
        <v>0</v>
      </c>
      <c r="AA493" s="178">
        <f>+[6]INVERSIÓN!DX31</f>
        <v>0</v>
      </c>
      <c r="AB493" s="209">
        <f>+[6]INVERSIÓN!DY31</f>
        <v>0</v>
      </c>
      <c r="AC493" s="129" t="e">
        <f>+[5]INVERSIÓN!P31</f>
        <v>#REF!</v>
      </c>
      <c r="AD493" s="210" t="e">
        <f>+[5]INVERSIÓN!R31</f>
        <v>#REF!</v>
      </c>
      <c r="AE493" s="180" t="e">
        <f>+[5]INVERSIÓN!EB31</f>
        <v>#REF!</v>
      </c>
      <c r="AF493" s="1112"/>
      <c r="AG493" s="828"/>
      <c r="AH493" s="827"/>
      <c r="AI493" s="827"/>
      <c r="AJ493" s="827"/>
      <c r="AK493" s="818"/>
      <c r="AL493" s="775"/>
      <c r="AM493" s="827"/>
      <c r="AN493" s="808"/>
      <c r="AO493" s="797"/>
      <c r="AP493" s="797"/>
      <c r="AQ493" s="795"/>
      <c r="AR493" s="1108"/>
      <c r="AS493" s="1108"/>
      <c r="AT493" s="1103"/>
      <c r="AU493" s="1103"/>
      <c r="AV493" s="795"/>
      <c r="AW493" s="795"/>
      <c r="AX493" s="797"/>
      <c r="AY493" s="1105"/>
    </row>
    <row r="494" spans="1:51" ht="27" x14ac:dyDescent="0.25">
      <c r="A494" s="815"/>
      <c r="B494" s="1043"/>
      <c r="C494" s="1110"/>
      <c r="D494" s="136" t="s">
        <v>43</v>
      </c>
      <c r="E494" s="204">
        <f>+[5]INVERSIÓN!U32</f>
        <v>0.2</v>
      </c>
      <c r="F494" s="206">
        <f>+[5]INVERSIÓN!V32</f>
        <v>0.2</v>
      </c>
      <c r="G494" s="207">
        <v>0.2</v>
      </c>
      <c r="H494" s="144">
        <v>0.2</v>
      </c>
      <c r="I494" s="144">
        <v>0.2</v>
      </c>
      <c r="J494" s="138">
        <v>0.2</v>
      </c>
      <c r="K494" s="145">
        <f>+INVERSIÓN!BA35</f>
        <v>25242234</v>
      </c>
      <c r="L494" s="138"/>
      <c r="M494" s="208">
        <f t="shared" si="37"/>
        <v>0.2</v>
      </c>
      <c r="N494" s="138">
        <f>+[6]INVERSIÓN!K32</f>
        <v>0.05</v>
      </c>
      <c r="O494" s="138">
        <f>+[6]INVERSIÓN!M32</f>
        <v>0.05</v>
      </c>
      <c r="P494" s="138">
        <f>+[5]INVERSIÓN!O32</f>
        <v>0.05</v>
      </c>
      <c r="Q494" s="138">
        <v>0.05</v>
      </c>
      <c r="R494" s="147">
        <f>+[5]INVERSIÓN!S32</f>
        <v>0.05</v>
      </c>
      <c r="S494" s="152"/>
      <c r="T494" s="174">
        <f>+[5]INVERSIÓN!W32</f>
        <v>0.06</v>
      </c>
      <c r="U494" s="174">
        <f>+[5]INVERSIÓN!DR32</f>
        <v>0.09</v>
      </c>
      <c r="V494" s="174" t="e">
        <f>+#REF!</f>
        <v>#REF!</v>
      </c>
      <c r="W494" s="175" t="e">
        <f>+#REF!</f>
        <v>#REF!</v>
      </c>
      <c r="X494" s="217">
        <f>+INVERSIÓN!BB35</f>
        <v>25242234</v>
      </c>
      <c r="Y494" s="152"/>
      <c r="Z494" s="177">
        <f>+[6]INVERSIÓN!J32</f>
        <v>0</v>
      </c>
      <c r="AA494" s="178">
        <f>+[6]INVERSIÓN!DX32</f>
        <v>0.01</v>
      </c>
      <c r="AB494" s="209">
        <f>+[6]INVERSIÓN!DY32</f>
        <v>0.01</v>
      </c>
      <c r="AC494" s="129">
        <f>+[5]INVERSIÓN!P32</f>
        <v>0.03</v>
      </c>
      <c r="AD494" s="210">
        <f>+[5]INVERSIÓN!R32</f>
        <v>0.04</v>
      </c>
      <c r="AE494" s="180" t="e">
        <f>+[5]INVERSIÓN!EB32</f>
        <v>#REF!</v>
      </c>
      <c r="AF494" s="1112"/>
      <c r="AG494" s="828"/>
      <c r="AH494" s="827"/>
      <c r="AI494" s="827"/>
      <c r="AJ494" s="827"/>
      <c r="AK494" s="818"/>
      <c r="AL494" s="775"/>
      <c r="AM494" s="827"/>
      <c r="AN494" s="808"/>
      <c r="AO494" s="797"/>
      <c r="AP494" s="797"/>
      <c r="AQ494" s="795"/>
      <c r="AR494" s="1108"/>
      <c r="AS494" s="1108"/>
      <c r="AT494" s="1103"/>
      <c r="AU494" s="1103"/>
      <c r="AV494" s="795"/>
      <c r="AW494" s="795"/>
      <c r="AX494" s="797"/>
      <c r="AY494" s="1105"/>
    </row>
    <row r="495" spans="1:51" ht="27.75" thickBot="1" x14ac:dyDescent="0.3">
      <c r="A495" s="815"/>
      <c r="B495" s="1043"/>
      <c r="C495" s="1110"/>
      <c r="D495" s="140" t="s">
        <v>45</v>
      </c>
      <c r="E495" s="204">
        <f>+[5]INVERSIÓN!U33</f>
        <v>93541234</v>
      </c>
      <c r="F495" s="206">
        <f>+[5]INVERSIÓN!V33</f>
        <v>93541234</v>
      </c>
      <c r="G495" s="207">
        <v>93541234</v>
      </c>
      <c r="H495" s="144">
        <v>93541234</v>
      </c>
      <c r="I495" s="144">
        <v>93541234</v>
      </c>
      <c r="J495" s="138">
        <v>93139350</v>
      </c>
      <c r="K495" s="145">
        <f>+INVERSIÓN!BA36</f>
        <v>0.15</v>
      </c>
      <c r="L495" s="186"/>
      <c r="M495" s="208">
        <f t="shared" si="37"/>
        <v>93541234</v>
      </c>
      <c r="N495" s="138">
        <f>+[6]INVERSIÓN!K33</f>
        <v>90000000</v>
      </c>
      <c r="O495" s="138">
        <f>+[6]INVERSIÓN!M33</f>
        <v>90000000</v>
      </c>
      <c r="P495" s="138">
        <f>+[5]INVERSIÓN!O33</f>
        <v>90000000</v>
      </c>
      <c r="Q495" s="186">
        <v>90000000</v>
      </c>
      <c r="R495" s="147">
        <f>+[5]INVERSIÓN!S33</f>
        <v>95347000</v>
      </c>
      <c r="S495" s="177"/>
      <c r="T495" s="174">
        <f>+[5]INVERSIÓN!W33</f>
        <v>7079600</v>
      </c>
      <c r="U495" s="174">
        <f>+[5]INVERSIÓN!DR33</f>
        <v>16193367</v>
      </c>
      <c r="V495" s="174" t="e">
        <f>+#REF!</f>
        <v>#REF!</v>
      </c>
      <c r="W495" s="175" t="e">
        <f>+#REF!</f>
        <v>#REF!</v>
      </c>
      <c r="X495" s="217">
        <f>+INVERSIÓN!BB36</f>
        <v>0.14000000000000001</v>
      </c>
      <c r="Y495" s="177"/>
      <c r="Z495" s="177">
        <f>+[6]INVERSIÓN!J33</f>
        <v>0</v>
      </c>
      <c r="AA495" s="178">
        <f>+[6]INVERSIÓN!DX33</f>
        <v>69812000</v>
      </c>
      <c r="AB495" s="209">
        <f>+[6]INVERSIÓN!DY33</f>
        <v>69812000</v>
      </c>
      <c r="AC495" s="129">
        <f>+[5]INVERSIÓN!P33</f>
        <v>69812000</v>
      </c>
      <c r="AD495" s="210">
        <f>+[5]INVERSIÓN!R33</f>
        <v>69812000</v>
      </c>
      <c r="AE495" s="180" t="e">
        <f>+[5]INVERSIÓN!EB33</f>
        <v>#REF!</v>
      </c>
      <c r="AF495" s="1112"/>
      <c r="AG495" s="828"/>
      <c r="AH495" s="827"/>
      <c r="AI495" s="827"/>
      <c r="AJ495" s="827"/>
      <c r="AK495" s="818"/>
      <c r="AL495" s="776"/>
      <c r="AM495" s="827"/>
      <c r="AN495" s="808"/>
      <c r="AO495" s="798"/>
      <c r="AP495" s="798"/>
      <c r="AQ495" s="795"/>
      <c r="AR495" s="1109"/>
      <c r="AS495" s="1109"/>
      <c r="AT495" s="1103"/>
      <c r="AU495" s="1103"/>
      <c r="AV495" s="795"/>
      <c r="AW495" s="795"/>
      <c r="AX495" s="798"/>
      <c r="AY495" s="1106"/>
    </row>
    <row r="496" spans="1:51" ht="18" customHeight="1" x14ac:dyDescent="0.25">
      <c r="A496" s="815"/>
      <c r="B496" s="1043"/>
      <c r="C496" s="838" t="s">
        <v>410</v>
      </c>
      <c r="D496" s="141" t="s">
        <v>41</v>
      </c>
      <c r="E496" s="204">
        <f t="shared" ref="E496:F501" si="38">+E490</f>
        <v>0.2</v>
      </c>
      <c r="F496" s="206">
        <f t="shared" si="38"/>
        <v>0.2</v>
      </c>
      <c r="G496" s="207">
        <v>0.2</v>
      </c>
      <c r="H496" s="207">
        <v>0.2</v>
      </c>
      <c r="I496" s="207">
        <v>0.2</v>
      </c>
      <c r="J496" s="208">
        <v>0.19</v>
      </c>
      <c r="K496" s="300">
        <f>+K490</f>
        <v>0.15</v>
      </c>
      <c r="L496" s="208"/>
      <c r="M496" s="208">
        <f t="shared" si="37"/>
        <v>0.2</v>
      </c>
      <c r="N496" s="138">
        <f>+N490</f>
        <v>0.05</v>
      </c>
      <c r="O496" s="138">
        <f>+O490</f>
        <v>0.05</v>
      </c>
      <c r="P496" s="138">
        <f>+P490</f>
        <v>0.05</v>
      </c>
      <c r="Q496" s="138">
        <f>+Q490</f>
        <v>0.05</v>
      </c>
      <c r="R496" s="147">
        <f>+R490</f>
        <v>0.05</v>
      </c>
      <c r="S496" s="203"/>
      <c r="T496" s="163">
        <f>+T490</f>
        <v>0.06</v>
      </c>
      <c r="U496" s="163">
        <f>+U490</f>
        <v>0.09</v>
      </c>
      <c r="V496" s="163" t="e">
        <f>+V490</f>
        <v>#REF!</v>
      </c>
      <c r="W496" s="146">
        <v>0.11</v>
      </c>
      <c r="X496" s="261">
        <f>+X490</f>
        <v>0.15000000000000002</v>
      </c>
      <c r="Y496" s="139"/>
      <c r="Z496" s="139"/>
      <c r="AA496" s="152">
        <f>+AA490</f>
        <v>0.01</v>
      </c>
      <c r="AB496" s="212">
        <f>+AB490</f>
        <v>0.02</v>
      </c>
      <c r="AC496" s="129">
        <f>+AC490</f>
        <v>0.03</v>
      </c>
      <c r="AD496" s="210">
        <f>+AD490</f>
        <v>0.04</v>
      </c>
      <c r="AE496" s="203" t="e">
        <f>+AE490</f>
        <v>#REF!</v>
      </c>
      <c r="AF496" s="1112"/>
      <c r="AG496" s="817" t="s">
        <v>541</v>
      </c>
      <c r="AH496" s="827" t="s">
        <v>70</v>
      </c>
      <c r="AI496" s="827" t="s">
        <v>70</v>
      </c>
      <c r="AJ496" s="827" t="s">
        <v>70</v>
      </c>
      <c r="AK496" s="818" t="s">
        <v>315</v>
      </c>
      <c r="AL496" s="827"/>
      <c r="AM496" s="827" t="s">
        <v>480</v>
      </c>
      <c r="AN496" s="808">
        <v>7804660</v>
      </c>
      <c r="AO496" s="796">
        <v>3721767</v>
      </c>
      <c r="AP496" s="796">
        <v>4082893</v>
      </c>
      <c r="AQ496" s="795" t="s">
        <v>317</v>
      </c>
      <c r="AR496" s="795" t="s">
        <v>317</v>
      </c>
      <c r="AS496" s="795" t="s">
        <v>317</v>
      </c>
      <c r="AT496" s="795" t="s">
        <v>317</v>
      </c>
      <c r="AU496" s="795" t="s">
        <v>317</v>
      </c>
      <c r="AV496" s="795" t="s">
        <v>317</v>
      </c>
      <c r="AW496" s="795" t="s">
        <v>317</v>
      </c>
      <c r="AX496" s="796">
        <v>7804660</v>
      </c>
      <c r="AY496" s="159"/>
    </row>
    <row r="497" spans="1:51" ht="18" x14ac:dyDescent="0.25">
      <c r="A497" s="815"/>
      <c r="B497" s="1043"/>
      <c r="C497" s="838"/>
      <c r="D497" s="132" t="s">
        <v>3</v>
      </c>
      <c r="E497" s="204">
        <f t="shared" si="38"/>
        <v>68299000</v>
      </c>
      <c r="F497" s="206">
        <f t="shared" si="38"/>
        <v>68299000</v>
      </c>
      <c r="G497" s="207">
        <v>68299000</v>
      </c>
      <c r="H497" s="207">
        <v>68299000</v>
      </c>
      <c r="I497" s="207">
        <v>68299000</v>
      </c>
      <c r="J497" s="208">
        <v>67897116</v>
      </c>
      <c r="K497" s="300">
        <f t="shared" ref="K497:K501" si="39">+K491</f>
        <v>76788500</v>
      </c>
      <c r="L497" s="208"/>
      <c r="M497" s="208">
        <f t="shared" si="37"/>
        <v>68299000</v>
      </c>
      <c r="N497" s="138">
        <f t="shared" ref="N497:R501" si="40">+N491</f>
        <v>90000000</v>
      </c>
      <c r="O497" s="138">
        <f t="shared" si="40"/>
        <v>90000000</v>
      </c>
      <c r="P497" s="138">
        <f t="shared" si="40"/>
        <v>90000000</v>
      </c>
      <c r="Q497" s="138">
        <f t="shared" si="40"/>
        <v>90000000</v>
      </c>
      <c r="R497" s="147">
        <f t="shared" si="40"/>
        <v>95347000</v>
      </c>
      <c r="S497" s="203"/>
      <c r="T497" s="163">
        <f t="shared" ref="T497:V501" si="41">+T491</f>
        <v>0</v>
      </c>
      <c r="U497" s="163">
        <f t="shared" si="41"/>
        <v>0</v>
      </c>
      <c r="V497" s="163" t="e">
        <f t="shared" si="41"/>
        <v>#REF!</v>
      </c>
      <c r="W497" s="164" t="e">
        <f>+W490</f>
        <v>#REF!</v>
      </c>
      <c r="X497" s="261">
        <f t="shared" ref="X497:X501" si="42">+X491</f>
        <v>76788500</v>
      </c>
      <c r="Y497" s="139"/>
      <c r="Z497" s="139"/>
      <c r="AA497" s="152">
        <f t="shared" ref="AA497:AE501" si="43">+AA491</f>
        <v>69812000</v>
      </c>
      <c r="AB497" s="212">
        <f t="shared" si="43"/>
        <v>69812000</v>
      </c>
      <c r="AC497" s="129">
        <f t="shared" si="43"/>
        <v>69812000</v>
      </c>
      <c r="AD497" s="162">
        <f t="shared" si="43"/>
        <v>69812000</v>
      </c>
      <c r="AE497" s="203" t="e">
        <f t="shared" si="43"/>
        <v>#REF!</v>
      </c>
      <c r="AF497" s="1112"/>
      <c r="AG497" s="817"/>
      <c r="AH497" s="827"/>
      <c r="AI497" s="827"/>
      <c r="AJ497" s="827"/>
      <c r="AK497" s="818"/>
      <c r="AL497" s="827"/>
      <c r="AM497" s="827"/>
      <c r="AN497" s="808"/>
      <c r="AO497" s="797"/>
      <c r="AP497" s="797"/>
      <c r="AQ497" s="795"/>
      <c r="AR497" s="795"/>
      <c r="AS497" s="795"/>
      <c r="AT497" s="795"/>
      <c r="AU497" s="795"/>
      <c r="AV497" s="795"/>
      <c r="AW497" s="795"/>
      <c r="AX497" s="797"/>
      <c r="AY497" s="159"/>
    </row>
    <row r="498" spans="1:51" ht="27" x14ac:dyDescent="0.25">
      <c r="A498" s="815"/>
      <c r="B498" s="1043"/>
      <c r="C498" s="838"/>
      <c r="D498" s="136" t="s">
        <v>42</v>
      </c>
      <c r="E498" s="204" t="e">
        <f t="shared" si="38"/>
        <v>#REF!</v>
      </c>
      <c r="F498" s="206" t="e">
        <f t="shared" si="38"/>
        <v>#REF!</v>
      </c>
      <c r="G498" s="207">
        <v>0</v>
      </c>
      <c r="H498" s="207">
        <v>0</v>
      </c>
      <c r="I498" s="207">
        <v>0</v>
      </c>
      <c r="J498" s="208">
        <v>0</v>
      </c>
      <c r="K498" s="300">
        <f t="shared" si="39"/>
        <v>69040240</v>
      </c>
      <c r="L498" s="208"/>
      <c r="M498" s="208" t="e">
        <f t="shared" si="37"/>
        <v>#REF!</v>
      </c>
      <c r="N498" s="138">
        <f t="shared" si="40"/>
        <v>0</v>
      </c>
      <c r="O498" s="138">
        <f t="shared" si="40"/>
        <v>0</v>
      </c>
      <c r="P498" s="138" t="e">
        <f t="shared" si="40"/>
        <v>#REF!</v>
      </c>
      <c r="Q498" s="138">
        <f t="shared" si="40"/>
        <v>0</v>
      </c>
      <c r="R498" s="147" t="e">
        <f t="shared" si="40"/>
        <v>#REF!</v>
      </c>
      <c r="S498" s="203"/>
      <c r="T498" s="163">
        <f t="shared" si="41"/>
        <v>0</v>
      </c>
      <c r="U498" s="163">
        <f t="shared" si="41"/>
        <v>0</v>
      </c>
      <c r="V498" s="163" t="e">
        <f t="shared" si="41"/>
        <v>#REF!</v>
      </c>
      <c r="W498" s="164" t="e">
        <f t="shared" ref="W498:W501" si="44">+W491</f>
        <v>#REF!</v>
      </c>
      <c r="X498" s="261">
        <f t="shared" si="42"/>
        <v>69040240</v>
      </c>
      <c r="Y498" s="139"/>
      <c r="Z498" s="139"/>
      <c r="AA498" s="152">
        <f t="shared" si="43"/>
        <v>0</v>
      </c>
      <c r="AB498" s="212">
        <f t="shared" si="43"/>
        <v>0</v>
      </c>
      <c r="AC498" s="129" t="e">
        <f t="shared" si="43"/>
        <v>#REF!</v>
      </c>
      <c r="AD498" s="210" t="e">
        <f t="shared" si="43"/>
        <v>#REF!</v>
      </c>
      <c r="AE498" s="203" t="e">
        <f t="shared" si="43"/>
        <v>#REF!</v>
      </c>
      <c r="AF498" s="1112"/>
      <c r="AG498" s="817"/>
      <c r="AH498" s="827"/>
      <c r="AI498" s="827"/>
      <c r="AJ498" s="827"/>
      <c r="AK498" s="818"/>
      <c r="AL498" s="827"/>
      <c r="AM498" s="827"/>
      <c r="AN498" s="808"/>
      <c r="AO498" s="797"/>
      <c r="AP498" s="797"/>
      <c r="AQ498" s="795"/>
      <c r="AR498" s="795"/>
      <c r="AS498" s="795"/>
      <c r="AT498" s="795"/>
      <c r="AU498" s="795"/>
      <c r="AV498" s="795"/>
      <c r="AW498" s="795"/>
      <c r="AX498" s="797"/>
      <c r="AY498" s="159"/>
    </row>
    <row r="499" spans="1:51" ht="28.9" customHeight="1" x14ac:dyDescent="0.25">
      <c r="A499" s="815"/>
      <c r="B499" s="1043"/>
      <c r="C499" s="838"/>
      <c r="D499" s="132" t="s">
        <v>4</v>
      </c>
      <c r="E499" s="204">
        <f t="shared" si="38"/>
        <v>25242234</v>
      </c>
      <c r="F499" s="206">
        <f t="shared" si="38"/>
        <v>25242234</v>
      </c>
      <c r="G499" s="207">
        <v>25242234</v>
      </c>
      <c r="H499" s="207">
        <v>25242234</v>
      </c>
      <c r="I499" s="207">
        <v>25242234</v>
      </c>
      <c r="J499" s="208">
        <v>25242234</v>
      </c>
      <c r="K499" s="300">
        <f t="shared" si="39"/>
        <v>0</v>
      </c>
      <c r="L499" s="208"/>
      <c r="M499" s="208">
        <f t="shared" si="37"/>
        <v>25242234</v>
      </c>
      <c r="N499" s="138">
        <f t="shared" si="40"/>
        <v>0</v>
      </c>
      <c r="O499" s="138">
        <f t="shared" si="40"/>
        <v>0</v>
      </c>
      <c r="P499" s="138" t="e">
        <f t="shared" si="40"/>
        <v>#REF!</v>
      </c>
      <c r="Q499" s="138">
        <f t="shared" si="40"/>
        <v>0</v>
      </c>
      <c r="R499" s="147" t="e">
        <f t="shared" si="40"/>
        <v>#REF!</v>
      </c>
      <c r="S499" s="203"/>
      <c r="T499" s="163">
        <f t="shared" si="41"/>
        <v>7079600</v>
      </c>
      <c r="U499" s="163">
        <f t="shared" si="41"/>
        <v>16193367</v>
      </c>
      <c r="V499" s="163" t="e">
        <f t="shared" si="41"/>
        <v>#REF!</v>
      </c>
      <c r="W499" s="164" t="e">
        <f t="shared" si="44"/>
        <v>#REF!</v>
      </c>
      <c r="X499" s="261">
        <f t="shared" si="42"/>
        <v>0</v>
      </c>
      <c r="Y499" s="139"/>
      <c r="Z499" s="139"/>
      <c r="AA499" s="152">
        <f t="shared" si="43"/>
        <v>0</v>
      </c>
      <c r="AB499" s="212">
        <f t="shared" si="43"/>
        <v>0</v>
      </c>
      <c r="AC499" s="129" t="e">
        <f t="shared" si="43"/>
        <v>#REF!</v>
      </c>
      <c r="AD499" s="210" t="e">
        <f t="shared" si="43"/>
        <v>#REF!</v>
      </c>
      <c r="AE499" s="203" t="e">
        <f t="shared" si="43"/>
        <v>#REF!</v>
      </c>
      <c r="AF499" s="1112"/>
      <c r="AG499" s="817"/>
      <c r="AH499" s="827"/>
      <c r="AI499" s="827"/>
      <c r="AJ499" s="827"/>
      <c r="AK499" s="818"/>
      <c r="AL499" s="827"/>
      <c r="AM499" s="827"/>
      <c r="AN499" s="808"/>
      <c r="AO499" s="797"/>
      <c r="AP499" s="797"/>
      <c r="AQ499" s="795"/>
      <c r="AR499" s="795"/>
      <c r="AS499" s="795"/>
      <c r="AT499" s="795"/>
      <c r="AU499" s="795"/>
      <c r="AV499" s="795"/>
      <c r="AW499" s="795"/>
      <c r="AX499" s="797"/>
      <c r="AY499" s="159"/>
    </row>
    <row r="500" spans="1:51" ht="27" x14ac:dyDescent="0.25">
      <c r="A500" s="815"/>
      <c r="B500" s="1043"/>
      <c r="C500" s="838"/>
      <c r="D500" s="136" t="s">
        <v>43</v>
      </c>
      <c r="E500" s="204">
        <f t="shared" si="38"/>
        <v>0.2</v>
      </c>
      <c r="F500" s="206">
        <f t="shared" si="38"/>
        <v>0.2</v>
      </c>
      <c r="G500" s="207">
        <v>0.2</v>
      </c>
      <c r="H500" s="207">
        <v>0.2</v>
      </c>
      <c r="I500" s="207">
        <v>0.2</v>
      </c>
      <c r="J500" s="208">
        <v>0.2</v>
      </c>
      <c r="K500" s="300">
        <f t="shared" si="39"/>
        <v>25242234</v>
      </c>
      <c r="L500" s="208"/>
      <c r="M500" s="208">
        <f t="shared" si="37"/>
        <v>0.2</v>
      </c>
      <c r="N500" s="138">
        <f t="shared" si="40"/>
        <v>0.05</v>
      </c>
      <c r="O500" s="138">
        <f t="shared" si="40"/>
        <v>0.05</v>
      </c>
      <c r="P500" s="138">
        <f t="shared" si="40"/>
        <v>0.05</v>
      </c>
      <c r="Q500" s="138">
        <f t="shared" si="40"/>
        <v>0.05</v>
      </c>
      <c r="R500" s="147">
        <f t="shared" si="40"/>
        <v>0.05</v>
      </c>
      <c r="S500" s="203"/>
      <c r="T500" s="163">
        <f t="shared" si="41"/>
        <v>0.06</v>
      </c>
      <c r="U500" s="163">
        <f t="shared" si="41"/>
        <v>0.09</v>
      </c>
      <c r="V500" s="163" t="e">
        <f t="shared" si="41"/>
        <v>#REF!</v>
      </c>
      <c r="W500" s="164" t="e">
        <f t="shared" si="44"/>
        <v>#REF!</v>
      </c>
      <c r="X500" s="261">
        <f t="shared" si="42"/>
        <v>25242234</v>
      </c>
      <c r="Y500" s="139"/>
      <c r="Z500" s="139"/>
      <c r="AA500" s="152">
        <f t="shared" si="43"/>
        <v>0.01</v>
      </c>
      <c r="AB500" s="212">
        <f t="shared" si="43"/>
        <v>0.01</v>
      </c>
      <c r="AC500" s="129">
        <f t="shared" si="43"/>
        <v>0.03</v>
      </c>
      <c r="AD500" s="210">
        <f t="shared" si="43"/>
        <v>0.04</v>
      </c>
      <c r="AE500" s="203" t="e">
        <f t="shared" si="43"/>
        <v>#REF!</v>
      </c>
      <c r="AF500" s="1112"/>
      <c r="AG500" s="817"/>
      <c r="AH500" s="827"/>
      <c r="AI500" s="827"/>
      <c r="AJ500" s="827"/>
      <c r="AK500" s="818"/>
      <c r="AL500" s="827"/>
      <c r="AM500" s="827"/>
      <c r="AN500" s="808"/>
      <c r="AO500" s="797"/>
      <c r="AP500" s="797"/>
      <c r="AQ500" s="795"/>
      <c r="AR500" s="795"/>
      <c r="AS500" s="795"/>
      <c r="AT500" s="795"/>
      <c r="AU500" s="795"/>
      <c r="AV500" s="795"/>
      <c r="AW500" s="795"/>
      <c r="AX500" s="797"/>
      <c r="AY500" s="159"/>
    </row>
    <row r="501" spans="1:51" ht="27.75" thickBot="1" x14ac:dyDescent="0.3">
      <c r="A501" s="816"/>
      <c r="B501" s="1048"/>
      <c r="C501" s="838"/>
      <c r="D501" s="140" t="s">
        <v>45</v>
      </c>
      <c r="E501" s="204">
        <f t="shared" si="38"/>
        <v>93541234</v>
      </c>
      <c r="F501" s="206">
        <f t="shared" si="38"/>
        <v>93541234</v>
      </c>
      <c r="G501" s="207">
        <v>93541234</v>
      </c>
      <c r="H501" s="207">
        <v>93541234</v>
      </c>
      <c r="I501" s="207">
        <v>93541234</v>
      </c>
      <c r="J501" s="208">
        <v>93139350</v>
      </c>
      <c r="K501" s="211">
        <f t="shared" si="39"/>
        <v>0.15</v>
      </c>
      <c r="L501" s="208"/>
      <c r="M501" s="208">
        <f t="shared" si="37"/>
        <v>93541234</v>
      </c>
      <c r="N501" s="138">
        <f t="shared" si="40"/>
        <v>90000000</v>
      </c>
      <c r="O501" s="138">
        <f t="shared" si="40"/>
        <v>90000000</v>
      </c>
      <c r="P501" s="138">
        <f t="shared" si="40"/>
        <v>90000000</v>
      </c>
      <c r="Q501" s="138">
        <f t="shared" si="40"/>
        <v>90000000</v>
      </c>
      <c r="R501" s="147">
        <f t="shared" si="40"/>
        <v>95347000</v>
      </c>
      <c r="S501" s="203"/>
      <c r="T501" s="163">
        <f t="shared" si="41"/>
        <v>7079600</v>
      </c>
      <c r="U501" s="163">
        <f t="shared" si="41"/>
        <v>16193367</v>
      </c>
      <c r="V501" s="163" t="e">
        <f t="shared" si="41"/>
        <v>#REF!</v>
      </c>
      <c r="W501" s="164" t="e">
        <f t="shared" si="44"/>
        <v>#REF!</v>
      </c>
      <c r="X501" s="203">
        <f t="shared" si="42"/>
        <v>0.14000000000000001</v>
      </c>
      <c r="Y501" s="139"/>
      <c r="Z501" s="139"/>
      <c r="AA501" s="152">
        <f t="shared" si="43"/>
        <v>69812000</v>
      </c>
      <c r="AB501" s="212">
        <f t="shared" si="43"/>
        <v>69812000</v>
      </c>
      <c r="AC501" s="129">
        <f t="shared" si="43"/>
        <v>69812000</v>
      </c>
      <c r="AD501" s="162">
        <f t="shared" si="43"/>
        <v>69812000</v>
      </c>
      <c r="AE501" s="203" t="e">
        <f t="shared" si="43"/>
        <v>#REF!</v>
      </c>
      <c r="AF501" s="1113"/>
      <c r="AG501" s="817"/>
      <c r="AH501" s="827"/>
      <c r="AI501" s="827"/>
      <c r="AJ501" s="827"/>
      <c r="AK501" s="818"/>
      <c r="AL501" s="827"/>
      <c r="AM501" s="827"/>
      <c r="AN501" s="808"/>
      <c r="AO501" s="798"/>
      <c r="AP501" s="798"/>
      <c r="AQ501" s="795"/>
      <c r="AR501" s="795"/>
      <c r="AS501" s="795"/>
      <c r="AT501" s="795"/>
      <c r="AU501" s="795"/>
      <c r="AV501" s="795"/>
      <c r="AW501" s="795"/>
      <c r="AX501" s="798"/>
      <c r="AY501" s="159"/>
    </row>
    <row r="502" spans="1:51" ht="42" customHeight="1" x14ac:dyDescent="0.25">
      <c r="A502" s="814">
        <v>5</v>
      </c>
      <c r="B502" s="1042" t="s">
        <v>293</v>
      </c>
      <c r="C502" s="838" t="s">
        <v>544</v>
      </c>
      <c r="D502" s="141" t="s">
        <v>41</v>
      </c>
      <c r="E502" s="213">
        <f>+[5]INVERSIÓN!U34</f>
        <v>160</v>
      </c>
      <c r="F502" s="214">
        <f>+[5]INVERSIÓN!V34</f>
        <v>160</v>
      </c>
      <c r="G502" s="169">
        <f>+[5]INVERSIÓN!V34</f>
        <v>160</v>
      </c>
      <c r="H502" s="169">
        <f>+[5]INVERSIÓN!X34</f>
        <v>160</v>
      </c>
      <c r="I502" s="169" t="e">
        <f>+#REF!</f>
        <v>#REF!</v>
      </c>
      <c r="J502" s="170" t="e">
        <f>+#REF!</f>
        <v>#REF!</v>
      </c>
      <c r="K502" s="215">
        <v>96</v>
      </c>
      <c r="L502" s="170"/>
      <c r="M502" s="170">
        <f t="shared" si="37"/>
        <v>160</v>
      </c>
      <c r="N502" s="172">
        <f>+[6]INVERSIÓN!K34</f>
        <v>50</v>
      </c>
      <c r="O502" s="172">
        <f>+[6]INVERSIÓN!M34</f>
        <v>50</v>
      </c>
      <c r="P502" s="170">
        <f>+[5]INVERSIÓN!O34</f>
        <v>50</v>
      </c>
      <c r="Q502" s="170">
        <f>+[5]INVERSIÓN!Q34</f>
        <v>50</v>
      </c>
      <c r="R502" s="216">
        <f>+[5]INVERSIÓN!S34</f>
        <v>50</v>
      </c>
      <c r="S502" s="177"/>
      <c r="T502" s="174">
        <f>+[5]INVERSIÓN!W34</f>
        <v>20</v>
      </c>
      <c r="U502" s="174">
        <f>+[5]INVERSIÓN!DR34</f>
        <v>40</v>
      </c>
      <c r="V502" s="174" t="e">
        <f>+#REF!</f>
        <v>#REF!</v>
      </c>
      <c r="W502" s="175" t="e">
        <f>+#REF!</f>
        <v>#REF!</v>
      </c>
      <c r="X502" s="299">
        <v>55</v>
      </c>
      <c r="Y502" s="217"/>
      <c r="Z502" s="217">
        <f>+[6]INVERSIÓN!J34</f>
        <v>0</v>
      </c>
      <c r="AA502" s="176">
        <f>+[6]INVERSIÓN!DX34</f>
        <v>5</v>
      </c>
      <c r="AB502" s="218">
        <f>+[6]INVERSIÓN!DY34</f>
        <v>10</v>
      </c>
      <c r="AC502" s="219">
        <f>+[5]INVERSIÓN!P34</f>
        <v>30</v>
      </c>
      <c r="AD502" s="219">
        <f>+[5]INVERSIÓN!R34</f>
        <v>45</v>
      </c>
      <c r="AE502" s="220" t="e">
        <f>+[5]INVERSIÓN!EB34</f>
        <v>#REF!</v>
      </c>
      <c r="AF502" s="1094" t="s">
        <v>545</v>
      </c>
      <c r="AG502" s="828" t="s">
        <v>541</v>
      </c>
      <c r="AH502" s="827" t="s">
        <v>70</v>
      </c>
      <c r="AI502" s="827" t="s">
        <v>70</v>
      </c>
      <c r="AJ502" s="827" t="s">
        <v>70</v>
      </c>
      <c r="AK502" s="818" t="s">
        <v>315</v>
      </c>
      <c r="AL502" s="827"/>
      <c r="AM502" s="827" t="s">
        <v>480</v>
      </c>
      <c r="AN502" s="808">
        <v>7804660</v>
      </c>
      <c r="AO502" s="796">
        <v>3721767</v>
      </c>
      <c r="AP502" s="796">
        <v>4082893</v>
      </c>
      <c r="AQ502" s="795" t="s">
        <v>317</v>
      </c>
      <c r="AR502" s="843" t="s">
        <v>317</v>
      </c>
      <c r="AS502" s="843" t="s">
        <v>317</v>
      </c>
      <c r="AT502" s="843" t="s">
        <v>317</v>
      </c>
      <c r="AU502" s="843" t="s">
        <v>317</v>
      </c>
      <c r="AV502" s="843" t="s">
        <v>317</v>
      </c>
      <c r="AW502" s="843" t="s">
        <v>317</v>
      </c>
      <c r="AX502" s="796">
        <v>7804660</v>
      </c>
      <c r="AY502" s="868"/>
    </row>
    <row r="503" spans="1:51" ht="42" customHeight="1" x14ac:dyDescent="0.25">
      <c r="A503" s="815"/>
      <c r="B503" s="1043"/>
      <c r="C503" s="838"/>
      <c r="D503" s="132" t="s">
        <v>3</v>
      </c>
      <c r="E503" s="213">
        <f>+[5]INVERSIÓN!U35</f>
        <v>699388000</v>
      </c>
      <c r="F503" s="214">
        <f>+[5]INVERSIÓN!V35</f>
        <v>699388000</v>
      </c>
      <c r="G503" s="169">
        <f>+[5]INVERSIÓN!V35</f>
        <v>699388000</v>
      </c>
      <c r="H503" s="169">
        <f>+[5]INVERSIÓN!X35</f>
        <v>699388000</v>
      </c>
      <c r="I503" s="169" t="e">
        <f>+#REF!</f>
        <v>#REF!</v>
      </c>
      <c r="J503" s="170" t="e">
        <f>+#REF!</f>
        <v>#REF!</v>
      </c>
      <c r="K503" s="182"/>
      <c r="L503" s="183"/>
      <c r="M503" s="170">
        <f t="shared" si="37"/>
        <v>699388000</v>
      </c>
      <c r="N503" s="172">
        <f>+[6]INVERSIÓN!K35</f>
        <v>641192490</v>
      </c>
      <c r="O503" s="172">
        <f>+[6]INVERSIÓN!M35</f>
        <v>641192490</v>
      </c>
      <c r="P503" s="170">
        <f>+[5]INVERSIÓN!O35</f>
        <v>734428327</v>
      </c>
      <c r="Q503" s="170">
        <f>+[5]INVERSIÓN!Q35</f>
        <v>714428327</v>
      </c>
      <c r="R503" s="216">
        <f>+[5]INVERSIÓN!S35</f>
        <v>714428327</v>
      </c>
      <c r="S503" s="184"/>
      <c r="T503" s="174">
        <f>+[5]INVERSIÓN!W35</f>
        <v>0</v>
      </c>
      <c r="U503" s="174">
        <f>+[5]INVERSIÓN!DR35</f>
        <v>61356000</v>
      </c>
      <c r="V503" s="174" t="e">
        <f>+#REF!</f>
        <v>#REF!</v>
      </c>
      <c r="W503" s="175" t="e">
        <f>+#REF!</f>
        <v>#REF!</v>
      </c>
      <c r="X503" s="184"/>
      <c r="Y503" s="221"/>
      <c r="Z503" s="217">
        <f>+[6]INVERSIÓN!J35</f>
        <v>328110000</v>
      </c>
      <c r="AA503" s="176">
        <f>+[6]INVERSIÓN!DX35</f>
        <v>519353000</v>
      </c>
      <c r="AB503" s="218">
        <f>+[6]INVERSIÓN!DY35</f>
        <v>532019000</v>
      </c>
      <c r="AC503" s="219">
        <f>+[5]INVERSIÓN!P35</f>
        <v>532019000</v>
      </c>
      <c r="AD503" s="219">
        <f>+[5]INVERSIÓN!R35</f>
        <v>556969163</v>
      </c>
      <c r="AE503" s="220" t="e">
        <f>+[5]INVERSIÓN!EB35</f>
        <v>#REF!</v>
      </c>
      <c r="AF503" s="1095"/>
      <c r="AG503" s="828"/>
      <c r="AH503" s="827"/>
      <c r="AI503" s="827"/>
      <c r="AJ503" s="827"/>
      <c r="AK503" s="818"/>
      <c r="AL503" s="827"/>
      <c r="AM503" s="827"/>
      <c r="AN503" s="808"/>
      <c r="AO503" s="797"/>
      <c r="AP503" s="797"/>
      <c r="AQ503" s="795"/>
      <c r="AR503" s="844"/>
      <c r="AS503" s="844"/>
      <c r="AT503" s="844"/>
      <c r="AU503" s="844"/>
      <c r="AV503" s="844"/>
      <c r="AW503" s="844"/>
      <c r="AX503" s="797"/>
      <c r="AY503" s="869"/>
    </row>
    <row r="504" spans="1:51" ht="42" customHeight="1" x14ac:dyDescent="0.25">
      <c r="A504" s="815"/>
      <c r="B504" s="1043"/>
      <c r="C504" s="838"/>
      <c r="D504" s="136" t="s">
        <v>42</v>
      </c>
      <c r="E504" s="213" t="e">
        <f>+[5]INVERSIÓN!U36</f>
        <v>#REF!</v>
      </c>
      <c r="F504" s="214" t="e">
        <f>+[5]INVERSIÓN!V36</f>
        <v>#REF!</v>
      </c>
      <c r="G504" s="169">
        <v>0</v>
      </c>
      <c r="H504" s="169">
        <v>0</v>
      </c>
      <c r="I504" s="169" t="e">
        <f>+#REF!</f>
        <v>#REF!</v>
      </c>
      <c r="J504" s="170" t="e">
        <f>+#REF!</f>
        <v>#REF!</v>
      </c>
      <c r="K504" s="137"/>
      <c r="L504" s="138"/>
      <c r="M504" s="170" t="e">
        <f t="shared" si="37"/>
        <v>#REF!</v>
      </c>
      <c r="N504" s="172">
        <f>+[6]INVERSIÓN!K36</f>
        <v>0</v>
      </c>
      <c r="O504" s="172">
        <f>+[6]INVERSIÓN!M36</f>
        <v>0</v>
      </c>
      <c r="P504" s="170" t="e">
        <f>+[5]INVERSIÓN!O36</f>
        <v>#REF!</v>
      </c>
      <c r="Q504" s="170" t="e">
        <f>+[5]INVERSIÓN!Q36</f>
        <v>#REF!</v>
      </c>
      <c r="R504" s="216" t="e">
        <f>+[5]INVERSIÓN!S36</f>
        <v>#REF!</v>
      </c>
      <c r="S504" s="152"/>
      <c r="T504" s="174">
        <v>0</v>
      </c>
      <c r="U504" s="174">
        <v>0</v>
      </c>
      <c r="V504" s="174" t="e">
        <f>+#REF!</f>
        <v>#REF!</v>
      </c>
      <c r="W504" s="175" t="e">
        <f>+#REF!</f>
        <v>#REF!</v>
      </c>
      <c r="X504" s="152">
        <v>0</v>
      </c>
      <c r="Y504" s="222"/>
      <c r="Z504" s="217">
        <f>+[6]INVERSIÓN!J36</f>
        <v>0</v>
      </c>
      <c r="AA504" s="176">
        <f>+[6]INVERSIÓN!DX36</f>
        <v>0</v>
      </c>
      <c r="AB504" s="218">
        <f>+[6]INVERSIÓN!DY36</f>
        <v>0</v>
      </c>
      <c r="AC504" s="219" t="e">
        <f>+[5]INVERSIÓN!P36</f>
        <v>#REF!</v>
      </c>
      <c r="AD504" s="219" t="e">
        <f>+[5]INVERSIÓN!R36</f>
        <v>#REF!</v>
      </c>
      <c r="AE504" s="220" t="e">
        <f>+[5]INVERSIÓN!EB36</f>
        <v>#REF!</v>
      </c>
      <c r="AF504" s="1095"/>
      <c r="AG504" s="828"/>
      <c r="AH504" s="827"/>
      <c r="AI504" s="827"/>
      <c r="AJ504" s="827"/>
      <c r="AK504" s="818"/>
      <c r="AL504" s="827"/>
      <c r="AM504" s="827"/>
      <c r="AN504" s="808"/>
      <c r="AO504" s="797"/>
      <c r="AP504" s="797"/>
      <c r="AQ504" s="795"/>
      <c r="AR504" s="844"/>
      <c r="AS504" s="844"/>
      <c r="AT504" s="844"/>
      <c r="AU504" s="844"/>
      <c r="AV504" s="844"/>
      <c r="AW504" s="844"/>
      <c r="AX504" s="797"/>
      <c r="AY504" s="869"/>
    </row>
    <row r="505" spans="1:51" ht="42" customHeight="1" x14ac:dyDescent="0.25">
      <c r="A505" s="815"/>
      <c r="B505" s="1043"/>
      <c r="C505" s="838"/>
      <c r="D505" s="132" t="s">
        <v>4</v>
      </c>
      <c r="E505" s="213">
        <f>+[5]INVERSIÓN!U37</f>
        <v>249150644</v>
      </c>
      <c r="F505" s="214">
        <f>+[5]INVERSIÓN!V37</f>
        <v>249150644</v>
      </c>
      <c r="G505" s="169">
        <f>+[5]INVERSIÓN!V37</f>
        <v>249150644</v>
      </c>
      <c r="H505" s="169">
        <f>+[5]INVERSIÓN!X37</f>
        <v>249150644</v>
      </c>
      <c r="I505" s="169" t="e">
        <f>+#REF!</f>
        <v>#REF!</v>
      </c>
      <c r="J505" s="170" t="e">
        <f>+#REF!</f>
        <v>#REF!</v>
      </c>
      <c r="K505" s="137"/>
      <c r="L505" s="138"/>
      <c r="M505" s="170">
        <f t="shared" si="37"/>
        <v>249150644</v>
      </c>
      <c r="N505" s="172">
        <f>+[6]INVERSIÓN!K37</f>
        <v>0</v>
      </c>
      <c r="O505" s="172">
        <f>+[6]INVERSIÓN!M37</f>
        <v>0</v>
      </c>
      <c r="P505" s="170" t="e">
        <f>+[5]INVERSIÓN!O37</f>
        <v>#REF!</v>
      </c>
      <c r="Q505" s="170" t="e">
        <f>+[5]INVERSIÓN!Q37</f>
        <v>#REF!</v>
      </c>
      <c r="R505" s="216" t="e">
        <f>+[5]INVERSIÓN!S37</f>
        <v>#REF!</v>
      </c>
      <c r="S505" s="152"/>
      <c r="T505" s="174">
        <f>+[5]INVERSIÓN!W37</f>
        <v>35177075</v>
      </c>
      <c r="U505" s="174">
        <f>+[5]INVERSIÓN!DR37</f>
        <v>84962626</v>
      </c>
      <c r="V505" s="174" t="e">
        <f>+#REF!</f>
        <v>#REF!</v>
      </c>
      <c r="W505" s="175" t="e">
        <f>+#REF!</f>
        <v>#REF!</v>
      </c>
      <c r="X505" s="152"/>
      <c r="Y505" s="222"/>
      <c r="Z505" s="217">
        <f>+[6]INVERSIÓN!J37</f>
        <v>0</v>
      </c>
      <c r="AA505" s="176">
        <f>+[6]INVERSIÓN!DX37</f>
        <v>0</v>
      </c>
      <c r="AB505" s="218">
        <f>+[6]INVERSIÓN!DY37</f>
        <v>0</v>
      </c>
      <c r="AC505" s="219" t="e">
        <f>+[5]INVERSIÓN!P37</f>
        <v>#REF!</v>
      </c>
      <c r="AD505" s="219" t="e">
        <f>+[5]INVERSIÓN!R37</f>
        <v>#REF!</v>
      </c>
      <c r="AE505" s="220" t="e">
        <f>+[5]INVERSIÓN!EB37</f>
        <v>#REF!</v>
      </c>
      <c r="AF505" s="1095"/>
      <c r="AG505" s="828"/>
      <c r="AH505" s="827"/>
      <c r="AI505" s="827"/>
      <c r="AJ505" s="827"/>
      <c r="AK505" s="818"/>
      <c r="AL505" s="827"/>
      <c r="AM505" s="827"/>
      <c r="AN505" s="808"/>
      <c r="AO505" s="797"/>
      <c r="AP505" s="797"/>
      <c r="AQ505" s="795"/>
      <c r="AR505" s="844"/>
      <c r="AS505" s="844"/>
      <c r="AT505" s="844"/>
      <c r="AU505" s="844"/>
      <c r="AV505" s="844"/>
      <c r="AW505" s="844"/>
      <c r="AX505" s="797"/>
      <c r="AY505" s="869"/>
    </row>
    <row r="506" spans="1:51" ht="42" customHeight="1" x14ac:dyDescent="0.25">
      <c r="A506" s="815"/>
      <c r="B506" s="1043"/>
      <c r="C506" s="838"/>
      <c r="D506" s="136" t="s">
        <v>43</v>
      </c>
      <c r="E506" s="213">
        <f>+[5]INVERSIÓN!U38</f>
        <v>160</v>
      </c>
      <c r="F506" s="214">
        <f>+[5]INVERSIÓN!V38</f>
        <v>160</v>
      </c>
      <c r="G506" s="169">
        <f>+[5]INVERSIÓN!V38</f>
        <v>160</v>
      </c>
      <c r="H506" s="169">
        <f>+[5]INVERSIÓN!X38</f>
        <v>160</v>
      </c>
      <c r="I506" s="169" t="e">
        <f>+#REF!</f>
        <v>#REF!</v>
      </c>
      <c r="J506" s="170" t="e">
        <f>+#REF!</f>
        <v>#REF!</v>
      </c>
      <c r="K506" s="137">
        <v>160</v>
      </c>
      <c r="L506" s="138"/>
      <c r="M506" s="170">
        <f t="shared" si="37"/>
        <v>160</v>
      </c>
      <c r="N506" s="172">
        <f>+[6]INVERSIÓN!K38</f>
        <v>50</v>
      </c>
      <c r="O506" s="172">
        <f>+[6]INVERSIÓN!M38</f>
        <v>50</v>
      </c>
      <c r="P506" s="170">
        <f>+[5]INVERSIÓN!O38</f>
        <v>50</v>
      </c>
      <c r="Q506" s="170">
        <f>+[5]INVERSIÓN!Q38</f>
        <v>50</v>
      </c>
      <c r="R506" s="216">
        <f>+[5]INVERSIÓN!S38</f>
        <v>50</v>
      </c>
      <c r="S506" s="152"/>
      <c r="T506" s="174">
        <f>+[5]INVERSIÓN!W38</f>
        <v>20</v>
      </c>
      <c r="U506" s="174">
        <f>+[5]INVERSIÓN!DR38</f>
        <v>40</v>
      </c>
      <c r="V506" s="174" t="e">
        <f>+#REF!</f>
        <v>#REF!</v>
      </c>
      <c r="W506" s="175" t="e">
        <f>+#REF!</f>
        <v>#REF!</v>
      </c>
      <c r="X506" s="301">
        <v>55</v>
      </c>
      <c r="Y506" s="222"/>
      <c r="Z506" s="217">
        <f>+[6]INVERSIÓN!J38</f>
        <v>0</v>
      </c>
      <c r="AA506" s="176">
        <f>+[6]INVERSIÓN!DX38</f>
        <v>5</v>
      </c>
      <c r="AB506" s="218">
        <f>+[6]INVERSIÓN!DY38</f>
        <v>10</v>
      </c>
      <c r="AC506" s="219">
        <f>+[5]INVERSIÓN!P38</f>
        <v>30</v>
      </c>
      <c r="AD506" s="219">
        <f>+[5]INVERSIÓN!R38</f>
        <v>45</v>
      </c>
      <c r="AE506" s="220" t="e">
        <f>+[5]INVERSIÓN!EB38</f>
        <v>#REF!</v>
      </c>
      <c r="AF506" s="1095"/>
      <c r="AG506" s="828"/>
      <c r="AH506" s="827"/>
      <c r="AI506" s="827"/>
      <c r="AJ506" s="827"/>
      <c r="AK506" s="818"/>
      <c r="AL506" s="827"/>
      <c r="AM506" s="827"/>
      <c r="AN506" s="808"/>
      <c r="AO506" s="797"/>
      <c r="AP506" s="797"/>
      <c r="AQ506" s="795"/>
      <c r="AR506" s="844"/>
      <c r="AS506" s="844"/>
      <c r="AT506" s="844"/>
      <c r="AU506" s="844"/>
      <c r="AV506" s="844"/>
      <c r="AW506" s="844"/>
      <c r="AX506" s="797"/>
      <c r="AY506" s="869"/>
    </row>
    <row r="507" spans="1:51" ht="42" customHeight="1" thickBot="1" x14ac:dyDescent="0.3">
      <c r="A507" s="815"/>
      <c r="B507" s="1043"/>
      <c r="C507" s="838"/>
      <c r="D507" s="140" t="s">
        <v>45</v>
      </c>
      <c r="E507" s="213">
        <f>+[5]INVERSIÓN!U39</f>
        <v>948538644</v>
      </c>
      <c r="F507" s="214">
        <f>+[5]INVERSIÓN!V39</f>
        <v>948538644</v>
      </c>
      <c r="G507" s="169">
        <f>+[5]INVERSIÓN!V39</f>
        <v>948538644</v>
      </c>
      <c r="H507" s="169">
        <f>+[5]INVERSIÓN!X39</f>
        <v>948538644</v>
      </c>
      <c r="I507" s="169" t="e">
        <f>+#REF!</f>
        <v>#REF!</v>
      </c>
      <c r="J507" s="170" t="e">
        <f>+#REF!</f>
        <v>#REF!</v>
      </c>
      <c r="K507" s="185"/>
      <c r="L507" s="186"/>
      <c r="M507" s="170">
        <f t="shared" si="37"/>
        <v>948538644</v>
      </c>
      <c r="N507" s="172">
        <f>+[6]INVERSIÓN!K39</f>
        <v>641192490</v>
      </c>
      <c r="O507" s="172">
        <f>+[6]INVERSIÓN!M39</f>
        <v>641192490</v>
      </c>
      <c r="P507" s="170">
        <f>+[5]INVERSIÓN!O39</f>
        <v>734428327</v>
      </c>
      <c r="Q507" s="170">
        <f>+[5]INVERSIÓN!Q39</f>
        <v>714428327</v>
      </c>
      <c r="R507" s="216">
        <f>+[5]INVERSIÓN!S39</f>
        <v>714428327</v>
      </c>
      <c r="S507" s="177"/>
      <c r="T507" s="174">
        <f>+[5]INVERSIÓN!W39</f>
        <v>35177075</v>
      </c>
      <c r="U507" s="174">
        <f>+[5]INVERSIÓN!DR39</f>
        <v>146318626</v>
      </c>
      <c r="V507" s="174" t="e">
        <f>+#REF!</f>
        <v>#REF!</v>
      </c>
      <c r="W507" s="175" t="e">
        <f>+#REF!</f>
        <v>#REF!</v>
      </c>
      <c r="X507" s="177"/>
      <c r="Y507" s="217"/>
      <c r="Z507" s="217">
        <f>+[6]INVERSIÓN!J39</f>
        <v>328110000</v>
      </c>
      <c r="AA507" s="176">
        <f>+[6]INVERSIÓN!DX39</f>
        <v>519353000</v>
      </c>
      <c r="AB507" s="218">
        <f>+[6]INVERSIÓN!DY39</f>
        <v>532019000</v>
      </c>
      <c r="AC507" s="219">
        <f>+[5]INVERSIÓN!P39</f>
        <v>532019000</v>
      </c>
      <c r="AD507" s="219">
        <f>+[5]INVERSIÓN!R39</f>
        <v>556969163</v>
      </c>
      <c r="AE507" s="220" t="e">
        <f>+[5]INVERSIÓN!EB39</f>
        <v>#REF!</v>
      </c>
      <c r="AF507" s="1096"/>
      <c r="AG507" s="828"/>
      <c r="AH507" s="827"/>
      <c r="AI507" s="827"/>
      <c r="AJ507" s="827"/>
      <c r="AK507" s="818"/>
      <c r="AL507" s="827"/>
      <c r="AM507" s="827"/>
      <c r="AN507" s="808"/>
      <c r="AO507" s="798"/>
      <c r="AP507" s="798"/>
      <c r="AQ507" s="795"/>
      <c r="AR507" s="845"/>
      <c r="AS507" s="845"/>
      <c r="AT507" s="845"/>
      <c r="AU507" s="845"/>
      <c r="AV507" s="845"/>
      <c r="AW507" s="845"/>
      <c r="AX507" s="798"/>
      <c r="AY507" s="870"/>
    </row>
    <row r="508" spans="1:51" ht="18" hidden="1" customHeight="1" x14ac:dyDescent="0.25">
      <c r="A508" s="815"/>
      <c r="B508" s="1043"/>
      <c r="C508" s="1097" t="s">
        <v>546</v>
      </c>
      <c r="D508" s="141" t="s">
        <v>41</v>
      </c>
      <c r="E508" s="223"/>
      <c r="F508" s="224"/>
      <c r="G508" s="144"/>
      <c r="H508" s="144"/>
      <c r="I508" s="144"/>
      <c r="J508" s="138"/>
      <c r="K508" s="137"/>
      <c r="L508" s="138"/>
      <c r="M508" s="138"/>
      <c r="N508" s="138"/>
      <c r="O508" s="138">
        <v>0</v>
      </c>
      <c r="P508" s="138">
        <v>1</v>
      </c>
      <c r="Q508" s="138">
        <v>1</v>
      </c>
      <c r="R508" s="147">
        <v>1</v>
      </c>
      <c r="S508" s="177"/>
      <c r="T508" s="174"/>
      <c r="U508" s="174"/>
      <c r="V508" s="174"/>
      <c r="W508" s="175"/>
      <c r="X508" s="177"/>
      <c r="Y508" s="177"/>
      <c r="Z508" s="177"/>
      <c r="AA508" s="178"/>
      <c r="AB508" s="177">
        <v>0</v>
      </c>
      <c r="AC508" s="152">
        <v>1</v>
      </c>
      <c r="AD508" s="137">
        <v>1</v>
      </c>
      <c r="AE508" s="180">
        <v>1</v>
      </c>
      <c r="AF508" s="225"/>
      <c r="AG508" s="1100" t="s">
        <v>546</v>
      </c>
      <c r="AH508" s="774" t="s">
        <v>350</v>
      </c>
      <c r="AI508" s="774" t="s">
        <v>350</v>
      </c>
      <c r="AJ508" s="774" t="s">
        <v>350</v>
      </c>
      <c r="AK508" s="774" t="s">
        <v>315</v>
      </c>
      <c r="AL508" s="827" t="s">
        <v>70</v>
      </c>
      <c r="AM508" s="827" t="s">
        <v>547</v>
      </c>
      <c r="AN508" s="857">
        <v>556759</v>
      </c>
      <c r="AO508" s="808">
        <v>255912.198611812</v>
      </c>
      <c r="AP508" s="808">
        <v>300846.99352051399</v>
      </c>
      <c r="AQ508" s="795" t="s">
        <v>317</v>
      </c>
      <c r="AR508" s="795" t="s">
        <v>317</v>
      </c>
      <c r="AS508" s="795" t="s">
        <v>317</v>
      </c>
      <c r="AT508" s="795" t="s">
        <v>317</v>
      </c>
      <c r="AU508" s="795" t="s">
        <v>317</v>
      </c>
      <c r="AV508" s="795" t="s">
        <v>317</v>
      </c>
      <c r="AW508" s="795" t="s">
        <v>317</v>
      </c>
      <c r="AX508" s="796">
        <v>8185614</v>
      </c>
      <c r="AY508" s="846" t="s">
        <v>548</v>
      </c>
    </row>
    <row r="509" spans="1:51" ht="18.75" hidden="1" customHeight="1" thickBot="1" x14ac:dyDescent="0.3">
      <c r="A509" s="815"/>
      <c r="B509" s="1043"/>
      <c r="C509" s="1098"/>
      <c r="D509" s="132" t="s">
        <v>3</v>
      </c>
      <c r="E509" s="226"/>
      <c r="F509" s="224"/>
      <c r="G509" s="227"/>
      <c r="H509" s="227"/>
      <c r="I509" s="227"/>
      <c r="J509" s="183"/>
      <c r="K509" s="182"/>
      <c r="L509" s="183"/>
      <c r="M509" s="183"/>
      <c r="N509" s="228"/>
      <c r="O509" s="183">
        <v>0</v>
      </c>
      <c r="P509" s="183">
        <f>+P508*$P$503/$P$502</f>
        <v>14688566.539999999</v>
      </c>
      <c r="Q509" s="183">
        <f>+Q508*$Q$503/$Q$502</f>
        <v>14288566.539999999</v>
      </c>
      <c r="R509" s="183">
        <f>+R508*$R$503/$R$502</f>
        <v>14288566.539999999</v>
      </c>
      <c r="S509" s="184"/>
      <c r="T509" s="193"/>
      <c r="U509" s="193"/>
      <c r="V509" s="193"/>
      <c r="W509" s="229"/>
      <c r="X509" s="184"/>
      <c r="Y509" s="184"/>
      <c r="Z509" s="184"/>
      <c r="AA509" s="230"/>
      <c r="AB509" s="182">
        <v>0</v>
      </c>
      <c r="AC509" s="182">
        <f>+AC508*$AC$503/$AC$502</f>
        <v>17733966.666666668</v>
      </c>
      <c r="AD509" s="182">
        <f>+AD508*$AD$503/$AD$502</f>
        <v>12377092.51111111</v>
      </c>
      <c r="AE509" s="182" t="e">
        <f>+AE508*$AE$503/$AE$502</f>
        <v>#REF!</v>
      </c>
      <c r="AF509" s="231"/>
      <c r="AG509" s="1101"/>
      <c r="AH509" s="775"/>
      <c r="AI509" s="775"/>
      <c r="AJ509" s="775"/>
      <c r="AK509" s="775"/>
      <c r="AL509" s="827"/>
      <c r="AM509" s="827"/>
      <c r="AN509" s="857"/>
      <c r="AO509" s="808"/>
      <c r="AP509" s="808"/>
      <c r="AQ509" s="795"/>
      <c r="AR509" s="795"/>
      <c r="AS509" s="795"/>
      <c r="AT509" s="795"/>
      <c r="AU509" s="795"/>
      <c r="AV509" s="795"/>
      <c r="AW509" s="795"/>
      <c r="AX509" s="797"/>
      <c r="AY509" s="847"/>
    </row>
    <row r="510" spans="1:51" ht="27.75" hidden="1" customHeight="1" thickBot="1" x14ac:dyDescent="0.3">
      <c r="A510" s="815"/>
      <c r="B510" s="1043"/>
      <c r="C510" s="1098"/>
      <c r="D510" s="136" t="s">
        <v>42</v>
      </c>
      <c r="E510" s="226"/>
      <c r="F510" s="224"/>
      <c r="G510" s="227"/>
      <c r="H510" s="227"/>
      <c r="I510" s="227"/>
      <c r="J510" s="183"/>
      <c r="K510" s="182"/>
      <c r="L510" s="183"/>
      <c r="M510" s="183"/>
      <c r="N510" s="228"/>
      <c r="O510" s="183"/>
      <c r="P510" s="183"/>
      <c r="Q510" s="183"/>
      <c r="R510" s="232"/>
      <c r="S510" s="184"/>
      <c r="T510" s="193"/>
      <c r="U510" s="193"/>
      <c r="V510" s="193"/>
      <c r="W510" s="229"/>
      <c r="X510" s="184"/>
      <c r="Y510" s="184"/>
      <c r="Z510" s="184"/>
      <c r="AA510" s="230"/>
      <c r="AB510" s="184"/>
      <c r="AC510" s="233"/>
      <c r="AD510" s="182"/>
      <c r="AE510" s="162"/>
      <c r="AF510" s="231"/>
      <c r="AG510" s="1101"/>
      <c r="AH510" s="775"/>
      <c r="AI510" s="775"/>
      <c r="AJ510" s="775"/>
      <c r="AK510" s="775"/>
      <c r="AL510" s="827"/>
      <c r="AM510" s="827"/>
      <c r="AN510" s="857"/>
      <c r="AO510" s="808"/>
      <c r="AP510" s="808"/>
      <c r="AQ510" s="795"/>
      <c r="AR510" s="795"/>
      <c r="AS510" s="795"/>
      <c r="AT510" s="795"/>
      <c r="AU510" s="795"/>
      <c r="AV510" s="795"/>
      <c r="AW510" s="795"/>
      <c r="AX510" s="797"/>
      <c r="AY510" s="847"/>
    </row>
    <row r="511" spans="1:51" ht="27.75" hidden="1" customHeight="1" thickBot="1" x14ac:dyDescent="0.3">
      <c r="A511" s="815"/>
      <c r="B511" s="1043"/>
      <c r="C511" s="1098"/>
      <c r="D511" s="132" t="s">
        <v>4</v>
      </c>
      <c r="E511" s="226"/>
      <c r="F511" s="224"/>
      <c r="G511" s="227"/>
      <c r="H511" s="227"/>
      <c r="I511" s="227"/>
      <c r="J511" s="183"/>
      <c r="K511" s="182"/>
      <c r="L511" s="183"/>
      <c r="M511" s="183"/>
      <c r="N511" s="228"/>
      <c r="O511" s="183"/>
      <c r="P511" s="183"/>
      <c r="Q511" s="183"/>
      <c r="R511" s="232"/>
      <c r="S511" s="184"/>
      <c r="T511" s="193"/>
      <c r="U511" s="193"/>
      <c r="V511" s="193"/>
      <c r="W511" s="229"/>
      <c r="X511" s="184"/>
      <c r="Y511" s="184"/>
      <c r="Z511" s="184"/>
      <c r="AA511" s="230"/>
      <c r="AB511" s="184"/>
      <c r="AC511" s="233"/>
      <c r="AD511" s="182"/>
      <c r="AE511" s="162"/>
      <c r="AF511" s="231"/>
      <c r="AG511" s="1101"/>
      <c r="AH511" s="775"/>
      <c r="AI511" s="775"/>
      <c r="AJ511" s="775"/>
      <c r="AK511" s="775"/>
      <c r="AL511" s="827"/>
      <c r="AM511" s="827"/>
      <c r="AN511" s="857"/>
      <c r="AO511" s="808"/>
      <c r="AP511" s="808"/>
      <c r="AQ511" s="795"/>
      <c r="AR511" s="795"/>
      <c r="AS511" s="795"/>
      <c r="AT511" s="795"/>
      <c r="AU511" s="795"/>
      <c r="AV511" s="795"/>
      <c r="AW511" s="795"/>
      <c r="AX511" s="797"/>
      <c r="AY511" s="847"/>
    </row>
    <row r="512" spans="1:51" ht="27.75" hidden="1" customHeight="1" thickBot="1" x14ac:dyDescent="0.3">
      <c r="A512" s="815"/>
      <c r="B512" s="1043"/>
      <c r="C512" s="1098"/>
      <c r="D512" s="136" t="s">
        <v>43</v>
      </c>
      <c r="E512" s="223"/>
      <c r="F512" s="224"/>
      <c r="G512" s="144"/>
      <c r="H512" s="144"/>
      <c r="I512" s="144"/>
      <c r="J512" s="138"/>
      <c r="K512" s="137"/>
      <c r="L512" s="138"/>
      <c r="M512" s="138"/>
      <c r="N512" s="138"/>
      <c r="O512" s="138">
        <v>0</v>
      </c>
      <c r="P512" s="138">
        <v>1</v>
      </c>
      <c r="Q512" s="138">
        <v>1</v>
      </c>
      <c r="R512" s="147">
        <v>1</v>
      </c>
      <c r="S512" s="152"/>
      <c r="T512" s="234"/>
      <c r="U512" s="234"/>
      <c r="V512" s="234"/>
      <c r="W512" s="147"/>
      <c r="X512" s="152"/>
      <c r="Y512" s="152"/>
      <c r="Z512" s="152"/>
      <c r="AA512" s="152"/>
      <c r="AB512" s="152">
        <f>+AB508</f>
        <v>0</v>
      </c>
      <c r="AC512" s="152">
        <v>1</v>
      </c>
      <c r="AD512" s="137">
        <v>1</v>
      </c>
      <c r="AE512" s="129">
        <v>1</v>
      </c>
      <c r="AF512" s="235"/>
      <c r="AG512" s="1101"/>
      <c r="AH512" s="775"/>
      <c r="AI512" s="775"/>
      <c r="AJ512" s="775"/>
      <c r="AK512" s="775"/>
      <c r="AL512" s="827"/>
      <c r="AM512" s="827"/>
      <c r="AN512" s="857"/>
      <c r="AO512" s="808"/>
      <c r="AP512" s="808"/>
      <c r="AQ512" s="795"/>
      <c r="AR512" s="795"/>
      <c r="AS512" s="795"/>
      <c r="AT512" s="795"/>
      <c r="AU512" s="795"/>
      <c r="AV512" s="795"/>
      <c r="AW512" s="795"/>
      <c r="AX512" s="797"/>
      <c r="AY512" s="847"/>
    </row>
    <row r="513" spans="1:51" ht="27.75" hidden="1" customHeight="1" thickBot="1" x14ac:dyDescent="0.3">
      <c r="A513" s="815"/>
      <c r="B513" s="1043"/>
      <c r="C513" s="1099"/>
      <c r="D513" s="140" t="s">
        <v>45</v>
      </c>
      <c r="E513" s="236"/>
      <c r="F513" s="224"/>
      <c r="G513" s="237"/>
      <c r="H513" s="237"/>
      <c r="I513" s="237"/>
      <c r="J513" s="186"/>
      <c r="K513" s="185"/>
      <c r="L513" s="186"/>
      <c r="M513" s="186"/>
      <c r="N513" s="238"/>
      <c r="O513" s="138">
        <f>+O509</f>
        <v>0</v>
      </c>
      <c r="P513" s="183">
        <f>+P512*$P$503/$P$502</f>
        <v>14688566.539999999</v>
      </c>
      <c r="Q513" s="183">
        <f>+Q512*$Q$503/$Q$502</f>
        <v>14288566.539999999</v>
      </c>
      <c r="R513" s="183">
        <f>+R512*$R$503/$R$502</f>
        <v>14288566.539999999</v>
      </c>
      <c r="S513" s="177"/>
      <c r="T513" s="174"/>
      <c r="U513" s="174"/>
      <c r="V513" s="174"/>
      <c r="W513" s="175"/>
      <c r="X513" s="177"/>
      <c r="Y513" s="177"/>
      <c r="Z513" s="177"/>
      <c r="AA513" s="178"/>
      <c r="AB513" s="152">
        <f>+AB509</f>
        <v>0</v>
      </c>
      <c r="AC513" s="182">
        <f>+AC512*$AC$503/$AC$502</f>
        <v>17733966.666666668</v>
      </c>
      <c r="AD513" s="182">
        <f>+AD512*$AD$503/$AD$502</f>
        <v>12377092.51111111</v>
      </c>
      <c r="AE513" s="182" t="e">
        <f>+AE512*$AE$503/$AE$502</f>
        <v>#REF!</v>
      </c>
      <c r="AF513" s="225"/>
      <c r="AG513" s="1102"/>
      <c r="AH513" s="776"/>
      <c r="AI513" s="776"/>
      <c r="AJ513" s="776"/>
      <c r="AK513" s="776"/>
      <c r="AL513" s="827"/>
      <c r="AM513" s="827"/>
      <c r="AN513" s="857"/>
      <c r="AO513" s="808"/>
      <c r="AP513" s="808"/>
      <c r="AQ513" s="795"/>
      <c r="AR513" s="795"/>
      <c r="AS513" s="795"/>
      <c r="AT513" s="795"/>
      <c r="AU513" s="795"/>
      <c r="AV513" s="795"/>
      <c r="AW513" s="795"/>
      <c r="AX513" s="798"/>
      <c r="AY513" s="847"/>
    </row>
    <row r="514" spans="1:51" ht="18" customHeight="1" x14ac:dyDescent="0.25">
      <c r="A514" s="815"/>
      <c r="B514" s="1043"/>
      <c r="C514" s="811" t="s">
        <v>334</v>
      </c>
      <c r="D514" s="141" t="s">
        <v>41</v>
      </c>
      <c r="E514" s="142"/>
      <c r="F514" s="143"/>
      <c r="G514" s="144"/>
      <c r="H514" s="207">
        <v>1</v>
      </c>
      <c r="I514" s="207">
        <v>2</v>
      </c>
      <c r="J514" s="138">
        <v>2</v>
      </c>
      <c r="K514" s="137">
        <v>2</v>
      </c>
      <c r="L514" s="138"/>
      <c r="M514" s="138"/>
      <c r="N514" s="138"/>
      <c r="O514" s="138">
        <v>1</v>
      </c>
      <c r="P514" s="138">
        <v>1</v>
      </c>
      <c r="Q514" s="138">
        <v>1</v>
      </c>
      <c r="R514" s="147">
        <v>1</v>
      </c>
      <c r="S514" s="177"/>
      <c r="T514" s="174"/>
      <c r="U514" s="207">
        <v>1</v>
      </c>
      <c r="V514" s="207">
        <v>2</v>
      </c>
      <c r="W514" s="175">
        <v>2</v>
      </c>
      <c r="X514" s="177">
        <v>2</v>
      </c>
      <c r="Y514" s="177"/>
      <c r="Z514" s="177"/>
      <c r="AA514" s="178"/>
      <c r="AB514" s="209">
        <v>1</v>
      </c>
      <c r="AC514" s="129">
        <v>1</v>
      </c>
      <c r="AD514" s="137">
        <v>1</v>
      </c>
      <c r="AE514" s="180">
        <v>1</v>
      </c>
      <c r="AF514" s="1082" t="s">
        <v>549</v>
      </c>
      <c r="AG514" s="817" t="str">
        <f>+C514</f>
        <v>CHAPINERO</v>
      </c>
      <c r="AH514" s="774" t="s">
        <v>550</v>
      </c>
      <c r="AI514" s="774" t="s">
        <v>551</v>
      </c>
      <c r="AJ514" s="854" t="s">
        <v>675</v>
      </c>
      <c r="AK514" s="774" t="s">
        <v>315</v>
      </c>
      <c r="AL514" s="827" t="s">
        <v>70</v>
      </c>
      <c r="AM514" s="827" t="s">
        <v>547</v>
      </c>
      <c r="AN514" s="807">
        <v>163231</v>
      </c>
      <c r="AO514" s="808">
        <v>77499</v>
      </c>
      <c r="AP514" s="808">
        <v>85731</v>
      </c>
      <c r="AQ514" s="795" t="s">
        <v>317</v>
      </c>
      <c r="AR514" s="795" t="s">
        <v>317</v>
      </c>
      <c r="AS514" s="795" t="s">
        <v>317</v>
      </c>
      <c r="AT514" s="795" t="s">
        <v>317</v>
      </c>
      <c r="AU514" s="795" t="s">
        <v>317</v>
      </c>
      <c r="AV514" s="795" t="s">
        <v>317</v>
      </c>
      <c r="AW514" s="795" t="s">
        <v>317</v>
      </c>
      <c r="AX514" s="796">
        <v>163231</v>
      </c>
      <c r="AY514" s="846" t="s">
        <v>552</v>
      </c>
    </row>
    <row r="515" spans="1:51" ht="18" x14ac:dyDescent="0.25">
      <c r="A515" s="815"/>
      <c r="B515" s="1043"/>
      <c r="C515" s="812"/>
      <c r="D515" s="132" t="s">
        <v>3</v>
      </c>
      <c r="E515" s="239"/>
      <c r="F515" s="240"/>
      <c r="G515" s="227"/>
      <c r="H515" s="227">
        <f>+H514*$H$503/$H$502</f>
        <v>4371175</v>
      </c>
      <c r="I515" s="227" t="e">
        <f>+I514*$I$503/$I$502</f>
        <v>#REF!</v>
      </c>
      <c r="J515" s="183" t="e">
        <f>+J514*$J$503/$J$502</f>
        <v>#REF!</v>
      </c>
      <c r="K515" s="182"/>
      <c r="L515" s="183"/>
      <c r="M515" s="183"/>
      <c r="N515" s="228"/>
      <c r="O515" s="183">
        <f>+O514*$O$503/$O$502</f>
        <v>12823849.800000001</v>
      </c>
      <c r="P515" s="183">
        <f>+P514*$P$503/$P$502</f>
        <v>14688566.539999999</v>
      </c>
      <c r="Q515" s="183">
        <f>+Q514*$Q$503/$Q$502</f>
        <v>14288566.539999999</v>
      </c>
      <c r="R515" s="183">
        <f>+R514*$R$503/$R$502</f>
        <v>14288566.539999999</v>
      </c>
      <c r="S515" s="184"/>
      <c r="T515" s="193"/>
      <c r="U515" s="227">
        <f>+U514*$U$503/$U$502</f>
        <v>1533900</v>
      </c>
      <c r="V515" s="227" t="e">
        <f>+V514*$V$503/$V$502</f>
        <v>#REF!</v>
      </c>
      <c r="W515" s="183" t="e">
        <f>+W514*$W$503/$W$502</f>
        <v>#REF!</v>
      </c>
      <c r="X515" s="184"/>
      <c r="Y515" s="184"/>
      <c r="Z515" s="184"/>
      <c r="AA515" s="230"/>
      <c r="AB515" s="182">
        <f>+AB514*$AB$503/$AB$502</f>
        <v>53201900</v>
      </c>
      <c r="AC515" s="182">
        <f>+AC514*$AC$503/$AC$502</f>
        <v>17733966.666666668</v>
      </c>
      <c r="AD515" s="182">
        <f>+AD514*$AD$503/$AD$502</f>
        <v>12377092.51111111</v>
      </c>
      <c r="AE515" s="182" t="e">
        <f>+AE514*$AE$503/$AE$502</f>
        <v>#REF!</v>
      </c>
      <c r="AF515" s="1083"/>
      <c r="AG515" s="817"/>
      <c r="AH515" s="775"/>
      <c r="AI515" s="775"/>
      <c r="AJ515" s="855"/>
      <c r="AK515" s="775"/>
      <c r="AL515" s="827"/>
      <c r="AM515" s="827"/>
      <c r="AN515" s="807"/>
      <c r="AO515" s="808"/>
      <c r="AP515" s="808"/>
      <c r="AQ515" s="795"/>
      <c r="AR515" s="795"/>
      <c r="AS515" s="795"/>
      <c r="AT515" s="795"/>
      <c r="AU515" s="795"/>
      <c r="AV515" s="795"/>
      <c r="AW515" s="795"/>
      <c r="AX515" s="797"/>
      <c r="AY515" s="847"/>
    </row>
    <row r="516" spans="1:51" ht="27" x14ac:dyDescent="0.25">
      <c r="A516" s="815"/>
      <c r="B516" s="1043"/>
      <c r="C516" s="812"/>
      <c r="D516" s="136" t="s">
        <v>42</v>
      </c>
      <c r="E516" s="239"/>
      <c r="F516" s="240"/>
      <c r="G516" s="227"/>
      <c r="H516" s="227"/>
      <c r="I516" s="227"/>
      <c r="J516" s="183"/>
      <c r="K516" s="182"/>
      <c r="L516" s="183"/>
      <c r="M516" s="183"/>
      <c r="N516" s="228"/>
      <c r="O516" s="183"/>
      <c r="P516" s="183"/>
      <c r="Q516" s="183"/>
      <c r="R516" s="232"/>
      <c r="S516" s="184"/>
      <c r="T516" s="193"/>
      <c r="U516" s="227"/>
      <c r="V516" s="227"/>
      <c r="W516" s="229"/>
      <c r="X516" s="184"/>
      <c r="Y516" s="184"/>
      <c r="Z516" s="184"/>
      <c r="AA516" s="230"/>
      <c r="AB516" s="241"/>
      <c r="AC516" s="242"/>
      <c r="AD516" s="182"/>
      <c r="AE516" s="162"/>
      <c r="AF516" s="1083"/>
      <c r="AG516" s="817"/>
      <c r="AH516" s="775"/>
      <c r="AI516" s="775"/>
      <c r="AJ516" s="855"/>
      <c r="AK516" s="775"/>
      <c r="AL516" s="827"/>
      <c r="AM516" s="827"/>
      <c r="AN516" s="807"/>
      <c r="AO516" s="808"/>
      <c r="AP516" s="808"/>
      <c r="AQ516" s="795"/>
      <c r="AR516" s="795"/>
      <c r="AS516" s="795"/>
      <c r="AT516" s="795"/>
      <c r="AU516" s="795"/>
      <c r="AV516" s="795"/>
      <c r="AW516" s="795"/>
      <c r="AX516" s="797"/>
      <c r="AY516" s="847"/>
    </row>
    <row r="517" spans="1:51" ht="19.149999999999999" customHeight="1" x14ac:dyDescent="0.25">
      <c r="A517" s="815"/>
      <c r="B517" s="1043"/>
      <c r="C517" s="812"/>
      <c r="D517" s="132" t="s">
        <v>4</v>
      </c>
      <c r="E517" s="239"/>
      <c r="F517" s="240"/>
      <c r="G517" s="227"/>
      <c r="H517" s="227">
        <f>+$U$505/11</f>
        <v>7723875.0909090908</v>
      </c>
      <c r="I517" s="227"/>
      <c r="J517" s="183"/>
      <c r="K517" s="182"/>
      <c r="L517" s="183"/>
      <c r="M517" s="183"/>
      <c r="N517" s="228"/>
      <c r="O517" s="183"/>
      <c r="P517" s="183"/>
      <c r="Q517" s="183"/>
      <c r="R517" s="232"/>
      <c r="S517" s="184"/>
      <c r="T517" s="193"/>
      <c r="U517" s="227">
        <f>+$U$505/11</f>
        <v>7723875.0909090908</v>
      </c>
      <c r="V517" s="227"/>
      <c r="W517" s="229"/>
      <c r="X517" s="184"/>
      <c r="Y517" s="184"/>
      <c r="Z517" s="184"/>
      <c r="AA517" s="230"/>
      <c r="AB517" s="241"/>
      <c r="AC517" s="242"/>
      <c r="AD517" s="182"/>
      <c r="AE517" s="162"/>
      <c r="AF517" s="1083"/>
      <c r="AG517" s="817"/>
      <c r="AH517" s="775"/>
      <c r="AI517" s="775"/>
      <c r="AJ517" s="855"/>
      <c r="AK517" s="775"/>
      <c r="AL517" s="827"/>
      <c r="AM517" s="827"/>
      <c r="AN517" s="807"/>
      <c r="AO517" s="808"/>
      <c r="AP517" s="808"/>
      <c r="AQ517" s="795"/>
      <c r="AR517" s="795"/>
      <c r="AS517" s="795"/>
      <c r="AT517" s="795"/>
      <c r="AU517" s="795"/>
      <c r="AV517" s="795"/>
      <c r="AW517" s="795"/>
      <c r="AX517" s="797"/>
      <c r="AY517" s="847"/>
    </row>
    <row r="518" spans="1:51" ht="27" x14ac:dyDescent="0.25">
      <c r="A518" s="815"/>
      <c r="B518" s="1043"/>
      <c r="C518" s="812"/>
      <c r="D518" s="136" t="s">
        <v>43</v>
      </c>
      <c r="E518" s="142"/>
      <c r="F518" s="143"/>
      <c r="G518" s="144"/>
      <c r="H518" s="207">
        <v>1</v>
      </c>
      <c r="I518" s="207">
        <v>2</v>
      </c>
      <c r="J518" s="138">
        <v>2</v>
      </c>
      <c r="K518" s="137">
        <v>2</v>
      </c>
      <c r="L518" s="138"/>
      <c r="M518" s="138"/>
      <c r="N518" s="138"/>
      <c r="O518" s="138">
        <f>+O514</f>
        <v>1</v>
      </c>
      <c r="P518" s="138">
        <v>1</v>
      </c>
      <c r="Q518" s="138">
        <v>1</v>
      </c>
      <c r="R518" s="147">
        <v>1</v>
      </c>
      <c r="S518" s="152"/>
      <c r="T518" s="234"/>
      <c r="U518" s="207">
        <v>1</v>
      </c>
      <c r="V518" s="207">
        <v>2</v>
      </c>
      <c r="W518" s="147">
        <v>2</v>
      </c>
      <c r="X518" s="203">
        <v>2</v>
      </c>
      <c r="Y518" s="152"/>
      <c r="Z518" s="152"/>
      <c r="AA518" s="152"/>
      <c r="AB518" s="243">
        <f>+AB514</f>
        <v>1</v>
      </c>
      <c r="AC518" s="129">
        <v>1</v>
      </c>
      <c r="AD518" s="137">
        <v>1</v>
      </c>
      <c r="AE518" s="129">
        <v>1</v>
      </c>
      <c r="AF518" s="1083"/>
      <c r="AG518" s="817"/>
      <c r="AH518" s="775"/>
      <c r="AI518" s="775"/>
      <c r="AJ518" s="855"/>
      <c r="AK518" s="775"/>
      <c r="AL518" s="827"/>
      <c r="AM518" s="827"/>
      <c r="AN518" s="807"/>
      <c r="AO518" s="808"/>
      <c r="AP518" s="808"/>
      <c r="AQ518" s="795"/>
      <c r="AR518" s="795"/>
      <c r="AS518" s="795"/>
      <c r="AT518" s="795"/>
      <c r="AU518" s="795"/>
      <c r="AV518" s="795"/>
      <c r="AW518" s="795"/>
      <c r="AX518" s="797"/>
      <c r="AY518" s="847"/>
    </row>
    <row r="519" spans="1:51" ht="27.75" thickBot="1" x14ac:dyDescent="0.3">
      <c r="A519" s="815"/>
      <c r="B519" s="1043"/>
      <c r="C519" s="813"/>
      <c r="D519" s="140" t="s">
        <v>45</v>
      </c>
      <c r="E519" s="244"/>
      <c r="F519" s="245"/>
      <c r="G519" s="237"/>
      <c r="H519" s="227">
        <f>+H518*$H$503/$H$502</f>
        <v>4371175</v>
      </c>
      <c r="I519" s="227" t="e">
        <f>+I518*$I$503/$I$502</f>
        <v>#REF!</v>
      </c>
      <c r="J519" s="183" t="e">
        <f>+J518*$J$503/$J$502</f>
        <v>#REF!</v>
      </c>
      <c r="K519" s="185"/>
      <c r="L519" s="186"/>
      <c r="M519" s="186"/>
      <c r="N519" s="238"/>
      <c r="O519" s="138">
        <f>+O515</f>
        <v>12823849.800000001</v>
      </c>
      <c r="P519" s="183">
        <f>+P518*$P$503/$P$502</f>
        <v>14688566.539999999</v>
      </c>
      <c r="Q519" s="183">
        <f>+Q518*$Q$503/$Q$502</f>
        <v>14288566.539999999</v>
      </c>
      <c r="R519" s="183">
        <f>+R518*$R$503/$R$502</f>
        <v>14288566.539999999</v>
      </c>
      <c r="S519" s="177"/>
      <c r="T519" s="174"/>
      <c r="U519" s="227">
        <f>+U518*$U$503/$U$502</f>
        <v>1533900</v>
      </c>
      <c r="V519" s="227" t="e">
        <f>+V518*$V$503/$V$502</f>
        <v>#REF!</v>
      </c>
      <c r="W519" s="183" t="e">
        <f>+W518*$W$503/$W$502</f>
        <v>#REF!</v>
      </c>
      <c r="X519" s="177"/>
      <c r="Y519" s="177"/>
      <c r="Z519" s="177"/>
      <c r="AA519" s="178"/>
      <c r="AB519" s="243">
        <f>+AB515</f>
        <v>53201900</v>
      </c>
      <c r="AC519" s="182">
        <f>+AC518*$AC$503/$AC$502</f>
        <v>17733966.666666668</v>
      </c>
      <c r="AD519" s="182">
        <f>+AD518*$AD$503/$AD$502</f>
        <v>12377092.51111111</v>
      </c>
      <c r="AE519" s="182" t="e">
        <f>+AE518*$AE$503/$AE$502</f>
        <v>#REF!</v>
      </c>
      <c r="AF519" s="1084"/>
      <c r="AG519" s="817"/>
      <c r="AH519" s="776"/>
      <c r="AI519" s="776"/>
      <c r="AJ519" s="856"/>
      <c r="AK519" s="776"/>
      <c r="AL519" s="827"/>
      <c r="AM519" s="827"/>
      <c r="AN519" s="807"/>
      <c r="AO519" s="808"/>
      <c r="AP519" s="808"/>
      <c r="AQ519" s="795"/>
      <c r="AR519" s="795"/>
      <c r="AS519" s="795"/>
      <c r="AT519" s="795"/>
      <c r="AU519" s="795"/>
      <c r="AV519" s="795"/>
      <c r="AW519" s="795"/>
      <c r="AX519" s="798"/>
      <c r="AY519" s="847"/>
    </row>
    <row r="520" spans="1:51" ht="18" customHeight="1" x14ac:dyDescent="0.25">
      <c r="A520" s="815"/>
      <c r="B520" s="1043"/>
      <c r="C520" s="827" t="s">
        <v>339</v>
      </c>
      <c r="D520" s="141" t="s">
        <v>41</v>
      </c>
      <c r="E520" s="142"/>
      <c r="F520" s="143"/>
      <c r="G520" s="144"/>
      <c r="H520" s="144"/>
      <c r="I520" s="207">
        <v>1</v>
      </c>
      <c r="J520" s="138">
        <v>1</v>
      </c>
      <c r="K520" s="137">
        <v>1</v>
      </c>
      <c r="L520" s="138"/>
      <c r="M520" s="138"/>
      <c r="N520" s="138"/>
      <c r="O520" s="138"/>
      <c r="P520" s="138"/>
      <c r="Q520" s="138">
        <v>2</v>
      </c>
      <c r="R520" s="147">
        <v>4</v>
      </c>
      <c r="S520" s="177"/>
      <c r="T520" s="174"/>
      <c r="U520" s="174"/>
      <c r="V520" s="207">
        <v>1</v>
      </c>
      <c r="W520" s="175">
        <v>1</v>
      </c>
      <c r="X520" s="177">
        <v>1</v>
      </c>
      <c r="Y520" s="177"/>
      <c r="Z520" s="177"/>
      <c r="AA520" s="178"/>
      <c r="AB520" s="209"/>
      <c r="AC520" s="129"/>
      <c r="AD520" s="137">
        <v>2</v>
      </c>
      <c r="AE520" s="129">
        <v>4</v>
      </c>
      <c r="AF520" s="1082" t="s">
        <v>553</v>
      </c>
      <c r="AG520" s="817" t="str">
        <f>+C520</f>
        <v>SANTA FE</v>
      </c>
      <c r="AH520" s="774" t="s">
        <v>554</v>
      </c>
      <c r="AI520" s="774" t="s">
        <v>555</v>
      </c>
      <c r="AJ520" s="854" t="s">
        <v>675</v>
      </c>
      <c r="AK520" s="774" t="s">
        <v>315</v>
      </c>
      <c r="AL520" s="827" t="s">
        <v>70</v>
      </c>
      <c r="AM520" s="827" t="s">
        <v>547</v>
      </c>
      <c r="AN520" s="807">
        <v>107788</v>
      </c>
      <c r="AO520" s="808">
        <v>53687</v>
      </c>
      <c r="AP520" s="808">
        <v>54100</v>
      </c>
      <c r="AQ520" s="795" t="s">
        <v>317</v>
      </c>
      <c r="AR520" s="795" t="s">
        <v>317</v>
      </c>
      <c r="AS520" s="795" t="s">
        <v>317</v>
      </c>
      <c r="AT520" s="795" t="s">
        <v>317</v>
      </c>
      <c r="AU520" s="795" t="s">
        <v>317</v>
      </c>
      <c r="AV520" s="795" t="s">
        <v>317</v>
      </c>
      <c r="AW520" s="795" t="s">
        <v>317</v>
      </c>
      <c r="AX520" s="867">
        <v>107788</v>
      </c>
      <c r="AY520" s="846" t="s">
        <v>556</v>
      </c>
    </row>
    <row r="521" spans="1:51" ht="18" customHeight="1" x14ac:dyDescent="0.25">
      <c r="A521" s="815"/>
      <c r="B521" s="1043"/>
      <c r="C521" s="827"/>
      <c r="D521" s="132" t="s">
        <v>3</v>
      </c>
      <c r="E521" s="239"/>
      <c r="F521" s="240"/>
      <c r="G521" s="227"/>
      <c r="H521" s="227"/>
      <c r="I521" s="227" t="e">
        <f>+I520*$I$503/$I$502</f>
        <v>#REF!</v>
      </c>
      <c r="J521" s="183" t="e">
        <f>+J520*$J$503/$J$502</f>
        <v>#REF!</v>
      </c>
      <c r="K521" s="182"/>
      <c r="L521" s="183"/>
      <c r="M521" s="183"/>
      <c r="N521" s="228"/>
      <c r="O521" s="183"/>
      <c r="P521" s="183"/>
      <c r="Q521" s="183">
        <f>+Q520*$Q$503/$Q$502</f>
        <v>28577133.079999998</v>
      </c>
      <c r="R521" s="183">
        <f>+R520*$R$503/$R$502</f>
        <v>57154266.159999996</v>
      </c>
      <c r="S521" s="184"/>
      <c r="T521" s="193"/>
      <c r="U521" s="193"/>
      <c r="V521" s="227" t="e">
        <f>+V520*$V$503/$V$502</f>
        <v>#REF!</v>
      </c>
      <c r="W521" s="183" t="e">
        <f>+W520*$W$503/$W$502</f>
        <v>#REF!</v>
      </c>
      <c r="X521" s="184"/>
      <c r="Y521" s="184"/>
      <c r="Z521" s="184"/>
      <c r="AA521" s="230"/>
      <c r="AB521" s="241"/>
      <c r="AC521" s="242"/>
      <c r="AD521" s="182">
        <f>+AD520*$AD$503/$AD$502</f>
        <v>24754185.022222221</v>
      </c>
      <c r="AE521" s="182" t="e">
        <f>+AE520*$AE$503/$AE$502</f>
        <v>#REF!</v>
      </c>
      <c r="AF521" s="1083"/>
      <c r="AG521" s="817"/>
      <c r="AH521" s="775"/>
      <c r="AI521" s="775"/>
      <c r="AJ521" s="855"/>
      <c r="AK521" s="775"/>
      <c r="AL521" s="827"/>
      <c r="AM521" s="827"/>
      <c r="AN521" s="807"/>
      <c r="AO521" s="808"/>
      <c r="AP521" s="808"/>
      <c r="AQ521" s="795"/>
      <c r="AR521" s="795"/>
      <c r="AS521" s="795"/>
      <c r="AT521" s="795"/>
      <c r="AU521" s="795"/>
      <c r="AV521" s="795"/>
      <c r="AW521" s="795"/>
      <c r="AX521" s="867"/>
      <c r="AY521" s="847"/>
    </row>
    <row r="522" spans="1:51" ht="27" customHeight="1" x14ac:dyDescent="0.25">
      <c r="A522" s="815"/>
      <c r="B522" s="1043"/>
      <c r="C522" s="827"/>
      <c r="D522" s="136" t="s">
        <v>42</v>
      </c>
      <c r="E522" s="239"/>
      <c r="F522" s="240"/>
      <c r="G522" s="227"/>
      <c r="H522" s="227"/>
      <c r="I522" s="227"/>
      <c r="J522" s="183"/>
      <c r="K522" s="182"/>
      <c r="L522" s="183"/>
      <c r="M522" s="183"/>
      <c r="N522" s="228"/>
      <c r="O522" s="183"/>
      <c r="P522" s="183"/>
      <c r="Q522" s="183"/>
      <c r="R522" s="232"/>
      <c r="S522" s="184"/>
      <c r="T522" s="193"/>
      <c r="U522" s="193"/>
      <c r="V522" s="227"/>
      <c r="W522" s="229"/>
      <c r="X522" s="184"/>
      <c r="Y522" s="184"/>
      <c r="Z522" s="184"/>
      <c r="AA522" s="230"/>
      <c r="AB522" s="241"/>
      <c r="AC522" s="242"/>
      <c r="AD522" s="182"/>
      <c r="AE522" s="162"/>
      <c r="AF522" s="1083"/>
      <c r="AG522" s="817"/>
      <c r="AH522" s="775"/>
      <c r="AI522" s="775"/>
      <c r="AJ522" s="855"/>
      <c r="AK522" s="775"/>
      <c r="AL522" s="827"/>
      <c r="AM522" s="827"/>
      <c r="AN522" s="807"/>
      <c r="AO522" s="808"/>
      <c r="AP522" s="808"/>
      <c r="AQ522" s="795"/>
      <c r="AR522" s="795"/>
      <c r="AS522" s="795"/>
      <c r="AT522" s="795"/>
      <c r="AU522" s="795"/>
      <c r="AV522" s="795"/>
      <c r="AW522" s="795"/>
      <c r="AX522" s="867"/>
      <c r="AY522" s="847"/>
    </row>
    <row r="523" spans="1:51" ht="27" customHeight="1" x14ac:dyDescent="0.25">
      <c r="A523" s="815"/>
      <c r="B523" s="1043"/>
      <c r="C523" s="827"/>
      <c r="D523" s="132" t="s">
        <v>4</v>
      </c>
      <c r="E523" s="239"/>
      <c r="F523" s="240"/>
      <c r="G523" s="227"/>
      <c r="H523" s="227"/>
      <c r="I523" s="227"/>
      <c r="J523" s="183"/>
      <c r="K523" s="182"/>
      <c r="L523" s="183"/>
      <c r="M523" s="183"/>
      <c r="N523" s="228"/>
      <c r="O523" s="183"/>
      <c r="P523" s="183"/>
      <c r="Q523" s="183"/>
      <c r="R523" s="232"/>
      <c r="S523" s="184"/>
      <c r="T523" s="193"/>
      <c r="U523" s="193"/>
      <c r="V523" s="227"/>
      <c r="W523" s="229"/>
      <c r="X523" s="184"/>
      <c r="Y523" s="184"/>
      <c r="Z523" s="184"/>
      <c r="AA523" s="230"/>
      <c r="AB523" s="241"/>
      <c r="AC523" s="242"/>
      <c r="AD523" s="182"/>
      <c r="AE523" s="162"/>
      <c r="AF523" s="1083"/>
      <c r="AG523" s="817"/>
      <c r="AH523" s="775"/>
      <c r="AI523" s="775"/>
      <c r="AJ523" s="855"/>
      <c r="AK523" s="775"/>
      <c r="AL523" s="827"/>
      <c r="AM523" s="827"/>
      <c r="AN523" s="807"/>
      <c r="AO523" s="808"/>
      <c r="AP523" s="808"/>
      <c r="AQ523" s="795"/>
      <c r="AR523" s="795"/>
      <c r="AS523" s="795"/>
      <c r="AT523" s="795"/>
      <c r="AU523" s="795"/>
      <c r="AV523" s="795"/>
      <c r="AW523" s="795"/>
      <c r="AX523" s="867"/>
      <c r="AY523" s="847"/>
    </row>
    <row r="524" spans="1:51" ht="27" customHeight="1" x14ac:dyDescent="0.25">
      <c r="A524" s="815"/>
      <c r="B524" s="1043"/>
      <c r="C524" s="827"/>
      <c r="D524" s="136" t="s">
        <v>43</v>
      </c>
      <c r="E524" s="142"/>
      <c r="F524" s="143"/>
      <c r="G524" s="144"/>
      <c r="H524" s="144"/>
      <c r="I524" s="207">
        <v>1</v>
      </c>
      <c r="J524" s="138">
        <v>1</v>
      </c>
      <c r="K524" s="137">
        <v>1</v>
      </c>
      <c r="L524" s="138"/>
      <c r="M524" s="138"/>
      <c r="N524" s="138"/>
      <c r="O524" s="138"/>
      <c r="P524" s="138"/>
      <c r="Q524" s="138">
        <v>2</v>
      </c>
      <c r="R524" s="147">
        <v>4</v>
      </c>
      <c r="S524" s="152"/>
      <c r="T524" s="234"/>
      <c r="U524" s="234"/>
      <c r="V524" s="207">
        <v>1</v>
      </c>
      <c r="W524" s="147">
        <v>1</v>
      </c>
      <c r="X524" s="203">
        <v>1</v>
      </c>
      <c r="Y524" s="152"/>
      <c r="Z524" s="152"/>
      <c r="AA524" s="152"/>
      <c r="AB524" s="243"/>
      <c r="AC524" s="129"/>
      <c r="AD524" s="137">
        <v>2</v>
      </c>
      <c r="AE524" s="129">
        <v>4</v>
      </c>
      <c r="AF524" s="1083"/>
      <c r="AG524" s="817"/>
      <c r="AH524" s="775"/>
      <c r="AI524" s="775"/>
      <c r="AJ524" s="855"/>
      <c r="AK524" s="775"/>
      <c r="AL524" s="827"/>
      <c r="AM524" s="827"/>
      <c r="AN524" s="807"/>
      <c r="AO524" s="808"/>
      <c r="AP524" s="808"/>
      <c r="AQ524" s="795"/>
      <c r="AR524" s="795"/>
      <c r="AS524" s="795"/>
      <c r="AT524" s="795"/>
      <c r="AU524" s="795"/>
      <c r="AV524" s="795"/>
      <c r="AW524" s="795"/>
      <c r="AX524" s="867"/>
      <c r="AY524" s="847"/>
    </row>
    <row r="525" spans="1:51" ht="27.75" customHeight="1" thickBot="1" x14ac:dyDescent="0.3">
      <c r="A525" s="815"/>
      <c r="B525" s="1043"/>
      <c r="C525" s="827"/>
      <c r="D525" s="140" t="s">
        <v>45</v>
      </c>
      <c r="E525" s="244"/>
      <c r="F525" s="245"/>
      <c r="G525" s="237"/>
      <c r="H525" s="237"/>
      <c r="I525" s="227" t="e">
        <f>+I524*$I$503/$I$502</f>
        <v>#REF!</v>
      </c>
      <c r="J525" s="183" t="e">
        <f>+J524*$J$503/$J$502</f>
        <v>#REF!</v>
      </c>
      <c r="K525" s="185"/>
      <c r="L525" s="186"/>
      <c r="M525" s="186"/>
      <c r="N525" s="238"/>
      <c r="O525" s="186"/>
      <c r="P525" s="186"/>
      <c r="Q525" s="183">
        <f>+Q524*$Q$503/$Q$502</f>
        <v>28577133.079999998</v>
      </c>
      <c r="R525" s="183">
        <f>+R524*$R$503/$R$502</f>
        <v>57154266.159999996</v>
      </c>
      <c r="S525" s="177"/>
      <c r="T525" s="174"/>
      <c r="U525" s="174"/>
      <c r="V525" s="227" t="e">
        <f>+V524*$V$503/$V$502</f>
        <v>#REF!</v>
      </c>
      <c r="W525" s="183" t="e">
        <f>+W524*$W$503/$W$502</f>
        <v>#REF!</v>
      </c>
      <c r="X525" s="177"/>
      <c r="Y525" s="177"/>
      <c r="Z525" s="177"/>
      <c r="AA525" s="178"/>
      <c r="AB525" s="209"/>
      <c r="AC525" s="242"/>
      <c r="AD525" s="182">
        <f>+AD524*$AD$503/$AD$502</f>
        <v>24754185.022222221</v>
      </c>
      <c r="AE525" s="182" t="e">
        <f>+AE524*$AE$503/$AE$502</f>
        <v>#REF!</v>
      </c>
      <c r="AF525" s="1084"/>
      <c r="AG525" s="817"/>
      <c r="AH525" s="776"/>
      <c r="AI525" s="776"/>
      <c r="AJ525" s="856"/>
      <c r="AK525" s="776"/>
      <c r="AL525" s="827"/>
      <c r="AM525" s="827"/>
      <c r="AN525" s="807"/>
      <c r="AO525" s="808"/>
      <c r="AP525" s="808"/>
      <c r="AQ525" s="795"/>
      <c r="AR525" s="795"/>
      <c r="AS525" s="795"/>
      <c r="AT525" s="795"/>
      <c r="AU525" s="795"/>
      <c r="AV525" s="795"/>
      <c r="AW525" s="795"/>
      <c r="AX525" s="867"/>
      <c r="AY525" s="847"/>
    </row>
    <row r="526" spans="1:51" ht="18" hidden="1" customHeight="1" x14ac:dyDescent="0.25">
      <c r="A526" s="815"/>
      <c r="B526" s="1043"/>
      <c r="C526" s="811" t="s">
        <v>345</v>
      </c>
      <c r="D526" s="141" t="s">
        <v>41</v>
      </c>
      <c r="E526" s="142"/>
      <c r="F526" s="143"/>
      <c r="G526" s="144"/>
      <c r="H526" s="144"/>
      <c r="I526" s="144"/>
      <c r="J526" s="138"/>
      <c r="K526" s="137"/>
      <c r="L526" s="138"/>
      <c r="M526" s="138"/>
      <c r="N526" s="138"/>
      <c r="O526" s="138"/>
      <c r="P526" s="138"/>
      <c r="Q526" s="138"/>
      <c r="R526" s="147"/>
      <c r="S526" s="177"/>
      <c r="T526" s="174"/>
      <c r="U526" s="174"/>
      <c r="V526" s="174"/>
      <c r="W526" s="175"/>
      <c r="X526" s="177"/>
      <c r="Y526" s="177"/>
      <c r="Z526" s="177"/>
      <c r="AA526" s="178"/>
      <c r="AB526" s="209"/>
      <c r="AC526" s="129"/>
      <c r="AD526" s="137"/>
      <c r="AE526" s="180"/>
      <c r="AF526" s="225"/>
      <c r="AG526" s="817" t="str">
        <f>+C526</f>
        <v>SAN CRISTOBAL</v>
      </c>
      <c r="AH526" s="774" t="s">
        <v>350</v>
      </c>
      <c r="AI526" s="774" t="s">
        <v>350</v>
      </c>
      <c r="AJ526" s="774" t="s">
        <v>350</v>
      </c>
      <c r="AK526" s="774" t="s">
        <v>315</v>
      </c>
      <c r="AL526" s="827"/>
      <c r="AM526" s="827" t="s">
        <v>547</v>
      </c>
      <c r="AN526" s="857">
        <v>8185614</v>
      </c>
      <c r="AO526" s="808">
        <v>8185614</v>
      </c>
      <c r="AP526" s="808"/>
      <c r="AQ526" s="795" t="s">
        <v>317</v>
      </c>
      <c r="AR526" s="795" t="s">
        <v>317</v>
      </c>
      <c r="AS526" s="795" t="s">
        <v>317</v>
      </c>
      <c r="AT526" s="795" t="s">
        <v>317</v>
      </c>
      <c r="AU526" s="795" t="s">
        <v>317</v>
      </c>
      <c r="AV526" s="795" t="s">
        <v>317</v>
      </c>
      <c r="AW526" s="795" t="s">
        <v>317</v>
      </c>
      <c r="AX526" s="796">
        <v>8185614</v>
      </c>
      <c r="AY526" s="159"/>
    </row>
    <row r="527" spans="1:51" ht="18" hidden="1" customHeight="1" x14ac:dyDescent="0.25">
      <c r="A527" s="815"/>
      <c r="B527" s="1043"/>
      <c r="C527" s="812"/>
      <c r="D527" s="132" t="s">
        <v>3</v>
      </c>
      <c r="E527" s="239"/>
      <c r="F527" s="240"/>
      <c r="G527" s="227"/>
      <c r="H527" s="227"/>
      <c r="I527" s="227"/>
      <c r="J527" s="183"/>
      <c r="K527" s="182"/>
      <c r="L527" s="183"/>
      <c r="M527" s="183"/>
      <c r="N527" s="228"/>
      <c r="O527" s="183"/>
      <c r="P527" s="183"/>
      <c r="Q527" s="183"/>
      <c r="R527" s="232"/>
      <c r="S527" s="184"/>
      <c r="T527" s="193"/>
      <c r="U527" s="193"/>
      <c r="V527" s="193"/>
      <c r="W527" s="229"/>
      <c r="X527" s="184"/>
      <c r="Y527" s="184"/>
      <c r="Z527" s="184"/>
      <c r="AA527" s="230"/>
      <c r="AB527" s="241"/>
      <c r="AC527" s="242"/>
      <c r="AD527" s="182"/>
      <c r="AE527" s="162"/>
      <c r="AF527" s="231"/>
      <c r="AG527" s="817"/>
      <c r="AH527" s="775"/>
      <c r="AI527" s="775"/>
      <c r="AJ527" s="775"/>
      <c r="AK527" s="775"/>
      <c r="AL527" s="827"/>
      <c r="AM527" s="827"/>
      <c r="AN527" s="857"/>
      <c r="AO527" s="808"/>
      <c r="AP527" s="808"/>
      <c r="AQ527" s="795"/>
      <c r="AR527" s="795"/>
      <c r="AS527" s="795"/>
      <c r="AT527" s="795"/>
      <c r="AU527" s="795"/>
      <c r="AV527" s="795"/>
      <c r="AW527" s="795"/>
      <c r="AX527" s="797"/>
      <c r="AY527" s="159"/>
    </row>
    <row r="528" spans="1:51" ht="27" hidden="1" customHeight="1" x14ac:dyDescent="0.25">
      <c r="A528" s="815"/>
      <c r="B528" s="1043"/>
      <c r="C528" s="812"/>
      <c r="D528" s="136" t="s">
        <v>42</v>
      </c>
      <c r="E528" s="239"/>
      <c r="F528" s="240"/>
      <c r="G528" s="227"/>
      <c r="H528" s="227"/>
      <c r="I528" s="227"/>
      <c r="J528" s="183"/>
      <c r="K528" s="182"/>
      <c r="L528" s="183"/>
      <c r="M528" s="183"/>
      <c r="N528" s="228"/>
      <c r="O528" s="183"/>
      <c r="P528" s="183"/>
      <c r="Q528" s="183"/>
      <c r="R528" s="232"/>
      <c r="S528" s="184"/>
      <c r="T528" s="193"/>
      <c r="U528" s="193"/>
      <c r="V528" s="193"/>
      <c r="W528" s="229"/>
      <c r="X528" s="184"/>
      <c r="Y528" s="184"/>
      <c r="Z528" s="184"/>
      <c r="AA528" s="230"/>
      <c r="AB528" s="241"/>
      <c r="AC528" s="242"/>
      <c r="AD528" s="182"/>
      <c r="AE528" s="162"/>
      <c r="AF528" s="231"/>
      <c r="AG528" s="817"/>
      <c r="AH528" s="775"/>
      <c r="AI528" s="775"/>
      <c r="AJ528" s="775"/>
      <c r="AK528" s="775"/>
      <c r="AL528" s="827"/>
      <c r="AM528" s="827"/>
      <c r="AN528" s="857"/>
      <c r="AO528" s="808"/>
      <c r="AP528" s="808"/>
      <c r="AQ528" s="795"/>
      <c r="AR528" s="795"/>
      <c r="AS528" s="795"/>
      <c r="AT528" s="795"/>
      <c r="AU528" s="795"/>
      <c r="AV528" s="795"/>
      <c r="AW528" s="795"/>
      <c r="AX528" s="797"/>
      <c r="AY528" s="159"/>
    </row>
    <row r="529" spans="1:51" ht="27" hidden="1" customHeight="1" x14ac:dyDescent="0.25">
      <c r="A529" s="815"/>
      <c r="B529" s="1043"/>
      <c r="C529" s="812"/>
      <c r="D529" s="132" t="s">
        <v>4</v>
      </c>
      <c r="E529" s="239"/>
      <c r="F529" s="240"/>
      <c r="G529" s="227"/>
      <c r="H529" s="227"/>
      <c r="I529" s="227"/>
      <c r="J529" s="183"/>
      <c r="K529" s="182"/>
      <c r="L529" s="183"/>
      <c r="M529" s="183"/>
      <c r="N529" s="228"/>
      <c r="O529" s="183"/>
      <c r="P529" s="183"/>
      <c r="Q529" s="183"/>
      <c r="R529" s="232"/>
      <c r="S529" s="184"/>
      <c r="T529" s="193"/>
      <c r="U529" s="193"/>
      <c r="V529" s="193"/>
      <c r="W529" s="229"/>
      <c r="X529" s="184"/>
      <c r="Y529" s="184"/>
      <c r="Z529" s="184"/>
      <c r="AA529" s="230"/>
      <c r="AB529" s="241"/>
      <c r="AC529" s="242"/>
      <c r="AD529" s="182"/>
      <c r="AE529" s="162"/>
      <c r="AF529" s="231"/>
      <c r="AG529" s="817"/>
      <c r="AH529" s="775"/>
      <c r="AI529" s="775"/>
      <c r="AJ529" s="775"/>
      <c r="AK529" s="775"/>
      <c r="AL529" s="827"/>
      <c r="AM529" s="827"/>
      <c r="AN529" s="857"/>
      <c r="AO529" s="808"/>
      <c r="AP529" s="808"/>
      <c r="AQ529" s="795"/>
      <c r="AR529" s="795"/>
      <c r="AS529" s="795"/>
      <c r="AT529" s="795"/>
      <c r="AU529" s="795"/>
      <c r="AV529" s="795"/>
      <c r="AW529" s="795"/>
      <c r="AX529" s="797"/>
      <c r="AY529" s="159"/>
    </row>
    <row r="530" spans="1:51" ht="27" hidden="1" customHeight="1" x14ac:dyDescent="0.25">
      <c r="A530" s="815"/>
      <c r="B530" s="1043"/>
      <c r="C530" s="812"/>
      <c r="D530" s="136" t="s">
        <v>43</v>
      </c>
      <c r="E530" s="142"/>
      <c r="F530" s="143"/>
      <c r="G530" s="144"/>
      <c r="H530" s="144"/>
      <c r="I530" s="144"/>
      <c r="J530" s="138"/>
      <c r="K530" s="137"/>
      <c r="L530" s="138"/>
      <c r="M530" s="138"/>
      <c r="N530" s="138"/>
      <c r="O530" s="138"/>
      <c r="P530" s="138"/>
      <c r="Q530" s="138"/>
      <c r="R530" s="147"/>
      <c r="S530" s="152"/>
      <c r="T530" s="234"/>
      <c r="U530" s="234"/>
      <c r="V530" s="234"/>
      <c r="W530" s="147"/>
      <c r="X530" s="152"/>
      <c r="Y530" s="152"/>
      <c r="Z530" s="152"/>
      <c r="AA530" s="152"/>
      <c r="AB530" s="243"/>
      <c r="AC530" s="129"/>
      <c r="AD530" s="137"/>
      <c r="AE530" s="129"/>
      <c r="AF530" s="235"/>
      <c r="AG530" s="817"/>
      <c r="AH530" s="775"/>
      <c r="AI530" s="775"/>
      <c r="AJ530" s="775"/>
      <c r="AK530" s="775"/>
      <c r="AL530" s="827"/>
      <c r="AM530" s="827"/>
      <c r="AN530" s="857"/>
      <c r="AO530" s="808"/>
      <c r="AP530" s="808"/>
      <c r="AQ530" s="795"/>
      <c r="AR530" s="795"/>
      <c r="AS530" s="795"/>
      <c r="AT530" s="795"/>
      <c r="AU530" s="795"/>
      <c r="AV530" s="795"/>
      <c r="AW530" s="795"/>
      <c r="AX530" s="797"/>
      <c r="AY530" s="159"/>
    </row>
    <row r="531" spans="1:51" ht="27.75" hidden="1" customHeight="1" thickBot="1" x14ac:dyDescent="0.3">
      <c r="A531" s="815"/>
      <c r="B531" s="1043"/>
      <c r="C531" s="813"/>
      <c r="D531" s="140" t="s">
        <v>45</v>
      </c>
      <c r="E531" s="244"/>
      <c r="F531" s="245"/>
      <c r="G531" s="237"/>
      <c r="H531" s="237"/>
      <c r="I531" s="237"/>
      <c r="J531" s="186"/>
      <c r="K531" s="185"/>
      <c r="L531" s="186"/>
      <c r="M531" s="186"/>
      <c r="N531" s="238"/>
      <c r="O531" s="186"/>
      <c r="P531" s="186"/>
      <c r="Q531" s="186"/>
      <c r="R531" s="175"/>
      <c r="S531" s="177"/>
      <c r="T531" s="174"/>
      <c r="U531" s="174"/>
      <c r="V531" s="174"/>
      <c r="W531" s="175"/>
      <c r="X531" s="177"/>
      <c r="Y531" s="177"/>
      <c r="Z531" s="177"/>
      <c r="AA531" s="178"/>
      <c r="AB531" s="209"/>
      <c r="AC531" s="242"/>
      <c r="AD531" s="185"/>
      <c r="AE531" s="180"/>
      <c r="AF531" s="225"/>
      <c r="AG531" s="817"/>
      <c r="AH531" s="776"/>
      <c r="AI531" s="776"/>
      <c r="AJ531" s="776"/>
      <c r="AK531" s="776"/>
      <c r="AL531" s="827"/>
      <c r="AM531" s="827"/>
      <c r="AN531" s="857"/>
      <c r="AO531" s="808"/>
      <c r="AP531" s="808"/>
      <c r="AQ531" s="795"/>
      <c r="AR531" s="795"/>
      <c r="AS531" s="795"/>
      <c r="AT531" s="795"/>
      <c r="AU531" s="795"/>
      <c r="AV531" s="795"/>
      <c r="AW531" s="795"/>
      <c r="AX531" s="798"/>
      <c r="AY531" s="159"/>
    </row>
    <row r="532" spans="1:51" ht="18" hidden="1" customHeight="1" x14ac:dyDescent="0.25">
      <c r="A532" s="815"/>
      <c r="B532" s="1043"/>
      <c r="C532" s="827" t="s">
        <v>324</v>
      </c>
      <c r="D532" s="141" t="s">
        <v>41</v>
      </c>
      <c r="E532" s="142"/>
      <c r="F532" s="143"/>
      <c r="G532" s="144"/>
      <c r="H532" s="144"/>
      <c r="I532" s="144"/>
      <c r="J532" s="138"/>
      <c r="K532" s="137"/>
      <c r="L532" s="138"/>
      <c r="M532" s="138"/>
      <c r="N532" s="138"/>
      <c r="O532" s="138"/>
      <c r="P532" s="186">
        <v>1</v>
      </c>
      <c r="Q532" s="138">
        <v>1</v>
      </c>
      <c r="R532" s="147">
        <v>1</v>
      </c>
      <c r="S532" s="177"/>
      <c r="T532" s="174"/>
      <c r="U532" s="174"/>
      <c r="V532" s="174"/>
      <c r="W532" s="175"/>
      <c r="X532" s="177"/>
      <c r="Y532" s="177"/>
      <c r="Z532" s="177"/>
      <c r="AA532" s="178"/>
      <c r="AB532" s="209"/>
      <c r="AC532" s="129">
        <v>1</v>
      </c>
      <c r="AD532" s="137">
        <v>1</v>
      </c>
      <c r="AE532" s="246">
        <v>1</v>
      </c>
      <c r="AF532" s="225"/>
      <c r="AG532" s="817" t="str">
        <f>+C532</f>
        <v>USME</v>
      </c>
      <c r="AH532" s="774" t="s">
        <v>350</v>
      </c>
      <c r="AI532" s="774" t="s">
        <v>350</v>
      </c>
      <c r="AJ532" s="774" t="s">
        <v>350</v>
      </c>
      <c r="AK532" s="774" t="s">
        <v>315</v>
      </c>
      <c r="AL532" s="827" t="s">
        <v>557</v>
      </c>
      <c r="AM532" s="827" t="s">
        <v>547</v>
      </c>
      <c r="AN532" s="857">
        <v>372602.406877751</v>
      </c>
      <c r="AO532" s="808">
        <v>181364.039519977</v>
      </c>
      <c r="AP532" s="808">
        <v>191238.36735777499</v>
      </c>
      <c r="AQ532" s="795" t="s">
        <v>317</v>
      </c>
      <c r="AR532" s="795" t="s">
        <v>317</v>
      </c>
      <c r="AS532" s="795" t="s">
        <v>317</v>
      </c>
      <c r="AT532" s="795" t="s">
        <v>317</v>
      </c>
      <c r="AU532" s="795" t="s">
        <v>317</v>
      </c>
      <c r="AV532" s="795" t="s">
        <v>317</v>
      </c>
      <c r="AW532" s="795" t="s">
        <v>317</v>
      </c>
      <c r="AX532" s="796">
        <v>8185614</v>
      </c>
      <c r="AY532" s="846" t="s">
        <v>548</v>
      </c>
    </row>
    <row r="533" spans="1:51" ht="18" hidden="1" customHeight="1" x14ac:dyDescent="0.25">
      <c r="A533" s="815"/>
      <c r="B533" s="1043"/>
      <c r="C533" s="827"/>
      <c r="D533" s="132" t="s">
        <v>3</v>
      </c>
      <c r="E533" s="239"/>
      <c r="F533" s="240"/>
      <c r="G533" s="227"/>
      <c r="H533" s="227"/>
      <c r="I533" s="227"/>
      <c r="J533" s="183"/>
      <c r="K533" s="182"/>
      <c r="L533" s="183"/>
      <c r="M533" s="183"/>
      <c r="N533" s="228"/>
      <c r="O533" s="183"/>
      <c r="P533" s="183">
        <f>+P532*$P$503/$P$502</f>
        <v>14688566.539999999</v>
      </c>
      <c r="Q533" s="183">
        <f>+Q532*$Q$503/$Q$502</f>
        <v>14288566.539999999</v>
      </c>
      <c r="R533" s="183">
        <f>+R532*$R$503/$R$502</f>
        <v>14288566.539999999</v>
      </c>
      <c r="S533" s="184"/>
      <c r="T533" s="193"/>
      <c r="U533" s="193"/>
      <c r="V533" s="193"/>
      <c r="W533" s="229"/>
      <c r="X533" s="184"/>
      <c r="Y533" s="184"/>
      <c r="Z533" s="184"/>
      <c r="AA533" s="230"/>
      <c r="AB533" s="241"/>
      <c r="AC533" s="182">
        <f>+AC532*$AC$503/$AC$502</f>
        <v>17733966.666666668</v>
      </c>
      <c r="AD533" s="182">
        <f>+AD532*$AD$503/$AD$502</f>
        <v>12377092.51111111</v>
      </c>
      <c r="AE533" s="182" t="e">
        <f>+AE532*$AE$503/$AE$502</f>
        <v>#REF!</v>
      </c>
      <c r="AF533" s="231"/>
      <c r="AG533" s="817"/>
      <c r="AH533" s="775"/>
      <c r="AI533" s="775"/>
      <c r="AJ533" s="775"/>
      <c r="AK533" s="775"/>
      <c r="AL533" s="827"/>
      <c r="AM533" s="827"/>
      <c r="AN533" s="857"/>
      <c r="AO533" s="808"/>
      <c r="AP533" s="808"/>
      <c r="AQ533" s="795"/>
      <c r="AR533" s="795"/>
      <c r="AS533" s="795"/>
      <c r="AT533" s="795"/>
      <c r="AU533" s="795"/>
      <c r="AV533" s="795"/>
      <c r="AW533" s="795"/>
      <c r="AX533" s="797"/>
      <c r="AY533" s="847"/>
    </row>
    <row r="534" spans="1:51" ht="27" hidden="1" customHeight="1" x14ac:dyDescent="0.25">
      <c r="A534" s="815"/>
      <c r="B534" s="1043"/>
      <c r="C534" s="827"/>
      <c r="D534" s="136" t="s">
        <v>42</v>
      </c>
      <c r="E534" s="239"/>
      <c r="F534" s="240"/>
      <c r="G534" s="227"/>
      <c r="H534" s="227"/>
      <c r="I534" s="227"/>
      <c r="J534" s="183"/>
      <c r="K534" s="182"/>
      <c r="L534" s="183"/>
      <c r="M534" s="183"/>
      <c r="N534" s="228"/>
      <c r="O534" s="183"/>
      <c r="P534" s="186"/>
      <c r="Q534" s="183"/>
      <c r="R534" s="232"/>
      <c r="S534" s="184"/>
      <c r="T534" s="193"/>
      <c r="U534" s="193"/>
      <c r="V534" s="193"/>
      <c r="W534" s="229"/>
      <c r="X534" s="184"/>
      <c r="Y534" s="184"/>
      <c r="Z534" s="184"/>
      <c r="AA534" s="230"/>
      <c r="AB534" s="241"/>
      <c r="AC534" s="242"/>
      <c r="AD534" s="182"/>
      <c r="AE534" s="162"/>
      <c r="AF534" s="231"/>
      <c r="AG534" s="817"/>
      <c r="AH534" s="775"/>
      <c r="AI534" s="775"/>
      <c r="AJ534" s="775"/>
      <c r="AK534" s="775"/>
      <c r="AL534" s="827"/>
      <c r="AM534" s="827"/>
      <c r="AN534" s="857"/>
      <c r="AO534" s="808"/>
      <c r="AP534" s="808"/>
      <c r="AQ534" s="795"/>
      <c r="AR534" s="795"/>
      <c r="AS534" s="795"/>
      <c r="AT534" s="795"/>
      <c r="AU534" s="795"/>
      <c r="AV534" s="795"/>
      <c r="AW534" s="795"/>
      <c r="AX534" s="797"/>
      <c r="AY534" s="847"/>
    </row>
    <row r="535" spans="1:51" ht="27" hidden="1" customHeight="1" x14ac:dyDescent="0.25">
      <c r="A535" s="815"/>
      <c r="B535" s="1043"/>
      <c r="C535" s="827"/>
      <c r="D535" s="132" t="s">
        <v>4</v>
      </c>
      <c r="E535" s="239"/>
      <c r="F535" s="240"/>
      <c r="G535" s="227"/>
      <c r="H535" s="227"/>
      <c r="I535" s="227"/>
      <c r="J535" s="183"/>
      <c r="K535" s="182"/>
      <c r="L535" s="183"/>
      <c r="M535" s="183"/>
      <c r="N535" s="228"/>
      <c r="O535" s="183"/>
      <c r="P535" s="186"/>
      <c r="Q535" s="183"/>
      <c r="R535" s="232"/>
      <c r="S535" s="184"/>
      <c r="T535" s="193"/>
      <c r="U535" s="193"/>
      <c r="V535" s="193"/>
      <c r="W535" s="229"/>
      <c r="X535" s="184"/>
      <c r="Y535" s="184"/>
      <c r="Z535" s="184"/>
      <c r="AA535" s="230"/>
      <c r="AB535" s="241"/>
      <c r="AC535" s="242"/>
      <c r="AD535" s="182"/>
      <c r="AE535" s="162"/>
      <c r="AF535" s="231"/>
      <c r="AG535" s="817"/>
      <c r="AH535" s="775"/>
      <c r="AI535" s="775"/>
      <c r="AJ535" s="775"/>
      <c r="AK535" s="775"/>
      <c r="AL535" s="827"/>
      <c r="AM535" s="827"/>
      <c r="AN535" s="857"/>
      <c r="AO535" s="808"/>
      <c r="AP535" s="808"/>
      <c r="AQ535" s="795"/>
      <c r="AR535" s="795"/>
      <c r="AS535" s="795"/>
      <c r="AT535" s="795"/>
      <c r="AU535" s="795"/>
      <c r="AV535" s="795"/>
      <c r="AW535" s="795"/>
      <c r="AX535" s="797"/>
      <c r="AY535" s="847"/>
    </row>
    <row r="536" spans="1:51" ht="27" hidden="1" customHeight="1" x14ac:dyDescent="0.25">
      <c r="A536" s="815"/>
      <c r="B536" s="1043"/>
      <c r="C536" s="827"/>
      <c r="D536" s="136" t="s">
        <v>43</v>
      </c>
      <c r="E536" s="142"/>
      <c r="F536" s="143"/>
      <c r="G536" s="144"/>
      <c r="H536" s="144"/>
      <c r="I536" s="144"/>
      <c r="J536" s="138"/>
      <c r="K536" s="137"/>
      <c r="L536" s="138"/>
      <c r="M536" s="138"/>
      <c r="N536" s="138"/>
      <c r="O536" s="138"/>
      <c r="P536" s="186">
        <v>1</v>
      </c>
      <c r="Q536" s="138">
        <v>1</v>
      </c>
      <c r="R536" s="147">
        <v>1</v>
      </c>
      <c r="S536" s="152"/>
      <c r="T536" s="234"/>
      <c r="U536" s="234"/>
      <c r="V536" s="234"/>
      <c r="W536" s="147"/>
      <c r="X536" s="152"/>
      <c r="Y536" s="152"/>
      <c r="Z536" s="152"/>
      <c r="AA536" s="152"/>
      <c r="AB536" s="243"/>
      <c r="AC536" s="129">
        <v>1</v>
      </c>
      <c r="AD536" s="137">
        <v>1</v>
      </c>
      <c r="AE536" s="129">
        <v>1</v>
      </c>
      <c r="AF536" s="235"/>
      <c r="AG536" s="817"/>
      <c r="AH536" s="775"/>
      <c r="AI536" s="775"/>
      <c r="AJ536" s="775"/>
      <c r="AK536" s="775"/>
      <c r="AL536" s="827"/>
      <c r="AM536" s="827"/>
      <c r="AN536" s="857"/>
      <c r="AO536" s="808"/>
      <c r="AP536" s="808"/>
      <c r="AQ536" s="795"/>
      <c r="AR536" s="795"/>
      <c r="AS536" s="795"/>
      <c r="AT536" s="795"/>
      <c r="AU536" s="795"/>
      <c r="AV536" s="795"/>
      <c r="AW536" s="795"/>
      <c r="AX536" s="797"/>
      <c r="AY536" s="847"/>
    </row>
    <row r="537" spans="1:51" ht="27.75" hidden="1" customHeight="1" thickBot="1" x14ac:dyDescent="0.3">
      <c r="A537" s="815"/>
      <c r="B537" s="1043"/>
      <c r="C537" s="827"/>
      <c r="D537" s="140" t="s">
        <v>45</v>
      </c>
      <c r="E537" s="244"/>
      <c r="F537" s="245"/>
      <c r="G537" s="237"/>
      <c r="H537" s="237"/>
      <c r="I537" s="237"/>
      <c r="J537" s="186"/>
      <c r="K537" s="185"/>
      <c r="L537" s="186"/>
      <c r="M537" s="186"/>
      <c r="N537" s="238"/>
      <c r="O537" s="186"/>
      <c r="P537" s="183">
        <f>+P536*$P$503/$P$502</f>
        <v>14688566.539999999</v>
      </c>
      <c r="Q537" s="183">
        <f>+Q536*$Q$503/$Q$502</f>
        <v>14288566.539999999</v>
      </c>
      <c r="R537" s="183">
        <f>+R536*$R$503/$R$502</f>
        <v>14288566.539999999</v>
      </c>
      <c r="S537" s="177"/>
      <c r="T537" s="174"/>
      <c r="U537" s="174"/>
      <c r="V537" s="174"/>
      <c r="W537" s="175"/>
      <c r="X537" s="177"/>
      <c r="Y537" s="177"/>
      <c r="Z537" s="177"/>
      <c r="AA537" s="178"/>
      <c r="AB537" s="209"/>
      <c r="AC537" s="182">
        <f>+AC536*$AC$503/$AC$502</f>
        <v>17733966.666666668</v>
      </c>
      <c r="AD537" s="182">
        <f>+AD536*$AD$503/$AD$502</f>
        <v>12377092.51111111</v>
      </c>
      <c r="AE537" s="182" t="e">
        <f>+AE536*$AE$503/$AE$502</f>
        <v>#REF!</v>
      </c>
      <c r="AF537" s="225"/>
      <c r="AG537" s="817"/>
      <c r="AH537" s="776"/>
      <c r="AI537" s="776"/>
      <c r="AJ537" s="776"/>
      <c r="AK537" s="776"/>
      <c r="AL537" s="827"/>
      <c r="AM537" s="827"/>
      <c r="AN537" s="857"/>
      <c r="AO537" s="808"/>
      <c r="AP537" s="808"/>
      <c r="AQ537" s="795"/>
      <c r="AR537" s="795"/>
      <c r="AS537" s="795"/>
      <c r="AT537" s="795"/>
      <c r="AU537" s="795"/>
      <c r="AV537" s="795"/>
      <c r="AW537" s="795"/>
      <c r="AX537" s="798"/>
      <c r="AY537" s="847"/>
    </row>
    <row r="538" spans="1:51" ht="18" customHeight="1" x14ac:dyDescent="0.25">
      <c r="A538" s="815"/>
      <c r="B538" s="1043"/>
      <c r="C538" s="811" t="s">
        <v>352</v>
      </c>
      <c r="D538" s="141" t="s">
        <v>41</v>
      </c>
      <c r="E538" s="142"/>
      <c r="F538" s="143"/>
      <c r="G538" s="207">
        <v>3</v>
      </c>
      <c r="H538" s="207">
        <v>3</v>
      </c>
      <c r="I538" s="207">
        <v>4</v>
      </c>
      <c r="J538" s="138">
        <v>4</v>
      </c>
      <c r="K538" s="137">
        <v>5</v>
      </c>
      <c r="L538" s="138"/>
      <c r="M538" s="138"/>
      <c r="N538" s="138"/>
      <c r="O538" s="138"/>
      <c r="P538" s="138">
        <v>4</v>
      </c>
      <c r="Q538" s="138">
        <v>3</v>
      </c>
      <c r="R538" s="147">
        <v>3</v>
      </c>
      <c r="S538" s="177"/>
      <c r="T538" s="207">
        <v>3</v>
      </c>
      <c r="U538" s="207">
        <v>3</v>
      </c>
      <c r="V538" s="207">
        <v>4</v>
      </c>
      <c r="W538" s="175">
        <v>4</v>
      </c>
      <c r="X538" s="302">
        <v>5</v>
      </c>
      <c r="Y538" s="177"/>
      <c r="Z538" s="177"/>
      <c r="AA538" s="178"/>
      <c r="AB538" s="209"/>
      <c r="AC538" s="129">
        <v>4</v>
      </c>
      <c r="AD538" s="137">
        <v>3</v>
      </c>
      <c r="AE538" s="180">
        <v>3</v>
      </c>
      <c r="AF538" s="1091" t="s">
        <v>671</v>
      </c>
      <c r="AG538" s="1090" t="str">
        <f>+C538</f>
        <v>TUNJUELITO</v>
      </c>
      <c r="AH538" s="861" t="s">
        <v>558</v>
      </c>
      <c r="AI538" s="861" t="s">
        <v>559</v>
      </c>
      <c r="AJ538" s="854" t="s">
        <v>675</v>
      </c>
      <c r="AK538" s="774" t="s">
        <v>315</v>
      </c>
      <c r="AL538" s="827" t="s">
        <v>225</v>
      </c>
      <c r="AM538" s="827" t="s">
        <v>547</v>
      </c>
      <c r="AN538" s="857">
        <v>181170</v>
      </c>
      <c r="AO538" s="808">
        <v>87610</v>
      </c>
      <c r="AP538" s="808">
        <v>93559</v>
      </c>
      <c r="AQ538" s="795" t="s">
        <v>317</v>
      </c>
      <c r="AR538" s="795" t="s">
        <v>317</v>
      </c>
      <c r="AS538" s="795" t="s">
        <v>317</v>
      </c>
      <c r="AT538" s="795" t="s">
        <v>317</v>
      </c>
      <c r="AU538" s="795" t="s">
        <v>317</v>
      </c>
      <c r="AV538" s="795" t="s">
        <v>317</v>
      </c>
      <c r="AW538" s="795" t="s">
        <v>317</v>
      </c>
      <c r="AX538" s="796">
        <v>181170</v>
      </c>
      <c r="AY538" s="859" t="s">
        <v>676</v>
      </c>
    </row>
    <row r="539" spans="1:51" ht="18" customHeight="1" x14ac:dyDescent="0.25">
      <c r="A539" s="815"/>
      <c r="B539" s="1043"/>
      <c r="C539" s="812"/>
      <c r="D539" s="132" t="s">
        <v>3</v>
      </c>
      <c r="E539" s="239"/>
      <c r="F539" s="240"/>
      <c r="G539" s="227">
        <f>+G538*$G$503/$G$502</f>
        <v>13113525</v>
      </c>
      <c r="H539" s="227">
        <f>+H538*$H$503/$H$502</f>
        <v>13113525</v>
      </c>
      <c r="I539" s="227" t="e">
        <f>+I538*$I$503/$I$502</f>
        <v>#REF!</v>
      </c>
      <c r="J539" s="183" t="e">
        <f>+J538*$J$503/$J$502</f>
        <v>#REF!</v>
      </c>
      <c r="K539" s="182"/>
      <c r="L539" s="183"/>
      <c r="M539" s="183"/>
      <c r="N539" s="228"/>
      <c r="O539" s="183"/>
      <c r="P539" s="183">
        <f>+P538*$P$503/$P$502</f>
        <v>58754266.159999996</v>
      </c>
      <c r="Q539" s="183">
        <f>+Q538*$Q$503/$Q$502</f>
        <v>42865699.619999997</v>
      </c>
      <c r="R539" s="183">
        <f>+R538*$R$503/$R$502</f>
        <v>42865699.619999997</v>
      </c>
      <c r="S539" s="184"/>
      <c r="T539" s="227"/>
      <c r="U539" s="227">
        <f>+U538*$U$503/$U$502</f>
        <v>4601700</v>
      </c>
      <c r="V539" s="227" t="e">
        <f>+V538*$V$503/$V$502</f>
        <v>#REF!</v>
      </c>
      <c r="W539" s="183" t="e">
        <f>+W538*$W$503/$W$502</f>
        <v>#REF!</v>
      </c>
      <c r="X539" s="184"/>
      <c r="Y539" s="184"/>
      <c r="Z539" s="184"/>
      <c r="AA539" s="230"/>
      <c r="AB539" s="241"/>
      <c r="AC539" s="182">
        <f>+AC538*$AC$503/$AC$502</f>
        <v>70935866.666666672</v>
      </c>
      <c r="AD539" s="182">
        <f>+AD538*$AD$503/$AD$502</f>
        <v>37131277.533333331</v>
      </c>
      <c r="AE539" s="182" t="e">
        <f>+AE538*$AE$503/$AE$502</f>
        <v>#REF!</v>
      </c>
      <c r="AF539" s="1092"/>
      <c r="AG539" s="1090"/>
      <c r="AH539" s="862"/>
      <c r="AI539" s="862"/>
      <c r="AJ539" s="855"/>
      <c r="AK539" s="775"/>
      <c r="AL539" s="827"/>
      <c r="AM539" s="827"/>
      <c r="AN539" s="857"/>
      <c r="AO539" s="808"/>
      <c r="AP539" s="808"/>
      <c r="AQ539" s="795"/>
      <c r="AR539" s="795"/>
      <c r="AS539" s="795"/>
      <c r="AT539" s="795"/>
      <c r="AU539" s="795"/>
      <c r="AV539" s="795"/>
      <c r="AW539" s="795"/>
      <c r="AX539" s="797"/>
      <c r="AY539" s="860"/>
    </row>
    <row r="540" spans="1:51" ht="27" customHeight="1" x14ac:dyDescent="0.25">
      <c r="A540" s="815"/>
      <c r="B540" s="1043"/>
      <c r="C540" s="812"/>
      <c r="D540" s="136" t="s">
        <v>42</v>
      </c>
      <c r="E540" s="239"/>
      <c r="F540" s="240"/>
      <c r="G540" s="227"/>
      <c r="H540" s="227"/>
      <c r="I540" s="227"/>
      <c r="J540" s="183"/>
      <c r="K540" s="182"/>
      <c r="L540" s="183"/>
      <c r="M540" s="183"/>
      <c r="N540" s="228"/>
      <c r="O540" s="183"/>
      <c r="P540" s="183"/>
      <c r="Q540" s="183"/>
      <c r="R540" s="232"/>
      <c r="S540" s="184"/>
      <c r="T540" s="227"/>
      <c r="U540" s="227"/>
      <c r="V540" s="227"/>
      <c r="W540" s="229"/>
      <c r="X540" s="184"/>
      <c r="Y540" s="184"/>
      <c r="Z540" s="184"/>
      <c r="AA540" s="230"/>
      <c r="AB540" s="241"/>
      <c r="AC540" s="242"/>
      <c r="AD540" s="182"/>
      <c r="AE540" s="162"/>
      <c r="AF540" s="1092"/>
      <c r="AG540" s="1090"/>
      <c r="AH540" s="862"/>
      <c r="AI540" s="862"/>
      <c r="AJ540" s="855"/>
      <c r="AK540" s="775"/>
      <c r="AL540" s="827"/>
      <c r="AM540" s="827"/>
      <c r="AN540" s="857"/>
      <c r="AO540" s="808"/>
      <c r="AP540" s="808"/>
      <c r="AQ540" s="795"/>
      <c r="AR540" s="795"/>
      <c r="AS540" s="795"/>
      <c r="AT540" s="795"/>
      <c r="AU540" s="795"/>
      <c r="AV540" s="795"/>
      <c r="AW540" s="795"/>
      <c r="AX540" s="797"/>
      <c r="AY540" s="860"/>
    </row>
    <row r="541" spans="1:51" ht="27" customHeight="1" x14ac:dyDescent="0.25">
      <c r="A541" s="815"/>
      <c r="B541" s="1043"/>
      <c r="C541" s="812"/>
      <c r="D541" s="132" t="s">
        <v>4</v>
      </c>
      <c r="E541" s="239"/>
      <c r="F541" s="240"/>
      <c r="G541" s="227"/>
      <c r="H541" s="227">
        <f>+$U$505/11</f>
        <v>7723875.0909090908</v>
      </c>
      <c r="I541" s="227"/>
      <c r="J541" s="183"/>
      <c r="K541" s="182"/>
      <c r="L541" s="183"/>
      <c r="M541" s="183"/>
      <c r="N541" s="228"/>
      <c r="O541" s="183"/>
      <c r="P541" s="183"/>
      <c r="Q541" s="183"/>
      <c r="R541" s="232"/>
      <c r="S541" s="184"/>
      <c r="T541" s="227">
        <f>+T538*$T$505/$T$502</f>
        <v>5276561.25</v>
      </c>
      <c r="U541" s="227">
        <f>+$U$505/11</f>
        <v>7723875.0909090908</v>
      </c>
      <c r="V541" s="227"/>
      <c r="W541" s="229"/>
      <c r="X541" s="184"/>
      <c r="Y541" s="184"/>
      <c r="Z541" s="184"/>
      <c r="AA541" s="230"/>
      <c r="AB541" s="241"/>
      <c r="AC541" s="242"/>
      <c r="AD541" s="182"/>
      <c r="AE541" s="162"/>
      <c r="AF541" s="1092"/>
      <c r="AG541" s="1090"/>
      <c r="AH541" s="862"/>
      <c r="AI541" s="862"/>
      <c r="AJ541" s="855"/>
      <c r="AK541" s="775"/>
      <c r="AL541" s="827"/>
      <c r="AM541" s="827"/>
      <c r="AN541" s="857"/>
      <c r="AO541" s="808"/>
      <c r="AP541" s="808"/>
      <c r="AQ541" s="795"/>
      <c r="AR541" s="795"/>
      <c r="AS541" s="795"/>
      <c r="AT541" s="795"/>
      <c r="AU541" s="795"/>
      <c r="AV541" s="795"/>
      <c r="AW541" s="795"/>
      <c r="AX541" s="797"/>
      <c r="AY541" s="860"/>
    </row>
    <row r="542" spans="1:51" ht="27" customHeight="1" x14ac:dyDescent="0.25">
      <c r="A542" s="815"/>
      <c r="B542" s="1043"/>
      <c r="C542" s="812"/>
      <c r="D542" s="136" t="s">
        <v>43</v>
      </c>
      <c r="E542" s="142"/>
      <c r="F542" s="143"/>
      <c r="G542" s="207">
        <v>3</v>
      </c>
      <c r="H542" s="207">
        <v>3</v>
      </c>
      <c r="I542" s="207">
        <v>4</v>
      </c>
      <c r="J542" s="138">
        <v>4</v>
      </c>
      <c r="K542" s="137">
        <v>5</v>
      </c>
      <c r="L542" s="138"/>
      <c r="M542" s="138"/>
      <c r="N542" s="138"/>
      <c r="O542" s="138"/>
      <c r="P542" s="138">
        <v>4</v>
      </c>
      <c r="Q542" s="138">
        <v>3</v>
      </c>
      <c r="R542" s="147">
        <v>3</v>
      </c>
      <c r="S542" s="152"/>
      <c r="T542" s="207">
        <v>3</v>
      </c>
      <c r="U542" s="207">
        <v>3</v>
      </c>
      <c r="V542" s="207">
        <v>4</v>
      </c>
      <c r="W542" s="147">
        <v>4</v>
      </c>
      <c r="X542" s="301">
        <v>5</v>
      </c>
      <c r="Y542" s="152"/>
      <c r="Z542" s="152"/>
      <c r="AA542" s="152"/>
      <c r="AB542" s="243"/>
      <c r="AC542" s="129">
        <v>4</v>
      </c>
      <c r="AD542" s="137">
        <v>3</v>
      </c>
      <c r="AE542" s="129">
        <v>3</v>
      </c>
      <c r="AF542" s="1092"/>
      <c r="AG542" s="1090"/>
      <c r="AH542" s="862"/>
      <c r="AI542" s="862"/>
      <c r="AJ542" s="855"/>
      <c r="AK542" s="775"/>
      <c r="AL542" s="827"/>
      <c r="AM542" s="827"/>
      <c r="AN542" s="857"/>
      <c r="AO542" s="808"/>
      <c r="AP542" s="808"/>
      <c r="AQ542" s="795"/>
      <c r="AR542" s="795"/>
      <c r="AS542" s="795"/>
      <c r="AT542" s="795"/>
      <c r="AU542" s="795"/>
      <c r="AV542" s="795"/>
      <c r="AW542" s="795"/>
      <c r="AX542" s="797"/>
      <c r="AY542" s="860"/>
    </row>
    <row r="543" spans="1:51" ht="27.75" customHeight="1" thickBot="1" x14ac:dyDescent="0.3">
      <c r="A543" s="815"/>
      <c r="B543" s="1043"/>
      <c r="C543" s="813"/>
      <c r="D543" s="140" t="s">
        <v>45</v>
      </c>
      <c r="E543" s="244"/>
      <c r="F543" s="245"/>
      <c r="G543" s="227">
        <f>+G542*$G$503/$G$502</f>
        <v>13113525</v>
      </c>
      <c r="H543" s="227">
        <f>+H542*$H$503/$H$502</f>
        <v>13113525</v>
      </c>
      <c r="I543" s="227" t="e">
        <f>+I542*$I$503/$I$502</f>
        <v>#REF!</v>
      </c>
      <c r="J543" s="183" t="e">
        <f>+J542*$J$503/$J$502</f>
        <v>#REF!</v>
      </c>
      <c r="K543" s="185"/>
      <c r="L543" s="186"/>
      <c r="M543" s="186"/>
      <c r="N543" s="238"/>
      <c r="O543" s="186"/>
      <c r="P543" s="183">
        <f>+P542*$P$503/$P$502</f>
        <v>58754266.159999996</v>
      </c>
      <c r="Q543" s="183">
        <f>+Q542*$Q$503/$Q$502</f>
        <v>42865699.619999997</v>
      </c>
      <c r="R543" s="183">
        <f>+R542*$R$503/$R$502</f>
        <v>42865699.619999997</v>
      </c>
      <c r="S543" s="177"/>
      <c r="T543" s="237"/>
      <c r="U543" s="227">
        <f>+U542*$U$503/$U$502</f>
        <v>4601700</v>
      </c>
      <c r="V543" s="227" t="e">
        <f>+V542*$V$503/$V$502</f>
        <v>#REF!</v>
      </c>
      <c r="W543" s="183" t="e">
        <f>+W542*$W$503/$W$502</f>
        <v>#REF!</v>
      </c>
      <c r="X543" s="177"/>
      <c r="Y543" s="177"/>
      <c r="Z543" s="177"/>
      <c r="AA543" s="178"/>
      <c r="AB543" s="209"/>
      <c r="AC543" s="182">
        <f>+AC542*$AC$503/$AC$502</f>
        <v>70935866.666666672</v>
      </c>
      <c r="AD543" s="182">
        <f>+AD542*$AD$503/$AD$502</f>
        <v>37131277.533333331</v>
      </c>
      <c r="AE543" s="182" t="e">
        <f>+AE542*$AE$503/$AE$502</f>
        <v>#REF!</v>
      </c>
      <c r="AF543" s="1093"/>
      <c r="AG543" s="1090"/>
      <c r="AH543" s="863"/>
      <c r="AI543" s="863"/>
      <c r="AJ543" s="856"/>
      <c r="AK543" s="776"/>
      <c r="AL543" s="827"/>
      <c r="AM543" s="827"/>
      <c r="AN543" s="857"/>
      <c r="AO543" s="808"/>
      <c r="AP543" s="808"/>
      <c r="AQ543" s="795"/>
      <c r="AR543" s="795"/>
      <c r="AS543" s="795"/>
      <c r="AT543" s="795"/>
      <c r="AU543" s="795"/>
      <c r="AV543" s="795"/>
      <c r="AW543" s="795"/>
      <c r="AX543" s="798"/>
      <c r="AY543" s="860"/>
    </row>
    <row r="544" spans="1:51" ht="18" hidden="1" customHeight="1" x14ac:dyDescent="0.25">
      <c r="A544" s="815"/>
      <c r="B544" s="1043"/>
      <c r="C544" s="827" t="s">
        <v>356</v>
      </c>
      <c r="D544" s="141" t="s">
        <v>41</v>
      </c>
      <c r="E544" s="142"/>
      <c r="F544" s="143"/>
      <c r="G544" s="144"/>
      <c r="H544" s="144"/>
      <c r="I544" s="144"/>
      <c r="J544" s="138"/>
      <c r="K544" s="137"/>
      <c r="L544" s="138"/>
      <c r="M544" s="138"/>
      <c r="N544" s="138"/>
      <c r="O544" s="138"/>
      <c r="P544" s="138"/>
      <c r="Q544" s="138"/>
      <c r="R544" s="147"/>
      <c r="S544" s="177"/>
      <c r="T544" s="144"/>
      <c r="U544" s="174"/>
      <c r="V544" s="174"/>
      <c r="W544" s="175"/>
      <c r="X544" s="177"/>
      <c r="Y544" s="177"/>
      <c r="Z544" s="177"/>
      <c r="AA544" s="178"/>
      <c r="AB544" s="209"/>
      <c r="AC544" s="129"/>
      <c r="AD544" s="137"/>
      <c r="AE544" s="180"/>
      <c r="AF544" s="225"/>
      <c r="AG544" s="817" t="str">
        <f>+C544</f>
        <v>BOSA</v>
      </c>
      <c r="AH544" s="774" t="s">
        <v>350</v>
      </c>
      <c r="AI544" s="774" t="s">
        <v>350</v>
      </c>
      <c r="AJ544" s="774" t="s">
        <v>350</v>
      </c>
      <c r="AK544" s="774" t="s">
        <v>315</v>
      </c>
      <c r="AL544" s="827"/>
      <c r="AM544" s="827" t="s">
        <v>547</v>
      </c>
      <c r="AN544" s="857">
        <v>8185614</v>
      </c>
      <c r="AO544" s="796">
        <v>8185614</v>
      </c>
      <c r="AP544" s="796"/>
      <c r="AQ544" s="795" t="s">
        <v>317</v>
      </c>
      <c r="AR544" s="795" t="s">
        <v>317</v>
      </c>
      <c r="AS544" s="795" t="s">
        <v>317</v>
      </c>
      <c r="AT544" s="795" t="s">
        <v>317</v>
      </c>
      <c r="AU544" s="795" t="s">
        <v>317</v>
      </c>
      <c r="AV544" s="795" t="s">
        <v>317</v>
      </c>
      <c r="AW544" s="795" t="s">
        <v>317</v>
      </c>
      <c r="AX544" s="796">
        <v>8185614</v>
      </c>
      <c r="AY544" s="846"/>
    </row>
    <row r="545" spans="1:51" ht="18" hidden="1" customHeight="1" x14ac:dyDescent="0.25">
      <c r="A545" s="815"/>
      <c r="B545" s="1043"/>
      <c r="C545" s="827"/>
      <c r="D545" s="132" t="s">
        <v>3</v>
      </c>
      <c r="E545" s="239"/>
      <c r="F545" s="240"/>
      <c r="G545" s="227"/>
      <c r="H545" s="227"/>
      <c r="I545" s="227"/>
      <c r="J545" s="183"/>
      <c r="K545" s="182"/>
      <c r="L545" s="183"/>
      <c r="M545" s="183"/>
      <c r="N545" s="228"/>
      <c r="O545" s="183"/>
      <c r="P545" s="183"/>
      <c r="Q545" s="183"/>
      <c r="R545" s="232"/>
      <c r="S545" s="184"/>
      <c r="T545" s="227"/>
      <c r="U545" s="193"/>
      <c r="V545" s="193"/>
      <c r="W545" s="229"/>
      <c r="X545" s="184"/>
      <c r="Y545" s="184"/>
      <c r="Z545" s="184"/>
      <c r="AA545" s="230"/>
      <c r="AB545" s="241"/>
      <c r="AC545" s="242"/>
      <c r="AD545" s="182"/>
      <c r="AE545" s="162"/>
      <c r="AF545" s="231"/>
      <c r="AG545" s="817"/>
      <c r="AH545" s="775"/>
      <c r="AI545" s="775"/>
      <c r="AJ545" s="775"/>
      <c r="AK545" s="775"/>
      <c r="AL545" s="827"/>
      <c r="AM545" s="827"/>
      <c r="AN545" s="857"/>
      <c r="AO545" s="797"/>
      <c r="AP545" s="797"/>
      <c r="AQ545" s="795"/>
      <c r="AR545" s="795"/>
      <c r="AS545" s="795"/>
      <c r="AT545" s="795"/>
      <c r="AU545" s="795"/>
      <c r="AV545" s="795"/>
      <c r="AW545" s="795"/>
      <c r="AX545" s="797"/>
      <c r="AY545" s="847"/>
    </row>
    <row r="546" spans="1:51" ht="27" hidden="1" customHeight="1" x14ac:dyDescent="0.25">
      <c r="A546" s="815"/>
      <c r="B546" s="1043"/>
      <c r="C546" s="827"/>
      <c r="D546" s="136" t="s">
        <v>42</v>
      </c>
      <c r="E546" s="239"/>
      <c r="F546" s="240"/>
      <c r="G546" s="227"/>
      <c r="H546" s="227"/>
      <c r="I546" s="227"/>
      <c r="J546" s="183"/>
      <c r="K546" s="182"/>
      <c r="L546" s="183"/>
      <c r="M546" s="183"/>
      <c r="N546" s="228"/>
      <c r="O546" s="183"/>
      <c r="P546" s="183"/>
      <c r="Q546" s="183"/>
      <c r="R546" s="232"/>
      <c r="S546" s="184"/>
      <c r="T546" s="227"/>
      <c r="U546" s="193"/>
      <c r="V546" s="193"/>
      <c r="W546" s="229"/>
      <c r="X546" s="184"/>
      <c r="Y546" s="184"/>
      <c r="Z546" s="184"/>
      <c r="AA546" s="230"/>
      <c r="AB546" s="241"/>
      <c r="AC546" s="242"/>
      <c r="AD546" s="182"/>
      <c r="AE546" s="162"/>
      <c r="AF546" s="231"/>
      <c r="AG546" s="817"/>
      <c r="AH546" s="775"/>
      <c r="AI546" s="775"/>
      <c r="AJ546" s="775"/>
      <c r="AK546" s="775"/>
      <c r="AL546" s="827"/>
      <c r="AM546" s="827"/>
      <c r="AN546" s="857"/>
      <c r="AO546" s="797"/>
      <c r="AP546" s="797"/>
      <c r="AQ546" s="795"/>
      <c r="AR546" s="795"/>
      <c r="AS546" s="795"/>
      <c r="AT546" s="795"/>
      <c r="AU546" s="795"/>
      <c r="AV546" s="795"/>
      <c r="AW546" s="795"/>
      <c r="AX546" s="797"/>
      <c r="AY546" s="847"/>
    </row>
    <row r="547" spans="1:51" ht="27" hidden="1" customHeight="1" x14ac:dyDescent="0.25">
      <c r="A547" s="815"/>
      <c r="B547" s="1043"/>
      <c r="C547" s="827"/>
      <c r="D547" s="132" t="s">
        <v>4</v>
      </c>
      <c r="E547" s="239"/>
      <c r="F547" s="240"/>
      <c r="G547" s="227"/>
      <c r="H547" s="227"/>
      <c r="I547" s="227"/>
      <c r="J547" s="183"/>
      <c r="K547" s="182"/>
      <c r="L547" s="183"/>
      <c r="M547" s="183"/>
      <c r="N547" s="228"/>
      <c r="O547" s="183"/>
      <c r="P547" s="183"/>
      <c r="Q547" s="183"/>
      <c r="R547" s="232"/>
      <c r="S547" s="184"/>
      <c r="T547" s="227"/>
      <c r="U547" s="193"/>
      <c r="V547" s="193"/>
      <c r="W547" s="229"/>
      <c r="X547" s="184"/>
      <c r="Y547" s="184"/>
      <c r="Z547" s="184"/>
      <c r="AA547" s="230"/>
      <c r="AB547" s="241"/>
      <c r="AC547" s="242"/>
      <c r="AD547" s="182"/>
      <c r="AE547" s="162"/>
      <c r="AF547" s="231"/>
      <c r="AG547" s="817"/>
      <c r="AH547" s="775"/>
      <c r="AI547" s="775"/>
      <c r="AJ547" s="775"/>
      <c r="AK547" s="775"/>
      <c r="AL547" s="827"/>
      <c r="AM547" s="827"/>
      <c r="AN547" s="857"/>
      <c r="AO547" s="797"/>
      <c r="AP547" s="797"/>
      <c r="AQ547" s="795"/>
      <c r="AR547" s="795"/>
      <c r="AS547" s="795"/>
      <c r="AT547" s="795"/>
      <c r="AU547" s="795"/>
      <c r="AV547" s="795"/>
      <c r="AW547" s="795"/>
      <c r="AX547" s="797"/>
      <c r="AY547" s="847"/>
    </row>
    <row r="548" spans="1:51" ht="27" hidden="1" customHeight="1" x14ac:dyDescent="0.25">
      <c r="A548" s="815"/>
      <c r="B548" s="1043"/>
      <c r="C548" s="827"/>
      <c r="D548" s="136" t="s">
        <v>43</v>
      </c>
      <c r="E548" s="142"/>
      <c r="F548" s="143"/>
      <c r="G548" s="144"/>
      <c r="H548" s="144"/>
      <c r="I548" s="144"/>
      <c r="J548" s="138"/>
      <c r="K548" s="137"/>
      <c r="L548" s="138"/>
      <c r="M548" s="138"/>
      <c r="N548" s="138"/>
      <c r="O548" s="138"/>
      <c r="P548" s="138"/>
      <c r="Q548" s="138"/>
      <c r="R548" s="147"/>
      <c r="S548" s="152"/>
      <c r="T548" s="144"/>
      <c r="U548" s="234"/>
      <c r="V548" s="234"/>
      <c r="W548" s="147"/>
      <c r="X548" s="152"/>
      <c r="Y548" s="152"/>
      <c r="Z548" s="152"/>
      <c r="AA548" s="152"/>
      <c r="AB548" s="243"/>
      <c r="AC548" s="129"/>
      <c r="AD548" s="137"/>
      <c r="AE548" s="129"/>
      <c r="AF548" s="235"/>
      <c r="AG548" s="817"/>
      <c r="AH548" s="775"/>
      <c r="AI548" s="775"/>
      <c r="AJ548" s="775"/>
      <c r="AK548" s="775"/>
      <c r="AL548" s="827"/>
      <c r="AM548" s="827"/>
      <c r="AN548" s="857"/>
      <c r="AO548" s="797"/>
      <c r="AP548" s="797"/>
      <c r="AQ548" s="795"/>
      <c r="AR548" s="795"/>
      <c r="AS548" s="795"/>
      <c r="AT548" s="795"/>
      <c r="AU548" s="795"/>
      <c r="AV548" s="795"/>
      <c r="AW548" s="795"/>
      <c r="AX548" s="797"/>
      <c r="AY548" s="847"/>
    </row>
    <row r="549" spans="1:51" ht="27.75" hidden="1" customHeight="1" thickBot="1" x14ac:dyDescent="0.3">
      <c r="A549" s="815"/>
      <c r="B549" s="1043"/>
      <c r="C549" s="827"/>
      <c r="D549" s="140" t="s">
        <v>45</v>
      </c>
      <c r="E549" s="244"/>
      <c r="F549" s="245"/>
      <c r="G549" s="237"/>
      <c r="H549" s="237"/>
      <c r="I549" s="237"/>
      <c r="J549" s="186"/>
      <c r="K549" s="185"/>
      <c r="L549" s="186"/>
      <c r="M549" s="186"/>
      <c r="N549" s="238"/>
      <c r="O549" s="186"/>
      <c r="P549" s="186"/>
      <c r="Q549" s="186"/>
      <c r="R549" s="175"/>
      <c r="S549" s="177"/>
      <c r="T549" s="237"/>
      <c r="U549" s="174"/>
      <c r="V549" s="174"/>
      <c r="W549" s="175"/>
      <c r="X549" s="177"/>
      <c r="Y549" s="177"/>
      <c r="Z549" s="177"/>
      <c r="AA549" s="178"/>
      <c r="AB549" s="209"/>
      <c r="AC549" s="242"/>
      <c r="AD549" s="185"/>
      <c r="AE549" s="180"/>
      <c r="AF549" s="225"/>
      <c r="AG549" s="817"/>
      <c r="AH549" s="776"/>
      <c r="AI549" s="776"/>
      <c r="AJ549" s="776"/>
      <c r="AK549" s="776"/>
      <c r="AL549" s="827"/>
      <c r="AM549" s="827"/>
      <c r="AN549" s="857"/>
      <c r="AO549" s="798"/>
      <c r="AP549" s="798"/>
      <c r="AQ549" s="795"/>
      <c r="AR549" s="795"/>
      <c r="AS549" s="795"/>
      <c r="AT549" s="795"/>
      <c r="AU549" s="795"/>
      <c r="AV549" s="795"/>
      <c r="AW549" s="795"/>
      <c r="AX549" s="798"/>
      <c r="AY549" s="847"/>
    </row>
    <row r="550" spans="1:51" ht="18" customHeight="1" x14ac:dyDescent="0.25">
      <c r="A550" s="815"/>
      <c r="B550" s="1043"/>
      <c r="C550" s="811" t="s">
        <v>361</v>
      </c>
      <c r="D550" s="141" t="s">
        <v>41</v>
      </c>
      <c r="E550" s="142"/>
      <c r="F550" s="143"/>
      <c r="G550" s="207">
        <v>1</v>
      </c>
      <c r="H550" s="207">
        <v>1</v>
      </c>
      <c r="I550" s="207">
        <v>1</v>
      </c>
      <c r="J550" s="138">
        <v>1</v>
      </c>
      <c r="K550" s="137">
        <v>1</v>
      </c>
      <c r="L550" s="138"/>
      <c r="M550" s="138"/>
      <c r="N550" s="138"/>
      <c r="O550" s="138"/>
      <c r="P550" s="138">
        <v>2</v>
      </c>
      <c r="Q550" s="138">
        <v>3</v>
      </c>
      <c r="R550" s="147">
        <v>3</v>
      </c>
      <c r="S550" s="177"/>
      <c r="T550" s="207">
        <v>1</v>
      </c>
      <c r="U550" s="207">
        <v>1</v>
      </c>
      <c r="V550" s="207">
        <v>1</v>
      </c>
      <c r="W550" s="175">
        <v>1</v>
      </c>
      <c r="X550" s="177">
        <v>1</v>
      </c>
      <c r="Y550" s="177"/>
      <c r="Z550" s="177"/>
      <c r="AA550" s="178"/>
      <c r="AB550" s="209"/>
      <c r="AC550" s="129">
        <v>2</v>
      </c>
      <c r="AD550" s="137">
        <v>3</v>
      </c>
      <c r="AE550" s="180">
        <v>3</v>
      </c>
      <c r="AF550" s="1082" t="s">
        <v>560</v>
      </c>
      <c r="AG550" s="817" t="str">
        <f>+C550</f>
        <v>KENNEDY</v>
      </c>
      <c r="AH550" s="1086" t="s">
        <v>561</v>
      </c>
      <c r="AI550" s="1086" t="s">
        <v>562</v>
      </c>
      <c r="AJ550" s="854" t="s">
        <v>675</v>
      </c>
      <c r="AK550" s="774" t="s">
        <v>315</v>
      </c>
      <c r="AL550" s="827" t="s">
        <v>225</v>
      </c>
      <c r="AM550" s="827" t="s">
        <v>547</v>
      </c>
      <c r="AN550" s="857">
        <v>1080200</v>
      </c>
      <c r="AO550" s="808">
        <v>517025</v>
      </c>
      <c r="AP550" s="808">
        <v>563175</v>
      </c>
      <c r="AQ550" s="795" t="s">
        <v>317</v>
      </c>
      <c r="AR550" s="795" t="s">
        <v>317</v>
      </c>
      <c r="AS550" s="795" t="s">
        <v>317</v>
      </c>
      <c r="AT550" s="795" t="s">
        <v>317</v>
      </c>
      <c r="AU550" s="795" t="s">
        <v>317</v>
      </c>
      <c r="AV550" s="795" t="s">
        <v>317</v>
      </c>
      <c r="AW550" s="795" t="s">
        <v>317</v>
      </c>
      <c r="AX550" s="796">
        <v>1080200</v>
      </c>
      <c r="AY550" s="846" t="s">
        <v>548</v>
      </c>
    </row>
    <row r="551" spans="1:51" ht="18" customHeight="1" x14ac:dyDescent="0.25">
      <c r="A551" s="815"/>
      <c r="B551" s="1043"/>
      <c r="C551" s="812"/>
      <c r="D551" s="132" t="s">
        <v>3</v>
      </c>
      <c r="E551" s="239"/>
      <c r="F551" s="240"/>
      <c r="G551" s="227">
        <f>+G550*$G$503/$G$502</f>
        <v>4371175</v>
      </c>
      <c r="H551" s="227">
        <f>+H550*$H$503/$H$502</f>
        <v>4371175</v>
      </c>
      <c r="I551" s="227" t="e">
        <f>+I550*$I$503/$I$502</f>
        <v>#REF!</v>
      </c>
      <c r="J551" s="183" t="e">
        <f>+J550*$J$503/$J$502</f>
        <v>#REF!</v>
      </c>
      <c r="K551" s="182"/>
      <c r="L551" s="183"/>
      <c r="M551" s="183"/>
      <c r="N551" s="228"/>
      <c r="O551" s="183"/>
      <c r="P551" s="183">
        <f>+P550*$P$503/$P$502</f>
        <v>29377133.079999998</v>
      </c>
      <c r="Q551" s="183">
        <f>+Q550*$Q$503/$Q$502</f>
        <v>42865699.619999997</v>
      </c>
      <c r="R551" s="183">
        <f>+R550*$R$503/$R$502</f>
        <v>42865699.619999997</v>
      </c>
      <c r="S551" s="184"/>
      <c r="T551" s="227"/>
      <c r="U551" s="227">
        <f>+U550*$U$503/$U$502</f>
        <v>1533900</v>
      </c>
      <c r="V551" s="227" t="e">
        <f>+V550*$V$503/$V$502</f>
        <v>#REF!</v>
      </c>
      <c r="W551" s="183" t="e">
        <f>+W550*$W$503/$W$502</f>
        <v>#REF!</v>
      </c>
      <c r="X551" s="184"/>
      <c r="Y551" s="184"/>
      <c r="Z551" s="184"/>
      <c r="AA551" s="230"/>
      <c r="AB551" s="241"/>
      <c r="AC551" s="182">
        <f>+AC550*$AC$503/$AC$502</f>
        <v>35467933.333333336</v>
      </c>
      <c r="AD551" s="182">
        <f>+AD550*$AD$503/$AD$502</f>
        <v>37131277.533333331</v>
      </c>
      <c r="AE551" s="182" t="e">
        <f>+AE550*$AE$503/$AE$502</f>
        <v>#REF!</v>
      </c>
      <c r="AF551" s="1083"/>
      <c r="AG551" s="817"/>
      <c r="AH551" s="1087"/>
      <c r="AI551" s="1087"/>
      <c r="AJ551" s="855"/>
      <c r="AK551" s="775"/>
      <c r="AL551" s="827"/>
      <c r="AM551" s="827"/>
      <c r="AN551" s="857"/>
      <c r="AO551" s="808"/>
      <c r="AP551" s="808"/>
      <c r="AQ551" s="795"/>
      <c r="AR551" s="795"/>
      <c r="AS551" s="795"/>
      <c r="AT551" s="795"/>
      <c r="AU551" s="795"/>
      <c r="AV551" s="795"/>
      <c r="AW551" s="795"/>
      <c r="AX551" s="797"/>
      <c r="AY551" s="847"/>
    </row>
    <row r="552" spans="1:51" ht="27" customHeight="1" x14ac:dyDescent="0.25">
      <c r="A552" s="815"/>
      <c r="B552" s="1043"/>
      <c r="C552" s="812"/>
      <c r="D552" s="136" t="s">
        <v>42</v>
      </c>
      <c r="E552" s="239"/>
      <c r="F552" s="240"/>
      <c r="G552" s="227"/>
      <c r="H552" s="227"/>
      <c r="I552" s="227"/>
      <c r="J552" s="183"/>
      <c r="K552" s="182"/>
      <c r="L552" s="183"/>
      <c r="M552" s="183"/>
      <c r="N552" s="228"/>
      <c r="O552" s="183"/>
      <c r="P552" s="183"/>
      <c r="Q552" s="183"/>
      <c r="R552" s="232"/>
      <c r="S552" s="184"/>
      <c r="T552" s="227"/>
      <c r="U552" s="227"/>
      <c r="V552" s="227"/>
      <c r="W552" s="229"/>
      <c r="X552" s="184"/>
      <c r="Y552" s="184"/>
      <c r="Z552" s="184"/>
      <c r="AA552" s="230"/>
      <c r="AB552" s="241"/>
      <c r="AC552" s="242"/>
      <c r="AD552" s="182"/>
      <c r="AE552" s="162"/>
      <c r="AF552" s="1083"/>
      <c r="AG552" s="817"/>
      <c r="AH552" s="1087"/>
      <c r="AI552" s="1087"/>
      <c r="AJ552" s="855"/>
      <c r="AK552" s="775"/>
      <c r="AL552" s="827"/>
      <c r="AM552" s="827"/>
      <c r="AN552" s="857"/>
      <c r="AO552" s="808"/>
      <c r="AP552" s="808"/>
      <c r="AQ552" s="795"/>
      <c r="AR552" s="795"/>
      <c r="AS552" s="795"/>
      <c r="AT552" s="795"/>
      <c r="AU552" s="795"/>
      <c r="AV552" s="795"/>
      <c r="AW552" s="795"/>
      <c r="AX552" s="797"/>
      <c r="AY552" s="847"/>
    </row>
    <row r="553" spans="1:51" ht="27" customHeight="1" x14ac:dyDescent="0.25">
      <c r="A553" s="815"/>
      <c r="B553" s="1043"/>
      <c r="C553" s="812"/>
      <c r="D553" s="132" t="s">
        <v>4</v>
      </c>
      <c r="E553" s="239"/>
      <c r="F553" s="240"/>
      <c r="G553" s="227"/>
      <c r="H553" s="227">
        <f>+$U$505/11</f>
        <v>7723875.0909090908</v>
      </c>
      <c r="I553" s="227"/>
      <c r="J553" s="183"/>
      <c r="K553" s="182"/>
      <c r="L553" s="183"/>
      <c r="M553" s="183"/>
      <c r="N553" s="228"/>
      <c r="O553" s="183"/>
      <c r="P553" s="183"/>
      <c r="Q553" s="183"/>
      <c r="R553" s="232"/>
      <c r="S553" s="184"/>
      <c r="T553" s="227">
        <f>+T550*$T$505/$T$502</f>
        <v>1758853.75</v>
      </c>
      <c r="U553" s="227">
        <f>+$U$505/11</f>
        <v>7723875.0909090908</v>
      </c>
      <c r="V553" s="227"/>
      <c r="W553" s="229"/>
      <c r="X553" s="184"/>
      <c r="Y553" s="184"/>
      <c r="Z553" s="184"/>
      <c r="AA553" s="230"/>
      <c r="AB553" s="241"/>
      <c r="AC553" s="242"/>
      <c r="AD553" s="182"/>
      <c r="AE553" s="162"/>
      <c r="AF553" s="1083"/>
      <c r="AG553" s="817"/>
      <c r="AH553" s="1087"/>
      <c r="AI553" s="1087"/>
      <c r="AJ553" s="855"/>
      <c r="AK553" s="775"/>
      <c r="AL553" s="827"/>
      <c r="AM553" s="827"/>
      <c r="AN553" s="857"/>
      <c r="AO553" s="808"/>
      <c r="AP553" s="808"/>
      <c r="AQ553" s="795"/>
      <c r="AR553" s="795"/>
      <c r="AS553" s="795"/>
      <c r="AT553" s="795"/>
      <c r="AU553" s="795"/>
      <c r="AV553" s="795"/>
      <c r="AW553" s="795"/>
      <c r="AX553" s="797"/>
      <c r="AY553" s="847"/>
    </row>
    <row r="554" spans="1:51" ht="27" customHeight="1" x14ac:dyDescent="0.25">
      <c r="A554" s="815"/>
      <c r="B554" s="1043"/>
      <c r="C554" s="812"/>
      <c r="D554" s="136" t="s">
        <v>43</v>
      </c>
      <c r="E554" s="142"/>
      <c r="F554" s="143"/>
      <c r="G554" s="207">
        <v>1</v>
      </c>
      <c r="H554" s="207">
        <v>1</v>
      </c>
      <c r="I554" s="207">
        <v>1</v>
      </c>
      <c r="J554" s="138">
        <v>1</v>
      </c>
      <c r="K554" s="137">
        <v>1</v>
      </c>
      <c r="L554" s="138"/>
      <c r="M554" s="138"/>
      <c r="N554" s="138"/>
      <c r="O554" s="138"/>
      <c r="P554" s="138">
        <v>2</v>
      </c>
      <c r="Q554" s="138">
        <v>3</v>
      </c>
      <c r="R554" s="147">
        <v>3</v>
      </c>
      <c r="S554" s="152"/>
      <c r="T554" s="207">
        <v>1</v>
      </c>
      <c r="U554" s="207">
        <v>1</v>
      </c>
      <c r="V554" s="207">
        <v>1</v>
      </c>
      <c r="W554" s="147">
        <v>1</v>
      </c>
      <c r="X554" s="203">
        <v>1</v>
      </c>
      <c r="Y554" s="152"/>
      <c r="Z554" s="152"/>
      <c r="AA554" s="152"/>
      <c r="AB554" s="243"/>
      <c r="AC554" s="129">
        <v>2</v>
      </c>
      <c r="AD554" s="137">
        <v>3</v>
      </c>
      <c r="AE554" s="129">
        <v>3</v>
      </c>
      <c r="AF554" s="1083"/>
      <c r="AG554" s="817"/>
      <c r="AH554" s="1087"/>
      <c r="AI554" s="1087"/>
      <c r="AJ554" s="855"/>
      <c r="AK554" s="775"/>
      <c r="AL554" s="827"/>
      <c r="AM554" s="827"/>
      <c r="AN554" s="857"/>
      <c r="AO554" s="808"/>
      <c r="AP554" s="808"/>
      <c r="AQ554" s="795"/>
      <c r="AR554" s="795"/>
      <c r="AS554" s="795"/>
      <c r="AT554" s="795"/>
      <c r="AU554" s="795"/>
      <c r="AV554" s="795"/>
      <c r="AW554" s="795"/>
      <c r="AX554" s="797"/>
      <c r="AY554" s="847"/>
    </row>
    <row r="555" spans="1:51" ht="27.75" customHeight="1" thickBot="1" x14ac:dyDescent="0.3">
      <c r="A555" s="815"/>
      <c r="B555" s="1043"/>
      <c r="C555" s="813"/>
      <c r="D555" s="140" t="s">
        <v>45</v>
      </c>
      <c r="E555" s="244"/>
      <c r="F555" s="245"/>
      <c r="G555" s="227">
        <f>+G554*$G$503/$G$502</f>
        <v>4371175</v>
      </c>
      <c r="H555" s="227">
        <f>+H554*$H$503/$H$502</f>
        <v>4371175</v>
      </c>
      <c r="I555" s="227" t="e">
        <f>+I554*$I$503/$I$502</f>
        <v>#REF!</v>
      </c>
      <c r="J555" s="183" t="e">
        <f>+J554*$J$503/$J$502</f>
        <v>#REF!</v>
      </c>
      <c r="K555" s="185"/>
      <c r="L555" s="186"/>
      <c r="M555" s="186"/>
      <c r="N555" s="238"/>
      <c r="O555" s="186"/>
      <c r="P555" s="183">
        <f>+P554*$P$503/$P$502</f>
        <v>29377133.079999998</v>
      </c>
      <c r="Q555" s="183">
        <f>+Q554*$Q$503/$Q$502</f>
        <v>42865699.619999997</v>
      </c>
      <c r="R555" s="183">
        <f>+R554*$R$503/$R$502</f>
        <v>42865699.619999997</v>
      </c>
      <c r="S555" s="177"/>
      <c r="T555" s="237"/>
      <c r="U555" s="227">
        <f>+U554*$U$503/$U$502</f>
        <v>1533900</v>
      </c>
      <c r="V555" s="227" t="e">
        <f>+V554*$V$503/$V$502</f>
        <v>#REF!</v>
      </c>
      <c r="W555" s="183" t="e">
        <f>+W554*$W$503/$W$502</f>
        <v>#REF!</v>
      </c>
      <c r="X555" s="177"/>
      <c r="Y555" s="177"/>
      <c r="Z555" s="177"/>
      <c r="AA555" s="178"/>
      <c r="AB555" s="209"/>
      <c r="AC555" s="182">
        <f>+AC554*$AC$503/$AC$502</f>
        <v>35467933.333333336</v>
      </c>
      <c r="AD555" s="182">
        <f>+AD554*$AD$503/$AD$502</f>
        <v>37131277.533333331</v>
      </c>
      <c r="AE555" s="182" t="e">
        <f>+AE554*$AE$503/$AE$502</f>
        <v>#REF!</v>
      </c>
      <c r="AF555" s="1084"/>
      <c r="AG555" s="817"/>
      <c r="AH555" s="1088"/>
      <c r="AI555" s="1088"/>
      <c r="AJ555" s="856"/>
      <c r="AK555" s="776"/>
      <c r="AL555" s="827"/>
      <c r="AM555" s="827"/>
      <c r="AN555" s="857"/>
      <c r="AO555" s="808"/>
      <c r="AP555" s="808"/>
      <c r="AQ555" s="795"/>
      <c r="AR555" s="795"/>
      <c r="AS555" s="795"/>
      <c r="AT555" s="795"/>
      <c r="AU555" s="795"/>
      <c r="AV555" s="795"/>
      <c r="AW555" s="795"/>
      <c r="AX555" s="798"/>
      <c r="AY555" s="847"/>
    </row>
    <row r="556" spans="1:51" ht="18" customHeight="1" x14ac:dyDescent="0.25">
      <c r="A556" s="815"/>
      <c r="B556" s="1043"/>
      <c r="C556" s="827" t="s">
        <v>433</v>
      </c>
      <c r="D556" s="141" t="s">
        <v>41</v>
      </c>
      <c r="E556" s="142"/>
      <c r="F556" s="143"/>
      <c r="G556" s="207">
        <v>5</v>
      </c>
      <c r="H556" s="207">
        <v>10</v>
      </c>
      <c r="I556" s="207">
        <v>10</v>
      </c>
      <c r="J556" s="138">
        <v>11</v>
      </c>
      <c r="K556" s="137">
        <v>12</v>
      </c>
      <c r="L556" s="138"/>
      <c r="M556" s="138"/>
      <c r="N556" s="138"/>
      <c r="O556" s="138">
        <v>5</v>
      </c>
      <c r="P556" s="186">
        <v>8</v>
      </c>
      <c r="Q556" s="138">
        <v>13</v>
      </c>
      <c r="R556" s="147">
        <v>13</v>
      </c>
      <c r="S556" s="177"/>
      <c r="T556" s="207">
        <v>5</v>
      </c>
      <c r="U556" s="207">
        <v>10</v>
      </c>
      <c r="V556" s="207">
        <v>10</v>
      </c>
      <c r="W556" s="247">
        <v>11</v>
      </c>
      <c r="X556" s="302">
        <v>12</v>
      </c>
      <c r="Y556" s="177"/>
      <c r="Z556" s="177"/>
      <c r="AA556" s="178"/>
      <c r="AB556" s="209">
        <v>5</v>
      </c>
      <c r="AC556" s="129">
        <v>8</v>
      </c>
      <c r="AD556" s="137">
        <v>13</v>
      </c>
      <c r="AE556" s="180">
        <v>13</v>
      </c>
      <c r="AF556" s="1091" t="s">
        <v>672</v>
      </c>
      <c r="AG556" s="1090" t="str">
        <f>+C556</f>
        <v>FONTIBON</v>
      </c>
      <c r="AH556" s="861" t="s">
        <v>563</v>
      </c>
      <c r="AI556" s="861" t="s">
        <v>564</v>
      </c>
      <c r="AJ556" s="854" t="s">
        <v>675</v>
      </c>
      <c r="AK556" s="774" t="s">
        <v>315</v>
      </c>
      <c r="AL556" s="827" t="s">
        <v>70</v>
      </c>
      <c r="AM556" s="827" t="s">
        <v>547</v>
      </c>
      <c r="AN556" s="1089">
        <v>388154</v>
      </c>
      <c r="AO556" s="867">
        <v>183971</v>
      </c>
      <c r="AP556" s="867">
        <v>204184</v>
      </c>
      <c r="AQ556" s="795" t="s">
        <v>317</v>
      </c>
      <c r="AR556" s="795" t="s">
        <v>317</v>
      </c>
      <c r="AS556" s="795" t="s">
        <v>317</v>
      </c>
      <c r="AT556" s="795" t="s">
        <v>317</v>
      </c>
      <c r="AU556" s="795" t="s">
        <v>317</v>
      </c>
      <c r="AV556" s="795" t="s">
        <v>317</v>
      </c>
      <c r="AW556" s="795" t="s">
        <v>317</v>
      </c>
      <c r="AX556" s="796">
        <v>388154</v>
      </c>
      <c r="AY556" s="859" t="s">
        <v>677</v>
      </c>
    </row>
    <row r="557" spans="1:51" ht="18" x14ac:dyDescent="0.25">
      <c r="A557" s="815"/>
      <c r="B557" s="1043"/>
      <c r="C557" s="827"/>
      <c r="D557" s="132" t="s">
        <v>3</v>
      </c>
      <c r="E557" s="239"/>
      <c r="F557" s="240"/>
      <c r="G557" s="227">
        <f>+G556*$G$503/$G$502</f>
        <v>21855875</v>
      </c>
      <c r="H557" s="227">
        <f>+H556*$H$503/$H$502</f>
        <v>43711750</v>
      </c>
      <c r="I557" s="227" t="e">
        <f>+I556*$I$503/$I$502</f>
        <v>#REF!</v>
      </c>
      <c r="J557" s="183" t="e">
        <f>+J556*$J$503/$J$502</f>
        <v>#REF!</v>
      </c>
      <c r="K557" s="182"/>
      <c r="L557" s="183"/>
      <c r="M557" s="183"/>
      <c r="N557" s="228"/>
      <c r="O557" s="183">
        <f>+O556*$O$503/$O$502</f>
        <v>64119249</v>
      </c>
      <c r="P557" s="183">
        <f>+P556*$P$503/$P$502</f>
        <v>117508532.31999999</v>
      </c>
      <c r="Q557" s="183">
        <f>+Q556*$Q$503/$Q$502</f>
        <v>185751365.02000001</v>
      </c>
      <c r="R557" s="183">
        <f>+R556*$R$503/$R$502</f>
        <v>185751365.02000001</v>
      </c>
      <c r="S557" s="184"/>
      <c r="T557" s="227"/>
      <c r="U557" s="227">
        <f>+U556*$U$503/$U$502</f>
        <v>15339000</v>
      </c>
      <c r="V557" s="227" t="e">
        <f>+V556*$V$503/$V$502</f>
        <v>#REF!</v>
      </c>
      <c r="W557" s="183" t="e">
        <f>+W556*$W$503/$W$502</f>
        <v>#REF!</v>
      </c>
      <c r="X557" s="184"/>
      <c r="Y557" s="184"/>
      <c r="Z557" s="184"/>
      <c r="AA557" s="230"/>
      <c r="AB557" s="182">
        <f>+AB556*$AB$503/$AB$502</f>
        <v>266009500</v>
      </c>
      <c r="AC557" s="182">
        <f>+AC556*$AC$503/$AC$502</f>
        <v>141871733.33333334</v>
      </c>
      <c r="AD557" s="182">
        <f>+AD556*$AD$503/$AD$502</f>
        <v>160902202.64444444</v>
      </c>
      <c r="AE557" s="182" t="e">
        <f>+AE556*$AE$503/$AE$502</f>
        <v>#REF!</v>
      </c>
      <c r="AF557" s="1092"/>
      <c r="AG557" s="1090"/>
      <c r="AH557" s="862"/>
      <c r="AI557" s="862"/>
      <c r="AJ557" s="855"/>
      <c r="AK557" s="775"/>
      <c r="AL557" s="827"/>
      <c r="AM557" s="827"/>
      <c r="AN557" s="1089"/>
      <c r="AO557" s="867"/>
      <c r="AP557" s="867"/>
      <c r="AQ557" s="795"/>
      <c r="AR557" s="795"/>
      <c r="AS557" s="795"/>
      <c r="AT557" s="795"/>
      <c r="AU557" s="795"/>
      <c r="AV557" s="795"/>
      <c r="AW557" s="795"/>
      <c r="AX557" s="797"/>
      <c r="AY557" s="860"/>
    </row>
    <row r="558" spans="1:51" ht="27" x14ac:dyDescent="0.25">
      <c r="A558" s="815"/>
      <c r="B558" s="1043"/>
      <c r="C558" s="827"/>
      <c r="D558" s="136" t="s">
        <v>42</v>
      </c>
      <c r="E558" s="239"/>
      <c r="F558" s="240"/>
      <c r="G558" s="227"/>
      <c r="H558" s="227"/>
      <c r="I558" s="227"/>
      <c r="J558" s="183"/>
      <c r="K558" s="182"/>
      <c r="L558" s="183"/>
      <c r="M558" s="183"/>
      <c r="N558" s="228"/>
      <c r="O558" s="183"/>
      <c r="P558" s="186"/>
      <c r="Q558" s="183"/>
      <c r="R558" s="232"/>
      <c r="S558" s="184"/>
      <c r="T558" s="227"/>
      <c r="U558" s="227"/>
      <c r="V558" s="227"/>
      <c r="W558" s="229"/>
      <c r="X558" s="184"/>
      <c r="Y558" s="184"/>
      <c r="Z558" s="184"/>
      <c r="AA558" s="230"/>
      <c r="AB558" s="241"/>
      <c r="AC558" s="242"/>
      <c r="AD558" s="182"/>
      <c r="AE558" s="162"/>
      <c r="AF558" s="1092"/>
      <c r="AG558" s="1090"/>
      <c r="AH558" s="862"/>
      <c r="AI558" s="862"/>
      <c r="AJ558" s="855"/>
      <c r="AK558" s="775"/>
      <c r="AL558" s="827"/>
      <c r="AM558" s="827"/>
      <c r="AN558" s="1089"/>
      <c r="AO558" s="867"/>
      <c r="AP558" s="867"/>
      <c r="AQ558" s="795"/>
      <c r="AR558" s="795"/>
      <c r="AS558" s="795"/>
      <c r="AT558" s="795"/>
      <c r="AU558" s="795"/>
      <c r="AV558" s="795"/>
      <c r="AW558" s="795"/>
      <c r="AX558" s="797"/>
      <c r="AY558" s="860"/>
    </row>
    <row r="559" spans="1:51" ht="19.149999999999999" customHeight="1" x14ac:dyDescent="0.25">
      <c r="A559" s="815"/>
      <c r="B559" s="1043"/>
      <c r="C559" s="827"/>
      <c r="D559" s="132" t="s">
        <v>4</v>
      </c>
      <c r="E559" s="239"/>
      <c r="F559" s="240"/>
      <c r="G559" s="227"/>
      <c r="H559" s="227">
        <f>+$U$505/11</f>
        <v>7723875.0909090908</v>
      </c>
      <c r="I559" s="227"/>
      <c r="J559" s="183"/>
      <c r="K559" s="182"/>
      <c r="L559" s="183"/>
      <c r="M559" s="183"/>
      <c r="N559" s="228"/>
      <c r="O559" s="183"/>
      <c r="P559" s="186"/>
      <c r="Q559" s="183"/>
      <c r="R559" s="232"/>
      <c r="S559" s="184"/>
      <c r="T559" s="227">
        <f>+T556*$T$505/$T$502</f>
        <v>8794268.75</v>
      </c>
      <c r="U559" s="227">
        <f>+$U$505/11</f>
        <v>7723875.0909090908</v>
      </c>
      <c r="V559" s="227"/>
      <c r="W559" s="229"/>
      <c r="X559" s="184"/>
      <c r="Y559" s="184"/>
      <c r="Z559" s="184"/>
      <c r="AA559" s="230"/>
      <c r="AB559" s="241"/>
      <c r="AC559" s="242"/>
      <c r="AD559" s="182"/>
      <c r="AE559" s="162"/>
      <c r="AF559" s="1092"/>
      <c r="AG559" s="1090"/>
      <c r="AH559" s="862"/>
      <c r="AI559" s="862"/>
      <c r="AJ559" s="855"/>
      <c r="AK559" s="775"/>
      <c r="AL559" s="827"/>
      <c r="AM559" s="827"/>
      <c r="AN559" s="1089"/>
      <c r="AO559" s="867"/>
      <c r="AP559" s="867"/>
      <c r="AQ559" s="795"/>
      <c r="AR559" s="795"/>
      <c r="AS559" s="795"/>
      <c r="AT559" s="795"/>
      <c r="AU559" s="795"/>
      <c r="AV559" s="795"/>
      <c r="AW559" s="795"/>
      <c r="AX559" s="797"/>
      <c r="AY559" s="860"/>
    </row>
    <row r="560" spans="1:51" ht="27" x14ac:dyDescent="0.25">
      <c r="A560" s="815"/>
      <c r="B560" s="1043"/>
      <c r="C560" s="827"/>
      <c r="D560" s="136" t="s">
        <v>43</v>
      </c>
      <c r="E560" s="142"/>
      <c r="F560" s="143"/>
      <c r="G560" s="207">
        <v>5</v>
      </c>
      <c r="H560" s="207">
        <v>10</v>
      </c>
      <c r="I560" s="207">
        <v>10</v>
      </c>
      <c r="J560" s="138">
        <v>11</v>
      </c>
      <c r="K560" s="137">
        <v>12</v>
      </c>
      <c r="L560" s="138"/>
      <c r="M560" s="138"/>
      <c r="N560" s="138"/>
      <c r="O560" s="138">
        <f>+O556</f>
        <v>5</v>
      </c>
      <c r="P560" s="186">
        <v>8</v>
      </c>
      <c r="Q560" s="138">
        <v>13</v>
      </c>
      <c r="R560" s="147">
        <v>13</v>
      </c>
      <c r="S560" s="152"/>
      <c r="T560" s="207">
        <v>5</v>
      </c>
      <c r="U560" s="207">
        <v>10</v>
      </c>
      <c r="V560" s="207">
        <v>10</v>
      </c>
      <c r="W560" s="147">
        <v>11</v>
      </c>
      <c r="X560" s="301">
        <v>12</v>
      </c>
      <c r="Y560" s="152"/>
      <c r="Z560" s="152"/>
      <c r="AA560" s="152"/>
      <c r="AB560" s="243">
        <f>+AB556</f>
        <v>5</v>
      </c>
      <c r="AC560" s="129">
        <v>8</v>
      </c>
      <c r="AD560" s="137">
        <v>13</v>
      </c>
      <c r="AE560" s="129">
        <v>13</v>
      </c>
      <c r="AF560" s="1092"/>
      <c r="AG560" s="1090"/>
      <c r="AH560" s="862"/>
      <c r="AI560" s="862"/>
      <c r="AJ560" s="855"/>
      <c r="AK560" s="775"/>
      <c r="AL560" s="827"/>
      <c r="AM560" s="827"/>
      <c r="AN560" s="1089"/>
      <c r="AO560" s="867"/>
      <c r="AP560" s="867"/>
      <c r="AQ560" s="795"/>
      <c r="AR560" s="795"/>
      <c r="AS560" s="795"/>
      <c r="AT560" s="795"/>
      <c r="AU560" s="795"/>
      <c r="AV560" s="795"/>
      <c r="AW560" s="795"/>
      <c r="AX560" s="797"/>
      <c r="AY560" s="860"/>
    </row>
    <row r="561" spans="1:51" ht="27.75" thickBot="1" x14ac:dyDescent="0.3">
      <c r="A561" s="815"/>
      <c r="B561" s="1043"/>
      <c r="C561" s="827"/>
      <c r="D561" s="140" t="s">
        <v>45</v>
      </c>
      <c r="E561" s="244"/>
      <c r="F561" s="245"/>
      <c r="G561" s="227">
        <f>+G560*$G$503/$G$502</f>
        <v>21855875</v>
      </c>
      <c r="H561" s="227">
        <f>+H560*$H$503/$H$502</f>
        <v>43711750</v>
      </c>
      <c r="I561" s="227" t="e">
        <f>+I560*$I$503/$I$502</f>
        <v>#REF!</v>
      </c>
      <c r="J561" s="183" t="e">
        <f>+J560*$J$503/$J$502</f>
        <v>#REF!</v>
      </c>
      <c r="K561" s="185"/>
      <c r="L561" s="186"/>
      <c r="M561" s="186"/>
      <c r="N561" s="238"/>
      <c r="O561" s="138">
        <f>+O557</f>
        <v>64119249</v>
      </c>
      <c r="P561" s="183">
        <f>+P560*$P$503/$P$502</f>
        <v>117508532.31999999</v>
      </c>
      <c r="Q561" s="183">
        <f>+Q560*$Q$503/$Q$502</f>
        <v>185751365.02000001</v>
      </c>
      <c r="R561" s="183">
        <f>+R560*$R$503/$R$502</f>
        <v>185751365.02000001</v>
      </c>
      <c r="S561" s="177"/>
      <c r="T561" s="237"/>
      <c r="U561" s="227">
        <f>+U560*$U$503/$U$502</f>
        <v>15339000</v>
      </c>
      <c r="V561" s="227" t="e">
        <f>+V560*$V$503/$V$502</f>
        <v>#REF!</v>
      </c>
      <c r="W561" s="183" t="e">
        <f>+W560*$W$503/$W$502</f>
        <v>#REF!</v>
      </c>
      <c r="X561" s="177"/>
      <c r="Y561" s="177"/>
      <c r="Z561" s="177"/>
      <c r="AA561" s="178"/>
      <c r="AB561" s="243">
        <f>+AB557</f>
        <v>266009500</v>
      </c>
      <c r="AC561" s="182">
        <f>+AC560*$AC$503/$AC$502</f>
        <v>141871733.33333334</v>
      </c>
      <c r="AD561" s="182">
        <f>+AD560*$AD$503/$AD$502</f>
        <v>160902202.64444444</v>
      </c>
      <c r="AE561" s="182" t="e">
        <f>+AE560*$AE$503/$AE$502</f>
        <v>#REF!</v>
      </c>
      <c r="AF561" s="1093"/>
      <c r="AG561" s="1090"/>
      <c r="AH561" s="863"/>
      <c r="AI561" s="863"/>
      <c r="AJ561" s="856"/>
      <c r="AK561" s="776"/>
      <c r="AL561" s="827"/>
      <c r="AM561" s="827"/>
      <c r="AN561" s="1089"/>
      <c r="AO561" s="867"/>
      <c r="AP561" s="867"/>
      <c r="AQ561" s="795"/>
      <c r="AR561" s="795"/>
      <c r="AS561" s="795"/>
      <c r="AT561" s="795"/>
      <c r="AU561" s="795"/>
      <c r="AV561" s="795"/>
      <c r="AW561" s="795"/>
      <c r="AX561" s="798"/>
      <c r="AY561" s="860"/>
    </row>
    <row r="562" spans="1:51" ht="18" customHeight="1" x14ac:dyDescent="0.25">
      <c r="A562" s="815"/>
      <c r="B562" s="1043"/>
      <c r="C562" s="811" t="s">
        <v>373</v>
      </c>
      <c r="D562" s="141" t="s">
        <v>41</v>
      </c>
      <c r="E562" s="142"/>
      <c r="F562" s="143"/>
      <c r="G562" s="207">
        <v>3</v>
      </c>
      <c r="H562" s="207">
        <v>6</v>
      </c>
      <c r="I562" s="207">
        <v>7</v>
      </c>
      <c r="J562" s="138">
        <v>7</v>
      </c>
      <c r="K562" s="137">
        <v>7</v>
      </c>
      <c r="L562" s="138"/>
      <c r="M562" s="138"/>
      <c r="N562" s="138"/>
      <c r="O562" s="138"/>
      <c r="P562" s="186">
        <v>4</v>
      </c>
      <c r="Q562" s="138">
        <v>8</v>
      </c>
      <c r="R562" s="147">
        <v>8</v>
      </c>
      <c r="S562" s="177"/>
      <c r="T562" s="207">
        <v>3</v>
      </c>
      <c r="U562" s="207">
        <v>6</v>
      </c>
      <c r="V562" s="207">
        <v>7</v>
      </c>
      <c r="W562" s="247">
        <v>7</v>
      </c>
      <c r="X562" s="177"/>
      <c r="Y562" s="177"/>
      <c r="Z562" s="177"/>
      <c r="AA562" s="178"/>
      <c r="AB562" s="209"/>
      <c r="AC562" s="129">
        <v>4</v>
      </c>
      <c r="AD562" s="137">
        <v>8</v>
      </c>
      <c r="AE562" s="180">
        <v>8</v>
      </c>
      <c r="AF562" s="1082" t="s">
        <v>565</v>
      </c>
      <c r="AG562" s="817" t="str">
        <f>+C562</f>
        <v>ENGATIVA</v>
      </c>
      <c r="AH562" s="1086" t="s">
        <v>566</v>
      </c>
      <c r="AI562" s="1086" t="s">
        <v>567</v>
      </c>
      <c r="AJ562" s="854" t="s">
        <v>675</v>
      </c>
      <c r="AK562" s="774" t="s">
        <v>315</v>
      </c>
      <c r="AL562" s="827" t="s">
        <v>371</v>
      </c>
      <c r="AM562" s="827" t="s">
        <v>547</v>
      </c>
      <c r="AN562" s="857">
        <v>840955</v>
      </c>
      <c r="AO562" s="808">
        <v>396682</v>
      </c>
      <c r="AP562" s="808">
        <v>444273</v>
      </c>
      <c r="AQ562" s="795" t="s">
        <v>317</v>
      </c>
      <c r="AR562" s="795" t="s">
        <v>317</v>
      </c>
      <c r="AS562" s="795" t="s">
        <v>317</v>
      </c>
      <c r="AT562" s="795" t="s">
        <v>317</v>
      </c>
      <c r="AU562" s="795" t="s">
        <v>317</v>
      </c>
      <c r="AV562" s="795" t="s">
        <v>317</v>
      </c>
      <c r="AW562" s="795" t="s">
        <v>317</v>
      </c>
      <c r="AX562" s="796">
        <v>840955</v>
      </c>
      <c r="AY562" s="846" t="s">
        <v>568</v>
      </c>
    </row>
    <row r="563" spans="1:51" ht="18" customHeight="1" x14ac:dyDescent="0.25">
      <c r="A563" s="815"/>
      <c r="B563" s="1043"/>
      <c r="C563" s="812"/>
      <c r="D563" s="132" t="s">
        <v>3</v>
      </c>
      <c r="E563" s="239"/>
      <c r="F563" s="240"/>
      <c r="G563" s="227">
        <f>+G562*$G$503/$G$502</f>
        <v>13113525</v>
      </c>
      <c r="H563" s="227">
        <f>+H562*$H$503/$H$502</f>
        <v>26227050</v>
      </c>
      <c r="I563" s="227" t="e">
        <f>+I562*$I$503/$I$502</f>
        <v>#REF!</v>
      </c>
      <c r="J563" s="183" t="e">
        <f>+J562*$J$503/$J$502</f>
        <v>#REF!</v>
      </c>
      <c r="K563" s="182"/>
      <c r="L563" s="183"/>
      <c r="M563" s="183"/>
      <c r="N563" s="228"/>
      <c r="O563" s="183"/>
      <c r="P563" s="183">
        <f>+P562*$P$503/$P$502</f>
        <v>58754266.159999996</v>
      </c>
      <c r="Q563" s="183">
        <f>+Q562*$Q$503/$Q$502</f>
        <v>114308532.31999999</v>
      </c>
      <c r="R563" s="183">
        <f>+R562*$R$503/$R$502</f>
        <v>114308532.31999999</v>
      </c>
      <c r="S563" s="184"/>
      <c r="T563" s="227"/>
      <c r="U563" s="227">
        <f>+U562*$U$503/$U$502</f>
        <v>9203400</v>
      </c>
      <c r="V563" s="227" t="e">
        <f>+V562*$V$503/$V$502</f>
        <v>#REF!</v>
      </c>
      <c r="W563" s="183" t="e">
        <f>+W562*$W$503/$W$502</f>
        <v>#REF!</v>
      </c>
      <c r="X563" s="203">
        <v>7</v>
      </c>
      <c r="Y563" s="184"/>
      <c r="Z563" s="184"/>
      <c r="AA563" s="230"/>
      <c r="AB563" s="241"/>
      <c r="AC563" s="182">
        <f>+AC562*$AC$503/$AC$502</f>
        <v>70935866.666666672</v>
      </c>
      <c r="AD563" s="182">
        <f>+AD562*$AD$503/$AD$502</f>
        <v>99016740.088888884</v>
      </c>
      <c r="AE563" s="182" t="e">
        <f>+AE562*$AE$503/$AE$502</f>
        <v>#REF!</v>
      </c>
      <c r="AF563" s="1083"/>
      <c r="AG563" s="817"/>
      <c r="AH563" s="1087"/>
      <c r="AI563" s="1087"/>
      <c r="AJ563" s="855"/>
      <c r="AK563" s="775"/>
      <c r="AL563" s="827"/>
      <c r="AM563" s="827"/>
      <c r="AN563" s="857"/>
      <c r="AO563" s="808"/>
      <c r="AP563" s="808"/>
      <c r="AQ563" s="795"/>
      <c r="AR563" s="795"/>
      <c r="AS563" s="795"/>
      <c r="AT563" s="795"/>
      <c r="AU563" s="795"/>
      <c r="AV563" s="795"/>
      <c r="AW563" s="795"/>
      <c r="AX563" s="797"/>
      <c r="AY563" s="847"/>
    </row>
    <row r="564" spans="1:51" ht="27" customHeight="1" x14ac:dyDescent="0.25">
      <c r="A564" s="815"/>
      <c r="B564" s="1043"/>
      <c r="C564" s="812"/>
      <c r="D564" s="136" t="s">
        <v>42</v>
      </c>
      <c r="E564" s="239"/>
      <c r="F564" s="240"/>
      <c r="G564" s="227"/>
      <c r="H564" s="227"/>
      <c r="I564" s="227"/>
      <c r="J564" s="183"/>
      <c r="K564" s="182"/>
      <c r="L564" s="183"/>
      <c r="M564" s="183"/>
      <c r="N564" s="228"/>
      <c r="O564" s="183"/>
      <c r="P564" s="186"/>
      <c r="Q564" s="183"/>
      <c r="R564" s="232"/>
      <c r="S564" s="184"/>
      <c r="T564" s="227"/>
      <c r="U564" s="227"/>
      <c r="V564" s="227"/>
      <c r="W564" s="229"/>
      <c r="X564" s="184"/>
      <c r="Y564" s="184"/>
      <c r="Z564" s="184"/>
      <c r="AA564" s="230"/>
      <c r="AB564" s="241"/>
      <c r="AC564" s="242"/>
      <c r="AD564" s="182"/>
      <c r="AE564" s="162"/>
      <c r="AF564" s="1083"/>
      <c r="AG564" s="817"/>
      <c r="AH564" s="1087"/>
      <c r="AI564" s="1087"/>
      <c r="AJ564" s="855"/>
      <c r="AK564" s="775"/>
      <c r="AL564" s="827"/>
      <c r="AM564" s="827"/>
      <c r="AN564" s="857"/>
      <c r="AO564" s="808"/>
      <c r="AP564" s="808"/>
      <c r="AQ564" s="795"/>
      <c r="AR564" s="795"/>
      <c r="AS564" s="795"/>
      <c r="AT564" s="795"/>
      <c r="AU564" s="795"/>
      <c r="AV564" s="795"/>
      <c r="AW564" s="795"/>
      <c r="AX564" s="797"/>
      <c r="AY564" s="847"/>
    </row>
    <row r="565" spans="1:51" ht="27" customHeight="1" x14ac:dyDescent="0.25">
      <c r="A565" s="815"/>
      <c r="B565" s="1043"/>
      <c r="C565" s="812"/>
      <c r="D565" s="132" t="s">
        <v>4</v>
      </c>
      <c r="E565" s="239"/>
      <c r="F565" s="240"/>
      <c r="G565" s="227"/>
      <c r="H565" s="227">
        <f>+$U$505/11</f>
        <v>7723875.0909090908</v>
      </c>
      <c r="I565" s="227"/>
      <c r="J565" s="183"/>
      <c r="K565" s="182"/>
      <c r="L565" s="183"/>
      <c r="M565" s="183"/>
      <c r="N565" s="228"/>
      <c r="O565" s="183"/>
      <c r="P565" s="186"/>
      <c r="Q565" s="183"/>
      <c r="R565" s="232"/>
      <c r="S565" s="184"/>
      <c r="T565" s="227">
        <f>+T562*$T$505/$T$502</f>
        <v>5276561.25</v>
      </c>
      <c r="U565" s="227">
        <f>+$U$505/11</f>
        <v>7723875.0909090908</v>
      </c>
      <c r="V565" s="227"/>
      <c r="W565" s="229"/>
      <c r="X565" s="184"/>
      <c r="Y565" s="184"/>
      <c r="Z565" s="184"/>
      <c r="AA565" s="230"/>
      <c r="AB565" s="241"/>
      <c r="AC565" s="242"/>
      <c r="AD565" s="182"/>
      <c r="AE565" s="162"/>
      <c r="AF565" s="1083"/>
      <c r="AG565" s="817"/>
      <c r="AH565" s="1087"/>
      <c r="AI565" s="1087"/>
      <c r="AJ565" s="855"/>
      <c r="AK565" s="775"/>
      <c r="AL565" s="827"/>
      <c r="AM565" s="827"/>
      <c r="AN565" s="857"/>
      <c r="AO565" s="808"/>
      <c r="AP565" s="808"/>
      <c r="AQ565" s="795"/>
      <c r="AR565" s="795"/>
      <c r="AS565" s="795"/>
      <c r="AT565" s="795"/>
      <c r="AU565" s="795"/>
      <c r="AV565" s="795"/>
      <c r="AW565" s="795"/>
      <c r="AX565" s="797"/>
      <c r="AY565" s="847"/>
    </row>
    <row r="566" spans="1:51" ht="27" customHeight="1" x14ac:dyDescent="0.25">
      <c r="A566" s="815"/>
      <c r="B566" s="1043"/>
      <c r="C566" s="812"/>
      <c r="D566" s="136" t="s">
        <v>43</v>
      </c>
      <c r="E566" s="142"/>
      <c r="F566" s="143"/>
      <c r="G566" s="207">
        <v>3</v>
      </c>
      <c r="H566" s="207">
        <v>6</v>
      </c>
      <c r="I566" s="207">
        <v>7</v>
      </c>
      <c r="J566" s="138">
        <v>7</v>
      </c>
      <c r="K566" s="137">
        <v>7</v>
      </c>
      <c r="L566" s="138"/>
      <c r="M566" s="138"/>
      <c r="N566" s="138"/>
      <c r="O566" s="138"/>
      <c r="P566" s="186">
        <v>4</v>
      </c>
      <c r="Q566" s="138">
        <v>8</v>
      </c>
      <c r="R566" s="147">
        <v>8</v>
      </c>
      <c r="S566" s="152"/>
      <c r="T566" s="207">
        <v>3</v>
      </c>
      <c r="U566" s="207">
        <v>6</v>
      </c>
      <c r="V566" s="207">
        <v>7</v>
      </c>
      <c r="W566" s="147">
        <v>7</v>
      </c>
      <c r="X566" s="203">
        <v>7</v>
      </c>
      <c r="Y566" s="152"/>
      <c r="Z566" s="152"/>
      <c r="AA566" s="152"/>
      <c r="AB566" s="243"/>
      <c r="AC566" s="129">
        <v>4</v>
      </c>
      <c r="AD566" s="137">
        <v>8</v>
      </c>
      <c r="AE566" s="129">
        <v>8</v>
      </c>
      <c r="AF566" s="1083"/>
      <c r="AG566" s="817"/>
      <c r="AH566" s="1087"/>
      <c r="AI566" s="1087"/>
      <c r="AJ566" s="855"/>
      <c r="AK566" s="775"/>
      <c r="AL566" s="827"/>
      <c r="AM566" s="827"/>
      <c r="AN566" s="857"/>
      <c r="AO566" s="808"/>
      <c r="AP566" s="808"/>
      <c r="AQ566" s="795"/>
      <c r="AR566" s="795"/>
      <c r="AS566" s="795"/>
      <c r="AT566" s="795"/>
      <c r="AU566" s="795"/>
      <c r="AV566" s="795"/>
      <c r="AW566" s="795"/>
      <c r="AX566" s="797"/>
      <c r="AY566" s="847"/>
    </row>
    <row r="567" spans="1:51" ht="27.75" customHeight="1" thickBot="1" x14ac:dyDescent="0.3">
      <c r="A567" s="815"/>
      <c r="B567" s="1043"/>
      <c r="C567" s="813"/>
      <c r="D567" s="140" t="s">
        <v>45</v>
      </c>
      <c r="E567" s="244"/>
      <c r="F567" s="245"/>
      <c r="G567" s="227">
        <f>+G566*$G$503/$G$502</f>
        <v>13113525</v>
      </c>
      <c r="H567" s="227">
        <f>+H566*$H$503/$H$502</f>
        <v>26227050</v>
      </c>
      <c r="I567" s="227" t="e">
        <f>+I566*$I$503/$I$502</f>
        <v>#REF!</v>
      </c>
      <c r="J567" s="183" t="e">
        <f>+J566*$J$503/$J$502</f>
        <v>#REF!</v>
      </c>
      <c r="K567" s="185"/>
      <c r="L567" s="186"/>
      <c r="M567" s="186"/>
      <c r="N567" s="238"/>
      <c r="O567" s="186"/>
      <c r="P567" s="183">
        <f>+P566*$P$503/$P$502</f>
        <v>58754266.159999996</v>
      </c>
      <c r="Q567" s="183">
        <f>+Q566*$Q$503/$Q$502</f>
        <v>114308532.31999999</v>
      </c>
      <c r="R567" s="183">
        <f>+R566*$R$503/$R$502</f>
        <v>114308532.31999999</v>
      </c>
      <c r="S567" s="177"/>
      <c r="T567" s="237"/>
      <c r="U567" s="227">
        <f>+U566*$U$503/$U$502</f>
        <v>9203400</v>
      </c>
      <c r="V567" s="227" t="e">
        <f>+V566*$V$503/$V$502</f>
        <v>#REF!</v>
      </c>
      <c r="W567" s="183" t="e">
        <f>+W566*$W$503/$W$502</f>
        <v>#REF!</v>
      </c>
      <c r="X567" s="177"/>
      <c r="Y567" s="177"/>
      <c r="Z567" s="177"/>
      <c r="AA567" s="178"/>
      <c r="AB567" s="209"/>
      <c r="AC567" s="182">
        <f>+AC566*$AC$503/$AC$502</f>
        <v>70935866.666666672</v>
      </c>
      <c r="AD567" s="182">
        <f>+AD566*$AD$503/$AD$502</f>
        <v>99016740.088888884</v>
      </c>
      <c r="AE567" s="182" t="e">
        <f>+AE566*$AE$503/$AE$502</f>
        <v>#REF!</v>
      </c>
      <c r="AF567" s="1084"/>
      <c r="AG567" s="817"/>
      <c r="AH567" s="1088"/>
      <c r="AI567" s="1088"/>
      <c r="AJ567" s="856"/>
      <c r="AK567" s="776"/>
      <c r="AL567" s="827"/>
      <c r="AM567" s="827"/>
      <c r="AN567" s="857"/>
      <c r="AO567" s="808"/>
      <c r="AP567" s="808"/>
      <c r="AQ567" s="795"/>
      <c r="AR567" s="795"/>
      <c r="AS567" s="795"/>
      <c r="AT567" s="795"/>
      <c r="AU567" s="795"/>
      <c r="AV567" s="795"/>
      <c r="AW567" s="795"/>
      <c r="AX567" s="798"/>
      <c r="AY567" s="847"/>
    </row>
    <row r="568" spans="1:51" ht="18" customHeight="1" x14ac:dyDescent="0.25">
      <c r="A568" s="815"/>
      <c r="B568" s="1043"/>
      <c r="C568" s="827" t="s">
        <v>378</v>
      </c>
      <c r="D568" s="141" t="s">
        <v>41</v>
      </c>
      <c r="E568" s="142"/>
      <c r="F568" s="143"/>
      <c r="G568" s="207">
        <v>2</v>
      </c>
      <c r="H568" s="207">
        <v>2</v>
      </c>
      <c r="I568" s="207">
        <v>3</v>
      </c>
      <c r="J568" s="138">
        <v>4</v>
      </c>
      <c r="K568" s="137">
        <v>4</v>
      </c>
      <c r="L568" s="138"/>
      <c r="M568" s="138"/>
      <c r="N568" s="138"/>
      <c r="O568" s="138"/>
      <c r="P568" s="186"/>
      <c r="Q568" s="138"/>
      <c r="R568" s="147"/>
      <c r="S568" s="177"/>
      <c r="T568" s="207">
        <v>2</v>
      </c>
      <c r="U568" s="207">
        <v>2</v>
      </c>
      <c r="V568" s="207">
        <v>3</v>
      </c>
      <c r="W568" s="247">
        <v>4</v>
      </c>
      <c r="X568" s="177">
        <v>4</v>
      </c>
      <c r="Y568" s="177"/>
      <c r="Z568" s="177"/>
      <c r="AA568" s="178"/>
      <c r="AB568" s="209"/>
      <c r="AC568" s="129"/>
      <c r="AD568" s="137"/>
      <c r="AE568" s="180"/>
      <c r="AF568" s="1082" t="s">
        <v>569</v>
      </c>
      <c r="AG568" s="858" t="str">
        <f>+C568</f>
        <v>SUBA</v>
      </c>
      <c r="AH568" s="851" t="s">
        <v>570</v>
      </c>
      <c r="AI568" s="851" t="s">
        <v>571</v>
      </c>
      <c r="AJ568" s="854" t="s">
        <v>675</v>
      </c>
      <c r="AK568" s="774" t="s">
        <v>315</v>
      </c>
      <c r="AL568" s="827" t="s">
        <v>378</v>
      </c>
      <c r="AM568" s="827" t="s">
        <v>547</v>
      </c>
      <c r="AN568" s="1089">
        <v>1229902</v>
      </c>
      <c r="AO568" s="864">
        <v>579046</v>
      </c>
      <c r="AP568" s="864">
        <v>650857</v>
      </c>
      <c r="AQ568" s="795" t="s">
        <v>317</v>
      </c>
      <c r="AR568" s="795" t="s">
        <v>317</v>
      </c>
      <c r="AS568" s="795" t="s">
        <v>317</v>
      </c>
      <c r="AT568" s="795" t="s">
        <v>317</v>
      </c>
      <c r="AU568" s="795" t="s">
        <v>317</v>
      </c>
      <c r="AV568" s="795" t="s">
        <v>317</v>
      </c>
      <c r="AW568" s="795" t="s">
        <v>317</v>
      </c>
      <c r="AX568" s="796">
        <v>1229902</v>
      </c>
      <c r="AY568" s="846" t="s">
        <v>572</v>
      </c>
    </row>
    <row r="569" spans="1:51" ht="18" customHeight="1" x14ac:dyDescent="0.25">
      <c r="A569" s="815"/>
      <c r="B569" s="1043"/>
      <c r="C569" s="827"/>
      <c r="D569" s="132" t="s">
        <v>3</v>
      </c>
      <c r="E569" s="239"/>
      <c r="F569" s="240"/>
      <c r="G569" s="227">
        <f>+G568*$G$503/$G$502</f>
        <v>8742350</v>
      </c>
      <c r="H569" s="227">
        <f>+H568*$H$503/$H$502</f>
        <v>8742350</v>
      </c>
      <c r="I569" s="227" t="e">
        <f>+I568*$I$503/$I$502</f>
        <v>#REF!</v>
      </c>
      <c r="J569" s="183" t="e">
        <f>+J568*$J$503/$J$502</f>
        <v>#REF!</v>
      </c>
      <c r="K569" s="182"/>
      <c r="L569" s="183"/>
      <c r="M569" s="183"/>
      <c r="N569" s="228"/>
      <c r="O569" s="183"/>
      <c r="P569" s="186"/>
      <c r="Q569" s="183"/>
      <c r="R569" s="232"/>
      <c r="S569" s="184"/>
      <c r="T569" s="227"/>
      <c r="U569" s="227">
        <f>+U568*$U$503/$U$502</f>
        <v>3067800</v>
      </c>
      <c r="V569" s="227" t="e">
        <f>+V568*$V$503/$V$502</f>
        <v>#REF!</v>
      </c>
      <c r="W569" s="183" t="e">
        <f>+W568*$W$503/$W$502</f>
        <v>#REF!</v>
      </c>
      <c r="X569" s="184"/>
      <c r="Y569" s="184"/>
      <c r="Z569" s="184"/>
      <c r="AA569" s="230"/>
      <c r="AB569" s="241"/>
      <c r="AC569" s="242"/>
      <c r="AD569" s="182"/>
      <c r="AE569" s="162"/>
      <c r="AF569" s="1083"/>
      <c r="AG569" s="858"/>
      <c r="AH569" s="852"/>
      <c r="AI569" s="852"/>
      <c r="AJ569" s="855"/>
      <c r="AK569" s="775"/>
      <c r="AL569" s="827"/>
      <c r="AM569" s="827"/>
      <c r="AN569" s="1089"/>
      <c r="AO569" s="865"/>
      <c r="AP569" s="865"/>
      <c r="AQ569" s="795"/>
      <c r="AR569" s="795"/>
      <c r="AS569" s="795"/>
      <c r="AT569" s="795"/>
      <c r="AU569" s="795"/>
      <c r="AV569" s="795"/>
      <c r="AW569" s="795"/>
      <c r="AX569" s="797"/>
      <c r="AY569" s="847"/>
    </row>
    <row r="570" spans="1:51" ht="27" customHeight="1" x14ac:dyDescent="0.25">
      <c r="A570" s="815"/>
      <c r="B570" s="1043"/>
      <c r="C570" s="827"/>
      <c r="D570" s="136" t="s">
        <v>42</v>
      </c>
      <c r="E570" s="239"/>
      <c r="F570" s="240"/>
      <c r="G570" s="227"/>
      <c r="H570" s="227"/>
      <c r="I570" s="227"/>
      <c r="J570" s="183"/>
      <c r="K570" s="182"/>
      <c r="L570" s="183"/>
      <c r="M570" s="183"/>
      <c r="N570" s="228"/>
      <c r="O570" s="183"/>
      <c r="P570" s="186"/>
      <c r="Q570" s="183"/>
      <c r="R570" s="232"/>
      <c r="S570" s="184"/>
      <c r="T570" s="227"/>
      <c r="U570" s="227"/>
      <c r="V570" s="227"/>
      <c r="W570" s="229"/>
      <c r="X570" s="184"/>
      <c r="Y570" s="184"/>
      <c r="Z570" s="184"/>
      <c r="AA570" s="230"/>
      <c r="AB570" s="241"/>
      <c r="AC570" s="242"/>
      <c r="AD570" s="182"/>
      <c r="AE570" s="162"/>
      <c r="AF570" s="1083"/>
      <c r="AG570" s="858"/>
      <c r="AH570" s="852"/>
      <c r="AI570" s="852"/>
      <c r="AJ570" s="855"/>
      <c r="AK570" s="775"/>
      <c r="AL570" s="827"/>
      <c r="AM570" s="827"/>
      <c r="AN570" s="1089"/>
      <c r="AO570" s="865"/>
      <c r="AP570" s="865"/>
      <c r="AQ570" s="795"/>
      <c r="AR570" s="795"/>
      <c r="AS570" s="795"/>
      <c r="AT570" s="795"/>
      <c r="AU570" s="795"/>
      <c r="AV570" s="795"/>
      <c r="AW570" s="795"/>
      <c r="AX570" s="797"/>
      <c r="AY570" s="847"/>
    </row>
    <row r="571" spans="1:51" ht="27" customHeight="1" x14ac:dyDescent="0.25">
      <c r="A571" s="815"/>
      <c r="B571" s="1043"/>
      <c r="C571" s="827"/>
      <c r="D571" s="132" t="s">
        <v>4</v>
      </c>
      <c r="E571" s="239"/>
      <c r="F571" s="240"/>
      <c r="G571" s="227"/>
      <c r="H571" s="227">
        <f>+$U$505/11</f>
        <v>7723875.0909090908</v>
      </c>
      <c r="I571" s="227"/>
      <c r="J571" s="183"/>
      <c r="K571" s="182"/>
      <c r="L571" s="183"/>
      <c r="M571" s="183"/>
      <c r="N571" s="228"/>
      <c r="O571" s="183"/>
      <c r="P571" s="186"/>
      <c r="Q571" s="183"/>
      <c r="R571" s="232"/>
      <c r="S571" s="184"/>
      <c r="T571" s="227">
        <f>+T568*$T$505/$T$502</f>
        <v>3517707.5</v>
      </c>
      <c r="U571" s="227">
        <f>+$U$505/11</f>
        <v>7723875.0909090908</v>
      </c>
      <c r="V571" s="227"/>
      <c r="W571" s="229"/>
      <c r="X571" s="184"/>
      <c r="Y571" s="184"/>
      <c r="Z571" s="184"/>
      <c r="AA571" s="230"/>
      <c r="AB571" s="241"/>
      <c r="AC571" s="242"/>
      <c r="AD571" s="182"/>
      <c r="AE571" s="162"/>
      <c r="AF571" s="1083"/>
      <c r="AG571" s="858"/>
      <c r="AH571" s="852"/>
      <c r="AI571" s="852"/>
      <c r="AJ571" s="855"/>
      <c r="AK571" s="775"/>
      <c r="AL571" s="827"/>
      <c r="AM571" s="827"/>
      <c r="AN571" s="1089"/>
      <c r="AO571" s="865"/>
      <c r="AP571" s="865"/>
      <c r="AQ571" s="795"/>
      <c r="AR571" s="795"/>
      <c r="AS571" s="795"/>
      <c r="AT571" s="795"/>
      <c r="AU571" s="795"/>
      <c r="AV571" s="795"/>
      <c r="AW571" s="795"/>
      <c r="AX571" s="797"/>
      <c r="AY571" s="847"/>
    </row>
    <row r="572" spans="1:51" ht="27" customHeight="1" x14ac:dyDescent="0.25">
      <c r="A572" s="815"/>
      <c r="B572" s="1043"/>
      <c r="C572" s="827"/>
      <c r="D572" s="136" t="s">
        <v>43</v>
      </c>
      <c r="E572" s="142"/>
      <c r="F572" s="143"/>
      <c r="G572" s="207">
        <v>2</v>
      </c>
      <c r="H572" s="207">
        <v>2</v>
      </c>
      <c r="I572" s="207">
        <v>3</v>
      </c>
      <c r="J572" s="138">
        <v>4</v>
      </c>
      <c r="K572" s="137">
        <v>4</v>
      </c>
      <c r="L572" s="138"/>
      <c r="M572" s="138"/>
      <c r="N572" s="138"/>
      <c r="O572" s="138"/>
      <c r="P572" s="186"/>
      <c r="Q572" s="138"/>
      <c r="R572" s="147"/>
      <c r="S572" s="152"/>
      <c r="T572" s="207">
        <v>2</v>
      </c>
      <c r="U572" s="207">
        <v>2</v>
      </c>
      <c r="V572" s="207">
        <v>3</v>
      </c>
      <c r="W572" s="147">
        <v>4</v>
      </c>
      <c r="X572" s="203">
        <v>4</v>
      </c>
      <c r="Y572" s="152"/>
      <c r="Z572" s="152"/>
      <c r="AA572" s="152"/>
      <c r="AB572" s="243"/>
      <c r="AC572" s="129"/>
      <c r="AD572" s="137"/>
      <c r="AE572" s="129"/>
      <c r="AF572" s="1083"/>
      <c r="AG572" s="858"/>
      <c r="AH572" s="852"/>
      <c r="AI572" s="852"/>
      <c r="AJ572" s="855"/>
      <c r="AK572" s="775"/>
      <c r="AL572" s="827"/>
      <c r="AM572" s="827"/>
      <c r="AN572" s="1089"/>
      <c r="AO572" s="865"/>
      <c r="AP572" s="865"/>
      <c r="AQ572" s="795"/>
      <c r="AR572" s="795"/>
      <c r="AS572" s="795"/>
      <c r="AT572" s="795"/>
      <c r="AU572" s="795"/>
      <c r="AV572" s="795"/>
      <c r="AW572" s="795"/>
      <c r="AX572" s="797"/>
      <c r="AY572" s="847"/>
    </row>
    <row r="573" spans="1:51" ht="27.75" customHeight="1" thickBot="1" x14ac:dyDescent="0.3">
      <c r="A573" s="815"/>
      <c r="B573" s="1043"/>
      <c r="C573" s="827"/>
      <c r="D573" s="140" t="s">
        <v>45</v>
      </c>
      <c r="E573" s="244"/>
      <c r="F573" s="245"/>
      <c r="G573" s="227">
        <f>+G572*$G$503/$G$502</f>
        <v>8742350</v>
      </c>
      <c r="H573" s="227">
        <f>+H572*$H$503/$H$502</f>
        <v>8742350</v>
      </c>
      <c r="I573" s="227" t="e">
        <f>+I572*$I$503/$I$502</f>
        <v>#REF!</v>
      </c>
      <c r="J573" s="183" t="e">
        <f>+J572*$J$503/$J$502</f>
        <v>#REF!</v>
      </c>
      <c r="K573" s="185"/>
      <c r="L573" s="186"/>
      <c r="M573" s="186"/>
      <c r="N573" s="238"/>
      <c r="O573" s="186"/>
      <c r="P573" s="186"/>
      <c r="Q573" s="186"/>
      <c r="R573" s="175"/>
      <c r="S573" s="177"/>
      <c r="T573" s="237"/>
      <c r="U573" s="227">
        <f>+U572*$U$503/$U$502</f>
        <v>3067800</v>
      </c>
      <c r="V573" s="227" t="e">
        <f>+V572*$V$503/$V$502</f>
        <v>#REF!</v>
      </c>
      <c r="W573" s="183" t="e">
        <f>+W572*$W$503/$W$502</f>
        <v>#REF!</v>
      </c>
      <c r="X573" s="177"/>
      <c r="Y573" s="177"/>
      <c r="Z573" s="177"/>
      <c r="AA573" s="178"/>
      <c r="AB573" s="209"/>
      <c r="AC573" s="242"/>
      <c r="AD573" s="185"/>
      <c r="AE573" s="180"/>
      <c r="AF573" s="1084"/>
      <c r="AG573" s="858"/>
      <c r="AH573" s="853"/>
      <c r="AI573" s="853"/>
      <c r="AJ573" s="856"/>
      <c r="AK573" s="776"/>
      <c r="AL573" s="827"/>
      <c r="AM573" s="827"/>
      <c r="AN573" s="1089"/>
      <c r="AO573" s="866"/>
      <c r="AP573" s="866"/>
      <c r="AQ573" s="795"/>
      <c r="AR573" s="795"/>
      <c r="AS573" s="795"/>
      <c r="AT573" s="795"/>
      <c r="AU573" s="795"/>
      <c r="AV573" s="795"/>
      <c r="AW573" s="795"/>
      <c r="AX573" s="798"/>
      <c r="AY573" s="847"/>
    </row>
    <row r="574" spans="1:51" ht="18" customHeight="1" x14ac:dyDescent="0.25">
      <c r="A574" s="815"/>
      <c r="B574" s="1043"/>
      <c r="C574" s="811" t="s">
        <v>383</v>
      </c>
      <c r="D574" s="141" t="s">
        <v>41</v>
      </c>
      <c r="E574" s="142"/>
      <c r="F574" s="143"/>
      <c r="G574" s="144"/>
      <c r="H574" s="207">
        <v>2</v>
      </c>
      <c r="I574" s="207">
        <v>2</v>
      </c>
      <c r="J574" s="138">
        <v>4</v>
      </c>
      <c r="K574" s="137">
        <v>4</v>
      </c>
      <c r="L574" s="138"/>
      <c r="M574" s="138"/>
      <c r="N574" s="138"/>
      <c r="O574" s="138"/>
      <c r="P574" s="186"/>
      <c r="Q574" s="138"/>
      <c r="R574" s="147"/>
      <c r="S574" s="177"/>
      <c r="T574" s="144"/>
      <c r="U574" s="207">
        <v>2</v>
      </c>
      <c r="V574" s="207">
        <v>2</v>
      </c>
      <c r="W574" s="175">
        <v>4</v>
      </c>
      <c r="X574" s="177">
        <v>4</v>
      </c>
      <c r="Y574" s="177"/>
      <c r="Z574" s="177"/>
      <c r="AA574" s="178"/>
      <c r="AB574" s="209"/>
      <c r="AC574" s="129"/>
      <c r="AD574" s="137"/>
      <c r="AE574" s="180"/>
      <c r="AF574" s="1082" t="s">
        <v>573</v>
      </c>
      <c r="AG574" s="858" t="str">
        <f>+C574</f>
        <v>BARRIOS UNIDOS</v>
      </c>
      <c r="AH574" s="851" t="s">
        <v>574</v>
      </c>
      <c r="AI574" s="851" t="s">
        <v>575</v>
      </c>
      <c r="AJ574" s="854" t="s">
        <v>675</v>
      </c>
      <c r="AK574" s="774" t="s">
        <v>315</v>
      </c>
      <c r="AL574" s="827" t="s">
        <v>70</v>
      </c>
      <c r="AM574" s="827" t="s">
        <v>547</v>
      </c>
      <c r="AN574" s="1089">
        <v>138605</v>
      </c>
      <c r="AO574" s="867">
        <v>65263</v>
      </c>
      <c r="AP574" s="867">
        <v>73342.037997114603</v>
      </c>
      <c r="AQ574" s="795" t="s">
        <v>317</v>
      </c>
      <c r="AR574" s="795" t="s">
        <v>317</v>
      </c>
      <c r="AS574" s="795" t="s">
        <v>317</v>
      </c>
      <c r="AT574" s="795" t="s">
        <v>317</v>
      </c>
      <c r="AU574" s="795" t="s">
        <v>317</v>
      </c>
      <c r="AV574" s="795" t="s">
        <v>317</v>
      </c>
      <c r="AW574" s="795" t="s">
        <v>317</v>
      </c>
      <c r="AX574" s="796">
        <v>8185614</v>
      </c>
      <c r="AY574" s="846" t="s">
        <v>576</v>
      </c>
    </row>
    <row r="575" spans="1:51" ht="18" customHeight="1" x14ac:dyDescent="0.25">
      <c r="A575" s="815"/>
      <c r="B575" s="1043"/>
      <c r="C575" s="812"/>
      <c r="D575" s="132" t="s">
        <v>3</v>
      </c>
      <c r="E575" s="239"/>
      <c r="F575" s="240"/>
      <c r="G575" s="227"/>
      <c r="H575" s="227">
        <f>+H574*$H$503/$H$502</f>
        <v>8742350</v>
      </c>
      <c r="I575" s="227" t="e">
        <f>+I574*$I$503/$I$502</f>
        <v>#REF!</v>
      </c>
      <c r="J575" s="183" t="e">
        <f>+J574*$J$503/$J$502</f>
        <v>#REF!</v>
      </c>
      <c r="K575" s="182"/>
      <c r="L575" s="183"/>
      <c r="M575" s="183"/>
      <c r="N575" s="228"/>
      <c r="O575" s="183"/>
      <c r="P575" s="186"/>
      <c r="Q575" s="183"/>
      <c r="R575" s="232"/>
      <c r="S575" s="184"/>
      <c r="T575" s="227"/>
      <c r="U575" s="227">
        <f>+U574*$U$503/$U$502</f>
        <v>3067800</v>
      </c>
      <c r="V575" s="227" t="e">
        <f>+V574*$V$503/$V$502</f>
        <v>#REF!</v>
      </c>
      <c r="W575" s="183" t="e">
        <f>+W574*$W$503/$W$502</f>
        <v>#REF!</v>
      </c>
      <c r="X575" s="184"/>
      <c r="Y575" s="184"/>
      <c r="Z575" s="184"/>
      <c r="AA575" s="230"/>
      <c r="AB575" s="241"/>
      <c r="AC575" s="242"/>
      <c r="AD575" s="182"/>
      <c r="AE575" s="162"/>
      <c r="AF575" s="1083"/>
      <c r="AG575" s="858"/>
      <c r="AH575" s="852"/>
      <c r="AI575" s="852"/>
      <c r="AJ575" s="855"/>
      <c r="AK575" s="775"/>
      <c r="AL575" s="827"/>
      <c r="AM575" s="827"/>
      <c r="AN575" s="1089"/>
      <c r="AO575" s="867"/>
      <c r="AP575" s="867"/>
      <c r="AQ575" s="795"/>
      <c r="AR575" s="795"/>
      <c r="AS575" s="795"/>
      <c r="AT575" s="795"/>
      <c r="AU575" s="795"/>
      <c r="AV575" s="795"/>
      <c r="AW575" s="795"/>
      <c r="AX575" s="797"/>
      <c r="AY575" s="847"/>
    </row>
    <row r="576" spans="1:51" ht="27" customHeight="1" x14ac:dyDescent="0.25">
      <c r="A576" s="815"/>
      <c r="B576" s="1043"/>
      <c r="C576" s="812"/>
      <c r="D576" s="136" t="s">
        <v>42</v>
      </c>
      <c r="E576" s="239"/>
      <c r="F576" s="240"/>
      <c r="G576" s="227"/>
      <c r="H576" s="227"/>
      <c r="I576" s="227"/>
      <c r="J576" s="183"/>
      <c r="K576" s="182"/>
      <c r="L576" s="183"/>
      <c r="M576" s="183"/>
      <c r="N576" s="228"/>
      <c r="O576" s="183"/>
      <c r="P576" s="186"/>
      <c r="Q576" s="183"/>
      <c r="R576" s="232"/>
      <c r="S576" s="184"/>
      <c r="T576" s="227"/>
      <c r="U576" s="227"/>
      <c r="V576" s="227"/>
      <c r="W576" s="229"/>
      <c r="X576" s="184"/>
      <c r="Y576" s="184"/>
      <c r="Z576" s="184"/>
      <c r="AA576" s="230"/>
      <c r="AB576" s="241"/>
      <c r="AC576" s="242"/>
      <c r="AD576" s="182"/>
      <c r="AE576" s="162"/>
      <c r="AF576" s="1083"/>
      <c r="AG576" s="858"/>
      <c r="AH576" s="852"/>
      <c r="AI576" s="852"/>
      <c r="AJ576" s="855"/>
      <c r="AK576" s="775"/>
      <c r="AL576" s="827"/>
      <c r="AM576" s="827"/>
      <c r="AN576" s="1089"/>
      <c r="AO576" s="867"/>
      <c r="AP576" s="867"/>
      <c r="AQ576" s="795"/>
      <c r="AR576" s="795"/>
      <c r="AS576" s="795"/>
      <c r="AT576" s="795"/>
      <c r="AU576" s="795"/>
      <c r="AV576" s="795"/>
      <c r="AW576" s="795"/>
      <c r="AX576" s="797"/>
      <c r="AY576" s="847"/>
    </row>
    <row r="577" spans="1:51" ht="27" customHeight="1" x14ac:dyDescent="0.25">
      <c r="A577" s="815"/>
      <c r="B577" s="1043"/>
      <c r="C577" s="812"/>
      <c r="D577" s="132" t="s">
        <v>4</v>
      </c>
      <c r="E577" s="239"/>
      <c r="F577" s="240"/>
      <c r="G577" s="227"/>
      <c r="H577" s="227">
        <f>+$U$505/11</f>
        <v>7723875.0909090908</v>
      </c>
      <c r="I577" s="227"/>
      <c r="J577" s="183"/>
      <c r="K577" s="182"/>
      <c r="L577" s="183"/>
      <c r="M577" s="183"/>
      <c r="N577" s="228"/>
      <c r="O577" s="183"/>
      <c r="P577" s="186"/>
      <c r="Q577" s="183"/>
      <c r="R577" s="232"/>
      <c r="S577" s="184"/>
      <c r="T577" s="227"/>
      <c r="U577" s="227">
        <f>+$U$505/11</f>
        <v>7723875.0909090908</v>
      </c>
      <c r="V577" s="227"/>
      <c r="W577" s="229"/>
      <c r="X577" s="184"/>
      <c r="Y577" s="184"/>
      <c r="Z577" s="184"/>
      <c r="AA577" s="230"/>
      <c r="AB577" s="241"/>
      <c r="AC577" s="242"/>
      <c r="AD577" s="182"/>
      <c r="AE577" s="162"/>
      <c r="AF577" s="1083"/>
      <c r="AG577" s="858"/>
      <c r="AH577" s="852"/>
      <c r="AI577" s="852"/>
      <c r="AJ577" s="855"/>
      <c r="AK577" s="775"/>
      <c r="AL577" s="827"/>
      <c r="AM577" s="827"/>
      <c r="AN577" s="1089"/>
      <c r="AO577" s="867"/>
      <c r="AP577" s="867"/>
      <c r="AQ577" s="795"/>
      <c r="AR577" s="795"/>
      <c r="AS577" s="795"/>
      <c r="AT577" s="795"/>
      <c r="AU577" s="795"/>
      <c r="AV577" s="795"/>
      <c r="AW577" s="795"/>
      <c r="AX577" s="797"/>
      <c r="AY577" s="847"/>
    </row>
    <row r="578" spans="1:51" ht="27" customHeight="1" x14ac:dyDescent="0.25">
      <c r="A578" s="815"/>
      <c r="B578" s="1043"/>
      <c r="C578" s="812"/>
      <c r="D578" s="136" t="s">
        <v>43</v>
      </c>
      <c r="E578" s="142"/>
      <c r="F578" s="143"/>
      <c r="G578" s="144"/>
      <c r="H578" s="207">
        <v>2</v>
      </c>
      <c r="I578" s="207">
        <v>2</v>
      </c>
      <c r="J578" s="138">
        <v>4</v>
      </c>
      <c r="K578" s="137">
        <v>4</v>
      </c>
      <c r="L578" s="138"/>
      <c r="M578" s="138"/>
      <c r="N578" s="138"/>
      <c r="O578" s="138"/>
      <c r="P578" s="186"/>
      <c r="Q578" s="138"/>
      <c r="R578" s="147"/>
      <c r="S578" s="152"/>
      <c r="T578" s="144"/>
      <c r="U578" s="207">
        <v>2</v>
      </c>
      <c r="V578" s="207">
        <v>2</v>
      </c>
      <c r="W578" s="147">
        <v>4</v>
      </c>
      <c r="X578" s="203">
        <v>4</v>
      </c>
      <c r="Y578" s="152"/>
      <c r="Z578" s="152"/>
      <c r="AA578" s="152"/>
      <c r="AB578" s="243"/>
      <c r="AC578" s="129"/>
      <c r="AD578" s="137"/>
      <c r="AE578" s="129"/>
      <c r="AF578" s="1083"/>
      <c r="AG578" s="858"/>
      <c r="AH578" s="852"/>
      <c r="AI578" s="852"/>
      <c r="AJ578" s="855"/>
      <c r="AK578" s="775"/>
      <c r="AL578" s="827"/>
      <c r="AM578" s="827"/>
      <c r="AN578" s="1089"/>
      <c r="AO578" s="867"/>
      <c r="AP578" s="867"/>
      <c r="AQ578" s="795"/>
      <c r="AR578" s="795"/>
      <c r="AS578" s="795"/>
      <c r="AT578" s="795"/>
      <c r="AU578" s="795"/>
      <c r="AV578" s="795"/>
      <c r="AW578" s="795"/>
      <c r="AX578" s="797"/>
      <c r="AY578" s="847"/>
    </row>
    <row r="579" spans="1:51" ht="27.75" customHeight="1" thickBot="1" x14ac:dyDescent="0.3">
      <c r="A579" s="815"/>
      <c r="B579" s="1043"/>
      <c r="C579" s="813"/>
      <c r="D579" s="140" t="s">
        <v>45</v>
      </c>
      <c r="E579" s="244"/>
      <c r="F579" s="245"/>
      <c r="G579" s="237"/>
      <c r="H579" s="227">
        <f>+H578*$H$503/$H$502</f>
        <v>8742350</v>
      </c>
      <c r="I579" s="227" t="e">
        <f>+I578*$I$503/$I$502</f>
        <v>#REF!</v>
      </c>
      <c r="J579" s="183" t="e">
        <f>+J578*$J$503/$J$502</f>
        <v>#REF!</v>
      </c>
      <c r="K579" s="185"/>
      <c r="L579" s="186"/>
      <c r="M579" s="186"/>
      <c r="N579" s="238"/>
      <c r="O579" s="186"/>
      <c r="P579" s="186"/>
      <c r="Q579" s="186"/>
      <c r="R579" s="175"/>
      <c r="S579" s="177"/>
      <c r="T579" s="237"/>
      <c r="U579" s="227">
        <f>+U578*$U$503/$U$502</f>
        <v>3067800</v>
      </c>
      <c r="V579" s="227" t="e">
        <f>+V578*$V$503/$V$502</f>
        <v>#REF!</v>
      </c>
      <c r="W579" s="183" t="e">
        <f>+W578*$W$503/$W$502</f>
        <v>#REF!</v>
      </c>
      <c r="X579" s="177"/>
      <c r="Y579" s="177"/>
      <c r="Z579" s="177"/>
      <c r="AA579" s="178"/>
      <c r="AB579" s="209"/>
      <c r="AC579" s="242"/>
      <c r="AD579" s="185"/>
      <c r="AE579" s="180"/>
      <c r="AF579" s="1084"/>
      <c r="AG579" s="858"/>
      <c r="AH579" s="853"/>
      <c r="AI579" s="853"/>
      <c r="AJ579" s="856"/>
      <c r="AK579" s="776"/>
      <c r="AL579" s="827"/>
      <c r="AM579" s="827"/>
      <c r="AN579" s="1089"/>
      <c r="AO579" s="867"/>
      <c r="AP579" s="867"/>
      <c r="AQ579" s="795"/>
      <c r="AR579" s="795"/>
      <c r="AS579" s="795"/>
      <c r="AT579" s="795"/>
      <c r="AU579" s="795"/>
      <c r="AV579" s="795"/>
      <c r="AW579" s="795"/>
      <c r="AX579" s="798"/>
      <c r="AY579" s="847"/>
    </row>
    <row r="580" spans="1:51" ht="18" customHeight="1" x14ac:dyDescent="0.25">
      <c r="A580" s="815"/>
      <c r="B580" s="1043"/>
      <c r="C580" s="827" t="s">
        <v>386</v>
      </c>
      <c r="D580" s="141" t="s">
        <v>41</v>
      </c>
      <c r="E580" s="142"/>
      <c r="F580" s="143"/>
      <c r="G580" s="207">
        <v>1</v>
      </c>
      <c r="H580" s="207">
        <v>2</v>
      </c>
      <c r="I580" s="207">
        <v>2</v>
      </c>
      <c r="J580" s="138">
        <v>2</v>
      </c>
      <c r="K580" s="137">
        <v>3</v>
      </c>
      <c r="L580" s="138"/>
      <c r="M580" s="138"/>
      <c r="N580" s="138"/>
      <c r="O580" s="138">
        <v>1</v>
      </c>
      <c r="P580" s="186">
        <v>1</v>
      </c>
      <c r="Q580" s="138">
        <v>1</v>
      </c>
      <c r="R580" s="147">
        <v>1</v>
      </c>
      <c r="S580" s="177"/>
      <c r="T580" s="207">
        <v>1</v>
      </c>
      <c r="U580" s="207">
        <v>2</v>
      </c>
      <c r="V580" s="207">
        <v>2</v>
      </c>
      <c r="W580" s="175">
        <v>2</v>
      </c>
      <c r="X580" s="302">
        <v>3</v>
      </c>
      <c r="Y580" s="177"/>
      <c r="Z580" s="177"/>
      <c r="AA580" s="178"/>
      <c r="AB580" s="209">
        <v>1</v>
      </c>
      <c r="AC580" s="129">
        <v>1</v>
      </c>
      <c r="AD580" s="137">
        <v>1</v>
      </c>
      <c r="AE580" s="180">
        <v>1</v>
      </c>
      <c r="AF580" s="1091" t="s">
        <v>673</v>
      </c>
      <c r="AG580" s="1090" t="str">
        <f>+C580</f>
        <v>TEUSAQUILLO</v>
      </c>
      <c r="AH580" s="861" t="s">
        <v>577</v>
      </c>
      <c r="AI580" s="861" t="s">
        <v>578</v>
      </c>
      <c r="AJ580" s="854" t="s">
        <v>675</v>
      </c>
      <c r="AK580" s="774" t="s">
        <v>315</v>
      </c>
      <c r="AL580" s="827" t="s">
        <v>70</v>
      </c>
      <c r="AM580" s="827" t="s">
        <v>547</v>
      </c>
      <c r="AN580" s="857">
        <v>153162</v>
      </c>
      <c r="AO580" s="808">
        <v>71661</v>
      </c>
      <c r="AP580" s="808">
        <v>81501</v>
      </c>
      <c r="AQ580" s="795" t="s">
        <v>317</v>
      </c>
      <c r="AR580" s="795" t="s">
        <v>317</v>
      </c>
      <c r="AS580" s="795" t="s">
        <v>317</v>
      </c>
      <c r="AT580" s="795" t="s">
        <v>317</v>
      </c>
      <c r="AU580" s="795" t="s">
        <v>317</v>
      </c>
      <c r="AV580" s="795" t="s">
        <v>317</v>
      </c>
      <c r="AW580" s="795" t="s">
        <v>317</v>
      </c>
      <c r="AX580" s="796">
        <v>153162</v>
      </c>
      <c r="AY580" s="859" t="s">
        <v>678</v>
      </c>
    </row>
    <row r="581" spans="1:51" ht="18" x14ac:dyDescent="0.25">
      <c r="A581" s="815"/>
      <c r="B581" s="1043"/>
      <c r="C581" s="827"/>
      <c r="D581" s="132" t="s">
        <v>3</v>
      </c>
      <c r="E581" s="239"/>
      <c r="F581" s="240"/>
      <c r="G581" s="227">
        <f>+G580*$G$503/$G$502</f>
        <v>4371175</v>
      </c>
      <c r="H581" s="227">
        <f>+H580*$H$503/$H$502</f>
        <v>8742350</v>
      </c>
      <c r="I581" s="227" t="e">
        <f>+I580*$I$503/$I$502</f>
        <v>#REF!</v>
      </c>
      <c r="J581" s="183" t="e">
        <f>+J580*$J$503/$J$502</f>
        <v>#REF!</v>
      </c>
      <c r="K581" s="182"/>
      <c r="L581" s="183"/>
      <c r="M581" s="183"/>
      <c r="N581" s="228"/>
      <c r="O581" s="183">
        <f>+O580*$O$503/$O$502</f>
        <v>12823849.800000001</v>
      </c>
      <c r="P581" s="183">
        <f>+P580*$P$503/$P$502</f>
        <v>14688566.539999999</v>
      </c>
      <c r="Q581" s="183">
        <f>+Q580*$Q$503/$Q$502</f>
        <v>14288566.539999999</v>
      </c>
      <c r="R581" s="183">
        <f>+R580*$R$503/$R$502</f>
        <v>14288566.539999999</v>
      </c>
      <c r="S581" s="184"/>
      <c r="T581" s="227"/>
      <c r="U581" s="227">
        <f>+U580*$U$503/$U$502</f>
        <v>3067800</v>
      </c>
      <c r="V581" s="227" t="e">
        <f>+V580*$V$503/$V$502</f>
        <v>#REF!</v>
      </c>
      <c r="W581" s="183" t="e">
        <f>+W580*$W$503/$W$502</f>
        <v>#REF!</v>
      </c>
      <c r="X581" s="184"/>
      <c r="Y581" s="184"/>
      <c r="Z581" s="184"/>
      <c r="AA581" s="230"/>
      <c r="AB581" s="182">
        <f>+AB580*$AB$503/$AB$502</f>
        <v>53201900</v>
      </c>
      <c r="AC581" s="182">
        <f>+AC580*$AC$503/$AC$502</f>
        <v>17733966.666666668</v>
      </c>
      <c r="AD581" s="182">
        <f>+AD580*$AD$503/$AD$502</f>
        <v>12377092.51111111</v>
      </c>
      <c r="AE581" s="182" t="e">
        <f>+AE580*$AE$503/$AE$502</f>
        <v>#REF!</v>
      </c>
      <c r="AF581" s="1092"/>
      <c r="AG581" s="1090"/>
      <c r="AH581" s="862"/>
      <c r="AI581" s="862"/>
      <c r="AJ581" s="855"/>
      <c r="AK581" s="775"/>
      <c r="AL581" s="827"/>
      <c r="AM581" s="827"/>
      <c r="AN581" s="857"/>
      <c r="AO581" s="808"/>
      <c r="AP581" s="808"/>
      <c r="AQ581" s="795"/>
      <c r="AR581" s="795"/>
      <c r="AS581" s="795"/>
      <c r="AT581" s="795"/>
      <c r="AU581" s="795"/>
      <c r="AV581" s="795"/>
      <c r="AW581" s="795"/>
      <c r="AX581" s="797"/>
      <c r="AY581" s="860"/>
    </row>
    <row r="582" spans="1:51" ht="27" x14ac:dyDescent="0.25">
      <c r="A582" s="815"/>
      <c r="B582" s="1043"/>
      <c r="C582" s="827"/>
      <c r="D582" s="136" t="s">
        <v>42</v>
      </c>
      <c r="E582" s="239"/>
      <c r="F582" s="240"/>
      <c r="G582" s="227"/>
      <c r="H582" s="227"/>
      <c r="I582" s="227"/>
      <c r="J582" s="183"/>
      <c r="K582" s="182"/>
      <c r="L582" s="183"/>
      <c r="M582" s="183"/>
      <c r="N582" s="228"/>
      <c r="O582" s="183"/>
      <c r="P582" s="186"/>
      <c r="Q582" s="183"/>
      <c r="R582" s="232"/>
      <c r="S582" s="184"/>
      <c r="T582" s="227"/>
      <c r="U582" s="227"/>
      <c r="V582" s="227"/>
      <c r="W582" s="229"/>
      <c r="X582" s="184"/>
      <c r="Y582" s="184"/>
      <c r="Z582" s="184"/>
      <c r="AA582" s="230"/>
      <c r="AB582" s="241"/>
      <c r="AC582" s="242"/>
      <c r="AD582" s="182"/>
      <c r="AE582" s="162"/>
      <c r="AF582" s="1092"/>
      <c r="AG582" s="1090"/>
      <c r="AH582" s="862"/>
      <c r="AI582" s="862"/>
      <c r="AJ582" s="855"/>
      <c r="AK582" s="775"/>
      <c r="AL582" s="827"/>
      <c r="AM582" s="827"/>
      <c r="AN582" s="857"/>
      <c r="AO582" s="808"/>
      <c r="AP582" s="808"/>
      <c r="AQ582" s="795"/>
      <c r="AR582" s="795"/>
      <c r="AS582" s="795"/>
      <c r="AT582" s="795"/>
      <c r="AU582" s="795"/>
      <c r="AV582" s="795"/>
      <c r="AW582" s="795"/>
      <c r="AX582" s="797"/>
      <c r="AY582" s="860"/>
    </row>
    <row r="583" spans="1:51" ht="19.149999999999999" customHeight="1" x14ac:dyDescent="0.25">
      <c r="A583" s="815"/>
      <c r="B583" s="1043"/>
      <c r="C583" s="827"/>
      <c r="D583" s="132" t="s">
        <v>4</v>
      </c>
      <c r="E583" s="239"/>
      <c r="F583" s="240"/>
      <c r="G583" s="227"/>
      <c r="H583" s="227">
        <f>+$U$505/11</f>
        <v>7723875.0909090908</v>
      </c>
      <c r="I583" s="227"/>
      <c r="J583" s="183"/>
      <c r="K583" s="182"/>
      <c r="L583" s="183"/>
      <c r="M583" s="183"/>
      <c r="N583" s="228"/>
      <c r="O583" s="183"/>
      <c r="P583" s="186"/>
      <c r="Q583" s="183"/>
      <c r="R583" s="232"/>
      <c r="S583" s="184"/>
      <c r="T583" s="227">
        <f>+T580*$T$505/$T$502</f>
        <v>1758853.75</v>
      </c>
      <c r="U583" s="227">
        <f>+$U$505/11</f>
        <v>7723875.0909090908</v>
      </c>
      <c r="V583" s="227"/>
      <c r="W583" s="229"/>
      <c r="X583" s="184"/>
      <c r="Y583" s="184"/>
      <c r="Z583" s="184"/>
      <c r="AA583" s="230"/>
      <c r="AB583" s="241"/>
      <c r="AC583" s="242"/>
      <c r="AD583" s="182"/>
      <c r="AE583" s="162"/>
      <c r="AF583" s="1092"/>
      <c r="AG583" s="1090"/>
      <c r="AH583" s="862"/>
      <c r="AI583" s="862"/>
      <c r="AJ583" s="855"/>
      <c r="AK583" s="775"/>
      <c r="AL583" s="827"/>
      <c r="AM583" s="827"/>
      <c r="AN583" s="857"/>
      <c r="AO583" s="808"/>
      <c r="AP583" s="808"/>
      <c r="AQ583" s="795"/>
      <c r="AR583" s="795"/>
      <c r="AS583" s="795"/>
      <c r="AT583" s="795"/>
      <c r="AU583" s="795"/>
      <c r="AV583" s="795"/>
      <c r="AW583" s="795"/>
      <c r="AX583" s="797"/>
      <c r="AY583" s="860"/>
    </row>
    <row r="584" spans="1:51" ht="27" x14ac:dyDescent="0.25">
      <c r="A584" s="815"/>
      <c r="B584" s="1043"/>
      <c r="C584" s="827"/>
      <c r="D584" s="136" t="s">
        <v>43</v>
      </c>
      <c r="E584" s="142"/>
      <c r="F584" s="143"/>
      <c r="G584" s="207">
        <v>1</v>
      </c>
      <c r="H584" s="207">
        <v>2</v>
      </c>
      <c r="I584" s="207">
        <v>2</v>
      </c>
      <c r="J584" s="138">
        <v>2</v>
      </c>
      <c r="K584" s="137">
        <v>3</v>
      </c>
      <c r="L584" s="138"/>
      <c r="M584" s="138"/>
      <c r="N584" s="138"/>
      <c r="O584" s="138">
        <f>+O580</f>
        <v>1</v>
      </c>
      <c r="P584" s="186">
        <v>1</v>
      </c>
      <c r="Q584" s="138">
        <v>1</v>
      </c>
      <c r="R584" s="147">
        <v>1</v>
      </c>
      <c r="S584" s="152"/>
      <c r="T584" s="207">
        <v>1</v>
      </c>
      <c r="U584" s="207">
        <v>2</v>
      </c>
      <c r="V584" s="207">
        <v>2</v>
      </c>
      <c r="W584" s="147">
        <v>2</v>
      </c>
      <c r="X584" s="301">
        <v>3</v>
      </c>
      <c r="Y584" s="152"/>
      <c r="Z584" s="152"/>
      <c r="AA584" s="152"/>
      <c r="AB584" s="243">
        <f>+AB580</f>
        <v>1</v>
      </c>
      <c r="AC584" s="129">
        <v>1</v>
      </c>
      <c r="AD584" s="137">
        <v>1</v>
      </c>
      <c r="AE584" s="129">
        <v>1</v>
      </c>
      <c r="AF584" s="1092"/>
      <c r="AG584" s="1090"/>
      <c r="AH584" s="862"/>
      <c r="AI584" s="862"/>
      <c r="AJ584" s="855"/>
      <c r="AK584" s="775"/>
      <c r="AL584" s="827"/>
      <c r="AM584" s="827"/>
      <c r="AN584" s="857"/>
      <c r="AO584" s="808"/>
      <c r="AP584" s="808"/>
      <c r="AQ584" s="795"/>
      <c r="AR584" s="795"/>
      <c r="AS584" s="795"/>
      <c r="AT584" s="795"/>
      <c r="AU584" s="795"/>
      <c r="AV584" s="795"/>
      <c r="AW584" s="795"/>
      <c r="AX584" s="797"/>
      <c r="AY584" s="860"/>
    </row>
    <row r="585" spans="1:51" ht="27.75" thickBot="1" x14ac:dyDescent="0.3">
      <c r="A585" s="815"/>
      <c r="B585" s="1043"/>
      <c r="C585" s="827"/>
      <c r="D585" s="140" t="s">
        <v>45</v>
      </c>
      <c r="E585" s="244"/>
      <c r="F585" s="245"/>
      <c r="G585" s="227">
        <f>+G584*$G$503/$G$502</f>
        <v>4371175</v>
      </c>
      <c r="H585" s="227">
        <f>+H584*$H$503/$H$502</f>
        <v>8742350</v>
      </c>
      <c r="I585" s="227" t="e">
        <f>+I584*$I$503/$I$502</f>
        <v>#REF!</v>
      </c>
      <c r="J585" s="183" t="e">
        <f>+J584*$J$503/$J$502</f>
        <v>#REF!</v>
      </c>
      <c r="K585" s="185"/>
      <c r="L585" s="186"/>
      <c r="M585" s="186"/>
      <c r="N585" s="238"/>
      <c r="O585" s="138">
        <f>+O581</f>
        <v>12823849.800000001</v>
      </c>
      <c r="P585" s="183">
        <f>+P584*$P$503/$P$502</f>
        <v>14688566.539999999</v>
      </c>
      <c r="Q585" s="183">
        <f>+Q584*$Q$503/$Q$502</f>
        <v>14288566.539999999</v>
      </c>
      <c r="R585" s="183">
        <f>+R584*$R$503/$R$502</f>
        <v>14288566.539999999</v>
      </c>
      <c r="S585" s="177"/>
      <c r="T585" s="237"/>
      <c r="U585" s="227">
        <f>+U584*$U$503/$U$502</f>
        <v>3067800</v>
      </c>
      <c r="V585" s="227" t="e">
        <f>+V584*$V$503/$V$502</f>
        <v>#REF!</v>
      </c>
      <c r="W585" s="183" t="e">
        <f>+W584*$W$503/$W$502</f>
        <v>#REF!</v>
      </c>
      <c r="X585" s="177"/>
      <c r="Y585" s="177"/>
      <c r="Z585" s="177"/>
      <c r="AA585" s="178"/>
      <c r="AB585" s="243">
        <f>+AB581</f>
        <v>53201900</v>
      </c>
      <c r="AC585" s="182">
        <f>+AC584*$AC$503/$AC$502</f>
        <v>17733966.666666668</v>
      </c>
      <c r="AD585" s="182">
        <f>+AD584*$AD$503/$AD$502</f>
        <v>12377092.51111111</v>
      </c>
      <c r="AE585" s="182" t="e">
        <f>+AE584*$AE$503/$AE$502</f>
        <v>#REF!</v>
      </c>
      <c r="AF585" s="1093"/>
      <c r="AG585" s="1090"/>
      <c r="AH585" s="863"/>
      <c r="AI585" s="863"/>
      <c r="AJ585" s="856"/>
      <c r="AK585" s="776"/>
      <c r="AL585" s="827"/>
      <c r="AM585" s="827"/>
      <c r="AN585" s="857"/>
      <c r="AO585" s="808"/>
      <c r="AP585" s="808"/>
      <c r="AQ585" s="795"/>
      <c r="AR585" s="795"/>
      <c r="AS585" s="795"/>
      <c r="AT585" s="795"/>
      <c r="AU585" s="795"/>
      <c r="AV585" s="795"/>
      <c r="AW585" s="795"/>
      <c r="AX585" s="798"/>
      <c r="AY585" s="860"/>
    </row>
    <row r="586" spans="1:51" ht="18" customHeight="1" x14ac:dyDescent="0.25">
      <c r="A586" s="815"/>
      <c r="B586" s="1043"/>
      <c r="C586" s="811" t="s">
        <v>580</v>
      </c>
      <c r="D586" s="141" t="s">
        <v>41</v>
      </c>
      <c r="E586" s="142"/>
      <c r="F586" s="143"/>
      <c r="G586" s="144"/>
      <c r="H586" s="207">
        <v>1</v>
      </c>
      <c r="I586" s="207">
        <v>1</v>
      </c>
      <c r="J586" s="138">
        <v>1</v>
      </c>
      <c r="K586" s="137">
        <v>1</v>
      </c>
      <c r="L586" s="138"/>
      <c r="M586" s="138"/>
      <c r="N586" s="138"/>
      <c r="O586" s="138"/>
      <c r="P586" s="186"/>
      <c r="Q586" s="138">
        <v>1</v>
      </c>
      <c r="R586" s="147">
        <v>1</v>
      </c>
      <c r="S586" s="177"/>
      <c r="T586" s="144"/>
      <c r="U586" s="207">
        <v>1</v>
      </c>
      <c r="V586" s="207">
        <v>1</v>
      </c>
      <c r="W586" s="175">
        <v>1</v>
      </c>
      <c r="X586" s="177">
        <v>1</v>
      </c>
      <c r="Y586" s="177"/>
      <c r="Z586" s="177"/>
      <c r="AA586" s="178"/>
      <c r="AB586" s="209"/>
      <c r="AC586" s="129"/>
      <c r="AD586" s="137">
        <v>1</v>
      </c>
      <c r="AE586" s="246">
        <v>1</v>
      </c>
      <c r="AF586" s="1082" t="s">
        <v>581</v>
      </c>
      <c r="AG586" s="817" t="str">
        <f>+C586</f>
        <v>LOS MÁRTIRES</v>
      </c>
      <c r="AH586" s="1086" t="s">
        <v>582</v>
      </c>
      <c r="AI586" s="1086" t="s">
        <v>583</v>
      </c>
      <c r="AJ586" s="854" t="s">
        <v>675</v>
      </c>
      <c r="AK586" s="774" t="s">
        <v>315</v>
      </c>
      <c r="AL586" s="827" t="s">
        <v>70</v>
      </c>
      <c r="AM586" s="827" t="s">
        <v>547</v>
      </c>
      <c r="AN586" s="857">
        <v>76649</v>
      </c>
      <c r="AO586" s="808">
        <v>37529</v>
      </c>
      <c r="AP586" s="808">
        <v>39120</v>
      </c>
      <c r="AQ586" s="795" t="s">
        <v>317</v>
      </c>
      <c r="AR586" s="795" t="s">
        <v>317</v>
      </c>
      <c r="AS586" s="795" t="s">
        <v>317</v>
      </c>
      <c r="AT586" s="795" t="s">
        <v>317</v>
      </c>
      <c r="AU586" s="795" t="s">
        <v>317</v>
      </c>
      <c r="AV586" s="795" t="s">
        <v>317</v>
      </c>
      <c r="AW586" s="795" t="s">
        <v>317</v>
      </c>
      <c r="AX586" s="796">
        <v>76649</v>
      </c>
      <c r="AY586" s="846" t="s">
        <v>579</v>
      </c>
    </row>
    <row r="587" spans="1:51" ht="18" customHeight="1" x14ac:dyDescent="0.25">
      <c r="A587" s="815"/>
      <c r="B587" s="1043"/>
      <c r="C587" s="812"/>
      <c r="D587" s="132" t="s">
        <v>3</v>
      </c>
      <c r="E587" s="239"/>
      <c r="F587" s="240"/>
      <c r="G587" s="227"/>
      <c r="H587" s="227">
        <f>+H586*$H$503/$H$502</f>
        <v>4371175</v>
      </c>
      <c r="I587" s="227" t="e">
        <f>+I586*$I$503/$I$502</f>
        <v>#REF!</v>
      </c>
      <c r="J587" s="183" t="e">
        <f>+J586*$J$503/$J$502</f>
        <v>#REF!</v>
      </c>
      <c r="K587" s="182"/>
      <c r="L587" s="183"/>
      <c r="M587" s="183"/>
      <c r="N587" s="228"/>
      <c r="O587" s="183"/>
      <c r="P587" s="186"/>
      <c r="Q587" s="183">
        <f>+Q586*$Q$503/$Q$502</f>
        <v>14288566.539999999</v>
      </c>
      <c r="R587" s="183">
        <f>+R586*$R$503/$R$502</f>
        <v>14288566.539999999</v>
      </c>
      <c r="S587" s="184"/>
      <c r="T587" s="227"/>
      <c r="U587" s="227">
        <f>+U586*$U$503/$U$502</f>
        <v>1533900</v>
      </c>
      <c r="V587" s="227" t="e">
        <f>+V586*$V$503/$V$502</f>
        <v>#REF!</v>
      </c>
      <c r="W587" s="183" t="e">
        <f>+W586*$W$503/$W$502</f>
        <v>#REF!</v>
      </c>
      <c r="X587" s="184"/>
      <c r="Y587" s="184"/>
      <c r="Z587" s="184"/>
      <c r="AA587" s="230"/>
      <c r="AB587" s="241"/>
      <c r="AC587" s="242"/>
      <c r="AD587" s="182">
        <f>+AD586*$AD$503/$AD$502</f>
        <v>12377092.51111111</v>
      </c>
      <c r="AE587" s="182" t="e">
        <f>+AE586*$AE$503/$AE$502</f>
        <v>#REF!</v>
      </c>
      <c r="AF587" s="1083"/>
      <c r="AG587" s="817"/>
      <c r="AH587" s="1087"/>
      <c r="AI587" s="1087"/>
      <c r="AJ587" s="855"/>
      <c r="AK587" s="775"/>
      <c r="AL587" s="827"/>
      <c r="AM587" s="827"/>
      <c r="AN587" s="857"/>
      <c r="AO587" s="808"/>
      <c r="AP587" s="808"/>
      <c r="AQ587" s="795"/>
      <c r="AR587" s="795"/>
      <c r="AS587" s="795"/>
      <c r="AT587" s="795"/>
      <c r="AU587" s="795"/>
      <c r="AV587" s="795"/>
      <c r="AW587" s="795"/>
      <c r="AX587" s="797"/>
      <c r="AY587" s="847"/>
    </row>
    <row r="588" spans="1:51" ht="27" customHeight="1" x14ac:dyDescent="0.25">
      <c r="A588" s="815"/>
      <c r="B588" s="1043"/>
      <c r="C588" s="812"/>
      <c r="D588" s="136" t="s">
        <v>42</v>
      </c>
      <c r="E588" s="239"/>
      <c r="F588" s="240"/>
      <c r="G588" s="227"/>
      <c r="H588" s="227"/>
      <c r="I588" s="227"/>
      <c r="J588" s="183"/>
      <c r="K588" s="182"/>
      <c r="L588" s="183"/>
      <c r="M588" s="183"/>
      <c r="N588" s="228"/>
      <c r="O588" s="183"/>
      <c r="P588" s="186"/>
      <c r="Q588" s="183"/>
      <c r="R588" s="232"/>
      <c r="S588" s="184"/>
      <c r="T588" s="227"/>
      <c r="U588" s="227"/>
      <c r="V588" s="227"/>
      <c r="W588" s="229"/>
      <c r="X588" s="184"/>
      <c r="Y588" s="184"/>
      <c r="Z588" s="184"/>
      <c r="AA588" s="230"/>
      <c r="AB588" s="241"/>
      <c r="AC588" s="242"/>
      <c r="AD588" s="182"/>
      <c r="AE588" s="162"/>
      <c r="AF588" s="1083"/>
      <c r="AG588" s="817"/>
      <c r="AH588" s="1087"/>
      <c r="AI588" s="1087"/>
      <c r="AJ588" s="855"/>
      <c r="AK588" s="775"/>
      <c r="AL588" s="827"/>
      <c r="AM588" s="827"/>
      <c r="AN588" s="857"/>
      <c r="AO588" s="808"/>
      <c r="AP588" s="808"/>
      <c r="AQ588" s="795"/>
      <c r="AR588" s="795"/>
      <c r="AS588" s="795"/>
      <c r="AT588" s="795"/>
      <c r="AU588" s="795"/>
      <c r="AV588" s="795"/>
      <c r="AW588" s="795"/>
      <c r="AX588" s="797"/>
      <c r="AY588" s="847"/>
    </row>
    <row r="589" spans="1:51" ht="27" customHeight="1" x14ac:dyDescent="0.25">
      <c r="A589" s="815"/>
      <c r="B589" s="1043"/>
      <c r="C589" s="812"/>
      <c r="D589" s="132" t="s">
        <v>4</v>
      </c>
      <c r="E589" s="239"/>
      <c r="F589" s="240"/>
      <c r="G589" s="227"/>
      <c r="H589" s="227">
        <f>+$U$505/11</f>
        <v>7723875.0909090908</v>
      </c>
      <c r="I589" s="227"/>
      <c r="J589" s="183"/>
      <c r="K589" s="182"/>
      <c r="L589" s="183"/>
      <c r="M589" s="183"/>
      <c r="N589" s="228"/>
      <c r="O589" s="183"/>
      <c r="P589" s="186"/>
      <c r="Q589" s="183"/>
      <c r="R589" s="232"/>
      <c r="S589" s="184"/>
      <c r="T589" s="227"/>
      <c r="U589" s="227">
        <f>+$U$505/11</f>
        <v>7723875.0909090908</v>
      </c>
      <c r="V589" s="227"/>
      <c r="W589" s="229"/>
      <c r="X589" s="184"/>
      <c r="Y589" s="184"/>
      <c r="Z589" s="184"/>
      <c r="AA589" s="230"/>
      <c r="AB589" s="241"/>
      <c r="AC589" s="242"/>
      <c r="AD589" s="182"/>
      <c r="AE589" s="162"/>
      <c r="AF589" s="1083"/>
      <c r="AG589" s="817"/>
      <c r="AH589" s="1087"/>
      <c r="AI589" s="1087"/>
      <c r="AJ589" s="855"/>
      <c r="AK589" s="775"/>
      <c r="AL589" s="827"/>
      <c r="AM589" s="827"/>
      <c r="AN589" s="857"/>
      <c r="AO589" s="808"/>
      <c r="AP589" s="808"/>
      <c r="AQ589" s="795"/>
      <c r="AR589" s="795"/>
      <c r="AS589" s="795"/>
      <c r="AT589" s="795"/>
      <c r="AU589" s="795"/>
      <c r="AV589" s="795"/>
      <c r="AW589" s="795"/>
      <c r="AX589" s="797"/>
      <c r="AY589" s="847"/>
    </row>
    <row r="590" spans="1:51" ht="27" customHeight="1" x14ac:dyDescent="0.25">
      <c r="A590" s="815"/>
      <c r="B590" s="1043"/>
      <c r="C590" s="812"/>
      <c r="D590" s="136" t="s">
        <v>43</v>
      </c>
      <c r="E590" s="142"/>
      <c r="F590" s="143"/>
      <c r="G590" s="144"/>
      <c r="H590" s="207">
        <v>1</v>
      </c>
      <c r="I590" s="207">
        <v>1</v>
      </c>
      <c r="J590" s="138">
        <v>1</v>
      </c>
      <c r="K590" s="137">
        <v>1</v>
      </c>
      <c r="L590" s="138"/>
      <c r="M590" s="138"/>
      <c r="N590" s="138"/>
      <c r="O590" s="138"/>
      <c r="P590" s="186"/>
      <c r="Q590" s="138">
        <v>1</v>
      </c>
      <c r="R590" s="147">
        <v>1</v>
      </c>
      <c r="S590" s="152"/>
      <c r="T590" s="144"/>
      <c r="U590" s="207">
        <v>1</v>
      </c>
      <c r="V590" s="207">
        <v>1</v>
      </c>
      <c r="W590" s="147">
        <v>1</v>
      </c>
      <c r="X590" s="203">
        <v>1</v>
      </c>
      <c r="Y590" s="152"/>
      <c r="Z590" s="152"/>
      <c r="AA590" s="152"/>
      <c r="AB590" s="243"/>
      <c r="AC590" s="129"/>
      <c r="AD590" s="137">
        <v>1</v>
      </c>
      <c r="AE590" s="129">
        <v>1</v>
      </c>
      <c r="AF590" s="1083"/>
      <c r="AG590" s="817"/>
      <c r="AH590" s="1087"/>
      <c r="AI590" s="1087"/>
      <c r="AJ590" s="855"/>
      <c r="AK590" s="775"/>
      <c r="AL590" s="827"/>
      <c r="AM590" s="827"/>
      <c r="AN590" s="857"/>
      <c r="AO590" s="808"/>
      <c r="AP590" s="808"/>
      <c r="AQ590" s="795"/>
      <c r="AR590" s="795"/>
      <c r="AS590" s="795"/>
      <c r="AT590" s="795"/>
      <c r="AU590" s="795"/>
      <c r="AV590" s="795"/>
      <c r="AW590" s="795"/>
      <c r="AX590" s="797"/>
      <c r="AY590" s="847"/>
    </row>
    <row r="591" spans="1:51" ht="27.75" customHeight="1" thickBot="1" x14ac:dyDescent="0.3">
      <c r="A591" s="815"/>
      <c r="B591" s="1043"/>
      <c r="C591" s="813"/>
      <c r="D591" s="140" t="s">
        <v>45</v>
      </c>
      <c r="E591" s="244"/>
      <c r="F591" s="245"/>
      <c r="G591" s="237"/>
      <c r="H591" s="227">
        <f>+H590*$H$503/$H$502</f>
        <v>4371175</v>
      </c>
      <c r="I591" s="227" t="e">
        <f>+I590*$I$503/$I$502</f>
        <v>#REF!</v>
      </c>
      <c r="J591" s="183" t="e">
        <f>+J590*$J$503/$J$502</f>
        <v>#REF!</v>
      </c>
      <c r="K591" s="185"/>
      <c r="L591" s="186"/>
      <c r="M591" s="186"/>
      <c r="N591" s="238"/>
      <c r="O591" s="186"/>
      <c r="P591" s="186"/>
      <c r="Q591" s="183">
        <f>+Q590*$Q$503/$Q$502</f>
        <v>14288566.539999999</v>
      </c>
      <c r="R591" s="183">
        <f>+R590*$R$503/$R$502</f>
        <v>14288566.539999999</v>
      </c>
      <c r="S591" s="177"/>
      <c r="T591" s="237"/>
      <c r="U591" s="227">
        <f>+U590*$U$503/$U$502</f>
        <v>1533900</v>
      </c>
      <c r="V591" s="227" t="e">
        <f>+V590*$V$503/$V$502</f>
        <v>#REF!</v>
      </c>
      <c r="W591" s="183" t="e">
        <f>+W590*$W$503/$W$502</f>
        <v>#REF!</v>
      </c>
      <c r="X591" s="177"/>
      <c r="Y591" s="177"/>
      <c r="Z591" s="177"/>
      <c r="AA591" s="178"/>
      <c r="AB591" s="209"/>
      <c r="AC591" s="242"/>
      <c r="AD591" s="182">
        <f>+AD590*$AD$503/$AD$502</f>
        <v>12377092.51111111</v>
      </c>
      <c r="AE591" s="182" t="e">
        <f>+AE590*$AE$503/$AE$502</f>
        <v>#REF!</v>
      </c>
      <c r="AF591" s="1084"/>
      <c r="AG591" s="817"/>
      <c r="AH591" s="1088"/>
      <c r="AI591" s="1088"/>
      <c r="AJ591" s="856"/>
      <c r="AK591" s="776"/>
      <c r="AL591" s="827"/>
      <c r="AM591" s="827"/>
      <c r="AN591" s="857"/>
      <c r="AO591" s="808"/>
      <c r="AP591" s="808"/>
      <c r="AQ591" s="795"/>
      <c r="AR591" s="795"/>
      <c r="AS591" s="795"/>
      <c r="AT591" s="795"/>
      <c r="AU591" s="795"/>
      <c r="AV591" s="795"/>
      <c r="AW591" s="795"/>
      <c r="AX591" s="798"/>
      <c r="AY591" s="847"/>
    </row>
    <row r="592" spans="1:51" ht="18" hidden="1" customHeight="1" x14ac:dyDescent="0.25">
      <c r="A592" s="815"/>
      <c r="B592" s="1043"/>
      <c r="C592" s="827" t="s">
        <v>390</v>
      </c>
      <c r="D592" s="141" t="s">
        <v>41</v>
      </c>
      <c r="E592" s="142"/>
      <c r="F592" s="143"/>
      <c r="G592" s="144"/>
      <c r="H592" s="144"/>
      <c r="I592" s="144"/>
      <c r="J592" s="138"/>
      <c r="K592" s="137"/>
      <c r="L592" s="138"/>
      <c r="M592" s="138"/>
      <c r="N592" s="138"/>
      <c r="O592" s="138"/>
      <c r="P592" s="186">
        <v>1</v>
      </c>
      <c r="Q592" s="138">
        <v>1</v>
      </c>
      <c r="R592" s="147">
        <v>2</v>
      </c>
      <c r="S592" s="177"/>
      <c r="T592" s="144"/>
      <c r="U592" s="174"/>
      <c r="V592" s="174"/>
      <c r="W592" s="175"/>
      <c r="X592" s="177"/>
      <c r="Y592" s="177"/>
      <c r="Z592" s="177"/>
      <c r="AA592" s="178"/>
      <c r="AB592" s="209"/>
      <c r="AC592" s="129">
        <v>1</v>
      </c>
      <c r="AD592" s="137">
        <v>1</v>
      </c>
      <c r="AE592" s="246">
        <v>2</v>
      </c>
      <c r="AF592" s="225"/>
      <c r="AG592" s="817" t="str">
        <f>+C592</f>
        <v>ANTONIO NARIÑO</v>
      </c>
      <c r="AH592" s="774" t="s">
        <v>350</v>
      </c>
      <c r="AI592" s="774" t="s">
        <v>350</v>
      </c>
      <c r="AJ592" s="774" t="s">
        <v>350</v>
      </c>
      <c r="AK592" s="774" t="s">
        <v>315</v>
      </c>
      <c r="AL592" s="827" t="s">
        <v>70</v>
      </c>
      <c r="AM592" s="827" t="s">
        <v>547</v>
      </c>
      <c r="AN592" s="857">
        <v>82820.0295724889</v>
      </c>
      <c r="AO592" s="808">
        <v>39611.475796289997</v>
      </c>
      <c r="AP592" s="808">
        <v>43208.553776198802</v>
      </c>
      <c r="AQ592" s="795" t="s">
        <v>317</v>
      </c>
      <c r="AR592" s="795" t="s">
        <v>317</v>
      </c>
      <c r="AS592" s="795" t="s">
        <v>317</v>
      </c>
      <c r="AT592" s="795" t="s">
        <v>317</v>
      </c>
      <c r="AU592" s="795" t="s">
        <v>317</v>
      </c>
      <c r="AV592" s="795" t="s">
        <v>317</v>
      </c>
      <c r="AW592" s="795" t="s">
        <v>317</v>
      </c>
      <c r="AX592" s="796">
        <v>8185614</v>
      </c>
      <c r="AY592" s="846" t="s">
        <v>548</v>
      </c>
    </row>
    <row r="593" spans="1:51" ht="18" hidden="1" customHeight="1" x14ac:dyDescent="0.25">
      <c r="A593" s="815"/>
      <c r="B593" s="1043"/>
      <c r="C593" s="827"/>
      <c r="D593" s="132" t="s">
        <v>3</v>
      </c>
      <c r="E593" s="239"/>
      <c r="F593" s="240"/>
      <c r="G593" s="227"/>
      <c r="H593" s="227"/>
      <c r="I593" s="227"/>
      <c r="J593" s="183"/>
      <c r="K593" s="182"/>
      <c r="L593" s="183"/>
      <c r="M593" s="183"/>
      <c r="N593" s="228"/>
      <c r="O593" s="183"/>
      <c r="P593" s="183">
        <f>+P592*$P$503/$P$502</f>
        <v>14688566.539999999</v>
      </c>
      <c r="Q593" s="183">
        <f>+Q592*$Q$503/$Q$502</f>
        <v>14288566.539999999</v>
      </c>
      <c r="R593" s="183">
        <f>+R592*$R$503/$R$502</f>
        <v>28577133.079999998</v>
      </c>
      <c r="S593" s="184"/>
      <c r="T593" s="227"/>
      <c r="U593" s="193"/>
      <c r="V593" s="193"/>
      <c r="W593" s="229"/>
      <c r="X593" s="184"/>
      <c r="Y593" s="184"/>
      <c r="Z593" s="184"/>
      <c r="AA593" s="230"/>
      <c r="AB593" s="241"/>
      <c r="AC593" s="182">
        <f>+AC592*$AC$503/$AC$502</f>
        <v>17733966.666666668</v>
      </c>
      <c r="AD593" s="182">
        <f>+AD592*$AD$503/$AD$502</f>
        <v>12377092.51111111</v>
      </c>
      <c r="AE593" s="182" t="e">
        <f>+AE592*$AE$503/$AE$502</f>
        <v>#REF!</v>
      </c>
      <c r="AF593" s="231"/>
      <c r="AG593" s="817"/>
      <c r="AH593" s="775"/>
      <c r="AI593" s="775"/>
      <c r="AJ593" s="775"/>
      <c r="AK593" s="775"/>
      <c r="AL593" s="827"/>
      <c r="AM593" s="827"/>
      <c r="AN593" s="857"/>
      <c r="AO593" s="808"/>
      <c r="AP593" s="808"/>
      <c r="AQ593" s="795"/>
      <c r="AR593" s="795"/>
      <c r="AS593" s="795"/>
      <c r="AT593" s="795"/>
      <c r="AU593" s="795"/>
      <c r="AV593" s="795"/>
      <c r="AW593" s="795"/>
      <c r="AX593" s="797"/>
      <c r="AY593" s="847"/>
    </row>
    <row r="594" spans="1:51" ht="27" hidden="1" customHeight="1" x14ac:dyDescent="0.25">
      <c r="A594" s="815"/>
      <c r="B594" s="1043"/>
      <c r="C594" s="827"/>
      <c r="D594" s="136" t="s">
        <v>42</v>
      </c>
      <c r="E594" s="239"/>
      <c r="F594" s="240"/>
      <c r="G594" s="227"/>
      <c r="H594" s="227"/>
      <c r="I594" s="227"/>
      <c r="J594" s="183"/>
      <c r="K594" s="182"/>
      <c r="L594" s="183"/>
      <c r="M594" s="183"/>
      <c r="N594" s="228"/>
      <c r="O594" s="183"/>
      <c r="P594" s="186"/>
      <c r="Q594" s="183"/>
      <c r="R594" s="232"/>
      <c r="S594" s="184"/>
      <c r="T594" s="227"/>
      <c r="U594" s="193"/>
      <c r="V594" s="193"/>
      <c r="W594" s="229"/>
      <c r="X594" s="184"/>
      <c r="Y594" s="184"/>
      <c r="Z594" s="184"/>
      <c r="AA594" s="230"/>
      <c r="AB594" s="241"/>
      <c r="AC594" s="242"/>
      <c r="AD594" s="182"/>
      <c r="AE594" s="162"/>
      <c r="AF594" s="231"/>
      <c r="AG594" s="817"/>
      <c r="AH594" s="775"/>
      <c r="AI594" s="775"/>
      <c r="AJ594" s="775"/>
      <c r="AK594" s="775"/>
      <c r="AL594" s="827"/>
      <c r="AM594" s="827"/>
      <c r="AN594" s="857"/>
      <c r="AO594" s="808"/>
      <c r="AP594" s="808"/>
      <c r="AQ594" s="795"/>
      <c r="AR594" s="795"/>
      <c r="AS594" s="795"/>
      <c r="AT594" s="795"/>
      <c r="AU594" s="795"/>
      <c r="AV594" s="795"/>
      <c r="AW594" s="795"/>
      <c r="AX594" s="797"/>
      <c r="AY594" s="847"/>
    </row>
    <row r="595" spans="1:51" ht="27" hidden="1" customHeight="1" x14ac:dyDescent="0.25">
      <c r="A595" s="815"/>
      <c r="B595" s="1043"/>
      <c r="C595" s="827"/>
      <c r="D595" s="132" t="s">
        <v>4</v>
      </c>
      <c r="E595" s="239"/>
      <c r="F595" s="240"/>
      <c r="G595" s="227"/>
      <c r="H595" s="227"/>
      <c r="I595" s="227"/>
      <c r="J595" s="183"/>
      <c r="K595" s="182"/>
      <c r="L595" s="183"/>
      <c r="M595" s="183"/>
      <c r="N595" s="228"/>
      <c r="O595" s="183"/>
      <c r="P595" s="186"/>
      <c r="Q595" s="183"/>
      <c r="R595" s="232"/>
      <c r="S595" s="184"/>
      <c r="T595" s="227"/>
      <c r="U595" s="193"/>
      <c r="V595" s="193"/>
      <c r="W595" s="229"/>
      <c r="X595" s="184"/>
      <c r="Y595" s="184"/>
      <c r="Z595" s="184"/>
      <c r="AA595" s="230"/>
      <c r="AB595" s="241"/>
      <c r="AC595" s="242"/>
      <c r="AD595" s="182"/>
      <c r="AE595" s="162"/>
      <c r="AF595" s="231"/>
      <c r="AG595" s="817"/>
      <c r="AH595" s="775"/>
      <c r="AI595" s="775"/>
      <c r="AJ595" s="775"/>
      <c r="AK595" s="775"/>
      <c r="AL595" s="827"/>
      <c r="AM595" s="827"/>
      <c r="AN595" s="857"/>
      <c r="AO595" s="808"/>
      <c r="AP595" s="808"/>
      <c r="AQ595" s="795"/>
      <c r="AR595" s="795"/>
      <c r="AS595" s="795"/>
      <c r="AT595" s="795"/>
      <c r="AU595" s="795"/>
      <c r="AV595" s="795"/>
      <c r="AW595" s="795"/>
      <c r="AX595" s="797"/>
      <c r="AY595" s="847"/>
    </row>
    <row r="596" spans="1:51" ht="27" hidden="1" customHeight="1" x14ac:dyDescent="0.25">
      <c r="A596" s="815"/>
      <c r="B596" s="1043"/>
      <c r="C596" s="827"/>
      <c r="D596" s="136" t="s">
        <v>43</v>
      </c>
      <c r="E596" s="142"/>
      <c r="F596" s="143"/>
      <c r="G596" s="144"/>
      <c r="H596" s="144"/>
      <c r="I596" s="144"/>
      <c r="J596" s="138"/>
      <c r="K596" s="137"/>
      <c r="L596" s="138"/>
      <c r="M596" s="138"/>
      <c r="N596" s="138"/>
      <c r="O596" s="138"/>
      <c r="P596" s="186">
        <v>1</v>
      </c>
      <c r="Q596" s="138">
        <v>1</v>
      </c>
      <c r="R596" s="147">
        <v>2</v>
      </c>
      <c r="S596" s="152"/>
      <c r="T596" s="144"/>
      <c r="U596" s="234"/>
      <c r="V596" s="234"/>
      <c r="W596" s="147"/>
      <c r="X596" s="152"/>
      <c r="Y596" s="152"/>
      <c r="Z596" s="152"/>
      <c r="AA596" s="152"/>
      <c r="AB596" s="243"/>
      <c r="AC596" s="129">
        <v>1</v>
      </c>
      <c r="AD596" s="137">
        <v>1</v>
      </c>
      <c r="AE596" s="129">
        <v>2</v>
      </c>
      <c r="AF596" s="235"/>
      <c r="AG596" s="817"/>
      <c r="AH596" s="775"/>
      <c r="AI596" s="775"/>
      <c r="AJ596" s="775"/>
      <c r="AK596" s="775"/>
      <c r="AL596" s="827"/>
      <c r="AM596" s="827"/>
      <c r="AN596" s="857"/>
      <c r="AO596" s="808"/>
      <c r="AP596" s="808"/>
      <c r="AQ596" s="795"/>
      <c r="AR596" s="795"/>
      <c r="AS596" s="795"/>
      <c r="AT596" s="795"/>
      <c r="AU596" s="795"/>
      <c r="AV596" s="795"/>
      <c r="AW596" s="795"/>
      <c r="AX596" s="797"/>
      <c r="AY596" s="847"/>
    </row>
    <row r="597" spans="1:51" ht="27.75" hidden="1" customHeight="1" thickBot="1" x14ac:dyDescent="0.3">
      <c r="A597" s="815"/>
      <c r="B597" s="1043"/>
      <c r="C597" s="827"/>
      <c r="D597" s="140" t="s">
        <v>45</v>
      </c>
      <c r="E597" s="244"/>
      <c r="F597" s="245"/>
      <c r="G597" s="237"/>
      <c r="H597" s="237"/>
      <c r="I597" s="237"/>
      <c r="J597" s="186"/>
      <c r="K597" s="185"/>
      <c r="L597" s="186"/>
      <c r="M597" s="186"/>
      <c r="N597" s="238"/>
      <c r="O597" s="186"/>
      <c r="P597" s="183">
        <f>+P596*$P$503/$P$502</f>
        <v>14688566.539999999</v>
      </c>
      <c r="Q597" s="183">
        <f>+Q596*$Q$503/$Q$502</f>
        <v>14288566.539999999</v>
      </c>
      <c r="R597" s="183">
        <f>+R596*$R$503/$R$502</f>
        <v>28577133.079999998</v>
      </c>
      <c r="S597" s="177"/>
      <c r="T597" s="237"/>
      <c r="U597" s="174"/>
      <c r="V597" s="174"/>
      <c r="W597" s="175"/>
      <c r="X597" s="177"/>
      <c r="Y597" s="177"/>
      <c r="Z597" s="177"/>
      <c r="AA597" s="178"/>
      <c r="AB597" s="209"/>
      <c r="AC597" s="182">
        <f>+AC596*$AC$503/$AC$502</f>
        <v>17733966.666666668</v>
      </c>
      <c r="AD597" s="182">
        <f>+AD596*$AD$503/$AD$502</f>
        <v>12377092.51111111</v>
      </c>
      <c r="AE597" s="182" t="e">
        <f>+AE596*$AE$503/$AE$502</f>
        <v>#REF!</v>
      </c>
      <c r="AF597" s="225"/>
      <c r="AG597" s="817"/>
      <c r="AH597" s="776"/>
      <c r="AI597" s="776"/>
      <c r="AJ597" s="776"/>
      <c r="AK597" s="776"/>
      <c r="AL597" s="827"/>
      <c r="AM597" s="827"/>
      <c r="AN597" s="857"/>
      <c r="AO597" s="808"/>
      <c r="AP597" s="808"/>
      <c r="AQ597" s="795"/>
      <c r="AR597" s="795"/>
      <c r="AS597" s="795"/>
      <c r="AT597" s="795"/>
      <c r="AU597" s="795"/>
      <c r="AV597" s="795"/>
      <c r="AW597" s="795"/>
      <c r="AX597" s="798"/>
      <c r="AY597" s="847"/>
    </row>
    <row r="598" spans="1:51" ht="18" customHeight="1" x14ac:dyDescent="0.25">
      <c r="A598" s="815"/>
      <c r="B598" s="1043"/>
      <c r="C598" s="811" t="s">
        <v>394</v>
      </c>
      <c r="D598" s="141" t="s">
        <v>41</v>
      </c>
      <c r="E598" s="142"/>
      <c r="F598" s="143"/>
      <c r="G598" s="207">
        <v>4</v>
      </c>
      <c r="H598" s="207">
        <v>10</v>
      </c>
      <c r="I598" s="207">
        <v>10</v>
      </c>
      <c r="J598" s="138">
        <v>11</v>
      </c>
      <c r="K598" s="137">
        <v>13</v>
      </c>
      <c r="L598" s="138"/>
      <c r="M598" s="138"/>
      <c r="N598" s="138"/>
      <c r="O598" s="138">
        <v>3</v>
      </c>
      <c r="P598" s="186">
        <v>7</v>
      </c>
      <c r="Q598" s="138">
        <v>9</v>
      </c>
      <c r="R598" s="147">
        <v>11</v>
      </c>
      <c r="S598" s="177"/>
      <c r="T598" s="207">
        <v>4</v>
      </c>
      <c r="U598" s="207">
        <v>10</v>
      </c>
      <c r="V598" s="207">
        <v>10</v>
      </c>
      <c r="W598" s="175">
        <v>11</v>
      </c>
      <c r="X598" s="302">
        <v>13</v>
      </c>
      <c r="Y598" s="177"/>
      <c r="Z598" s="177"/>
      <c r="AA598" s="178"/>
      <c r="AB598" s="209">
        <v>3</v>
      </c>
      <c r="AC598" s="129">
        <v>7</v>
      </c>
      <c r="AD598" s="137">
        <v>9</v>
      </c>
      <c r="AE598" s="246">
        <v>11</v>
      </c>
      <c r="AF598" s="1091" t="s">
        <v>674</v>
      </c>
      <c r="AG598" s="1090" t="str">
        <f>+C598</f>
        <v>PUENTE ARANDA</v>
      </c>
      <c r="AH598" s="861" t="s">
        <v>584</v>
      </c>
      <c r="AI598" s="861" t="s">
        <v>679</v>
      </c>
      <c r="AJ598" s="854" t="s">
        <v>675</v>
      </c>
      <c r="AK598" s="774" t="s">
        <v>315</v>
      </c>
      <c r="AL598" s="827" t="s">
        <v>225</v>
      </c>
      <c r="AM598" s="827" t="s">
        <v>547</v>
      </c>
      <c r="AN598" s="1089">
        <v>254469</v>
      </c>
      <c r="AO598" s="867">
        <v>120116</v>
      </c>
      <c r="AP598" s="867">
        <v>134352</v>
      </c>
      <c r="AQ598" s="795" t="s">
        <v>317</v>
      </c>
      <c r="AR598" s="795" t="s">
        <v>317</v>
      </c>
      <c r="AS598" s="795" t="s">
        <v>317</v>
      </c>
      <c r="AT598" s="795" t="s">
        <v>317</v>
      </c>
      <c r="AU598" s="795" t="s">
        <v>317</v>
      </c>
      <c r="AV598" s="795" t="s">
        <v>317</v>
      </c>
      <c r="AW598" s="795" t="s">
        <v>317</v>
      </c>
      <c r="AX598" s="796">
        <v>254469</v>
      </c>
      <c r="AY598" s="859" t="s">
        <v>680</v>
      </c>
    </row>
    <row r="599" spans="1:51" ht="18" x14ac:dyDescent="0.25">
      <c r="A599" s="815"/>
      <c r="B599" s="1043"/>
      <c r="C599" s="812"/>
      <c r="D599" s="132" t="s">
        <v>3</v>
      </c>
      <c r="E599" s="239"/>
      <c r="F599" s="240"/>
      <c r="G599" s="227">
        <f>+G598*$G$503/$G$502</f>
        <v>17484700</v>
      </c>
      <c r="H599" s="227">
        <f>+H598*$H$503/$H$502</f>
        <v>43711750</v>
      </c>
      <c r="I599" s="227" t="e">
        <f>+I598*$I$503/$I$502</f>
        <v>#REF!</v>
      </c>
      <c r="J599" s="183" t="e">
        <f>+J598*$J$503/$J$502</f>
        <v>#REF!</v>
      </c>
      <c r="K599" s="182"/>
      <c r="L599" s="183"/>
      <c r="M599" s="183"/>
      <c r="N599" s="228"/>
      <c r="O599" s="183">
        <f>+O598*$O$503/$O$502</f>
        <v>38471549.399999999</v>
      </c>
      <c r="P599" s="183">
        <f>+P598*$P$503/$P$502</f>
        <v>102819965.78</v>
      </c>
      <c r="Q599" s="183">
        <f>+Q598*$Q$503/$Q$502</f>
        <v>128597098.86</v>
      </c>
      <c r="R599" s="183">
        <f>+R598*$R$503/$R$502</f>
        <v>157174231.94</v>
      </c>
      <c r="S599" s="184"/>
      <c r="T599" s="227"/>
      <c r="U599" s="227">
        <f>+U598*$U$503/$U$502</f>
        <v>15339000</v>
      </c>
      <c r="V599" s="227" t="e">
        <f>+V598*$V$503/$V$502</f>
        <v>#REF!</v>
      </c>
      <c r="W599" s="183" t="e">
        <f>+W598*$W$503/$W$502</f>
        <v>#REF!</v>
      </c>
      <c r="X599" s="184"/>
      <c r="Y599" s="184"/>
      <c r="Z599" s="184"/>
      <c r="AA599" s="230"/>
      <c r="AB599" s="182">
        <f>+AB598*$AB$503/$AB$502</f>
        <v>159605700</v>
      </c>
      <c r="AC599" s="182">
        <f>+AC598*$AC$503/$AC$502</f>
        <v>124137766.66666667</v>
      </c>
      <c r="AD599" s="182">
        <f>+AD598*$AD$503/$AD$502</f>
        <v>111393832.59999999</v>
      </c>
      <c r="AE599" s="182" t="e">
        <f>+AE598*$AE$503/$AE$502</f>
        <v>#REF!</v>
      </c>
      <c r="AF599" s="1092"/>
      <c r="AG599" s="1090"/>
      <c r="AH599" s="862"/>
      <c r="AI599" s="862"/>
      <c r="AJ599" s="855"/>
      <c r="AK599" s="775"/>
      <c r="AL599" s="827"/>
      <c r="AM599" s="827"/>
      <c r="AN599" s="1089"/>
      <c r="AO599" s="867"/>
      <c r="AP599" s="867"/>
      <c r="AQ599" s="795"/>
      <c r="AR599" s="795"/>
      <c r="AS599" s="795"/>
      <c r="AT599" s="795"/>
      <c r="AU599" s="795"/>
      <c r="AV599" s="795"/>
      <c r="AW599" s="795"/>
      <c r="AX599" s="797"/>
      <c r="AY599" s="860"/>
    </row>
    <row r="600" spans="1:51" ht="27" x14ac:dyDescent="0.25">
      <c r="A600" s="815"/>
      <c r="B600" s="1043"/>
      <c r="C600" s="812"/>
      <c r="D600" s="136" t="s">
        <v>42</v>
      </c>
      <c r="E600" s="239"/>
      <c r="F600" s="240"/>
      <c r="G600" s="227"/>
      <c r="H600" s="227"/>
      <c r="I600" s="227"/>
      <c r="J600" s="183"/>
      <c r="K600" s="182"/>
      <c r="L600" s="183"/>
      <c r="M600" s="183"/>
      <c r="N600" s="228"/>
      <c r="O600" s="183"/>
      <c r="P600" s="186"/>
      <c r="Q600" s="183"/>
      <c r="R600" s="232"/>
      <c r="S600" s="184"/>
      <c r="T600" s="227"/>
      <c r="U600" s="227"/>
      <c r="V600" s="227"/>
      <c r="W600" s="229"/>
      <c r="X600" s="184"/>
      <c r="Y600" s="184"/>
      <c r="Z600" s="184"/>
      <c r="AA600" s="230"/>
      <c r="AB600" s="241"/>
      <c r="AC600" s="242"/>
      <c r="AD600" s="182"/>
      <c r="AE600" s="162"/>
      <c r="AF600" s="1092"/>
      <c r="AG600" s="1090"/>
      <c r="AH600" s="862"/>
      <c r="AI600" s="862"/>
      <c r="AJ600" s="855"/>
      <c r="AK600" s="775"/>
      <c r="AL600" s="827"/>
      <c r="AM600" s="827"/>
      <c r="AN600" s="1089"/>
      <c r="AO600" s="867"/>
      <c r="AP600" s="867"/>
      <c r="AQ600" s="795"/>
      <c r="AR600" s="795"/>
      <c r="AS600" s="795"/>
      <c r="AT600" s="795"/>
      <c r="AU600" s="795"/>
      <c r="AV600" s="795"/>
      <c r="AW600" s="795"/>
      <c r="AX600" s="797"/>
      <c r="AY600" s="860"/>
    </row>
    <row r="601" spans="1:51" ht="19.149999999999999" customHeight="1" x14ac:dyDescent="0.25">
      <c r="A601" s="815"/>
      <c r="B601" s="1043"/>
      <c r="C601" s="812"/>
      <c r="D601" s="132" t="s">
        <v>4</v>
      </c>
      <c r="E601" s="239"/>
      <c r="F601" s="240"/>
      <c r="G601" s="227"/>
      <c r="H601" s="227">
        <f>+$U$505/11</f>
        <v>7723875.0909090908</v>
      </c>
      <c r="I601" s="227"/>
      <c r="J601" s="183"/>
      <c r="K601" s="182"/>
      <c r="L601" s="183"/>
      <c r="M601" s="183"/>
      <c r="N601" s="228"/>
      <c r="O601" s="183"/>
      <c r="P601" s="186"/>
      <c r="Q601" s="183"/>
      <c r="R601" s="232"/>
      <c r="S601" s="184"/>
      <c r="T601" s="227">
        <f>+T598*$T$505/$T$502</f>
        <v>7035415</v>
      </c>
      <c r="U601" s="227">
        <f>+$U$505/11</f>
        <v>7723875.0909090908</v>
      </c>
      <c r="V601" s="227"/>
      <c r="W601" s="229"/>
      <c r="X601" s="184"/>
      <c r="Y601" s="184"/>
      <c r="Z601" s="184"/>
      <c r="AA601" s="230"/>
      <c r="AB601" s="241"/>
      <c r="AC601" s="242"/>
      <c r="AD601" s="182"/>
      <c r="AE601" s="162"/>
      <c r="AF601" s="1092"/>
      <c r="AG601" s="1090"/>
      <c r="AH601" s="862"/>
      <c r="AI601" s="862"/>
      <c r="AJ601" s="855"/>
      <c r="AK601" s="775"/>
      <c r="AL601" s="827"/>
      <c r="AM601" s="827"/>
      <c r="AN601" s="1089"/>
      <c r="AO601" s="867"/>
      <c r="AP601" s="867"/>
      <c r="AQ601" s="795"/>
      <c r="AR601" s="795"/>
      <c r="AS601" s="795"/>
      <c r="AT601" s="795"/>
      <c r="AU601" s="795"/>
      <c r="AV601" s="795"/>
      <c r="AW601" s="795"/>
      <c r="AX601" s="797"/>
      <c r="AY601" s="860"/>
    </row>
    <row r="602" spans="1:51" ht="27" x14ac:dyDescent="0.25">
      <c r="A602" s="815"/>
      <c r="B602" s="1043"/>
      <c r="C602" s="812"/>
      <c r="D602" s="136" t="s">
        <v>43</v>
      </c>
      <c r="E602" s="142"/>
      <c r="F602" s="143"/>
      <c r="G602" s="207">
        <v>4</v>
      </c>
      <c r="H602" s="207">
        <v>10</v>
      </c>
      <c r="I602" s="207">
        <v>10</v>
      </c>
      <c r="J602" s="138">
        <v>11</v>
      </c>
      <c r="K602" s="137">
        <v>13</v>
      </c>
      <c r="L602" s="138"/>
      <c r="M602" s="138"/>
      <c r="N602" s="138"/>
      <c r="O602" s="138">
        <f>+O598</f>
        <v>3</v>
      </c>
      <c r="P602" s="186">
        <v>7</v>
      </c>
      <c r="Q602" s="138">
        <v>9</v>
      </c>
      <c r="R602" s="147">
        <v>11</v>
      </c>
      <c r="S602" s="152"/>
      <c r="T602" s="207">
        <v>4</v>
      </c>
      <c r="U602" s="207">
        <v>10</v>
      </c>
      <c r="V602" s="207">
        <v>10</v>
      </c>
      <c r="W602" s="147">
        <v>11</v>
      </c>
      <c r="X602" s="301">
        <v>13</v>
      </c>
      <c r="Y602" s="152"/>
      <c r="Z602" s="152"/>
      <c r="AA602" s="152"/>
      <c r="AB602" s="243">
        <f>+AB598</f>
        <v>3</v>
      </c>
      <c r="AC602" s="129">
        <v>7</v>
      </c>
      <c r="AD602" s="137">
        <v>9</v>
      </c>
      <c r="AE602" s="129">
        <v>11</v>
      </c>
      <c r="AF602" s="1092"/>
      <c r="AG602" s="1090"/>
      <c r="AH602" s="862"/>
      <c r="AI602" s="862"/>
      <c r="AJ602" s="855"/>
      <c r="AK602" s="775"/>
      <c r="AL602" s="827"/>
      <c r="AM602" s="827"/>
      <c r="AN602" s="1089"/>
      <c r="AO602" s="867"/>
      <c r="AP602" s="867"/>
      <c r="AQ602" s="795"/>
      <c r="AR602" s="795"/>
      <c r="AS602" s="795"/>
      <c r="AT602" s="795"/>
      <c r="AU602" s="795"/>
      <c r="AV602" s="795"/>
      <c r="AW602" s="795"/>
      <c r="AX602" s="797"/>
      <c r="AY602" s="860"/>
    </row>
    <row r="603" spans="1:51" ht="27.75" thickBot="1" x14ac:dyDescent="0.3">
      <c r="A603" s="815"/>
      <c r="B603" s="1043"/>
      <c r="C603" s="813"/>
      <c r="D603" s="140" t="s">
        <v>45</v>
      </c>
      <c r="E603" s="244"/>
      <c r="F603" s="245"/>
      <c r="G603" s="227">
        <f>+G602*$G$503/$G$502</f>
        <v>17484700</v>
      </c>
      <c r="H603" s="227">
        <f>+H602*$H$503/$H$502</f>
        <v>43711750</v>
      </c>
      <c r="I603" s="227" t="e">
        <f>+I602*$I$503/$I$502</f>
        <v>#REF!</v>
      </c>
      <c r="J603" s="183" t="e">
        <f>+J602*$J$503/$J$502</f>
        <v>#REF!</v>
      </c>
      <c r="K603" s="185"/>
      <c r="L603" s="186"/>
      <c r="M603" s="186"/>
      <c r="N603" s="238"/>
      <c r="O603" s="138">
        <f>+O599</f>
        <v>38471549.399999999</v>
      </c>
      <c r="P603" s="183">
        <f>+P602*$P$503/$P$502</f>
        <v>102819965.78</v>
      </c>
      <c r="Q603" s="183">
        <f>+Q602*$Q$503/$Q$502</f>
        <v>128597098.86</v>
      </c>
      <c r="R603" s="183">
        <f>+R602*$R$503/$R$502</f>
        <v>157174231.94</v>
      </c>
      <c r="S603" s="177"/>
      <c r="T603" s="237"/>
      <c r="U603" s="227">
        <f>+U602*$U$503/$U$502</f>
        <v>15339000</v>
      </c>
      <c r="V603" s="227" t="e">
        <f>+V602*$V$503/$V$502</f>
        <v>#REF!</v>
      </c>
      <c r="W603" s="183" t="e">
        <f>+W602*$W$503/$W$502</f>
        <v>#REF!</v>
      </c>
      <c r="X603" s="177"/>
      <c r="Y603" s="177"/>
      <c r="Z603" s="177"/>
      <c r="AA603" s="178"/>
      <c r="AB603" s="243">
        <f>+AB599</f>
        <v>159605700</v>
      </c>
      <c r="AC603" s="182">
        <f>+AC602*$AC$503/$AC$502</f>
        <v>124137766.66666667</v>
      </c>
      <c r="AD603" s="182">
        <f>+AD602*$AD$503/$AD$502</f>
        <v>111393832.59999999</v>
      </c>
      <c r="AE603" s="182" t="e">
        <f>+AE602*$AE$503/$AE$502</f>
        <v>#REF!</v>
      </c>
      <c r="AF603" s="1093"/>
      <c r="AG603" s="1090"/>
      <c r="AH603" s="863"/>
      <c r="AI603" s="863"/>
      <c r="AJ603" s="856"/>
      <c r="AK603" s="776"/>
      <c r="AL603" s="827"/>
      <c r="AM603" s="827"/>
      <c r="AN603" s="1089"/>
      <c r="AO603" s="867"/>
      <c r="AP603" s="867"/>
      <c r="AQ603" s="795"/>
      <c r="AR603" s="795"/>
      <c r="AS603" s="795"/>
      <c r="AT603" s="795"/>
      <c r="AU603" s="795"/>
      <c r="AV603" s="795"/>
      <c r="AW603" s="795"/>
      <c r="AX603" s="798"/>
      <c r="AY603" s="860"/>
    </row>
    <row r="604" spans="1:51" ht="18" hidden="1" customHeight="1" x14ac:dyDescent="0.25">
      <c r="A604" s="815"/>
      <c r="B604" s="1043"/>
      <c r="C604" s="827" t="s">
        <v>330</v>
      </c>
      <c r="D604" s="141" t="s">
        <v>41</v>
      </c>
      <c r="E604" s="142"/>
      <c r="F604" s="143"/>
      <c r="G604" s="144"/>
      <c r="H604" s="144"/>
      <c r="I604" s="144"/>
      <c r="J604" s="138"/>
      <c r="K604" s="137"/>
      <c r="L604" s="138"/>
      <c r="M604" s="138"/>
      <c r="N604" s="138"/>
      <c r="O604" s="138"/>
      <c r="P604" s="186"/>
      <c r="Q604" s="138"/>
      <c r="R604" s="147"/>
      <c r="S604" s="177"/>
      <c r="T604" s="144"/>
      <c r="U604" s="174"/>
      <c r="V604" s="174"/>
      <c r="W604" s="175"/>
      <c r="X604" s="177"/>
      <c r="Y604" s="177"/>
      <c r="Z604" s="177"/>
      <c r="AA604" s="178"/>
      <c r="AB604" s="209"/>
      <c r="AC604" s="129"/>
      <c r="AD604" s="137"/>
      <c r="AE604" s="180"/>
      <c r="AF604" s="225"/>
      <c r="AG604" s="817" t="str">
        <f>+C604</f>
        <v>LA CANDELARIA</v>
      </c>
      <c r="AH604" s="774" t="s">
        <v>350</v>
      </c>
      <c r="AI604" s="774" t="s">
        <v>350</v>
      </c>
      <c r="AJ604" s="774" t="s">
        <v>350</v>
      </c>
      <c r="AK604" s="774" t="s">
        <v>315</v>
      </c>
      <c r="AL604" s="827"/>
      <c r="AM604" s="827" t="s">
        <v>547</v>
      </c>
      <c r="AN604" s="857">
        <v>8185614</v>
      </c>
      <c r="AO604" s="808">
        <v>8185614</v>
      </c>
      <c r="AP604" s="808"/>
      <c r="AQ604" s="795" t="s">
        <v>317</v>
      </c>
      <c r="AR604" s="795" t="s">
        <v>317</v>
      </c>
      <c r="AS604" s="795" t="s">
        <v>317</v>
      </c>
      <c r="AT604" s="795" t="s">
        <v>317</v>
      </c>
      <c r="AU604" s="795" t="s">
        <v>317</v>
      </c>
      <c r="AV604" s="795" t="s">
        <v>317</v>
      </c>
      <c r="AW604" s="795" t="s">
        <v>317</v>
      </c>
      <c r="AX604" s="796">
        <v>8185614</v>
      </c>
      <c r="AY604" s="846"/>
    </row>
    <row r="605" spans="1:51" ht="18" hidden="1" customHeight="1" x14ac:dyDescent="0.25">
      <c r="A605" s="815"/>
      <c r="B605" s="1043"/>
      <c r="C605" s="827"/>
      <c r="D605" s="132" t="s">
        <v>3</v>
      </c>
      <c r="E605" s="239"/>
      <c r="F605" s="240"/>
      <c r="G605" s="227"/>
      <c r="H605" s="227"/>
      <c r="I605" s="227"/>
      <c r="J605" s="183"/>
      <c r="K605" s="182"/>
      <c r="L605" s="183"/>
      <c r="M605" s="183"/>
      <c r="N605" s="228"/>
      <c r="O605" s="183"/>
      <c r="P605" s="186"/>
      <c r="Q605" s="183"/>
      <c r="R605" s="232"/>
      <c r="S605" s="184"/>
      <c r="T605" s="227"/>
      <c r="U605" s="193"/>
      <c r="V605" s="193"/>
      <c r="W605" s="229"/>
      <c r="X605" s="184"/>
      <c r="Y605" s="184"/>
      <c r="Z605" s="184"/>
      <c r="AA605" s="230"/>
      <c r="AB605" s="241"/>
      <c r="AC605" s="242"/>
      <c r="AD605" s="182"/>
      <c r="AE605" s="162"/>
      <c r="AF605" s="231"/>
      <c r="AG605" s="817"/>
      <c r="AH605" s="775"/>
      <c r="AI605" s="775"/>
      <c r="AJ605" s="775"/>
      <c r="AK605" s="775"/>
      <c r="AL605" s="827"/>
      <c r="AM605" s="827"/>
      <c r="AN605" s="857"/>
      <c r="AO605" s="808"/>
      <c r="AP605" s="808"/>
      <c r="AQ605" s="795"/>
      <c r="AR605" s="795"/>
      <c r="AS605" s="795"/>
      <c r="AT605" s="795"/>
      <c r="AU605" s="795"/>
      <c r="AV605" s="795"/>
      <c r="AW605" s="795"/>
      <c r="AX605" s="797"/>
      <c r="AY605" s="847"/>
    </row>
    <row r="606" spans="1:51" ht="27" hidden="1" customHeight="1" x14ac:dyDescent="0.25">
      <c r="A606" s="815"/>
      <c r="B606" s="1043"/>
      <c r="C606" s="827"/>
      <c r="D606" s="136" t="s">
        <v>42</v>
      </c>
      <c r="E606" s="239"/>
      <c r="F606" s="240"/>
      <c r="G606" s="227"/>
      <c r="H606" s="227"/>
      <c r="I606" s="227"/>
      <c r="J606" s="183"/>
      <c r="K606" s="182"/>
      <c r="L606" s="183"/>
      <c r="M606" s="183"/>
      <c r="N606" s="228"/>
      <c r="O606" s="183"/>
      <c r="P606" s="186"/>
      <c r="Q606" s="183"/>
      <c r="R606" s="232"/>
      <c r="S606" s="184"/>
      <c r="T606" s="227"/>
      <c r="U606" s="193"/>
      <c r="V606" s="193"/>
      <c r="W606" s="229"/>
      <c r="X606" s="184"/>
      <c r="Y606" s="184"/>
      <c r="Z606" s="184"/>
      <c r="AA606" s="230"/>
      <c r="AB606" s="241"/>
      <c r="AC606" s="242"/>
      <c r="AD606" s="182"/>
      <c r="AE606" s="162"/>
      <c r="AF606" s="231"/>
      <c r="AG606" s="817"/>
      <c r="AH606" s="775"/>
      <c r="AI606" s="775"/>
      <c r="AJ606" s="775"/>
      <c r="AK606" s="775"/>
      <c r="AL606" s="827"/>
      <c r="AM606" s="827"/>
      <c r="AN606" s="857"/>
      <c r="AO606" s="808"/>
      <c r="AP606" s="808"/>
      <c r="AQ606" s="795"/>
      <c r="AR606" s="795"/>
      <c r="AS606" s="795"/>
      <c r="AT606" s="795"/>
      <c r="AU606" s="795"/>
      <c r="AV606" s="795"/>
      <c r="AW606" s="795"/>
      <c r="AX606" s="797"/>
      <c r="AY606" s="847"/>
    </row>
    <row r="607" spans="1:51" ht="27" hidden="1" customHeight="1" x14ac:dyDescent="0.25">
      <c r="A607" s="815"/>
      <c r="B607" s="1043"/>
      <c r="C607" s="827"/>
      <c r="D607" s="132" t="s">
        <v>4</v>
      </c>
      <c r="E607" s="239"/>
      <c r="F607" s="240"/>
      <c r="G607" s="227"/>
      <c r="H607" s="227"/>
      <c r="I607" s="227"/>
      <c r="J607" s="183"/>
      <c r="K607" s="182"/>
      <c r="L607" s="183"/>
      <c r="M607" s="183"/>
      <c r="N607" s="228"/>
      <c r="O607" s="183"/>
      <c r="P607" s="186"/>
      <c r="Q607" s="183"/>
      <c r="R607" s="232"/>
      <c r="S607" s="184"/>
      <c r="T607" s="227"/>
      <c r="U607" s="193"/>
      <c r="V607" s="193"/>
      <c r="W607" s="229"/>
      <c r="X607" s="184"/>
      <c r="Y607" s="184"/>
      <c r="Z607" s="184"/>
      <c r="AA607" s="230"/>
      <c r="AB607" s="241"/>
      <c r="AC607" s="242"/>
      <c r="AD607" s="182"/>
      <c r="AE607" s="162"/>
      <c r="AF607" s="231"/>
      <c r="AG607" s="817"/>
      <c r="AH607" s="775"/>
      <c r="AI607" s="775"/>
      <c r="AJ607" s="775"/>
      <c r="AK607" s="775"/>
      <c r="AL607" s="827"/>
      <c r="AM607" s="827"/>
      <c r="AN607" s="857"/>
      <c r="AO607" s="808"/>
      <c r="AP607" s="808"/>
      <c r="AQ607" s="795"/>
      <c r="AR607" s="795"/>
      <c r="AS607" s="795"/>
      <c r="AT607" s="795"/>
      <c r="AU607" s="795"/>
      <c r="AV607" s="795"/>
      <c r="AW607" s="795"/>
      <c r="AX607" s="797"/>
      <c r="AY607" s="847"/>
    </row>
    <row r="608" spans="1:51" ht="27" hidden="1" customHeight="1" x14ac:dyDescent="0.25">
      <c r="A608" s="815"/>
      <c r="B608" s="1043"/>
      <c r="C608" s="827"/>
      <c r="D608" s="136" t="s">
        <v>43</v>
      </c>
      <c r="E608" s="142"/>
      <c r="F608" s="143"/>
      <c r="G608" s="144"/>
      <c r="H608" s="144"/>
      <c r="I608" s="144"/>
      <c r="J608" s="138"/>
      <c r="K608" s="137"/>
      <c r="L608" s="138"/>
      <c r="M608" s="138"/>
      <c r="N608" s="138"/>
      <c r="O608" s="138"/>
      <c r="P608" s="186"/>
      <c r="Q608" s="138"/>
      <c r="R608" s="147"/>
      <c r="S608" s="152"/>
      <c r="T608" s="144"/>
      <c r="U608" s="234"/>
      <c r="V608" s="234"/>
      <c r="W608" s="147"/>
      <c r="X608" s="152"/>
      <c r="Y608" s="152"/>
      <c r="Z608" s="152"/>
      <c r="AA608" s="152"/>
      <c r="AB608" s="243"/>
      <c r="AC608" s="129"/>
      <c r="AD608" s="137"/>
      <c r="AE608" s="129"/>
      <c r="AF608" s="235"/>
      <c r="AG608" s="817"/>
      <c r="AH608" s="775"/>
      <c r="AI608" s="775"/>
      <c r="AJ608" s="775"/>
      <c r="AK608" s="775"/>
      <c r="AL608" s="827"/>
      <c r="AM608" s="827"/>
      <c r="AN608" s="857"/>
      <c r="AO608" s="808"/>
      <c r="AP608" s="808"/>
      <c r="AQ608" s="795"/>
      <c r="AR608" s="795"/>
      <c r="AS608" s="795"/>
      <c r="AT608" s="795"/>
      <c r="AU608" s="795"/>
      <c r="AV608" s="795"/>
      <c r="AW608" s="795"/>
      <c r="AX608" s="797"/>
      <c r="AY608" s="847"/>
    </row>
    <row r="609" spans="1:51" ht="27.75" hidden="1" customHeight="1" thickBot="1" x14ac:dyDescent="0.3">
      <c r="A609" s="815"/>
      <c r="B609" s="1043"/>
      <c r="C609" s="827"/>
      <c r="D609" s="140" t="s">
        <v>45</v>
      </c>
      <c r="E609" s="244"/>
      <c r="F609" s="245"/>
      <c r="G609" s="237"/>
      <c r="H609" s="237"/>
      <c r="I609" s="237"/>
      <c r="J609" s="186"/>
      <c r="K609" s="185"/>
      <c r="L609" s="186"/>
      <c r="M609" s="186"/>
      <c r="N609" s="238"/>
      <c r="O609" s="186"/>
      <c r="P609" s="186"/>
      <c r="Q609" s="186"/>
      <c r="R609" s="175"/>
      <c r="S609" s="177"/>
      <c r="T609" s="237"/>
      <c r="U609" s="174"/>
      <c r="V609" s="174"/>
      <c r="W609" s="175"/>
      <c r="X609" s="177"/>
      <c r="Y609" s="177"/>
      <c r="Z609" s="177"/>
      <c r="AA609" s="178"/>
      <c r="AB609" s="209"/>
      <c r="AC609" s="242"/>
      <c r="AD609" s="185"/>
      <c r="AE609" s="180"/>
      <c r="AF609" s="225"/>
      <c r="AG609" s="817"/>
      <c r="AH609" s="776"/>
      <c r="AI609" s="776"/>
      <c r="AJ609" s="776"/>
      <c r="AK609" s="776"/>
      <c r="AL609" s="827"/>
      <c r="AM609" s="827"/>
      <c r="AN609" s="857"/>
      <c r="AO609" s="808"/>
      <c r="AP609" s="808"/>
      <c r="AQ609" s="795"/>
      <c r="AR609" s="795"/>
      <c r="AS609" s="795"/>
      <c r="AT609" s="795"/>
      <c r="AU609" s="795"/>
      <c r="AV609" s="795"/>
      <c r="AW609" s="795"/>
      <c r="AX609" s="798"/>
      <c r="AY609" s="847"/>
    </row>
    <row r="610" spans="1:51" ht="18" hidden="1" customHeight="1" x14ac:dyDescent="0.25">
      <c r="A610" s="815"/>
      <c r="B610" s="1043"/>
      <c r="C610" s="811" t="s">
        <v>585</v>
      </c>
      <c r="D610" s="141" t="s">
        <v>41</v>
      </c>
      <c r="E610" s="142"/>
      <c r="F610" s="143"/>
      <c r="G610" s="144"/>
      <c r="H610" s="144"/>
      <c r="I610" s="144"/>
      <c r="J610" s="138"/>
      <c r="K610" s="137"/>
      <c r="L610" s="138"/>
      <c r="M610" s="138"/>
      <c r="N610" s="138"/>
      <c r="O610" s="138"/>
      <c r="P610" s="186"/>
      <c r="Q610" s="138"/>
      <c r="R610" s="147"/>
      <c r="S610" s="177"/>
      <c r="T610" s="144"/>
      <c r="U610" s="174"/>
      <c r="V610" s="174"/>
      <c r="W610" s="175"/>
      <c r="X610" s="177"/>
      <c r="Y610" s="177"/>
      <c r="Z610" s="177"/>
      <c r="AA610" s="178"/>
      <c r="AB610" s="209"/>
      <c r="AC610" s="129"/>
      <c r="AD610" s="137"/>
      <c r="AE610" s="180"/>
      <c r="AF610" s="225"/>
      <c r="AG610" s="817" t="str">
        <f>+C610</f>
        <v>RAFAEL URIBE</v>
      </c>
      <c r="AH610" s="774" t="s">
        <v>350</v>
      </c>
      <c r="AI610" s="774" t="s">
        <v>350</v>
      </c>
      <c r="AJ610" s="774" t="s">
        <v>350</v>
      </c>
      <c r="AK610" s="774" t="s">
        <v>315</v>
      </c>
      <c r="AL610" s="827"/>
      <c r="AM610" s="827" t="s">
        <v>547</v>
      </c>
      <c r="AN610" s="857">
        <v>8185614</v>
      </c>
      <c r="AO610" s="808">
        <v>8185614</v>
      </c>
      <c r="AP610" s="808"/>
      <c r="AQ610" s="795" t="s">
        <v>317</v>
      </c>
      <c r="AR610" s="795" t="s">
        <v>317</v>
      </c>
      <c r="AS610" s="795" t="s">
        <v>317</v>
      </c>
      <c r="AT610" s="795" t="s">
        <v>317</v>
      </c>
      <c r="AU610" s="795" t="s">
        <v>317</v>
      </c>
      <c r="AV610" s="795" t="s">
        <v>317</v>
      </c>
      <c r="AW610" s="795" t="s">
        <v>317</v>
      </c>
      <c r="AX610" s="796">
        <v>8185614</v>
      </c>
      <c r="AY610" s="846"/>
    </row>
    <row r="611" spans="1:51" ht="18" hidden="1" customHeight="1" x14ac:dyDescent="0.25">
      <c r="A611" s="815"/>
      <c r="B611" s="1043"/>
      <c r="C611" s="812"/>
      <c r="D611" s="132" t="s">
        <v>3</v>
      </c>
      <c r="E611" s="239"/>
      <c r="F611" s="240"/>
      <c r="G611" s="227"/>
      <c r="H611" s="227"/>
      <c r="I611" s="227"/>
      <c r="J611" s="183"/>
      <c r="K611" s="182"/>
      <c r="L611" s="183"/>
      <c r="M611" s="183"/>
      <c r="N611" s="228"/>
      <c r="O611" s="183"/>
      <c r="P611" s="186"/>
      <c r="Q611" s="183"/>
      <c r="R611" s="232"/>
      <c r="S611" s="184"/>
      <c r="T611" s="227"/>
      <c r="U611" s="193"/>
      <c r="V611" s="193"/>
      <c r="W611" s="229"/>
      <c r="X611" s="184"/>
      <c r="Y611" s="184"/>
      <c r="Z611" s="184"/>
      <c r="AA611" s="230"/>
      <c r="AB611" s="241"/>
      <c r="AC611" s="242"/>
      <c r="AD611" s="182"/>
      <c r="AE611" s="162"/>
      <c r="AF611" s="231"/>
      <c r="AG611" s="817"/>
      <c r="AH611" s="775"/>
      <c r="AI611" s="775"/>
      <c r="AJ611" s="775"/>
      <c r="AK611" s="775"/>
      <c r="AL611" s="827"/>
      <c r="AM611" s="827"/>
      <c r="AN611" s="857"/>
      <c r="AO611" s="808"/>
      <c r="AP611" s="808"/>
      <c r="AQ611" s="795"/>
      <c r="AR611" s="795"/>
      <c r="AS611" s="795"/>
      <c r="AT611" s="795"/>
      <c r="AU611" s="795"/>
      <c r="AV611" s="795"/>
      <c r="AW611" s="795"/>
      <c r="AX611" s="797"/>
      <c r="AY611" s="847"/>
    </row>
    <row r="612" spans="1:51" ht="27" hidden="1" customHeight="1" x14ac:dyDescent="0.25">
      <c r="A612" s="815"/>
      <c r="B612" s="1043"/>
      <c r="C612" s="812"/>
      <c r="D612" s="136" t="s">
        <v>42</v>
      </c>
      <c r="E612" s="239"/>
      <c r="F612" s="240"/>
      <c r="G612" s="227"/>
      <c r="H612" s="227"/>
      <c r="I612" s="227"/>
      <c r="J612" s="183"/>
      <c r="K612" s="182"/>
      <c r="L612" s="183"/>
      <c r="M612" s="183"/>
      <c r="N612" s="228"/>
      <c r="O612" s="183"/>
      <c r="P612" s="186"/>
      <c r="Q612" s="183"/>
      <c r="R612" s="232"/>
      <c r="S612" s="184"/>
      <c r="T612" s="227"/>
      <c r="U612" s="193"/>
      <c r="V612" s="193"/>
      <c r="W612" s="229"/>
      <c r="X612" s="184"/>
      <c r="Y612" s="184"/>
      <c r="Z612" s="184"/>
      <c r="AA612" s="230"/>
      <c r="AB612" s="241"/>
      <c r="AC612" s="242"/>
      <c r="AD612" s="182"/>
      <c r="AE612" s="162"/>
      <c r="AF612" s="231"/>
      <c r="AG612" s="817"/>
      <c r="AH612" s="775"/>
      <c r="AI612" s="775"/>
      <c r="AJ612" s="775"/>
      <c r="AK612" s="775"/>
      <c r="AL612" s="827"/>
      <c r="AM612" s="827"/>
      <c r="AN612" s="857"/>
      <c r="AO612" s="808"/>
      <c r="AP612" s="808"/>
      <c r="AQ612" s="795"/>
      <c r="AR612" s="795"/>
      <c r="AS612" s="795"/>
      <c r="AT612" s="795"/>
      <c r="AU612" s="795"/>
      <c r="AV612" s="795"/>
      <c r="AW612" s="795"/>
      <c r="AX612" s="797"/>
      <c r="AY612" s="847"/>
    </row>
    <row r="613" spans="1:51" ht="27" hidden="1" customHeight="1" x14ac:dyDescent="0.25">
      <c r="A613" s="815"/>
      <c r="B613" s="1043"/>
      <c r="C613" s="812"/>
      <c r="D613" s="132" t="s">
        <v>4</v>
      </c>
      <c r="E613" s="239"/>
      <c r="F613" s="240"/>
      <c r="G613" s="227"/>
      <c r="H613" s="227"/>
      <c r="I613" s="227"/>
      <c r="J613" s="183"/>
      <c r="K613" s="182"/>
      <c r="L613" s="183"/>
      <c r="M613" s="183"/>
      <c r="N613" s="228"/>
      <c r="O613" s="183"/>
      <c r="P613" s="186"/>
      <c r="Q613" s="183"/>
      <c r="R613" s="232"/>
      <c r="S613" s="184"/>
      <c r="T613" s="227"/>
      <c r="U613" s="193"/>
      <c r="V613" s="193"/>
      <c r="W613" s="229"/>
      <c r="X613" s="184"/>
      <c r="Y613" s="184"/>
      <c r="Z613" s="184"/>
      <c r="AA613" s="230"/>
      <c r="AB613" s="241"/>
      <c r="AC613" s="242"/>
      <c r="AD613" s="182"/>
      <c r="AE613" s="162"/>
      <c r="AF613" s="231"/>
      <c r="AG613" s="817"/>
      <c r="AH613" s="775"/>
      <c r="AI613" s="775"/>
      <c r="AJ613" s="775"/>
      <c r="AK613" s="775"/>
      <c r="AL613" s="827"/>
      <c r="AM613" s="827"/>
      <c r="AN613" s="857"/>
      <c r="AO613" s="808"/>
      <c r="AP613" s="808"/>
      <c r="AQ613" s="795"/>
      <c r="AR613" s="795"/>
      <c r="AS613" s="795"/>
      <c r="AT613" s="795"/>
      <c r="AU613" s="795"/>
      <c r="AV613" s="795"/>
      <c r="AW613" s="795"/>
      <c r="AX613" s="797"/>
      <c r="AY613" s="847"/>
    </row>
    <row r="614" spans="1:51" ht="27" hidden="1" customHeight="1" x14ac:dyDescent="0.25">
      <c r="A614" s="815"/>
      <c r="B614" s="1043"/>
      <c r="C614" s="812"/>
      <c r="D614" s="136" t="s">
        <v>43</v>
      </c>
      <c r="E614" s="142"/>
      <c r="F614" s="143"/>
      <c r="G614" s="144"/>
      <c r="H614" s="144"/>
      <c r="I614" s="144"/>
      <c r="J614" s="138"/>
      <c r="K614" s="137"/>
      <c r="L614" s="138"/>
      <c r="M614" s="138"/>
      <c r="N614" s="138"/>
      <c r="O614" s="138"/>
      <c r="P614" s="186"/>
      <c r="Q614" s="138"/>
      <c r="R614" s="147"/>
      <c r="S614" s="152"/>
      <c r="T614" s="144"/>
      <c r="U614" s="234"/>
      <c r="V614" s="234"/>
      <c r="W614" s="147"/>
      <c r="X614" s="152"/>
      <c r="Y614" s="152"/>
      <c r="Z614" s="152"/>
      <c r="AA614" s="152"/>
      <c r="AB614" s="243"/>
      <c r="AC614" s="129"/>
      <c r="AD614" s="137"/>
      <c r="AE614" s="129"/>
      <c r="AF614" s="235"/>
      <c r="AG614" s="817"/>
      <c r="AH614" s="775"/>
      <c r="AI614" s="775"/>
      <c r="AJ614" s="775"/>
      <c r="AK614" s="775"/>
      <c r="AL614" s="827"/>
      <c r="AM614" s="827"/>
      <c r="AN614" s="857"/>
      <c r="AO614" s="808"/>
      <c r="AP614" s="808"/>
      <c r="AQ614" s="795"/>
      <c r="AR614" s="795"/>
      <c r="AS614" s="795"/>
      <c r="AT614" s="795"/>
      <c r="AU614" s="795"/>
      <c r="AV614" s="795"/>
      <c r="AW614" s="795"/>
      <c r="AX614" s="797"/>
      <c r="AY614" s="847"/>
    </row>
    <row r="615" spans="1:51" ht="27.75" hidden="1" customHeight="1" thickBot="1" x14ac:dyDescent="0.3">
      <c r="A615" s="815"/>
      <c r="B615" s="1043"/>
      <c r="C615" s="813"/>
      <c r="D615" s="140" t="s">
        <v>45</v>
      </c>
      <c r="E615" s="244"/>
      <c r="F615" s="245"/>
      <c r="G615" s="237"/>
      <c r="H615" s="237"/>
      <c r="I615" s="237"/>
      <c r="J615" s="186"/>
      <c r="K615" s="185"/>
      <c r="L615" s="186"/>
      <c r="M615" s="186"/>
      <c r="N615" s="238"/>
      <c r="O615" s="186"/>
      <c r="P615" s="186"/>
      <c r="Q615" s="186"/>
      <c r="R615" s="175"/>
      <c r="S615" s="177"/>
      <c r="T615" s="237"/>
      <c r="U615" s="174"/>
      <c r="V615" s="174"/>
      <c r="W615" s="175"/>
      <c r="X615" s="177"/>
      <c r="Y615" s="177"/>
      <c r="Z615" s="177"/>
      <c r="AA615" s="178"/>
      <c r="AB615" s="209"/>
      <c r="AC615" s="242"/>
      <c r="AD615" s="185"/>
      <c r="AE615" s="180"/>
      <c r="AF615" s="225"/>
      <c r="AG615" s="817"/>
      <c r="AH615" s="776"/>
      <c r="AI615" s="776"/>
      <c r="AJ615" s="776"/>
      <c r="AK615" s="776"/>
      <c r="AL615" s="827"/>
      <c r="AM615" s="827"/>
      <c r="AN615" s="857"/>
      <c r="AO615" s="808"/>
      <c r="AP615" s="808"/>
      <c r="AQ615" s="795"/>
      <c r="AR615" s="795"/>
      <c r="AS615" s="795"/>
      <c r="AT615" s="795"/>
      <c r="AU615" s="795"/>
      <c r="AV615" s="795"/>
      <c r="AW615" s="795"/>
      <c r="AX615" s="798"/>
      <c r="AY615" s="847"/>
    </row>
    <row r="616" spans="1:51" ht="18" customHeight="1" x14ac:dyDescent="0.25">
      <c r="A616" s="815"/>
      <c r="B616" s="1043"/>
      <c r="C616" s="827" t="s">
        <v>404</v>
      </c>
      <c r="D616" s="141" t="s">
        <v>41</v>
      </c>
      <c r="E616" s="142"/>
      <c r="F616" s="143"/>
      <c r="G616" s="207">
        <v>1</v>
      </c>
      <c r="H616" s="207">
        <v>2</v>
      </c>
      <c r="I616" s="207">
        <v>2</v>
      </c>
      <c r="J616" s="138">
        <v>2</v>
      </c>
      <c r="K616" s="137">
        <v>2</v>
      </c>
      <c r="L616" s="138"/>
      <c r="M616" s="138"/>
      <c r="N616" s="138"/>
      <c r="O616" s="138"/>
      <c r="P616" s="186"/>
      <c r="Q616" s="138">
        <v>1</v>
      </c>
      <c r="R616" s="147">
        <v>1</v>
      </c>
      <c r="S616" s="177"/>
      <c r="T616" s="207">
        <v>1</v>
      </c>
      <c r="U616" s="207">
        <v>2</v>
      </c>
      <c r="V616" s="207">
        <v>2</v>
      </c>
      <c r="W616" s="175">
        <v>2</v>
      </c>
      <c r="X616" s="177">
        <v>2</v>
      </c>
      <c r="Y616" s="177"/>
      <c r="Z616" s="177"/>
      <c r="AA616" s="178"/>
      <c r="AB616" s="209"/>
      <c r="AC616" s="129"/>
      <c r="AD616" s="137">
        <v>1</v>
      </c>
      <c r="AE616" s="180">
        <v>1</v>
      </c>
      <c r="AF616" s="1082" t="s">
        <v>586</v>
      </c>
      <c r="AG616" s="1085" t="str">
        <f>+C616</f>
        <v>CIUDAD BOLIVAR</v>
      </c>
      <c r="AH616" s="1086" t="s">
        <v>587</v>
      </c>
      <c r="AI616" s="1086" t="s">
        <v>588</v>
      </c>
      <c r="AJ616" s="854" t="s">
        <v>675</v>
      </c>
      <c r="AK616" s="774" t="s">
        <v>315</v>
      </c>
      <c r="AL616" s="774" t="s">
        <v>589</v>
      </c>
      <c r="AM616" s="774" t="s">
        <v>547</v>
      </c>
      <c r="AN616" s="1079">
        <v>628526</v>
      </c>
      <c r="AO616" s="808">
        <v>306776</v>
      </c>
      <c r="AP616" s="808">
        <v>321750</v>
      </c>
      <c r="AQ616" s="843" t="s">
        <v>317</v>
      </c>
      <c r="AR616" s="843" t="s">
        <v>317</v>
      </c>
      <c r="AS616" s="843" t="s">
        <v>317</v>
      </c>
      <c r="AT616" s="843" t="s">
        <v>317</v>
      </c>
      <c r="AU616" s="843" t="s">
        <v>317</v>
      </c>
      <c r="AV616" s="843" t="s">
        <v>317</v>
      </c>
      <c r="AW616" s="795" t="s">
        <v>317</v>
      </c>
      <c r="AX616" s="796">
        <v>628526</v>
      </c>
      <c r="AY616" s="846" t="s">
        <v>590</v>
      </c>
    </row>
    <row r="617" spans="1:51" ht="18" customHeight="1" x14ac:dyDescent="0.25">
      <c r="A617" s="815"/>
      <c r="B617" s="1043"/>
      <c r="C617" s="827"/>
      <c r="D617" s="132" t="s">
        <v>3</v>
      </c>
      <c r="E617" s="239"/>
      <c r="F617" s="240"/>
      <c r="G617" s="227">
        <f>+G616*$G$503/$G$502</f>
        <v>4371175</v>
      </c>
      <c r="H617" s="227">
        <f>+H616*$H$503/$H$502</f>
        <v>8742350</v>
      </c>
      <c r="I617" s="227" t="e">
        <f>+I616*$I$503/$I$502</f>
        <v>#REF!</v>
      </c>
      <c r="J617" s="183" t="e">
        <f>+J616*$J$503/$J$502</f>
        <v>#REF!</v>
      </c>
      <c r="K617" s="182"/>
      <c r="L617" s="183"/>
      <c r="M617" s="183"/>
      <c r="N617" s="228"/>
      <c r="O617" s="183"/>
      <c r="P617" s="186"/>
      <c r="Q617" s="183">
        <f>+Q616*$Q$503/$Q$502</f>
        <v>14288566.539999999</v>
      </c>
      <c r="R617" s="183">
        <f>+R616*$R$503/$R$502</f>
        <v>14288566.539999999</v>
      </c>
      <c r="S617" s="184"/>
      <c r="T617" s="227"/>
      <c r="U617" s="227">
        <f>+U616*$U$503/$U$502</f>
        <v>3067800</v>
      </c>
      <c r="V617" s="227" t="e">
        <f>+V616*$V$503/$V$502</f>
        <v>#REF!</v>
      </c>
      <c r="W617" s="183" t="e">
        <f>+W616*$W$503/$W$502</f>
        <v>#REF!</v>
      </c>
      <c r="X617" s="184"/>
      <c r="Y617" s="184"/>
      <c r="Z617" s="184"/>
      <c r="AA617" s="230"/>
      <c r="AB617" s="241"/>
      <c r="AC617" s="242"/>
      <c r="AD617" s="182">
        <f>+AD616*$AD$503/$AD$502</f>
        <v>12377092.51111111</v>
      </c>
      <c r="AE617" s="182" t="e">
        <f>+AE616*$AE$503/$AE$502</f>
        <v>#REF!</v>
      </c>
      <c r="AF617" s="1083"/>
      <c r="AG617" s="1085"/>
      <c r="AH617" s="1087"/>
      <c r="AI617" s="1087"/>
      <c r="AJ617" s="855"/>
      <c r="AK617" s="775"/>
      <c r="AL617" s="775"/>
      <c r="AM617" s="775"/>
      <c r="AN617" s="1080"/>
      <c r="AO617" s="808"/>
      <c r="AP617" s="808"/>
      <c r="AQ617" s="844"/>
      <c r="AR617" s="844"/>
      <c r="AS617" s="844"/>
      <c r="AT617" s="844"/>
      <c r="AU617" s="844"/>
      <c r="AV617" s="844"/>
      <c r="AW617" s="795"/>
      <c r="AX617" s="797"/>
      <c r="AY617" s="847"/>
    </row>
    <row r="618" spans="1:51" ht="27" customHeight="1" x14ac:dyDescent="0.25">
      <c r="A618" s="815"/>
      <c r="B618" s="1043"/>
      <c r="C618" s="827"/>
      <c r="D618" s="136" t="s">
        <v>42</v>
      </c>
      <c r="E618" s="239"/>
      <c r="F618" s="240"/>
      <c r="G618" s="227"/>
      <c r="H618" s="227"/>
      <c r="I618" s="227"/>
      <c r="J618" s="183"/>
      <c r="K618" s="182"/>
      <c r="L618" s="183"/>
      <c r="M618" s="183"/>
      <c r="N618" s="228"/>
      <c r="O618" s="183"/>
      <c r="P618" s="186"/>
      <c r="Q618" s="183"/>
      <c r="R618" s="232"/>
      <c r="S618" s="184"/>
      <c r="T618" s="227"/>
      <c r="U618" s="227"/>
      <c r="V618" s="227"/>
      <c r="W618" s="229"/>
      <c r="X618" s="184"/>
      <c r="Y618" s="184"/>
      <c r="Z618" s="184"/>
      <c r="AA618" s="230"/>
      <c r="AB618" s="241"/>
      <c r="AC618" s="242"/>
      <c r="AD618" s="182"/>
      <c r="AE618" s="162"/>
      <c r="AF618" s="1083"/>
      <c r="AG618" s="1085"/>
      <c r="AH618" s="1087"/>
      <c r="AI618" s="1087"/>
      <c r="AJ618" s="855"/>
      <c r="AK618" s="775"/>
      <c r="AL618" s="775"/>
      <c r="AM618" s="775"/>
      <c r="AN618" s="1080"/>
      <c r="AO618" s="808"/>
      <c r="AP618" s="808"/>
      <c r="AQ618" s="844"/>
      <c r="AR618" s="844"/>
      <c r="AS618" s="844"/>
      <c r="AT618" s="844"/>
      <c r="AU618" s="844"/>
      <c r="AV618" s="844"/>
      <c r="AW618" s="795"/>
      <c r="AX618" s="797"/>
      <c r="AY618" s="847"/>
    </row>
    <row r="619" spans="1:51" ht="27" customHeight="1" x14ac:dyDescent="0.25">
      <c r="A619" s="815"/>
      <c r="B619" s="1043"/>
      <c r="C619" s="827"/>
      <c r="D619" s="132" t="s">
        <v>4</v>
      </c>
      <c r="E619" s="239"/>
      <c r="F619" s="240"/>
      <c r="G619" s="227"/>
      <c r="H619" s="227">
        <f>+$U$505/11</f>
        <v>7723875.0909090908</v>
      </c>
      <c r="I619" s="227"/>
      <c r="J619" s="183"/>
      <c r="K619" s="182"/>
      <c r="L619" s="183"/>
      <c r="M619" s="183"/>
      <c r="N619" s="228"/>
      <c r="O619" s="183"/>
      <c r="P619" s="186"/>
      <c r="Q619" s="183"/>
      <c r="R619" s="232"/>
      <c r="S619" s="184"/>
      <c r="T619" s="227">
        <f>+T616*$T$505/$T$502</f>
        <v>1758853.75</v>
      </c>
      <c r="U619" s="227">
        <f>+$U$505/11</f>
        <v>7723875.0909090908</v>
      </c>
      <c r="V619" s="227"/>
      <c r="W619" s="229"/>
      <c r="X619" s="184"/>
      <c r="Y619" s="184"/>
      <c r="Z619" s="184"/>
      <c r="AA619" s="230"/>
      <c r="AB619" s="241"/>
      <c r="AC619" s="242"/>
      <c r="AD619" s="182"/>
      <c r="AE619" s="162"/>
      <c r="AF619" s="1083"/>
      <c r="AG619" s="1085"/>
      <c r="AH619" s="1087"/>
      <c r="AI619" s="1087"/>
      <c r="AJ619" s="855"/>
      <c r="AK619" s="775"/>
      <c r="AL619" s="775"/>
      <c r="AM619" s="775"/>
      <c r="AN619" s="1080"/>
      <c r="AO619" s="808"/>
      <c r="AP619" s="808"/>
      <c r="AQ619" s="844"/>
      <c r="AR619" s="844"/>
      <c r="AS619" s="844"/>
      <c r="AT619" s="844"/>
      <c r="AU619" s="844"/>
      <c r="AV619" s="844"/>
      <c r="AW619" s="795"/>
      <c r="AX619" s="797"/>
      <c r="AY619" s="847"/>
    </row>
    <row r="620" spans="1:51" ht="27" customHeight="1" x14ac:dyDescent="0.25">
      <c r="A620" s="815"/>
      <c r="B620" s="1043"/>
      <c r="C620" s="827"/>
      <c r="D620" s="136" t="s">
        <v>43</v>
      </c>
      <c r="E620" s="142"/>
      <c r="F620" s="143"/>
      <c r="G620" s="207">
        <v>1</v>
      </c>
      <c r="H620" s="207">
        <v>2</v>
      </c>
      <c r="I620" s="207">
        <v>2</v>
      </c>
      <c r="J620" s="138">
        <v>2</v>
      </c>
      <c r="K620" s="137">
        <v>2</v>
      </c>
      <c r="L620" s="138"/>
      <c r="M620" s="138"/>
      <c r="N620" s="138"/>
      <c r="O620" s="138"/>
      <c r="P620" s="186"/>
      <c r="Q620" s="138">
        <v>1</v>
      </c>
      <c r="R620" s="147">
        <v>1</v>
      </c>
      <c r="S620" s="152"/>
      <c r="T620" s="207">
        <v>1</v>
      </c>
      <c r="U620" s="207">
        <v>2</v>
      </c>
      <c r="V620" s="207">
        <v>2</v>
      </c>
      <c r="W620" s="147">
        <v>2</v>
      </c>
      <c r="X620" s="203">
        <v>2</v>
      </c>
      <c r="Y620" s="152"/>
      <c r="Z620" s="152"/>
      <c r="AA620" s="152"/>
      <c r="AB620" s="243"/>
      <c r="AC620" s="129"/>
      <c r="AD620" s="137">
        <v>1</v>
      </c>
      <c r="AE620" s="129">
        <v>1</v>
      </c>
      <c r="AF620" s="1083"/>
      <c r="AG620" s="1085"/>
      <c r="AH620" s="1087"/>
      <c r="AI620" s="1087"/>
      <c r="AJ620" s="855"/>
      <c r="AK620" s="775"/>
      <c r="AL620" s="775"/>
      <c r="AM620" s="775"/>
      <c r="AN620" s="1080"/>
      <c r="AO620" s="808"/>
      <c r="AP620" s="808"/>
      <c r="AQ620" s="844"/>
      <c r="AR620" s="844"/>
      <c r="AS620" s="844"/>
      <c r="AT620" s="844"/>
      <c r="AU620" s="844"/>
      <c r="AV620" s="844"/>
      <c r="AW620" s="795"/>
      <c r="AX620" s="797"/>
      <c r="AY620" s="847"/>
    </row>
    <row r="621" spans="1:51" ht="27.75" customHeight="1" thickBot="1" x14ac:dyDescent="0.3">
      <c r="A621" s="815"/>
      <c r="B621" s="1043"/>
      <c r="C621" s="827"/>
      <c r="D621" s="140" t="s">
        <v>45</v>
      </c>
      <c r="E621" s="244"/>
      <c r="F621" s="245"/>
      <c r="G621" s="227">
        <f>+G620*$G$503/$G$502</f>
        <v>4371175</v>
      </c>
      <c r="H621" s="227">
        <f>+H620*$H$503/$H$502</f>
        <v>8742350</v>
      </c>
      <c r="I621" s="227" t="e">
        <f>+I620*$I$503/$I$502</f>
        <v>#REF!</v>
      </c>
      <c r="J621" s="183" t="e">
        <f>+J620*$J$503/$J$502</f>
        <v>#REF!</v>
      </c>
      <c r="K621" s="185"/>
      <c r="L621" s="186"/>
      <c r="M621" s="186"/>
      <c r="N621" s="238"/>
      <c r="O621" s="186"/>
      <c r="P621" s="186"/>
      <c r="Q621" s="183">
        <f>+Q620*$Q$503/$Q$502</f>
        <v>14288566.539999999</v>
      </c>
      <c r="R621" s="183">
        <f>+R620*$R$503/$R$502</f>
        <v>14288566.539999999</v>
      </c>
      <c r="S621" s="177"/>
      <c r="T621" s="237"/>
      <c r="U621" s="227">
        <f>+U620*$U$503/$U$502</f>
        <v>3067800</v>
      </c>
      <c r="V621" s="227" t="e">
        <f>+V620*$V$503/$V$502</f>
        <v>#REF!</v>
      </c>
      <c r="W621" s="183" t="e">
        <f>+W620*$W$503/$W$502</f>
        <v>#REF!</v>
      </c>
      <c r="X621" s="177"/>
      <c r="Y621" s="177"/>
      <c r="Z621" s="177"/>
      <c r="AA621" s="178"/>
      <c r="AB621" s="209"/>
      <c r="AC621" s="242"/>
      <c r="AD621" s="182">
        <f>+AD620*$AD$503/$AD$502</f>
        <v>12377092.51111111</v>
      </c>
      <c r="AE621" s="182" t="e">
        <f>+AE620*$AE$503/$AE$502</f>
        <v>#REF!</v>
      </c>
      <c r="AF621" s="1084"/>
      <c r="AG621" s="1085"/>
      <c r="AH621" s="1088"/>
      <c r="AI621" s="1088"/>
      <c r="AJ621" s="856"/>
      <c r="AK621" s="776"/>
      <c r="AL621" s="776"/>
      <c r="AM621" s="776"/>
      <c r="AN621" s="1081"/>
      <c r="AO621" s="808"/>
      <c r="AP621" s="808"/>
      <c r="AQ621" s="845"/>
      <c r="AR621" s="845"/>
      <c r="AS621" s="845"/>
      <c r="AT621" s="845"/>
      <c r="AU621" s="845"/>
      <c r="AV621" s="845"/>
      <c r="AW621" s="795"/>
      <c r="AX621" s="798"/>
      <c r="AY621" s="847"/>
    </row>
    <row r="622" spans="1:51" ht="18" customHeight="1" x14ac:dyDescent="0.25">
      <c r="A622" s="815"/>
      <c r="B622" s="1043"/>
      <c r="C622" s="840" t="s">
        <v>409</v>
      </c>
      <c r="D622" s="141" t="s">
        <v>41</v>
      </c>
      <c r="E622" s="142"/>
      <c r="F622" s="143"/>
      <c r="G622" s="207">
        <v>140</v>
      </c>
      <c r="H622" s="207">
        <v>120</v>
      </c>
      <c r="I622" s="207">
        <v>115</v>
      </c>
      <c r="J622" s="138">
        <v>110</v>
      </c>
      <c r="K622" s="137">
        <v>105</v>
      </c>
      <c r="L622" s="138"/>
      <c r="M622" s="138"/>
      <c r="N622" s="138"/>
      <c r="O622" s="138">
        <v>40</v>
      </c>
      <c r="P622" s="248">
        <v>20</v>
      </c>
      <c r="Q622" s="138">
        <v>5</v>
      </c>
      <c r="R622" s="147">
        <v>0</v>
      </c>
      <c r="S622" s="139"/>
      <c r="T622" s="148"/>
      <c r="U622" s="148"/>
      <c r="V622" s="148"/>
      <c r="W622" s="146"/>
      <c r="X622" s="139"/>
      <c r="Y622" s="139"/>
      <c r="Z622" s="139"/>
      <c r="AA622" s="165"/>
      <c r="AB622" s="151"/>
      <c r="AC622" s="129"/>
      <c r="AD622" s="162"/>
      <c r="AE622" s="139"/>
      <c r="AF622" s="249"/>
      <c r="AG622" s="824" t="s">
        <v>591</v>
      </c>
      <c r="AH622" s="774" t="s">
        <v>350</v>
      </c>
      <c r="AI622" s="774" t="s">
        <v>350</v>
      </c>
      <c r="AJ622" s="774" t="s">
        <v>350</v>
      </c>
      <c r="AK622" s="774" t="s">
        <v>315</v>
      </c>
      <c r="AL622" s="774"/>
      <c r="AM622" s="774" t="s">
        <v>547</v>
      </c>
      <c r="AN622" s="808">
        <v>7804660</v>
      </c>
      <c r="AO622" s="796">
        <v>3721767</v>
      </c>
      <c r="AP622" s="796">
        <v>4082893</v>
      </c>
      <c r="AQ622" s="799" t="s">
        <v>317</v>
      </c>
      <c r="AR622" s="799" t="s">
        <v>317</v>
      </c>
      <c r="AS622" s="799" t="s">
        <v>317</v>
      </c>
      <c r="AT622" s="799" t="s">
        <v>317</v>
      </c>
      <c r="AU622" s="843" t="s">
        <v>317</v>
      </c>
      <c r="AV622" s="843" t="s">
        <v>317</v>
      </c>
      <c r="AW622" s="843" t="s">
        <v>317</v>
      </c>
      <c r="AX622" s="796">
        <v>7804660</v>
      </c>
      <c r="AY622" s="159"/>
    </row>
    <row r="623" spans="1:51" ht="18" x14ac:dyDescent="0.25">
      <c r="A623" s="815"/>
      <c r="B623" s="1043"/>
      <c r="C623" s="841"/>
      <c r="D623" s="132" t="s">
        <v>3</v>
      </c>
      <c r="E623" s="142"/>
      <c r="F623" s="143"/>
      <c r="G623" s="227">
        <f>+G622*$G$503/$G$502</f>
        <v>611964500</v>
      </c>
      <c r="H623" s="227">
        <f>+H622*$H$503/$H$502</f>
        <v>524541000</v>
      </c>
      <c r="I623" s="227" t="e">
        <f>+I622*$I$503/$I$502</f>
        <v>#REF!</v>
      </c>
      <c r="J623" s="183" t="e">
        <f>+J622*$J$503/$J$502</f>
        <v>#REF!</v>
      </c>
      <c r="K623" s="137"/>
      <c r="L623" s="138"/>
      <c r="M623" s="138"/>
      <c r="N623" s="138"/>
      <c r="O623" s="183">
        <f>+O622*$O$503/$O$502</f>
        <v>512953992</v>
      </c>
      <c r="P623" s="183">
        <f>+P622*$P$503/$P$502</f>
        <v>293771330.80000001</v>
      </c>
      <c r="Q623" s="183">
        <f>+Q622*$Q$503/$Q$502</f>
        <v>71442832.700000003</v>
      </c>
      <c r="R623" s="183"/>
      <c r="S623" s="139"/>
      <c r="T623" s="148"/>
      <c r="U623" s="148"/>
      <c r="V623" s="148"/>
      <c r="W623" s="146"/>
      <c r="X623" s="139"/>
      <c r="Y623" s="139"/>
      <c r="Z623" s="139"/>
      <c r="AA623" s="165"/>
      <c r="AB623" s="151"/>
      <c r="AC623" s="129"/>
      <c r="AD623" s="162"/>
      <c r="AE623" s="139"/>
      <c r="AF623" s="249"/>
      <c r="AG623" s="825"/>
      <c r="AH623" s="775"/>
      <c r="AI623" s="775"/>
      <c r="AJ623" s="775"/>
      <c r="AK623" s="775"/>
      <c r="AL623" s="775"/>
      <c r="AM623" s="775"/>
      <c r="AN623" s="808"/>
      <c r="AO623" s="797"/>
      <c r="AP623" s="797"/>
      <c r="AQ623" s="800"/>
      <c r="AR623" s="800"/>
      <c r="AS623" s="800"/>
      <c r="AT623" s="800"/>
      <c r="AU623" s="844"/>
      <c r="AV623" s="844"/>
      <c r="AW623" s="844"/>
      <c r="AX623" s="797"/>
      <c r="AY623" s="159"/>
    </row>
    <row r="624" spans="1:51" ht="27" x14ac:dyDescent="0.25">
      <c r="A624" s="815"/>
      <c r="B624" s="1043"/>
      <c r="C624" s="841"/>
      <c r="D624" s="136" t="s">
        <v>42</v>
      </c>
      <c r="E624" s="142"/>
      <c r="F624" s="143"/>
      <c r="G624" s="144"/>
      <c r="H624" s="144"/>
      <c r="I624" s="144"/>
      <c r="J624" s="138"/>
      <c r="K624" s="137"/>
      <c r="L624" s="138"/>
      <c r="M624" s="138"/>
      <c r="N624" s="138"/>
      <c r="O624" s="138"/>
      <c r="P624" s="248"/>
      <c r="Q624" s="138"/>
      <c r="R624" s="147"/>
      <c r="S624" s="139"/>
      <c r="T624" s="148"/>
      <c r="U624" s="148"/>
      <c r="V624" s="148"/>
      <c r="W624" s="146"/>
      <c r="X624" s="139"/>
      <c r="Y624" s="139"/>
      <c r="Z624" s="139"/>
      <c r="AA624" s="165"/>
      <c r="AB624" s="151"/>
      <c r="AC624" s="129"/>
      <c r="AD624" s="162"/>
      <c r="AE624" s="139"/>
      <c r="AF624" s="249"/>
      <c r="AG624" s="825"/>
      <c r="AH624" s="775"/>
      <c r="AI624" s="775"/>
      <c r="AJ624" s="775"/>
      <c r="AK624" s="775"/>
      <c r="AL624" s="775"/>
      <c r="AM624" s="775"/>
      <c r="AN624" s="808"/>
      <c r="AO624" s="797"/>
      <c r="AP624" s="797"/>
      <c r="AQ624" s="800"/>
      <c r="AR624" s="800"/>
      <c r="AS624" s="800"/>
      <c r="AT624" s="800"/>
      <c r="AU624" s="844"/>
      <c r="AV624" s="844"/>
      <c r="AW624" s="844"/>
      <c r="AX624" s="797"/>
      <c r="AY624" s="159"/>
    </row>
    <row r="625" spans="1:51" ht="27" x14ac:dyDescent="0.25">
      <c r="A625" s="815"/>
      <c r="B625" s="1043"/>
      <c r="C625" s="841"/>
      <c r="D625" s="132" t="s">
        <v>4</v>
      </c>
      <c r="E625" s="142"/>
      <c r="F625" s="143"/>
      <c r="G625" s="144"/>
      <c r="H625" s="144">
        <v>164188018</v>
      </c>
      <c r="I625" s="144"/>
      <c r="J625" s="138"/>
      <c r="K625" s="137"/>
      <c r="L625" s="138"/>
      <c r="M625" s="138"/>
      <c r="N625" s="138"/>
      <c r="O625" s="138"/>
      <c r="P625" s="248"/>
      <c r="Q625" s="138"/>
      <c r="R625" s="147"/>
      <c r="S625" s="139"/>
      <c r="T625" s="148"/>
      <c r="U625" s="148"/>
      <c r="V625" s="148"/>
      <c r="W625" s="146"/>
      <c r="X625" s="139"/>
      <c r="Y625" s="139"/>
      <c r="Z625" s="139"/>
      <c r="AA625" s="165"/>
      <c r="AB625" s="151"/>
      <c r="AC625" s="129"/>
      <c r="AD625" s="162"/>
      <c r="AE625" s="139"/>
      <c r="AF625" s="249"/>
      <c r="AG625" s="825"/>
      <c r="AH625" s="775"/>
      <c r="AI625" s="775"/>
      <c r="AJ625" s="775"/>
      <c r="AK625" s="775"/>
      <c r="AL625" s="775"/>
      <c r="AM625" s="775"/>
      <c r="AN625" s="808"/>
      <c r="AO625" s="797"/>
      <c r="AP625" s="797"/>
      <c r="AQ625" s="800"/>
      <c r="AR625" s="800"/>
      <c r="AS625" s="800"/>
      <c r="AT625" s="800"/>
      <c r="AU625" s="844"/>
      <c r="AV625" s="844"/>
      <c r="AW625" s="844"/>
      <c r="AX625" s="797"/>
      <c r="AY625" s="159"/>
    </row>
    <row r="626" spans="1:51" ht="27" x14ac:dyDescent="0.25">
      <c r="A626" s="815"/>
      <c r="B626" s="1043"/>
      <c r="C626" s="841"/>
      <c r="D626" s="136" t="s">
        <v>43</v>
      </c>
      <c r="E626" s="142"/>
      <c r="F626" s="143"/>
      <c r="G626" s="207">
        <v>140</v>
      </c>
      <c r="H626" s="207">
        <v>120</v>
      </c>
      <c r="I626" s="207">
        <v>115</v>
      </c>
      <c r="J626" s="138">
        <v>110</v>
      </c>
      <c r="K626" s="137">
        <v>105</v>
      </c>
      <c r="L626" s="138"/>
      <c r="M626" s="138"/>
      <c r="N626" s="138"/>
      <c r="O626" s="138">
        <f>+O622</f>
        <v>40</v>
      </c>
      <c r="P626" s="248">
        <v>20</v>
      </c>
      <c r="Q626" s="138">
        <v>5</v>
      </c>
      <c r="R626" s="147">
        <v>0</v>
      </c>
      <c r="S626" s="139"/>
      <c r="T626" s="148"/>
      <c r="U626" s="148"/>
      <c r="V626" s="148"/>
      <c r="W626" s="146"/>
      <c r="X626" s="203"/>
      <c r="Y626" s="139"/>
      <c r="Z626" s="139"/>
      <c r="AA626" s="165"/>
      <c r="AB626" s="151"/>
      <c r="AC626" s="129"/>
      <c r="AD626" s="162"/>
      <c r="AE626" s="139"/>
      <c r="AF626" s="249"/>
      <c r="AG626" s="825"/>
      <c r="AH626" s="775"/>
      <c r="AI626" s="775"/>
      <c r="AJ626" s="775"/>
      <c r="AK626" s="775"/>
      <c r="AL626" s="775"/>
      <c r="AM626" s="775"/>
      <c r="AN626" s="808"/>
      <c r="AO626" s="797"/>
      <c r="AP626" s="797"/>
      <c r="AQ626" s="800"/>
      <c r="AR626" s="800"/>
      <c r="AS626" s="800"/>
      <c r="AT626" s="800"/>
      <c r="AU626" s="844"/>
      <c r="AV626" s="844"/>
      <c r="AW626" s="844"/>
      <c r="AX626" s="797"/>
      <c r="AY626" s="159"/>
    </row>
    <row r="627" spans="1:51" ht="27.75" thickBot="1" x14ac:dyDescent="0.3">
      <c r="A627" s="815"/>
      <c r="B627" s="1043"/>
      <c r="C627" s="842"/>
      <c r="D627" s="140" t="s">
        <v>45</v>
      </c>
      <c r="E627" s="142"/>
      <c r="F627" s="143"/>
      <c r="G627" s="227">
        <f>+G626*$G$503/$G$502</f>
        <v>611964500</v>
      </c>
      <c r="H627" s="227">
        <f>+H626*$H$503/$H$502</f>
        <v>524541000</v>
      </c>
      <c r="I627" s="227" t="e">
        <f>+I626*$I$503/$I$502</f>
        <v>#REF!</v>
      </c>
      <c r="J627" s="183" t="e">
        <f>+J626*$J$503/$J$502</f>
        <v>#REF!</v>
      </c>
      <c r="K627" s="137"/>
      <c r="L627" s="138"/>
      <c r="M627" s="138"/>
      <c r="N627" s="138"/>
      <c r="O627" s="138">
        <f>+O623</f>
        <v>512953992</v>
      </c>
      <c r="P627" s="183">
        <f>+P626*$P$503/$P$502</f>
        <v>293771330.80000001</v>
      </c>
      <c r="Q627" s="183">
        <f>+Q626*$Q$503/$Q$502</f>
        <v>71442832.700000003</v>
      </c>
      <c r="R627" s="147"/>
      <c r="S627" s="139"/>
      <c r="T627" s="148"/>
      <c r="U627" s="148"/>
      <c r="V627" s="148"/>
      <c r="W627" s="146"/>
      <c r="X627" s="203"/>
      <c r="Y627" s="139"/>
      <c r="Z627" s="139"/>
      <c r="AA627" s="165"/>
      <c r="AB627" s="151"/>
      <c r="AC627" s="129"/>
      <c r="AD627" s="162"/>
      <c r="AE627" s="139"/>
      <c r="AF627" s="249"/>
      <c r="AG627" s="826"/>
      <c r="AH627" s="776"/>
      <c r="AI627" s="776"/>
      <c r="AJ627" s="776"/>
      <c r="AK627" s="776"/>
      <c r="AL627" s="776"/>
      <c r="AM627" s="776"/>
      <c r="AN627" s="808"/>
      <c r="AO627" s="798"/>
      <c r="AP627" s="798"/>
      <c r="AQ627" s="801"/>
      <c r="AR627" s="801"/>
      <c r="AS627" s="801"/>
      <c r="AT627" s="801"/>
      <c r="AU627" s="845"/>
      <c r="AV627" s="845"/>
      <c r="AW627" s="845"/>
      <c r="AX627" s="798"/>
      <c r="AY627" s="159"/>
    </row>
    <row r="628" spans="1:51" ht="18" customHeight="1" x14ac:dyDescent="0.25">
      <c r="A628" s="815"/>
      <c r="B628" s="1043"/>
      <c r="C628" s="818" t="s">
        <v>410</v>
      </c>
      <c r="D628" s="141" t="s">
        <v>41</v>
      </c>
      <c r="E628" s="142"/>
      <c r="F628" s="143"/>
      <c r="G628" s="144">
        <f>+G538+G550+G556+G562+G568+G580+G598+G616+G622</f>
        <v>160</v>
      </c>
      <c r="H628" s="144">
        <f>H514+H538+H550+H556+H562+H568+H574+H580+H586+H598+H616+H622</f>
        <v>160</v>
      </c>
      <c r="I628" s="144">
        <f>I514+I520+I538+I550+I556+I562+I568+I574+I580+I586+I598+I616+I622</f>
        <v>160</v>
      </c>
      <c r="J628" s="147">
        <f>J514+J520+J538+J550+J556+J562+J568+J574+J580+J586+J598+J616+J622</f>
        <v>160</v>
      </c>
      <c r="K628" s="137">
        <v>160</v>
      </c>
      <c r="L628" s="138"/>
      <c r="M628" s="138"/>
      <c r="N628" s="138">
        <f t="shared" ref="N628:N633" si="45">+N502</f>
        <v>50</v>
      </c>
      <c r="O628" s="250">
        <f t="shared" ref="O628:O633" si="46">+O514+O556+O580+O598+O622</f>
        <v>50</v>
      </c>
      <c r="P628" s="138">
        <f t="shared" ref="P628:P633" si="47">+P508+P514+P532+P538+P550+P562+P556+P580+P598+P592+P622</f>
        <v>50</v>
      </c>
      <c r="Q628" s="138">
        <f t="shared" ref="Q628:R633" si="48">+Q508+Q514+Q520+Q532+Q538+Q550+Q562+Q556+Q580+Q586+Q598+Q592+Q616+Q622</f>
        <v>50</v>
      </c>
      <c r="R628" s="138">
        <f t="shared" si="48"/>
        <v>50</v>
      </c>
      <c r="S628" s="139"/>
      <c r="T628" s="144">
        <f>+T538+T550+T556+T562+T568+T580+T598+T616+T622</f>
        <v>20</v>
      </c>
      <c r="U628" s="144">
        <f>U514+U538+U550+U556+U562+U568+U574+U580+U586+U598+U616+U622</f>
        <v>40</v>
      </c>
      <c r="V628" s="144">
        <f>V514+V520+V538+V550+V556+V562+V568+V574+V580+V586+V598+V616+V622</f>
        <v>45</v>
      </c>
      <c r="W628" s="147">
        <f>W514+W520+W538+W550+W556+W562+W568+W574+W580+W586+W598+W616</f>
        <v>50</v>
      </c>
      <c r="X628" s="303">
        <f>X514+X520+X538+X550+X556+X563+X568+X574+X580+X586+X598+X616</f>
        <v>55</v>
      </c>
      <c r="Y628" s="139"/>
      <c r="Z628" s="139"/>
      <c r="AA628" s="152">
        <f t="shared" ref="AA628:AA633" si="49">+AA502</f>
        <v>5</v>
      </c>
      <c r="AB628" s="212">
        <f t="shared" ref="AB628:AB633" si="50">+AB514+AB556+AB580+AB598</f>
        <v>10</v>
      </c>
      <c r="AC628" s="137">
        <f t="shared" ref="AC628:AC633" si="51">+AC508+AC514+AC532+AC538+AC550+AC562+AC556+AC580+AC598+AC592+AC622</f>
        <v>30</v>
      </c>
      <c r="AD628" s="137">
        <f>+AD508+AD514+AD520+AD532+AD538+AD550+AD562+AD556+AD580+AD586+AD598+AD592+AD616+AD622</f>
        <v>45</v>
      </c>
      <c r="AE628" s="165">
        <f>+AE508+AE514+AE520+AE532+AE538+AE550+AE562+AE556+AE580+AE586+AE598+AE592+AE616+AE622</f>
        <v>50</v>
      </c>
      <c r="AF628" s="202"/>
      <c r="AG628" s="817" t="s">
        <v>591</v>
      </c>
      <c r="AH628" s="774" t="s">
        <v>350</v>
      </c>
      <c r="AI628" s="774" t="s">
        <v>350</v>
      </c>
      <c r="AJ628" s="774" t="s">
        <v>350</v>
      </c>
      <c r="AK628" s="774" t="s">
        <v>315</v>
      </c>
      <c r="AL628" s="827"/>
      <c r="AM628" s="827" t="s">
        <v>547</v>
      </c>
      <c r="AN628" s="808">
        <v>7804660</v>
      </c>
      <c r="AO628" s="796">
        <v>3721767</v>
      </c>
      <c r="AP628" s="796">
        <v>4082893</v>
      </c>
      <c r="AQ628" s="795" t="s">
        <v>317</v>
      </c>
      <c r="AR628" s="795" t="s">
        <v>317</v>
      </c>
      <c r="AS628" s="795" t="s">
        <v>317</v>
      </c>
      <c r="AT628" s="795" t="s">
        <v>317</v>
      </c>
      <c r="AU628" s="795" t="s">
        <v>317</v>
      </c>
      <c r="AV628" s="795" t="s">
        <v>317</v>
      </c>
      <c r="AW628" s="795" t="s">
        <v>317</v>
      </c>
      <c r="AX628" s="796">
        <v>7804660</v>
      </c>
      <c r="AY628" s="159"/>
    </row>
    <row r="629" spans="1:51" ht="18" x14ac:dyDescent="0.25">
      <c r="A629" s="815"/>
      <c r="B629" s="1043"/>
      <c r="C629" s="818"/>
      <c r="D629" s="132" t="s">
        <v>3</v>
      </c>
      <c r="E629" s="142"/>
      <c r="F629" s="143"/>
      <c r="G629" s="144">
        <f t="shared" ref="G629:G633" si="52">+G539+G551+G557+G563+G569+G581+G599+G617+G623</f>
        <v>699388000</v>
      </c>
      <c r="H629" s="144">
        <f t="shared" ref="H629:H633" si="53">H515+H539+H551+H557+H563+H569+H575+H581+H587+H599+H617+H623</f>
        <v>699388000</v>
      </c>
      <c r="I629" s="144" t="e">
        <f t="shared" ref="I629:J633" si="54">I515+I521+I539+I551+I557+I563+I569+I575+I581+I587+I599+I617+I623</f>
        <v>#REF!</v>
      </c>
      <c r="J629" s="147" t="e">
        <f t="shared" si="54"/>
        <v>#REF!</v>
      </c>
      <c r="K629" s="137"/>
      <c r="L629" s="138"/>
      <c r="M629" s="138"/>
      <c r="N629" s="138">
        <f t="shared" si="45"/>
        <v>641192490</v>
      </c>
      <c r="O629" s="250">
        <f t="shared" si="46"/>
        <v>641192490</v>
      </c>
      <c r="P629" s="138">
        <f t="shared" si="47"/>
        <v>734428327</v>
      </c>
      <c r="Q629" s="138">
        <f t="shared" si="48"/>
        <v>714428327</v>
      </c>
      <c r="R629" s="138">
        <f t="shared" si="48"/>
        <v>714428327.00000012</v>
      </c>
      <c r="S629" s="139"/>
      <c r="T629" s="144">
        <f t="shared" ref="T629:T633" si="55">+T539+T551+T557+T563+T569+T581+T599+T617+T623</f>
        <v>0</v>
      </c>
      <c r="U629" s="144">
        <f t="shared" ref="U629:U633" si="56">U515+U539+U551+U557+U563+U569+U575+U581+U587+U599+U617+U623</f>
        <v>61356000</v>
      </c>
      <c r="V629" s="144" t="e">
        <f>V515+V521+V539+V551+V557+V563+V569+V575+V581+V587+V599+V617+V623</f>
        <v>#REF!</v>
      </c>
      <c r="W629" s="147" t="e">
        <f>W515+W521+W539+W551+W557+W563+W569+W575+W581+W587+W599+W617</f>
        <v>#REF!</v>
      </c>
      <c r="X629" s="139"/>
      <c r="Y629" s="139"/>
      <c r="Z629" s="139"/>
      <c r="AA629" s="152">
        <f t="shared" si="49"/>
        <v>519353000</v>
      </c>
      <c r="AB629" s="212">
        <f t="shared" si="50"/>
        <v>532019000</v>
      </c>
      <c r="AC629" s="137">
        <f t="shared" si="51"/>
        <v>532019000.00000006</v>
      </c>
      <c r="AD629" s="137">
        <f t="shared" ref="AD629:AE633" si="57">+AD509+AD515+AD521+AD533+AD539+AD551+AD563+AD557+AD581+AD587+AD599+AD593+AD617+AD623</f>
        <v>556969163.00000012</v>
      </c>
      <c r="AE629" s="137" t="e">
        <f>+AE509+AE515+AE521+AE533+AE539+AE551+AE563+AE557+AE581+AE587+AE599+AE593+AE617+AE623</f>
        <v>#REF!</v>
      </c>
      <c r="AF629" s="202"/>
      <c r="AG629" s="817"/>
      <c r="AH629" s="775"/>
      <c r="AI629" s="775"/>
      <c r="AJ629" s="775"/>
      <c r="AK629" s="775"/>
      <c r="AL629" s="827"/>
      <c r="AM629" s="827"/>
      <c r="AN629" s="808"/>
      <c r="AO629" s="797"/>
      <c r="AP629" s="797"/>
      <c r="AQ629" s="795"/>
      <c r="AR629" s="795"/>
      <c r="AS629" s="795"/>
      <c r="AT629" s="795"/>
      <c r="AU629" s="795"/>
      <c r="AV629" s="795"/>
      <c r="AW629" s="795"/>
      <c r="AX629" s="797"/>
      <c r="AY629" s="159"/>
    </row>
    <row r="630" spans="1:51" ht="27" x14ac:dyDescent="0.25">
      <c r="A630" s="815"/>
      <c r="B630" s="1043"/>
      <c r="C630" s="818"/>
      <c r="D630" s="136" t="s">
        <v>42</v>
      </c>
      <c r="E630" s="142"/>
      <c r="F630" s="143"/>
      <c r="G630" s="144">
        <f t="shared" si="52"/>
        <v>0</v>
      </c>
      <c r="H630" s="144">
        <f t="shared" si="53"/>
        <v>0</v>
      </c>
      <c r="I630" s="144">
        <f t="shared" si="54"/>
        <v>0</v>
      </c>
      <c r="J630" s="147">
        <f t="shared" si="54"/>
        <v>0</v>
      </c>
      <c r="K630" s="137"/>
      <c r="L630" s="138"/>
      <c r="M630" s="138"/>
      <c r="N630" s="138">
        <f t="shared" si="45"/>
        <v>0</v>
      </c>
      <c r="O630" s="250">
        <f t="shared" si="46"/>
        <v>0</v>
      </c>
      <c r="P630" s="138">
        <f t="shared" si="47"/>
        <v>0</v>
      </c>
      <c r="Q630" s="138">
        <f t="shared" si="48"/>
        <v>0</v>
      </c>
      <c r="R630" s="138">
        <f t="shared" si="48"/>
        <v>0</v>
      </c>
      <c r="S630" s="139"/>
      <c r="T630" s="144">
        <f t="shared" si="55"/>
        <v>0</v>
      </c>
      <c r="U630" s="144">
        <f t="shared" si="56"/>
        <v>0</v>
      </c>
      <c r="V630" s="144">
        <f t="shared" ref="V630:V633" si="58">V516+V522+V540+V552+V558+V564+V570+V576+V582+V588+V600+V618+V624</f>
        <v>0</v>
      </c>
      <c r="W630" s="147">
        <f t="shared" ref="W630:W633" si="59">W516+W522+W540+W552+W558+W564+W570+W576+W582+W588+W600+W618</f>
        <v>0</v>
      </c>
      <c r="X630" s="139"/>
      <c r="Y630" s="139"/>
      <c r="Z630" s="139"/>
      <c r="AA630" s="152">
        <f t="shared" si="49"/>
        <v>0</v>
      </c>
      <c r="AB630" s="212">
        <f t="shared" si="50"/>
        <v>0</v>
      </c>
      <c r="AC630" s="137">
        <f t="shared" si="51"/>
        <v>0</v>
      </c>
      <c r="AD630" s="137">
        <f t="shared" si="57"/>
        <v>0</v>
      </c>
      <c r="AE630" s="139"/>
      <c r="AF630" s="202"/>
      <c r="AG630" s="817"/>
      <c r="AH630" s="775"/>
      <c r="AI630" s="775"/>
      <c r="AJ630" s="775"/>
      <c r="AK630" s="775"/>
      <c r="AL630" s="827"/>
      <c r="AM630" s="827"/>
      <c r="AN630" s="808"/>
      <c r="AO630" s="797"/>
      <c r="AP630" s="797"/>
      <c r="AQ630" s="795"/>
      <c r="AR630" s="795"/>
      <c r="AS630" s="795"/>
      <c r="AT630" s="795"/>
      <c r="AU630" s="795"/>
      <c r="AV630" s="795"/>
      <c r="AW630" s="795"/>
      <c r="AX630" s="797"/>
      <c r="AY630" s="159"/>
    </row>
    <row r="631" spans="1:51" ht="27" x14ac:dyDescent="0.25">
      <c r="A631" s="815"/>
      <c r="B631" s="1043"/>
      <c r="C631" s="818"/>
      <c r="D631" s="132" t="s">
        <v>4</v>
      </c>
      <c r="E631" s="142"/>
      <c r="F631" s="143"/>
      <c r="G631" s="144">
        <f t="shared" si="52"/>
        <v>0</v>
      </c>
      <c r="H631" s="144">
        <f t="shared" si="53"/>
        <v>249150644</v>
      </c>
      <c r="I631" s="144">
        <f t="shared" si="54"/>
        <v>0</v>
      </c>
      <c r="J631" s="147">
        <f t="shared" si="54"/>
        <v>0</v>
      </c>
      <c r="K631" s="137"/>
      <c r="L631" s="138"/>
      <c r="M631" s="138"/>
      <c r="N631" s="138">
        <f t="shared" si="45"/>
        <v>0</v>
      </c>
      <c r="O631" s="250">
        <f t="shared" si="46"/>
        <v>0</v>
      </c>
      <c r="P631" s="138">
        <f t="shared" si="47"/>
        <v>0</v>
      </c>
      <c r="Q631" s="138">
        <f t="shared" si="48"/>
        <v>0</v>
      </c>
      <c r="R631" s="138">
        <f t="shared" si="48"/>
        <v>0</v>
      </c>
      <c r="S631" s="139"/>
      <c r="T631" s="144">
        <f t="shared" si="55"/>
        <v>35177075</v>
      </c>
      <c r="U631" s="144">
        <f t="shared" si="56"/>
        <v>84962626.000000015</v>
      </c>
      <c r="V631" s="144">
        <f t="shared" si="58"/>
        <v>0</v>
      </c>
      <c r="W631" s="147">
        <f t="shared" si="59"/>
        <v>0</v>
      </c>
      <c r="X631" s="139"/>
      <c r="Y631" s="139"/>
      <c r="Z631" s="139"/>
      <c r="AA631" s="152">
        <f t="shared" si="49"/>
        <v>0</v>
      </c>
      <c r="AB631" s="212">
        <f t="shared" si="50"/>
        <v>0</v>
      </c>
      <c r="AC631" s="137">
        <f t="shared" si="51"/>
        <v>0</v>
      </c>
      <c r="AD631" s="137">
        <f t="shared" si="57"/>
        <v>0</v>
      </c>
      <c r="AE631" s="139"/>
      <c r="AF631" s="202"/>
      <c r="AG631" s="817"/>
      <c r="AH631" s="775"/>
      <c r="AI631" s="775"/>
      <c r="AJ631" s="775"/>
      <c r="AK631" s="775"/>
      <c r="AL631" s="827"/>
      <c r="AM631" s="827"/>
      <c r="AN631" s="808"/>
      <c r="AO631" s="797"/>
      <c r="AP631" s="797"/>
      <c r="AQ631" s="795"/>
      <c r="AR631" s="795"/>
      <c r="AS631" s="795"/>
      <c r="AT631" s="795"/>
      <c r="AU631" s="795"/>
      <c r="AV631" s="795"/>
      <c r="AW631" s="795"/>
      <c r="AX631" s="797"/>
      <c r="AY631" s="159"/>
    </row>
    <row r="632" spans="1:51" ht="27" x14ac:dyDescent="0.25">
      <c r="A632" s="815"/>
      <c r="B632" s="1043"/>
      <c r="C632" s="818"/>
      <c r="D632" s="136" t="s">
        <v>43</v>
      </c>
      <c r="E632" s="142"/>
      <c r="F632" s="143"/>
      <c r="G632" s="144">
        <f>+G542+G554+G560+G566+G572+G584+G602+G620+G626</f>
        <v>160</v>
      </c>
      <c r="H632" s="144">
        <f t="shared" si="53"/>
        <v>160</v>
      </c>
      <c r="I632" s="144">
        <f t="shared" si="54"/>
        <v>160</v>
      </c>
      <c r="J632" s="147">
        <f>J518+J524+J542+J554+J560+J566+J572+J578+J584+J590+J602+J620+J626</f>
        <v>160</v>
      </c>
      <c r="K632" s="137">
        <v>160</v>
      </c>
      <c r="L632" s="138"/>
      <c r="M632" s="138"/>
      <c r="N632" s="138">
        <f t="shared" si="45"/>
        <v>50</v>
      </c>
      <c r="O632" s="250">
        <f t="shared" si="46"/>
        <v>50</v>
      </c>
      <c r="P632" s="138">
        <f t="shared" si="47"/>
        <v>50</v>
      </c>
      <c r="Q632" s="138">
        <f t="shared" si="48"/>
        <v>50</v>
      </c>
      <c r="R632" s="138">
        <f t="shared" si="48"/>
        <v>50</v>
      </c>
      <c r="S632" s="139"/>
      <c r="T632" s="144">
        <f t="shared" si="55"/>
        <v>20</v>
      </c>
      <c r="U632" s="144">
        <f t="shared" si="56"/>
        <v>40</v>
      </c>
      <c r="V632" s="144">
        <f t="shared" si="58"/>
        <v>45</v>
      </c>
      <c r="W632" s="147">
        <f>W518+W524+W542+W554+W560+W566+W572+W578+W584+W590+W602+W620</f>
        <v>50</v>
      </c>
      <c r="X632" s="303">
        <f>X518+X524+X542+X554+X560+X566+X572+X578+X584+X590+X602+X620</f>
        <v>55</v>
      </c>
      <c r="Y632" s="139"/>
      <c r="Z632" s="139"/>
      <c r="AA632" s="152">
        <f t="shared" si="49"/>
        <v>5</v>
      </c>
      <c r="AB632" s="212">
        <f t="shared" si="50"/>
        <v>10</v>
      </c>
      <c r="AC632" s="137">
        <f t="shared" si="51"/>
        <v>30</v>
      </c>
      <c r="AD632" s="137">
        <f t="shared" si="57"/>
        <v>45</v>
      </c>
      <c r="AE632" s="165">
        <f t="shared" si="57"/>
        <v>50</v>
      </c>
      <c r="AF632" s="202"/>
      <c r="AG632" s="817"/>
      <c r="AH632" s="775"/>
      <c r="AI632" s="775"/>
      <c r="AJ632" s="775"/>
      <c r="AK632" s="775"/>
      <c r="AL632" s="827"/>
      <c r="AM632" s="827"/>
      <c r="AN632" s="808"/>
      <c r="AO632" s="797"/>
      <c r="AP632" s="797"/>
      <c r="AQ632" s="795"/>
      <c r="AR632" s="795"/>
      <c r="AS632" s="795"/>
      <c r="AT632" s="795"/>
      <c r="AU632" s="795"/>
      <c r="AV632" s="795"/>
      <c r="AW632" s="795"/>
      <c r="AX632" s="797"/>
      <c r="AY632" s="159"/>
    </row>
    <row r="633" spans="1:51" ht="27.75" thickBot="1" x14ac:dyDescent="0.3">
      <c r="A633" s="816"/>
      <c r="B633" s="1048"/>
      <c r="C633" s="818"/>
      <c r="D633" s="140" t="s">
        <v>45</v>
      </c>
      <c r="E633" s="142"/>
      <c r="F633" s="143"/>
      <c r="G633" s="144">
        <f t="shared" si="52"/>
        <v>699388000</v>
      </c>
      <c r="H633" s="144">
        <f t="shared" si="53"/>
        <v>699388000</v>
      </c>
      <c r="I633" s="144" t="e">
        <f t="shared" si="54"/>
        <v>#REF!</v>
      </c>
      <c r="J633" s="147" t="e">
        <f t="shared" si="54"/>
        <v>#REF!</v>
      </c>
      <c r="K633" s="137"/>
      <c r="L633" s="138"/>
      <c r="M633" s="138"/>
      <c r="N633" s="138">
        <f t="shared" si="45"/>
        <v>641192490</v>
      </c>
      <c r="O633" s="250">
        <f t="shared" si="46"/>
        <v>641192490</v>
      </c>
      <c r="P633" s="138">
        <f t="shared" si="47"/>
        <v>734428327</v>
      </c>
      <c r="Q633" s="138">
        <f t="shared" si="48"/>
        <v>714428327</v>
      </c>
      <c r="R633" s="138">
        <f t="shared" si="48"/>
        <v>714428327.00000012</v>
      </c>
      <c r="S633" s="139"/>
      <c r="T633" s="144">
        <f t="shared" si="55"/>
        <v>0</v>
      </c>
      <c r="U633" s="144">
        <f t="shared" si="56"/>
        <v>61356000</v>
      </c>
      <c r="V633" s="144" t="e">
        <f t="shared" si="58"/>
        <v>#REF!</v>
      </c>
      <c r="W633" s="147" t="e">
        <f t="shared" si="59"/>
        <v>#REF!</v>
      </c>
      <c r="X633" s="139"/>
      <c r="Y633" s="139"/>
      <c r="Z633" s="139"/>
      <c r="AA633" s="152">
        <f t="shared" si="49"/>
        <v>519353000</v>
      </c>
      <c r="AB633" s="212">
        <f t="shared" si="50"/>
        <v>532019000</v>
      </c>
      <c r="AC633" s="137">
        <f t="shared" si="51"/>
        <v>532019000.00000006</v>
      </c>
      <c r="AD633" s="137">
        <f t="shared" si="57"/>
        <v>556969163.00000012</v>
      </c>
      <c r="AE633" s="182" t="e">
        <f>+AE632*$AE$503/$AE$502</f>
        <v>#REF!</v>
      </c>
      <c r="AF633" s="202"/>
      <c r="AG633" s="817"/>
      <c r="AH633" s="776"/>
      <c r="AI633" s="776"/>
      <c r="AJ633" s="776"/>
      <c r="AK633" s="775"/>
      <c r="AL633" s="827"/>
      <c r="AM633" s="827"/>
      <c r="AN633" s="808"/>
      <c r="AO633" s="798"/>
      <c r="AP633" s="798"/>
      <c r="AQ633" s="795"/>
      <c r="AR633" s="795"/>
      <c r="AS633" s="795"/>
      <c r="AT633" s="795"/>
      <c r="AU633" s="795"/>
      <c r="AV633" s="795"/>
      <c r="AW633" s="795"/>
      <c r="AX633" s="798"/>
      <c r="AY633" s="159"/>
    </row>
    <row r="634" spans="1:51" ht="33.75" customHeight="1" x14ac:dyDescent="0.25">
      <c r="A634" s="814">
        <v>6</v>
      </c>
      <c r="B634" s="1042" t="s">
        <v>294</v>
      </c>
      <c r="C634" s="818" t="s">
        <v>592</v>
      </c>
      <c r="D634" s="141" t="s">
        <v>41</v>
      </c>
      <c r="E634" s="251">
        <f>+[5]INVERSIÓN!U40</f>
        <v>20</v>
      </c>
      <c r="F634" s="251">
        <f>+[5]INVERSIÓN!V40</f>
        <v>20</v>
      </c>
      <c r="G634" s="207">
        <f>+[5]INVERSIÓN!V40</f>
        <v>20</v>
      </c>
      <c r="H634" s="207">
        <f>+[5]INVERSIÓN!X40</f>
        <v>20</v>
      </c>
      <c r="I634" s="207" t="e">
        <f>+#REF!</f>
        <v>#REF!</v>
      </c>
      <c r="J634" s="208" t="e">
        <f>+#REF!</f>
        <v>#REF!</v>
      </c>
      <c r="K634" s="211"/>
      <c r="L634" s="208"/>
      <c r="M634" s="208">
        <f t="shared" ref="M634:M639" si="60">+F634</f>
        <v>20</v>
      </c>
      <c r="N634" s="138">
        <f>+[6]INVERSIÓN!K40</f>
        <v>10</v>
      </c>
      <c r="O634" s="138">
        <f>+[6]INVERSIÓN!M40</f>
        <v>10</v>
      </c>
      <c r="P634" s="138">
        <f>+[5]INVERSIÓN!O40</f>
        <v>10</v>
      </c>
      <c r="Q634" s="138">
        <f>+[5]INVERSIÓN!Q40</f>
        <v>10</v>
      </c>
      <c r="R634" s="147">
        <f>+[5]INVERSIÓN!S40</f>
        <v>10</v>
      </c>
      <c r="S634" s="177"/>
      <c r="T634" s="174">
        <f>+[5]INVERSIÓN!W40</f>
        <v>1</v>
      </c>
      <c r="U634" s="174">
        <f>+[5]INVERSIÓN!DR40</f>
        <v>2</v>
      </c>
      <c r="V634" s="174" t="e">
        <f>+#REF!</f>
        <v>#REF!</v>
      </c>
      <c r="W634" s="175" t="e">
        <f>+#REF!</f>
        <v>#REF!</v>
      </c>
      <c r="X634" s="177"/>
      <c r="Y634" s="177"/>
      <c r="Z634" s="177">
        <f>+[6]INVERSIÓN!J40</f>
        <v>2</v>
      </c>
      <c r="AA634" s="178">
        <f>+[6]INVERSIÓN!DX40</f>
        <v>4</v>
      </c>
      <c r="AB634" s="209">
        <f>+[6]INVERSIÓN!DY40</f>
        <v>6</v>
      </c>
      <c r="AC634" s="129" t="e">
        <f>+[5]INVERSIÓN!DZ40</f>
        <v>#REF!</v>
      </c>
      <c r="AD634" s="178">
        <f>+[5]INVERSIÓN!R40</f>
        <v>9</v>
      </c>
      <c r="AE634" s="246" t="e">
        <f>+[5]INVERSIÓN!EB40</f>
        <v>#REF!</v>
      </c>
      <c r="AF634" s="177" t="s">
        <v>593</v>
      </c>
      <c r="AG634" s="817" t="s">
        <v>594</v>
      </c>
      <c r="AH634" s="827" t="s">
        <v>70</v>
      </c>
      <c r="AI634" s="827" t="s">
        <v>70</v>
      </c>
      <c r="AJ634" s="827" t="s">
        <v>70</v>
      </c>
      <c r="AK634" s="818" t="s">
        <v>315</v>
      </c>
      <c r="AL634" s="827" t="s">
        <v>225</v>
      </c>
      <c r="AM634" s="827" t="s">
        <v>547</v>
      </c>
      <c r="AN634" s="808">
        <v>7804660</v>
      </c>
      <c r="AO634" s="796">
        <v>3721767</v>
      </c>
      <c r="AP634" s="796">
        <v>4082893</v>
      </c>
      <c r="AQ634" s="806" t="s">
        <v>317</v>
      </c>
      <c r="AR634" s="806" t="s">
        <v>317</v>
      </c>
      <c r="AS634" s="806" t="s">
        <v>317</v>
      </c>
      <c r="AT634" s="806" t="s">
        <v>317</v>
      </c>
      <c r="AU634" s="806" t="s">
        <v>317</v>
      </c>
      <c r="AV634" s="806" t="s">
        <v>317</v>
      </c>
      <c r="AW634" s="806" t="s">
        <v>317</v>
      </c>
      <c r="AX634" s="796">
        <v>7804660</v>
      </c>
      <c r="AY634" s="839" t="s">
        <v>595</v>
      </c>
    </row>
    <row r="635" spans="1:51" ht="27.75" customHeight="1" x14ac:dyDescent="0.25">
      <c r="A635" s="815"/>
      <c r="B635" s="1043"/>
      <c r="C635" s="818"/>
      <c r="D635" s="132" t="s">
        <v>3</v>
      </c>
      <c r="E635" s="251">
        <f>+[5]INVERSIÓN!U41</f>
        <v>349839000</v>
      </c>
      <c r="F635" s="251">
        <f>+[5]INVERSIÓN!V41</f>
        <v>349839000</v>
      </c>
      <c r="G635" s="207">
        <f>+[5]INVERSIÓN!V41</f>
        <v>349839000</v>
      </c>
      <c r="H635" s="207">
        <f>+[5]INVERSIÓN!X41</f>
        <v>349839000</v>
      </c>
      <c r="I635" s="207" t="e">
        <f>+#REF!</f>
        <v>#REF!</v>
      </c>
      <c r="J635" s="208" t="e">
        <f>+#REF!</f>
        <v>#REF!</v>
      </c>
      <c r="K635" s="182"/>
      <c r="L635" s="183"/>
      <c r="M635" s="208">
        <f t="shared" si="60"/>
        <v>349839000</v>
      </c>
      <c r="N635" s="138">
        <f>+[6]INVERSIÓN!K41</f>
        <v>104955000</v>
      </c>
      <c r="O635" s="138">
        <f>+[6]INVERSIÓN!M41</f>
        <v>104955000</v>
      </c>
      <c r="P635" s="138">
        <f>+[5]INVERSIÓN!O41</f>
        <v>104955000</v>
      </c>
      <c r="Q635" s="138">
        <f>+[5]INVERSIÓN!Q41</f>
        <v>109624000</v>
      </c>
      <c r="R635" s="147">
        <f>+[5]INVERSIÓN!S41</f>
        <v>109624000</v>
      </c>
      <c r="S635" s="252"/>
      <c r="T635" s="174">
        <f>+[5]INVERSIÓN!W41</f>
        <v>0</v>
      </c>
      <c r="U635" s="174">
        <f>+[5]INVERSIÓN!DR41</f>
        <v>313790000</v>
      </c>
      <c r="V635" s="174" t="e">
        <f>+#REF!</f>
        <v>#REF!</v>
      </c>
      <c r="W635" s="175" t="e">
        <f>+#REF!</f>
        <v>#REF!</v>
      </c>
      <c r="X635" s="177"/>
      <c r="Y635" s="177"/>
      <c r="Z635" s="177">
        <f>+[6]INVERSIÓN!J41</f>
        <v>0</v>
      </c>
      <c r="AA635" s="178">
        <f>+[6]INVERSIÓN!DX41</f>
        <v>90696000</v>
      </c>
      <c r="AB635" s="209">
        <f>+[6]INVERSIÓN!DY41</f>
        <v>90696000</v>
      </c>
      <c r="AC635" s="129" t="e">
        <f>+[5]INVERSIÓN!DZ41</f>
        <v>#REF!</v>
      </c>
      <c r="AD635" s="178">
        <f>+[5]INVERSIÓN!R41</f>
        <v>90696000</v>
      </c>
      <c r="AE635" s="246" t="e">
        <f>+[5]INVERSIÓN!EB41</f>
        <v>#REF!</v>
      </c>
      <c r="AF635" s="304" t="s">
        <v>684</v>
      </c>
      <c r="AG635" s="817"/>
      <c r="AH635" s="827"/>
      <c r="AI635" s="827"/>
      <c r="AJ635" s="827"/>
      <c r="AK635" s="818"/>
      <c r="AL635" s="827"/>
      <c r="AM635" s="827"/>
      <c r="AN635" s="808"/>
      <c r="AO635" s="797"/>
      <c r="AP635" s="797"/>
      <c r="AQ635" s="806"/>
      <c r="AR635" s="806"/>
      <c r="AS635" s="806"/>
      <c r="AT635" s="806"/>
      <c r="AU635" s="806"/>
      <c r="AV635" s="806"/>
      <c r="AW635" s="806"/>
      <c r="AX635" s="797"/>
      <c r="AY635" s="839"/>
    </row>
    <row r="636" spans="1:51" ht="27" x14ac:dyDescent="0.25">
      <c r="A636" s="815"/>
      <c r="B636" s="1043"/>
      <c r="C636" s="818"/>
      <c r="D636" s="136" t="s">
        <v>42</v>
      </c>
      <c r="E636" s="251" t="e">
        <f>+[5]INVERSIÓN!U42</f>
        <v>#REF!</v>
      </c>
      <c r="F636" s="251" t="e">
        <f>+[5]INVERSIÓN!V42</f>
        <v>#REF!</v>
      </c>
      <c r="G636" s="207" t="e">
        <f>+[5]INVERSIÓN!V42</f>
        <v>#REF!</v>
      </c>
      <c r="H636" s="207" t="e">
        <f>+[5]INVERSIÓN!X42</f>
        <v>#REF!</v>
      </c>
      <c r="I636" s="207" t="e">
        <f>+#REF!</f>
        <v>#REF!</v>
      </c>
      <c r="J636" s="208" t="e">
        <f>+#REF!</f>
        <v>#REF!</v>
      </c>
      <c r="K636" s="182"/>
      <c r="L636" s="183"/>
      <c r="M636" s="208" t="e">
        <f t="shared" si="60"/>
        <v>#REF!</v>
      </c>
      <c r="N636" s="138">
        <f>+[6]INVERSIÓN!K42</f>
        <v>0</v>
      </c>
      <c r="O636" s="138">
        <f>+[6]INVERSIÓN!M42</f>
        <v>0</v>
      </c>
      <c r="P636" s="138" t="e">
        <f>+[5]INVERSIÓN!O42</f>
        <v>#REF!</v>
      </c>
      <c r="Q636" s="138" t="e">
        <f>+[5]INVERSIÓN!Q42</f>
        <v>#REF!</v>
      </c>
      <c r="R636" s="147" t="e">
        <f>+[5]INVERSIÓN!S42</f>
        <v>#REF!</v>
      </c>
      <c r="S636" s="253"/>
      <c r="T636" s="174">
        <v>0</v>
      </c>
      <c r="U636" s="174">
        <v>0</v>
      </c>
      <c r="V636" s="174" t="e">
        <f>+#REF!</f>
        <v>#REF!</v>
      </c>
      <c r="W636" s="175" t="e">
        <f>+#REF!</f>
        <v>#REF!</v>
      </c>
      <c r="X636" s="177"/>
      <c r="Y636" s="177"/>
      <c r="Z636" s="177">
        <f>+[6]INVERSIÓN!J42</f>
        <v>0</v>
      </c>
      <c r="AA636" s="178">
        <f>+[6]INVERSIÓN!DX42</f>
        <v>0</v>
      </c>
      <c r="AB636" s="209">
        <f>+[6]INVERSIÓN!DY42</f>
        <v>0</v>
      </c>
      <c r="AC636" s="129" t="e">
        <f>+[5]INVERSIÓN!DZ42</f>
        <v>#REF!</v>
      </c>
      <c r="AD636" s="178" t="e">
        <f>+[5]INVERSIÓN!R42</f>
        <v>#REF!</v>
      </c>
      <c r="AE636" s="246" t="e">
        <f>+[5]INVERSIÓN!EB42</f>
        <v>#REF!</v>
      </c>
      <c r="AF636" s="305"/>
      <c r="AG636" s="817"/>
      <c r="AH636" s="827"/>
      <c r="AI636" s="827"/>
      <c r="AJ636" s="827"/>
      <c r="AK636" s="818"/>
      <c r="AL636" s="827"/>
      <c r="AM636" s="827"/>
      <c r="AN636" s="808"/>
      <c r="AO636" s="797"/>
      <c r="AP636" s="797"/>
      <c r="AQ636" s="806"/>
      <c r="AR636" s="806"/>
      <c r="AS636" s="806"/>
      <c r="AT636" s="806"/>
      <c r="AU636" s="806"/>
      <c r="AV636" s="806"/>
      <c r="AW636" s="806"/>
      <c r="AX636" s="797"/>
      <c r="AY636" s="839"/>
    </row>
    <row r="637" spans="1:51" ht="28.9" customHeight="1" x14ac:dyDescent="0.25">
      <c r="A637" s="815"/>
      <c r="B637" s="1043"/>
      <c r="C637" s="818"/>
      <c r="D637" s="132" t="s">
        <v>4</v>
      </c>
      <c r="E637" s="251">
        <f>+[5]INVERSIÓN!U43</f>
        <v>30874233</v>
      </c>
      <c r="F637" s="251">
        <f>+[5]INVERSIÓN!V43</f>
        <v>30874233</v>
      </c>
      <c r="G637" s="207">
        <f>+[5]INVERSIÓN!V43</f>
        <v>30874233</v>
      </c>
      <c r="H637" s="207">
        <f>+[5]INVERSIÓN!X43</f>
        <v>30874233</v>
      </c>
      <c r="I637" s="207" t="e">
        <f>+#REF!</f>
        <v>#REF!</v>
      </c>
      <c r="J637" s="208" t="e">
        <f>+#REF!</f>
        <v>#REF!</v>
      </c>
      <c r="K637" s="182"/>
      <c r="L637" s="183"/>
      <c r="M637" s="208">
        <f t="shared" si="60"/>
        <v>30874233</v>
      </c>
      <c r="N637" s="138">
        <f>+[6]INVERSIÓN!K43</f>
        <v>0</v>
      </c>
      <c r="O637" s="138">
        <f>+[6]INVERSIÓN!M43</f>
        <v>0</v>
      </c>
      <c r="P637" s="138" t="e">
        <f>+[5]INVERSIÓN!O43</f>
        <v>#REF!</v>
      </c>
      <c r="Q637" s="138" t="e">
        <f>+[5]INVERSIÓN!Q43</f>
        <v>#REF!</v>
      </c>
      <c r="R637" s="147" t="e">
        <f>+[5]INVERSIÓN!S43</f>
        <v>#REF!</v>
      </c>
      <c r="S637" s="253"/>
      <c r="T637" s="174">
        <f>+[5]INVERSIÓN!W43</f>
        <v>13317533</v>
      </c>
      <c r="U637" s="174">
        <f>+[5]INVERSIÓN!DR43</f>
        <v>30874233</v>
      </c>
      <c r="V637" s="174" t="e">
        <f>+#REF!</f>
        <v>#REF!</v>
      </c>
      <c r="W637" s="175" t="e">
        <f>+#REF!</f>
        <v>#REF!</v>
      </c>
      <c r="X637" s="177"/>
      <c r="Y637" s="177"/>
      <c r="Z637" s="177">
        <f>+[6]INVERSIÓN!J43</f>
        <v>0</v>
      </c>
      <c r="AA637" s="178">
        <f>+[6]INVERSIÓN!DX43</f>
        <v>0</v>
      </c>
      <c r="AB637" s="209">
        <f>+[6]INVERSIÓN!DY43</f>
        <v>0</v>
      </c>
      <c r="AC637" s="129" t="e">
        <f>+[5]INVERSIÓN!DZ43</f>
        <v>#REF!</v>
      </c>
      <c r="AD637" s="178" t="e">
        <f>+[5]INVERSIÓN!R43</f>
        <v>#REF!</v>
      </c>
      <c r="AE637" s="246" t="e">
        <f>+[5]INVERSIÓN!EB43</f>
        <v>#REF!</v>
      </c>
      <c r="AF637" s="305"/>
      <c r="AG637" s="817"/>
      <c r="AH637" s="827"/>
      <c r="AI637" s="827"/>
      <c r="AJ637" s="827"/>
      <c r="AK637" s="818"/>
      <c r="AL637" s="827"/>
      <c r="AM637" s="827"/>
      <c r="AN637" s="808"/>
      <c r="AO637" s="797"/>
      <c r="AP637" s="797"/>
      <c r="AQ637" s="806"/>
      <c r="AR637" s="806"/>
      <c r="AS637" s="806"/>
      <c r="AT637" s="806"/>
      <c r="AU637" s="806"/>
      <c r="AV637" s="806"/>
      <c r="AW637" s="806"/>
      <c r="AX637" s="797"/>
      <c r="AY637" s="839"/>
    </row>
    <row r="638" spans="1:51" ht="28.5" customHeight="1" x14ac:dyDescent="0.25">
      <c r="A638" s="815"/>
      <c r="B638" s="1043"/>
      <c r="C638" s="818"/>
      <c r="D638" s="136" t="s">
        <v>43</v>
      </c>
      <c r="E638" s="251">
        <f>+[5]INVERSIÓN!U44</f>
        <v>20</v>
      </c>
      <c r="F638" s="251">
        <f>+[5]INVERSIÓN!V44</f>
        <v>20</v>
      </c>
      <c r="G638" s="207">
        <f>+[5]INVERSIÓN!V44</f>
        <v>20</v>
      </c>
      <c r="H638" s="207">
        <f>+[5]INVERSIÓN!X44</f>
        <v>20</v>
      </c>
      <c r="I638" s="207" t="e">
        <f>+#REF!</f>
        <v>#REF!</v>
      </c>
      <c r="J638" s="208" t="e">
        <f>+#REF!</f>
        <v>#REF!</v>
      </c>
      <c r="K638" s="211"/>
      <c r="L638" s="208"/>
      <c r="M638" s="208">
        <f t="shared" si="60"/>
        <v>20</v>
      </c>
      <c r="N638" s="138">
        <f>+[6]INVERSIÓN!K44</f>
        <v>10</v>
      </c>
      <c r="O638" s="138">
        <f>+[6]INVERSIÓN!M44</f>
        <v>10</v>
      </c>
      <c r="P638" s="138">
        <f>+[5]INVERSIÓN!O44</f>
        <v>10</v>
      </c>
      <c r="Q638" s="138">
        <f>+[5]INVERSIÓN!Q44</f>
        <v>10</v>
      </c>
      <c r="R638" s="147">
        <f>+[5]INVERSIÓN!S44</f>
        <v>10</v>
      </c>
      <c r="S638" s="253"/>
      <c r="T638" s="174">
        <f>+[5]INVERSIÓN!W44</f>
        <v>1</v>
      </c>
      <c r="U638" s="174">
        <f>+[5]INVERSIÓN!DR44</f>
        <v>2</v>
      </c>
      <c r="V638" s="174" t="e">
        <f>+#REF!</f>
        <v>#REF!</v>
      </c>
      <c r="W638" s="175" t="e">
        <f>+#REF!</f>
        <v>#REF!</v>
      </c>
      <c r="X638" s="152"/>
      <c r="Y638" s="152"/>
      <c r="Z638" s="177">
        <f>+[6]INVERSIÓN!J44</f>
        <v>2</v>
      </c>
      <c r="AA638" s="178">
        <f>+[6]INVERSIÓN!DX44</f>
        <v>4</v>
      </c>
      <c r="AB638" s="209">
        <f>+[6]INVERSIÓN!DY44</f>
        <v>6</v>
      </c>
      <c r="AC638" s="129" t="e">
        <f>+[5]INVERSIÓN!DZ44</f>
        <v>#REF!</v>
      </c>
      <c r="AD638" s="178">
        <f>+[5]INVERSIÓN!R44</f>
        <v>9</v>
      </c>
      <c r="AE638" s="246" t="e">
        <f>+[5]INVERSIÓN!EB44</f>
        <v>#REF!</v>
      </c>
      <c r="AF638" s="305"/>
      <c r="AG638" s="817"/>
      <c r="AH638" s="827"/>
      <c r="AI638" s="827"/>
      <c r="AJ638" s="827"/>
      <c r="AK638" s="818"/>
      <c r="AL638" s="827"/>
      <c r="AM638" s="827"/>
      <c r="AN638" s="808"/>
      <c r="AO638" s="797"/>
      <c r="AP638" s="797"/>
      <c r="AQ638" s="806"/>
      <c r="AR638" s="806"/>
      <c r="AS638" s="806"/>
      <c r="AT638" s="806"/>
      <c r="AU638" s="806"/>
      <c r="AV638" s="806"/>
      <c r="AW638" s="806"/>
      <c r="AX638" s="797"/>
      <c r="AY638" s="839"/>
    </row>
    <row r="639" spans="1:51" ht="27.75" thickBot="1" x14ac:dyDescent="0.3">
      <c r="A639" s="815"/>
      <c r="B639" s="1043"/>
      <c r="C639" s="818"/>
      <c r="D639" s="140" t="s">
        <v>45</v>
      </c>
      <c r="E639" s="251">
        <f>+[5]INVERSIÓN!U45</f>
        <v>380713233</v>
      </c>
      <c r="F639" s="251">
        <f>+[5]INVERSIÓN!V45</f>
        <v>380713233</v>
      </c>
      <c r="G639" s="207">
        <f>+[5]INVERSIÓN!V45</f>
        <v>380713233</v>
      </c>
      <c r="H639" s="207">
        <f>+[5]INVERSIÓN!X45</f>
        <v>380713233</v>
      </c>
      <c r="I639" s="207" t="e">
        <f>+#REF!</f>
        <v>#REF!</v>
      </c>
      <c r="J639" s="208" t="e">
        <f>+#REF!</f>
        <v>#REF!</v>
      </c>
      <c r="K639" s="185"/>
      <c r="L639" s="186"/>
      <c r="M639" s="208">
        <f t="shared" si="60"/>
        <v>380713233</v>
      </c>
      <c r="N639" s="138">
        <f>+[6]INVERSIÓN!K45</f>
        <v>104955000</v>
      </c>
      <c r="O639" s="138">
        <f>+[6]INVERSIÓN!M45</f>
        <v>104955000</v>
      </c>
      <c r="P639" s="138">
        <f>+[5]INVERSIÓN!O45</f>
        <v>104955000</v>
      </c>
      <c r="Q639" s="138">
        <f>+[5]INVERSIÓN!Q45</f>
        <v>109624000</v>
      </c>
      <c r="R639" s="147">
        <f>+[5]INVERSIÓN!S45</f>
        <v>109624000</v>
      </c>
      <c r="S639" s="253"/>
      <c r="T639" s="174">
        <f>+[5]INVERSIÓN!W45</f>
        <v>13317533</v>
      </c>
      <c r="U639" s="174">
        <f>+[5]INVERSIÓN!DR45</f>
        <v>344664233</v>
      </c>
      <c r="V639" s="174" t="e">
        <f>+#REF!</f>
        <v>#REF!</v>
      </c>
      <c r="W639" s="175" t="e">
        <f>+#REF!</f>
        <v>#REF!</v>
      </c>
      <c r="X639" s="177"/>
      <c r="Y639" s="177"/>
      <c r="Z639" s="177">
        <f>+[6]INVERSIÓN!J45</f>
        <v>0</v>
      </c>
      <c r="AA639" s="178">
        <f>+[6]INVERSIÓN!DX45</f>
        <v>90696000</v>
      </c>
      <c r="AB639" s="209">
        <f>+[6]INVERSIÓN!DY45</f>
        <v>90696000</v>
      </c>
      <c r="AC639" s="129" t="e">
        <f>+[5]INVERSIÓN!DZ45</f>
        <v>#REF!</v>
      </c>
      <c r="AD639" s="178">
        <f>+[5]INVERSIÓN!R45</f>
        <v>90696000</v>
      </c>
      <c r="AE639" s="246" t="e">
        <f>+[5]INVERSIÓN!EB45</f>
        <v>#REF!</v>
      </c>
      <c r="AF639" s="305"/>
      <c r="AG639" s="817"/>
      <c r="AH639" s="827"/>
      <c r="AI639" s="827"/>
      <c r="AJ639" s="827"/>
      <c r="AK639" s="818"/>
      <c r="AL639" s="827"/>
      <c r="AM639" s="827"/>
      <c r="AN639" s="808"/>
      <c r="AO639" s="798"/>
      <c r="AP639" s="798"/>
      <c r="AQ639" s="806"/>
      <c r="AR639" s="806"/>
      <c r="AS639" s="806"/>
      <c r="AT639" s="806"/>
      <c r="AU639" s="806"/>
      <c r="AV639" s="806"/>
      <c r="AW639" s="806"/>
      <c r="AX639" s="798"/>
      <c r="AY639" s="839"/>
    </row>
    <row r="640" spans="1:51" ht="25.5" customHeight="1" x14ac:dyDescent="0.25">
      <c r="A640" s="815"/>
      <c r="B640" s="1043"/>
      <c r="C640" s="811" t="s">
        <v>319</v>
      </c>
      <c r="D640" s="141" t="s">
        <v>41</v>
      </c>
      <c r="E640" s="251"/>
      <c r="F640" s="251"/>
      <c r="G640" s="237"/>
      <c r="H640" s="237"/>
      <c r="I640" s="237"/>
      <c r="J640" s="186">
        <v>1</v>
      </c>
      <c r="K640" s="185">
        <v>2</v>
      </c>
      <c r="L640" s="186"/>
      <c r="M640" s="208"/>
      <c r="N640" s="138"/>
      <c r="O640" s="138"/>
      <c r="P640" s="186">
        <v>1</v>
      </c>
      <c r="Q640" s="186">
        <v>2</v>
      </c>
      <c r="R640" s="175">
        <v>2</v>
      </c>
      <c r="S640" s="252" t="s">
        <v>683</v>
      </c>
      <c r="T640" s="174"/>
      <c r="U640" s="174"/>
      <c r="V640" s="174"/>
      <c r="W640" s="175">
        <v>1</v>
      </c>
      <c r="X640" s="177">
        <v>2</v>
      </c>
      <c r="Y640" s="177"/>
      <c r="Z640" s="177"/>
      <c r="AA640" s="178"/>
      <c r="AB640" s="209"/>
      <c r="AC640" s="254">
        <v>1</v>
      </c>
      <c r="AD640" s="255">
        <v>2</v>
      </c>
      <c r="AE640" s="180">
        <v>2</v>
      </c>
      <c r="AF640" s="256"/>
      <c r="AG640" s="1077" t="s">
        <v>319</v>
      </c>
      <c r="AH640" s="1078" t="s">
        <v>685</v>
      </c>
      <c r="AI640" s="1078" t="s">
        <v>686</v>
      </c>
      <c r="AJ640" s="884" t="s">
        <v>687</v>
      </c>
      <c r="AK640" s="818" t="s">
        <v>315</v>
      </c>
      <c r="AL640" s="1070" t="s">
        <v>225</v>
      </c>
      <c r="AM640" s="827" t="s">
        <v>547</v>
      </c>
      <c r="AN640" s="1062">
        <v>563173</v>
      </c>
      <c r="AO640" s="1063">
        <v>5</v>
      </c>
      <c r="AP640" s="1063">
        <v>4</v>
      </c>
      <c r="AQ640" s="806" t="s">
        <v>317</v>
      </c>
      <c r="AR640" s="806" t="s">
        <v>317</v>
      </c>
      <c r="AS640" s="806" t="s">
        <v>317</v>
      </c>
      <c r="AT640" s="806" t="s">
        <v>317</v>
      </c>
      <c r="AU640" s="806" t="s">
        <v>317</v>
      </c>
      <c r="AV640" s="806" t="s">
        <v>317</v>
      </c>
      <c r="AW640" s="806" t="s">
        <v>317</v>
      </c>
      <c r="AX640" s="796">
        <v>7715777</v>
      </c>
      <c r="AY640" s="780" t="s">
        <v>688</v>
      </c>
    </row>
    <row r="641" spans="1:51" ht="26.25" customHeight="1" x14ac:dyDescent="0.25">
      <c r="A641" s="815"/>
      <c r="B641" s="1043"/>
      <c r="C641" s="812"/>
      <c r="D641" s="132" t="s">
        <v>3</v>
      </c>
      <c r="E641" s="251"/>
      <c r="F641" s="251"/>
      <c r="G641" s="237"/>
      <c r="H641" s="237"/>
      <c r="I641" s="237"/>
      <c r="J641" s="186" t="e">
        <f>+J640*$J$635/$J$634</f>
        <v>#REF!</v>
      </c>
      <c r="K641" s="185"/>
      <c r="L641" s="186"/>
      <c r="M641" s="208"/>
      <c r="N641" s="138"/>
      <c r="O641" s="138"/>
      <c r="P641" s="186">
        <f ca="1">+P640*$P$641/$P$640</f>
        <v>10495500</v>
      </c>
      <c r="Q641" s="186">
        <f ca="1">+Q640*$Q$641/$Q$640</f>
        <v>21924800</v>
      </c>
      <c r="R641" s="186">
        <f ca="1">+R640*$R$641/$R$640</f>
        <v>21924800</v>
      </c>
      <c r="S641" s="310"/>
      <c r="T641" s="174"/>
      <c r="U641" s="174"/>
      <c r="V641" s="174"/>
      <c r="W641" s="186" t="e">
        <f>+W640*$W$635/$W$634</f>
        <v>#REF!</v>
      </c>
      <c r="X641" s="177"/>
      <c r="Y641" s="177"/>
      <c r="Z641" s="177"/>
      <c r="AA641" s="178"/>
      <c r="AB641" s="209"/>
      <c r="AC641" s="254">
        <v>1</v>
      </c>
      <c r="AD641" s="255">
        <v>2</v>
      </c>
      <c r="AE641" s="180">
        <v>2</v>
      </c>
      <c r="AF641" s="307" t="s">
        <v>596</v>
      </c>
      <c r="AG641" s="1077"/>
      <c r="AH641" s="1078"/>
      <c r="AI641" s="1078"/>
      <c r="AJ641" s="885"/>
      <c r="AK641" s="818"/>
      <c r="AL641" s="1070"/>
      <c r="AM641" s="827"/>
      <c r="AN641" s="1062"/>
      <c r="AO641" s="1063"/>
      <c r="AP641" s="1063"/>
      <c r="AQ641" s="806"/>
      <c r="AR641" s="806"/>
      <c r="AS641" s="806"/>
      <c r="AT641" s="806"/>
      <c r="AU641" s="806"/>
      <c r="AV641" s="806"/>
      <c r="AW641" s="806"/>
      <c r="AX641" s="797"/>
      <c r="AY641" s="781"/>
    </row>
    <row r="642" spans="1:51" ht="27.75" customHeight="1" x14ac:dyDescent="0.25">
      <c r="A642" s="815"/>
      <c r="B642" s="1043"/>
      <c r="C642" s="812"/>
      <c r="D642" s="136" t="s">
        <v>42</v>
      </c>
      <c r="E642" s="251"/>
      <c r="F642" s="251"/>
      <c r="G642" s="237"/>
      <c r="H642" s="237"/>
      <c r="I642" s="237"/>
      <c r="J642" s="186"/>
      <c r="K642" s="185"/>
      <c r="L642" s="186"/>
      <c r="M642" s="208"/>
      <c r="N642" s="138"/>
      <c r="O642" s="138"/>
      <c r="P642" s="186"/>
      <c r="Q642" s="186"/>
      <c r="R642" s="175"/>
      <c r="S642" s="310"/>
      <c r="T642" s="174"/>
      <c r="U642" s="174"/>
      <c r="V642" s="174"/>
      <c r="W642" s="175"/>
      <c r="X642" s="177"/>
      <c r="Y642" s="177"/>
      <c r="Z642" s="177"/>
      <c r="AA642" s="178"/>
      <c r="AB642" s="209"/>
      <c r="AC642" s="185" t="e">
        <f>+AC641*$AC$635/$AC$634</f>
        <v>#REF!</v>
      </c>
      <c r="AD642" s="185">
        <f>+AD641*$AD$635/$AD$634</f>
        <v>20154666.666666668</v>
      </c>
      <c r="AE642" s="185" t="e">
        <f>+AE641*$AE$635/$AE$634</f>
        <v>#REF!</v>
      </c>
      <c r="AF642" s="308"/>
      <c r="AG642" s="1077"/>
      <c r="AH642" s="1078"/>
      <c r="AI642" s="1078"/>
      <c r="AJ642" s="885"/>
      <c r="AK642" s="818"/>
      <c r="AL642" s="1070"/>
      <c r="AM642" s="827"/>
      <c r="AN642" s="1062"/>
      <c r="AO642" s="1063"/>
      <c r="AP642" s="1063"/>
      <c r="AQ642" s="806"/>
      <c r="AR642" s="806"/>
      <c r="AS642" s="806"/>
      <c r="AT642" s="806"/>
      <c r="AU642" s="806"/>
      <c r="AV642" s="806"/>
      <c r="AW642" s="806"/>
      <c r="AX642" s="797"/>
      <c r="AY642" s="781"/>
    </row>
    <row r="643" spans="1:51" ht="27.75" customHeight="1" x14ac:dyDescent="0.25">
      <c r="A643" s="815"/>
      <c r="B643" s="1043"/>
      <c r="C643" s="812"/>
      <c r="D643" s="132" t="s">
        <v>4</v>
      </c>
      <c r="E643" s="251"/>
      <c r="F643" s="251"/>
      <c r="G643" s="237"/>
      <c r="H643" s="237"/>
      <c r="I643" s="237"/>
      <c r="J643" s="186"/>
      <c r="K643" s="185"/>
      <c r="L643" s="186"/>
      <c r="M643" s="208"/>
      <c r="N643" s="138"/>
      <c r="O643" s="138"/>
      <c r="P643" s="186"/>
      <c r="Q643" s="186"/>
      <c r="R643" s="175"/>
      <c r="S643" s="310"/>
      <c r="T643" s="174"/>
      <c r="U643" s="174"/>
      <c r="V643" s="174"/>
      <c r="W643" s="175"/>
      <c r="X643" s="177"/>
      <c r="Y643" s="177"/>
      <c r="Z643" s="177"/>
      <c r="AA643" s="178"/>
      <c r="AB643" s="209"/>
      <c r="AC643" s="254"/>
      <c r="AD643" s="255"/>
      <c r="AE643" s="180"/>
      <c r="AF643" s="308"/>
      <c r="AG643" s="1077"/>
      <c r="AH643" s="1078"/>
      <c r="AI643" s="1078"/>
      <c r="AJ643" s="885"/>
      <c r="AK643" s="818"/>
      <c r="AL643" s="1070"/>
      <c r="AM643" s="827"/>
      <c r="AN643" s="1062"/>
      <c r="AO643" s="1063"/>
      <c r="AP643" s="1063"/>
      <c r="AQ643" s="806"/>
      <c r="AR643" s="806"/>
      <c r="AS643" s="806"/>
      <c r="AT643" s="806"/>
      <c r="AU643" s="806"/>
      <c r="AV643" s="806"/>
      <c r="AW643" s="806"/>
      <c r="AX643" s="797"/>
      <c r="AY643" s="781"/>
    </row>
    <row r="644" spans="1:51" ht="27.75" customHeight="1" x14ac:dyDescent="0.25">
      <c r="A644" s="815"/>
      <c r="B644" s="1043"/>
      <c r="C644" s="812"/>
      <c r="D644" s="136" t="s">
        <v>43</v>
      </c>
      <c r="E644" s="251"/>
      <c r="F644" s="251"/>
      <c r="G644" s="237"/>
      <c r="H644" s="237"/>
      <c r="I644" s="237"/>
      <c r="J644" s="186">
        <v>1</v>
      </c>
      <c r="K644" s="185">
        <v>2</v>
      </c>
      <c r="L644" s="186"/>
      <c r="M644" s="208"/>
      <c r="N644" s="138"/>
      <c r="O644" s="138"/>
      <c r="P644" s="186">
        <v>1</v>
      </c>
      <c r="Q644" s="186">
        <v>2</v>
      </c>
      <c r="R644" s="175">
        <v>2</v>
      </c>
      <c r="S644" s="310"/>
      <c r="T644" s="174"/>
      <c r="U644" s="174"/>
      <c r="V644" s="174"/>
      <c r="W644" s="175">
        <v>1</v>
      </c>
      <c r="X644" s="177">
        <v>2</v>
      </c>
      <c r="Y644" s="177"/>
      <c r="Z644" s="177"/>
      <c r="AA644" s="178"/>
      <c r="AB644" s="209"/>
      <c r="AC644" s="254"/>
      <c r="AD644" s="255"/>
      <c r="AE644" s="180"/>
      <c r="AF644" s="308"/>
      <c r="AG644" s="1077"/>
      <c r="AH644" s="1078"/>
      <c r="AI644" s="1078"/>
      <c r="AJ644" s="885"/>
      <c r="AK644" s="818"/>
      <c r="AL644" s="1070"/>
      <c r="AM644" s="827"/>
      <c r="AN644" s="1062"/>
      <c r="AO644" s="1063"/>
      <c r="AP644" s="1063"/>
      <c r="AQ644" s="806"/>
      <c r="AR644" s="806"/>
      <c r="AS644" s="806"/>
      <c r="AT644" s="806"/>
      <c r="AU644" s="806"/>
      <c r="AV644" s="806"/>
      <c r="AW644" s="806"/>
      <c r="AX644" s="797"/>
      <c r="AY644" s="781"/>
    </row>
    <row r="645" spans="1:51" ht="27.75" customHeight="1" thickBot="1" x14ac:dyDescent="0.3">
      <c r="A645" s="815"/>
      <c r="B645" s="1043"/>
      <c r="C645" s="813"/>
      <c r="D645" s="140" t="s">
        <v>45</v>
      </c>
      <c r="E645" s="251"/>
      <c r="F645" s="251"/>
      <c r="G645" s="237"/>
      <c r="H645" s="237"/>
      <c r="I645" s="237"/>
      <c r="J645" s="186" t="e">
        <f>+J644*$J$635/$J$634</f>
        <v>#REF!</v>
      </c>
      <c r="K645" s="185"/>
      <c r="L645" s="186"/>
      <c r="M645" s="208"/>
      <c r="N645" s="138"/>
      <c r="O645" s="138"/>
      <c r="P645" s="186">
        <f>+P644*$P$635/$P$634</f>
        <v>10495500</v>
      </c>
      <c r="Q645" s="186">
        <f>+Q644*$Q$635/$Q$634</f>
        <v>21924800</v>
      </c>
      <c r="R645" s="186">
        <f>+R644*$R$635/$R$634</f>
        <v>21924800</v>
      </c>
      <c r="S645" s="177"/>
      <c r="T645" s="174"/>
      <c r="U645" s="174"/>
      <c r="V645" s="174"/>
      <c r="W645" s="186" t="e">
        <f>+W644*$W$635/$W$634</f>
        <v>#REF!</v>
      </c>
      <c r="X645" s="177"/>
      <c r="Y645" s="177"/>
      <c r="Z645" s="177"/>
      <c r="AA645" s="178"/>
      <c r="AB645" s="209"/>
      <c r="AC645" s="254">
        <v>1</v>
      </c>
      <c r="AD645" s="255">
        <v>2</v>
      </c>
      <c r="AE645" s="180">
        <v>2</v>
      </c>
      <c r="AF645" s="308"/>
      <c r="AG645" s="1077"/>
      <c r="AH645" s="1078"/>
      <c r="AI645" s="1078"/>
      <c r="AJ645" s="886"/>
      <c r="AK645" s="818"/>
      <c r="AL645" s="1070"/>
      <c r="AM645" s="827"/>
      <c r="AN645" s="1062"/>
      <c r="AO645" s="1063"/>
      <c r="AP645" s="1063"/>
      <c r="AQ645" s="806"/>
      <c r="AR645" s="806"/>
      <c r="AS645" s="806"/>
      <c r="AT645" s="806"/>
      <c r="AU645" s="806"/>
      <c r="AV645" s="806"/>
      <c r="AW645" s="806"/>
      <c r="AX645" s="798"/>
      <c r="AY645" s="782"/>
    </row>
    <row r="646" spans="1:51" ht="24" hidden="1" customHeight="1" x14ac:dyDescent="0.25">
      <c r="A646" s="815"/>
      <c r="B646" s="1043"/>
      <c r="C646" s="811" t="s">
        <v>394</v>
      </c>
      <c r="D646" s="141" t="s">
        <v>41</v>
      </c>
      <c r="E646" s="251"/>
      <c r="F646" s="251"/>
      <c r="G646" s="237"/>
      <c r="H646" s="237"/>
      <c r="I646" s="237"/>
      <c r="J646" s="186"/>
      <c r="K646" s="185"/>
      <c r="L646" s="186"/>
      <c r="M646" s="208"/>
      <c r="N646" s="138"/>
      <c r="O646" s="138"/>
      <c r="P646" s="186"/>
      <c r="Q646" s="186"/>
      <c r="R646" s="175">
        <v>1</v>
      </c>
      <c r="S646" s="177"/>
      <c r="T646" s="174"/>
      <c r="U646" s="174"/>
      <c r="V646" s="174"/>
      <c r="W646" s="175"/>
      <c r="X646" s="177"/>
      <c r="Y646" s="177"/>
      <c r="Z646" s="177"/>
      <c r="AA646" s="178"/>
      <c r="AB646" s="209"/>
      <c r="AC646" s="185" t="e">
        <f>+AC645*$AC$635/$AC$634</f>
        <v>#REF!</v>
      </c>
      <c r="AD646" s="185">
        <f>+AD645*$AD$635/$AD$634</f>
        <v>20154666.666666668</v>
      </c>
      <c r="AE646" s="185" t="e">
        <f>+AE645*$AE$635/$AE$634</f>
        <v>#REF!</v>
      </c>
      <c r="AF646" s="309"/>
      <c r="AG646" s="1064" t="s">
        <v>394</v>
      </c>
      <c r="AH646" s="1067" t="s">
        <v>70</v>
      </c>
      <c r="AI646" s="1067" t="s">
        <v>70</v>
      </c>
      <c r="AJ646" s="1067" t="s">
        <v>70</v>
      </c>
      <c r="AK646" s="777" t="s">
        <v>315</v>
      </c>
      <c r="AL646" s="1067" t="s">
        <v>225</v>
      </c>
      <c r="AM646" s="774" t="s">
        <v>547</v>
      </c>
      <c r="AN646" s="1071">
        <v>251571</v>
      </c>
      <c r="AO646" s="1074">
        <v>118748</v>
      </c>
      <c r="AP646" s="1074">
        <v>132822</v>
      </c>
      <c r="AQ646" s="806" t="s">
        <v>317</v>
      </c>
      <c r="AR646" s="806" t="s">
        <v>317</v>
      </c>
      <c r="AS646" s="806" t="s">
        <v>317</v>
      </c>
      <c r="AT646" s="806" t="s">
        <v>317</v>
      </c>
      <c r="AU646" s="806" t="s">
        <v>317</v>
      </c>
      <c r="AV646" s="806" t="s">
        <v>317</v>
      </c>
      <c r="AW646" s="806" t="s">
        <v>317</v>
      </c>
      <c r="AX646" s="796">
        <v>7715777</v>
      </c>
      <c r="AY646" s="839" t="s">
        <v>597</v>
      </c>
    </row>
    <row r="647" spans="1:51" ht="37.5" hidden="1" customHeight="1" x14ac:dyDescent="0.25">
      <c r="A647" s="815"/>
      <c r="B647" s="1043"/>
      <c r="C647" s="812"/>
      <c r="D647" s="132" t="s">
        <v>3</v>
      </c>
      <c r="E647" s="251"/>
      <c r="F647" s="251"/>
      <c r="G647" s="237"/>
      <c r="H647" s="237"/>
      <c r="I647" s="237"/>
      <c r="J647" s="186"/>
      <c r="K647" s="185"/>
      <c r="L647" s="186"/>
      <c r="M647" s="208"/>
      <c r="N647" s="138"/>
      <c r="O647" s="138"/>
      <c r="P647" s="186"/>
      <c r="Q647" s="186"/>
      <c r="R647" s="186">
        <f>+R646*$R$635/$R$634</f>
        <v>10962400</v>
      </c>
      <c r="S647" s="177"/>
      <c r="T647" s="174"/>
      <c r="U647" s="174"/>
      <c r="V647" s="174"/>
      <c r="W647" s="175">
        <f>+[7]TERRITORIALIZACIÓN!$W$640</f>
        <v>5</v>
      </c>
      <c r="X647" s="177"/>
      <c r="Y647" s="177"/>
      <c r="Z647" s="177"/>
      <c r="AA647" s="178"/>
      <c r="AB647" s="209"/>
      <c r="AC647" s="185"/>
      <c r="AD647" s="255"/>
      <c r="AE647" s="185" t="e">
        <f>+AE646*$AE$635/$AE$634</f>
        <v>#REF!</v>
      </c>
      <c r="AF647" s="257"/>
      <c r="AG647" s="1065"/>
      <c r="AH647" s="1068"/>
      <c r="AI647" s="1068"/>
      <c r="AJ647" s="1068"/>
      <c r="AK647" s="778"/>
      <c r="AL647" s="1068"/>
      <c r="AM647" s="775"/>
      <c r="AN647" s="1072"/>
      <c r="AO647" s="1075"/>
      <c r="AP647" s="1075"/>
      <c r="AQ647" s="806"/>
      <c r="AR647" s="806"/>
      <c r="AS647" s="806"/>
      <c r="AT647" s="806"/>
      <c r="AU647" s="806"/>
      <c r="AV647" s="806"/>
      <c r="AW647" s="806"/>
      <c r="AX647" s="797"/>
      <c r="AY647" s="839"/>
    </row>
    <row r="648" spans="1:51" ht="27.75" hidden="1" customHeight="1" x14ac:dyDescent="0.25">
      <c r="A648" s="815"/>
      <c r="B648" s="1043"/>
      <c r="C648" s="812"/>
      <c r="D648" s="136" t="s">
        <v>42</v>
      </c>
      <c r="E648" s="251"/>
      <c r="F648" s="251"/>
      <c r="G648" s="237"/>
      <c r="H648" s="237"/>
      <c r="I648" s="237"/>
      <c r="J648" s="186"/>
      <c r="K648" s="185"/>
      <c r="L648" s="186"/>
      <c r="M648" s="208"/>
      <c r="N648" s="138"/>
      <c r="O648" s="138"/>
      <c r="P648" s="186"/>
      <c r="Q648" s="186"/>
      <c r="R648" s="175"/>
      <c r="S648" s="177"/>
      <c r="T648" s="174"/>
      <c r="U648" s="174"/>
      <c r="V648" s="174"/>
      <c r="W648" s="175">
        <f>+[7]TERRITORIALIZACIÓN!$W$640</f>
        <v>5</v>
      </c>
      <c r="X648" s="177"/>
      <c r="Y648" s="177"/>
      <c r="Z648" s="177"/>
      <c r="AA648" s="178"/>
      <c r="AB648" s="209"/>
      <c r="AC648" s="185"/>
      <c r="AD648" s="255"/>
      <c r="AE648" s="180"/>
      <c r="AF648" s="257"/>
      <c r="AG648" s="1065"/>
      <c r="AH648" s="1068"/>
      <c r="AI648" s="1068"/>
      <c r="AJ648" s="1068"/>
      <c r="AK648" s="778"/>
      <c r="AL648" s="1068"/>
      <c r="AM648" s="775"/>
      <c r="AN648" s="1072"/>
      <c r="AO648" s="1075"/>
      <c r="AP648" s="1075"/>
      <c r="AQ648" s="806"/>
      <c r="AR648" s="806"/>
      <c r="AS648" s="806"/>
      <c r="AT648" s="806"/>
      <c r="AU648" s="806"/>
      <c r="AV648" s="806"/>
      <c r="AW648" s="806"/>
      <c r="AX648" s="797"/>
      <c r="AY648" s="839"/>
    </row>
    <row r="649" spans="1:51" ht="27.75" hidden="1" customHeight="1" x14ac:dyDescent="0.25">
      <c r="A649" s="815"/>
      <c r="B649" s="1043"/>
      <c r="C649" s="812"/>
      <c r="D649" s="132" t="s">
        <v>4</v>
      </c>
      <c r="E649" s="251"/>
      <c r="F649" s="251"/>
      <c r="G649" s="237"/>
      <c r="H649" s="237"/>
      <c r="I649" s="237"/>
      <c r="J649" s="186"/>
      <c r="K649" s="185"/>
      <c r="L649" s="186"/>
      <c r="M649" s="208"/>
      <c r="N649" s="138"/>
      <c r="O649" s="138"/>
      <c r="P649" s="186"/>
      <c r="Q649" s="186"/>
      <c r="R649" s="175"/>
      <c r="S649" s="177"/>
      <c r="T649" s="174"/>
      <c r="U649" s="174"/>
      <c r="V649" s="174"/>
      <c r="W649" s="175">
        <f>+[7]TERRITORIALIZACIÓN!$W$640</f>
        <v>5</v>
      </c>
      <c r="X649" s="177"/>
      <c r="Y649" s="177"/>
      <c r="Z649" s="177"/>
      <c r="AA649" s="178"/>
      <c r="AB649" s="209"/>
      <c r="AC649" s="185"/>
      <c r="AD649" s="255"/>
      <c r="AE649" s="180"/>
      <c r="AF649" s="257"/>
      <c r="AG649" s="1065"/>
      <c r="AH649" s="1068"/>
      <c r="AI649" s="1068"/>
      <c r="AJ649" s="1068"/>
      <c r="AK649" s="778"/>
      <c r="AL649" s="1068"/>
      <c r="AM649" s="775"/>
      <c r="AN649" s="1072"/>
      <c r="AO649" s="1075"/>
      <c r="AP649" s="1075"/>
      <c r="AQ649" s="806"/>
      <c r="AR649" s="806"/>
      <c r="AS649" s="806"/>
      <c r="AT649" s="806"/>
      <c r="AU649" s="806"/>
      <c r="AV649" s="806"/>
      <c r="AW649" s="806"/>
      <c r="AX649" s="797"/>
      <c r="AY649" s="839"/>
    </row>
    <row r="650" spans="1:51" ht="27.75" hidden="1" customHeight="1" x14ac:dyDescent="0.25">
      <c r="A650" s="815"/>
      <c r="B650" s="1043"/>
      <c r="C650" s="812"/>
      <c r="D650" s="136" t="s">
        <v>43</v>
      </c>
      <c r="E650" s="251"/>
      <c r="F650" s="251"/>
      <c r="G650" s="237"/>
      <c r="H650" s="237"/>
      <c r="I650" s="237"/>
      <c r="J650" s="186"/>
      <c r="K650" s="185"/>
      <c r="L650" s="186"/>
      <c r="M650" s="208"/>
      <c r="N650" s="138"/>
      <c r="O650" s="138"/>
      <c r="P650" s="186"/>
      <c r="Q650" s="186"/>
      <c r="R650" s="175">
        <v>1</v>
      </c>
      <c r="S650" s="177"/>
      <c r="T650" s="174"/>
      <c r="U650" s="174"/>
      <c r="V650" s="174"/>
      <c r="W650" s="175">
        <f>+[7]TERRITORIALIZACIÓN!$W$640</f>
        <v>5</v>
      </c>
      <c r="X650" s="177"/>
      <c r="Y650" s="177"/>
      <c r="Z650" s="177"/>
      <c r="AA650" s="178"/>
      <c r="AB650" s="209"/>
      <c r="AC650" s="185"/>
      <c r="AD650" s="255"/>
      <c r="AE650" s="180">
        <v>1</v>
      </c>
      <c r="AF650" s="257"/>
      <c r="AG650" s="1065"/>
      <c r="AH650" s="1068"/>
      <c r="AI650" s="1068"/>
      <c r="AJ650" s="1068"/>
      <c r="AK650" s="778"/>
      <c r="AL650" s="1068"/>
      <c r="AM650" s="775"/>
      <c r="AN650" s="1072"/>
      <c r="AO650" s="1075"/>
      <c r="AP650" s="1075"/>
      <c r="AQ650" s="806"/>
      <c r="AR650" s="806"/>
      <c r="AS650" s="806"/>
      <c r="AT650" s="806"/>
      <c r="AU650" s="806"/>
      <c r="AV650" s="806"/>
      <c r="AW650" s="806"/>
      <c r="AX650" s="797"/>
      <c r="AY650" s="839"/>
    </row>
    <row r="651" spans="1:51" ht="27.75" hidden="1" customHeight="1" thickBot="1" x14ac:dyDescent="0.3">
      <c r="A651" s="815"/>
      <c r="B651" s="1043"/>
      <c r="C651" s="813"/>
      <c r="D651" s="140" t="s">
        <v>45</v>
      </c>
      <c r="E651" s="251"/>
      <c r="F651" s="251"/>
      <c r="G651" s="237"/>
      <c r="H651" s="237"/>
      <c r="I651" s="237"/>
      <c r="J651" s="186"/>
      <c r="K651" s="185"/>
      <c r="L651" s="186"/>
      <c r="M651" s="208"/>
      <c r="N651" s="138"/>
      <c r="O651" s="138"/>
      <c r="P651" s="186"/>
      <c r="Q651" s="186"/>
      <c r="R651" s="186">
        <f>+R650*$R$635/$R$634</f>
        <v>10962400</v>
      </c>
      <c r="S651" s="177"/>
      <c r="T651" s="174"/>
      <c r="U651" s="174"/>
      <c r="V651" s="174"/>
      <c r="W651" s="175">
        <f>+[7]TERRITORIALIZACIÓN!$W$640</f>
        <v>5</v>
      </c>
      <c r="X651" s="177"/>
      <c r="Y651" s="177"/>
      <c r="Z651" s="177"/>
      <c r="AA651" s="178"/>
      <c r="AB651" s="209"/>
      <c r="AC651" s="185"/>
      <c r="AD651" s="255"/>
      <c r="AE651" s="185" t="e">
        <f>+AE650*$AE$635/$AE$634</f>
        <v>#REF!</v>
      </c>
      <c r="AF651" s="257"/>
      <c r="AG651" s="1066"/>
      <c r="AH651" s="1069"/>
      <c r="AI651" s="1069"/>
      <c r="AJ651" s="1069"/>
      <c r="AK651" s="779"/>
      <c r="AL651" s="1069"/>
      <c r="AM651" s="776"/>
      <c r="AN651" s="1073"/>
      <c r="AO651" s="1076"/>
      <c r="AP651" s="1076"/>
      <c r="AQ651" s="806"/>
      <c r="AR651" s="806"/>
      <c r="AS651" s="806"/>
      <c r="AT651" s="806"/>
      <c r="AU651" s="806"/>
      <c r="AV651" s="806"/>
      <c r="AW651" s="806"/>
      <c r="AX651" s="798"/>
      <c r="AY651" s="839"/>
    </row>
    <row r="652" spans="1:51" ht="36" hidden="1" customHeight="1" x14ac:dyDescent="0.25">
      <c r="A652" s="815"/>
      <c r="B652" s="1043"/>
      <c r="C652" s="811" t="s">
        <v>329</v>
      </c>
      <c r="D652" s="141" t="s">
        <v>41</v>
      </c>
      <c r="E652" s="251"/>
      <c r="F652" s="251"/>
      <c r="G652" s="237"/>
      <c r="H652" s="237"/>
      <c r="I652" s="237"/>
      <c r="J652" s="186"/>
      <c r="K652" s="185"/>
      <c r="L652" s="186"/>
      <c r="M652" s="208"/>
      <c r="N652" s="138"/>
      <c r="O652" s="186">
        <v>1</v>
      </c>
      <c r="P652" s="186">
        <v>1</v>
      </c>
      <c r="Q652" s="186">
        <v>1</v>
      </c>
      <c r="R652" s="175">
        <v>1</v>
      </c>
      <c r="S652" s="177"/>
      <c r="T652" s="174"/>
      <c r="U652" s="174"/>
      <c r="V652" s="174"/>
      <c r="W652" s="175">
        <f>+[7]TERRITORIALIZACIÓN!$W$640</f>
        <v>5</v>
      </c>
      <c r="X652" s="177"/>
      <c r="Y652" s="177"/>
      <c r="Z652" s="177"/>
      <c r="AA652" s="178"/>
      <c r="AB652" s="209">
        <v>1</v>
      </c>
      <c r="AC652" s="254">
        <v>1</v>
      </c>
      <c r="AD652" s="255">
        <v>1</v>
      </c>
      <c r="AE652" s="180">
        <v>1</v>
      </c>
      <c r="AF652" s="257"/>
      <c r="AG652" s="1064" t="s">
        <v>329</v>
      </c>
      <c r="AH652" s="1070" t="s">
        <v>70</v>
      </c>
      <c r="AI652" s="1070" t="s">
        <v>70</v>
      </c>
      <c r="AJ652" s="1070" t="s">
        <v>70</v>
      </c>
      <c r="AK652" s="818" t="s">
        <v>315</v>
      </c>
      <c r="AL652" s="1070" t="s">
        <v>225</v>
      </c>
      <c r="AM652" s="827" t="s">
        <v>547</v>
      </c>
      <c r="AN652" s="1062">
        <v>18703</v>
      </c>
      <c r="AO652" s="1063">
        <v>9562</v>
      </c>
      <c r="AP652" s="1063">
        <v>9141</v>
      </c>
      <c r="AQ652" s="806" t="s">
        <v>317</v>
      </c>
      <c r="AR652" s="806" t="s">
        <v>317</v>
      </c>
      <c r="AS652" s="806" t="s">
        <v>317</v>
      </c>
      <c r="AT652" s="806" t="s">
        <v>317</v>
      </c>
      <c r="AU652" s="806" t="s">
        <v>317</v>
      </c>
      <c r="AV652" s="806" t="s">
        <v>317</v>
      </c>
      <c r="AW652" s="806" t="s">
        <v>317</v>
      </c>
      <c r="AX652" s="796">
        <v>7715778</v>
      </c>
      <c r="AY652" s="839" t="s">
        <v>595</v>
      </c>
    </row>
    <row r="653" spans="1:51" ht="18.75" hidden="1" customHeight="1" x14ac:dyDescent="0.25">
      <c r="A653" s="815"/>
      <c r="B653" s="1043"/>
      <c r="C653" s="812"/>
      <c r="D653" s="132" t="s">
        <v>3</v>
      </c>
      <c r="E653" s="251"/>
      <c r="F653" s="251"/>
      <c r="G653" s="237"/>
      <c r="H653" s="237"/>
      <c r="I653" s="237"/>
      <c r="J653" s="186"/>
      <c r="K653" s="185"/>
      <c r="L653" s="186"/>
      <c r="M653" s="208"/>
      <c r="N653" s="138"/>
      <c r="O653" s="186">
        <f>+O652*$O$635/$O$634</f>
        <v>10495500</v>
      </c>
      <c r="P653" s="186">
        <f>+P652*$P$635/$P$634</f>
        <v>10495500</v>
      </c>
      <c r="Q653" s="186">
        <f>+Q652*$Q$635/$Q$634</f>
        <v>10962400</v>
      </c>
      <c r="R653" s="186">
        <f>+R652*$R$635/$R$634</f>
        <v>10962400</v>
      </c>
      <c r="S653" s="177"/>
      <c r="T653" s="174"/>
      <c r="U653" s="174"/>
      <c r="V653" s="174"/>
      <c r="W653" s="175">
        <f>+[7]TERRITORIALIZACIÓN!$W$640</f>
        <v>5</v>
      </c>
      <c r="X653" s="177"/>
      <c r="Y653" s="177"/>
      <c r="Z653" s="177"/>
      <c r="AA653" s="178"/>
      <c r="AB653" s="185">
        <f>+AB652*$AB$635/$AB$634</f>
        <v>15116000</v>
      </c>
      <c r="AC653" s="185" t="e">
        <f>+AC652*$AC$635/$AC$634</f>
        <v>#REF!</v>
      </c>
      <c r="AD653" s="185">
        <f>+AD652*$AD$635/$AD$634</f>
        <v>10077333.333333334</v>
      </c>
      <c r="AE653" s="185" t="e">
        <f>+AE652*$AE$635/$AE$634</f>
        <v>#REF!</v>
      </c>
      <c r="AF653" s="257"/>
      <c r="AG653" s="1065"/>
      <c r="AH653" s="1070"/>
      <c r="AI653" s="1070"/>
      <c r="AJ653" s="1070"/>
      <c r="AK653" s="818"/>
      <c r="AL653" s="1070"/>
      <c r="AM653" s="827"/>
      <c r="AN653" s="1062"/>
      <c r="AO653" s="1063"/>
      <c r="AP653" s="1063"/>
      <c r="AQ653" s="806"/>
      <c r="AR653" s="806"/>
      <c r="AS653" s="806"/>
      <c r="AT653" s="806"/>
      <c r="AU653" s="806"/>
      <c r="AV653" s="806"/>
      <c r="AW653" s="806"/>
      <c r="AX653" s="797"/>
      <c r="AY653" s="839"/>
    </row>
    <row r="654" spans="1:51" ht="27.75" hidden="1" customHeight="1" x14ac:dyDescent="0.25">
      <c r="A654" s="815"/>
      <c r="B654" s="1043"/>
      <c r="C654" s="812"/>
      <c r="D654" s="136" t="s">
        <v>42</v>
      </c>
      <c r="E654" s="251"/>
      <c r="F654" s="251"/>
      <c r="G654" s="237"/>
      <c r="H654" s="237"/>
      <c r="I654" s="237"/>
      <c r="J654" s="186"/>
      <c r="K654" s="185"/>
      <c r="L654" s="186"/>
      <c r="M654" s="208"/>
      <c r="N654" s="138"/>
      <c r="O654" s="186"/>
      <c r="P654" s="186"/>
      <c r="Q654" s="186"/>
      <c r="R654" s="175"/>
      <c r="S654" s="177"/>
      <c r="T654" s="174"/>
      <c r="U654" s="174"/>
      <c r="V654" s="174"/>
      <c r="W654" s="175">
        <f>+[7]TERRITORIALIZACIÓN!$W$640</f>
        <v>5</v>
      </c>
      <c r="X654" s="177"/>
      <c r="Y654" s="177"/>
      <c r="Z654" s="177"/>
      <c r="AA654" s="178"/>
      <c r="AB654" s="209"/>
      <c r="AC654" s="254"/>
      <c r="AD654" s="255"/>
      <c r="AE654" s="180"/>
      <c r="AF654" s="257"/>
      <c r="AG654" s="1065"/>
      <c r="AH654" s="1070"/>
      <c r="AI654" s="1070"/>
      <c r="AJ654" s="1070"/>
      <c r="AK654" s="818"/>
      <c r="AL654" s="1070"/>
      <c r="AM654" s="827"/>
      <c r="AN654" s="1062"/>
      <c r="AO654" s="1063"/>
      <c r="AP654" s="1063"/>
      <c r="AQ654" s="806"/>
      <c r="AR654" s="806"/>
      <c r="AS654" s="806"/>
      <c r="AT654" s="806"/>
      <c r="AU654" s="806"/>
      <c r="AV654" s="806"/>
      <c r="AW654" s="806"/>
      <c r="AX654" s="797"/>
      <c r="AY654" s="839"/>
    </row>
    <row r="655" spans="1:51" ht="27.75" hidden="1" customHeight="1" x14ac:dyDescent="0.25">
      <c r="A655" s="815"/>
      <c r="B655" s="1043"/>
      <c r="C655" s="812"/>
      <c r="D655" s="132" t="s">
        <v>4</v>
      </c>
      <c r="E655" s="251"/>
      <c r="F655" s="251"/>
      <c r="G655" s="237"/>
      <c r="H655" s="237"/>
      <c r="I655" s="237"/>
      <c r="J655" s="186"/>
      <c r="K655" s="185"/>
      <c r="L655" s="186"/>
      <c r="M655" s="208"/>
      <c r="N655" s="138"/>
      <c r="O655" s="186"/>
      <c r="P655" s="186"/>
      <c r="Q655" s="186"/>
      <c r="R655" s="175"/>
      <c r="S655" s="177"/>
      <c r="T655" s="174"/>
      <c r="U655" s="174"/>
      <c r="V655" s="174"/>
      <c r="W655" s="175">
        <f>+[7]TERRITORIALIZACIÓN!$W$640</f>
        <v>5</v>
      </c>
      <c r="X655" s="177"/>
      <c r="Y655" s="177"/>
      <c r="Z655" s="177"/>
      <c r="AA655" s="178"/>
      <c r="AB655" s="209"/>
      <c r="AC655" s="254"/>
      <c r="AD655" s="255"/>
      <c r="AE655" s="180"/>
      <c r="AF655" s="257"/>
      <c r="AG655" s="1065"/>
      <c r="AH655" s="1070"/>
      <c r="AI655" s="1070"/>
      <c r="AJ655" s="1070"/>
      <c r="AK655" s="818"/>
      <c r="AL655" s="1070"/>
      <c r="AM655" s="827"/>
      <c r="AN655" s="1062"/>
      <c r="AO655" s="1063"/>
      <c r="AP655" s="1063"/>
      <c r="AQ655" s="806"/>
      <c r="AR655" s="806"/>
      <c r="AS655" s="806"/>
      <c r="AT655" s="806"/>
      <c r="AU655" s="806"/>
      <c r="AV655" s="806"/>
      <c r="AW655" s="806"/>
      <c r="AX655" s="797"/>
      <c r="AY655" s="839"/>
    </row>
    <row r="656" spans="1:51" ht="27.75" hidden="1" customHeight="1" x14ac:dyDescent="0.25">
      <c r="A656" s="815"/>
      <c r="B656" s="1043"/>
      <c r="C656" s="812"/>
      <c r="D656" s="136" t="s">
        <v>43</v>
      </c>
      <c r="E656" s="251"/>
      <c r="F656" s="251"/>
      <c r="G656" s="237"/>
      <c r="H656" s="237"/>
      <c r="I656" s="237"/>
      <c r="J656" s="186"/>
      <c r="K656" s="185"/>
      <c r="L656" s="186"/>
      <c r="M656" s="208"/>
      <c r="N656" s="138"/>
      <c r="O656" s="186">
        <f>+O652</f>
        <v>1</v>
      </c>
      <c r="P656" s="186">
        <v>1</v>
      </c>
      <c r="Q656" s="186">
        <v>1</v>
      </c>
      <c r="R656" s="175">
        <v>1</v>
      </c>
      <c r="S656" s="177"/>
      <c r="T656" s="174"/>
      <c r="U656" s="174"/>
      <c r="V656" s="174"/>
      <c r="W656" s="175">
        <f>+[7]TERRITORIALIZACIÓN!$W$640</f>
        <v>5</v>
      </c>
      <c r="X656" s="177"/>
      <c r="Y656" s="177"/>
      <c r="Z656" s="177"/>
      <c r="AA656" s="178"/>
      <c r="AB656" s="209">
        <f>+AB652</f>
        <v>1</v>
      </c>
      <c r="AC656" s="254">
        <v>1</v>
      </c>
      <c r="AD656" s="255">
        <v>1</v>
      </c>
      <c r="AE656" s="180">
        <v>1</v>
      </c>
      <c r="AF656" s="257"/>
      <c r="AG656" s="1065"/>
      <c r="AH656" s="1070"/>
      <c r="AI656" s="1070"/>
      <c r="AJ656" s="1070"/>
      <c r="AK656" s="818"/>
      <c r="AL656" s="1070"/>
      <c r="AM656" s="827"/>
      <c r="AN656" s="1062"/>
      <c r="AO656" s="1063"/>
      <c r="AP656" s="1063"/>
      <c r="AQ656" s="806"/>
      <c r="AR656" s="806"/>
      <c r="AS656" s="806"/>
      <c r="AT656" s="806"/>
      <c r="AU656" s="806"/>
      <c r="AV656" s="806"/>
      <c r="AW656" s="806"/>
      <c r="AX656" s="797"/>
      <c r="AY656" s="839"/>
    </row>
    <row r="657" spans="1:51" ht="27.75" hidden="1" customHeight="1" thickBot="1" x14ac:dyDescent="0.3">
      <c r="A657" s="815"/>
      <c r="B657" s="1043"/>
      <c r="C657" s="813"/>
      <c r="D657" s="140" t="s">
        <v>45</v>
      </c>
      <c r="E657" s="251"/>
      <c r="F657" s="251"/>
      <c r="G657" s="237"/>
      <c r="H657" s="237"/>
      <c r="I657" s="237"/>
      <c r="J657" s="186"/>
      <c r="K657" s="185"/>
      <c r="L657" s="186"/>
      <c r="M657" s="208"/>
      <c r="N657" s="138"/>
      <c r="O657" s="186">
        <f>+O653</f>
        <v>10495500</v>
      </c>
      <c r="P657" s="186">
        <f>+P656*$P$635/$P$634</f>
        <v>10495500</v>
      </c>
      <c r="Q657" s="186">
        <f>+Q656*$Q$635/$Q$634</f>
        <v>10962400</v>
      </c>
      <c r="R657" s="186">
        <f>+R656*$R$635/$R$634</f>
        <v>10962400</v>
      </c>
      <c r="S657" s="177"/>
      <c r="T657" s="174"/>
      <c r="U657" s="174"/>
      <c r="V657" s="174"/>
      <c r="W657" s="175">
        <f>+[7]TERRITORIALIZACIÓN!$W$640</f>
        <v>5</v>
      </c>
      <c r="X657" s="177"/>
      <c r="Y657" s="177"/>
      <c r="Z657" s="177"/>
      <c r="AA657" s="178"/>
      <c r="AB657" s="209">
        <f>+AB653</f>
        <v>15116000</v>
      </c>
      <c r="AC657" s="185" t="e">
        <f>+AC656*$AC$635/$AC$634</f>
        <v>#REF!</v>
      </c>
      <c r="AD657" s="185">
        <f>+AD656*$AD$635/$AD$634</f>
        <v>10077333.333333334</v>
      </c>
      <c r="AE657" s="185" t="e">
        <f>+AE656*$AE$635/$AE$634</f>
        <v>#REF!</v>
      </c>
      <c r="AF657" s="257"/>
      <c r="AG657" s="1066"/>
      <c r="AH657" s="1070"/>
      <c r="AI657" s="1070"/>
      <c r="AJ657" s="1070"/>
      <c r="AK657" s="818"/>
      <c r="AL657" s="1070"/>
      <c r="AM657" s="827"/>
      <c r="AN657" s="1062"/>
      <c r="AO657" s="1063"/>
      <c r="AP657" s="1063"/>
      <c r="AQ657" s="806"/>
      <c r="AR657" s="806"/>
      <c r="AS657" s="806"/>
      <c r="AT657" s="806"/>
      <c r="AU657" s="806"/>
      <c r="AV657" s="806"/>
      <c r="AW657" s="806"/>
      <c r="AX657" s="798"/>
      <c r="AY657" s="839"/>
    </row>
    <row r="658" spans="1:51" ht="36" customHeight="1" x14ac:dyDescent="0.25">
      <c r="A658" s="815"/>
      <c r="B658" s="1043"/>
      <c r="C658" s="811" t="s">
        <v>378</v>
      </c>
      <c r="D658" s="141" t="s">
        <v>41</v>
      </c>
      <c r="E658" s="251"/>
      <c r="F658" s="251"/>
      <c r="G658" s="174">
        <v>1</v>
      </c>
      <c r="H658" s="237">
        <v>1</v>
      </c>
      <c r="I658" s="237">
        <v>1</v>
      </c>
      <c r="J658" s="186">
        <v>2</v>
      </c>
      <c r="K658" s="185">
        <v>3</v>
      </c>
      <c r="L658" s="186"/>
      <c r="M658" s="208"/>
      <c r="N658" s="138"/>
      <c r="O658" s="186">
        <v>1</v>
      </c>
      <c r="P658" s="186">
        <v>2</v>
      </c>
      <c r="Q658" s="186">
        <v>2</v>
      </c>
      <c r="R658" s="175">
        <v>2</v>
      </c>
      <c r="S658" s="252" t="s">
        <v>683</v>
      </c>
      <c r="T658" s="174">
        <v>1</v>
      </c>
      <c r="U658" s="174">
        <v>1</v>
      </c>
      <c r="V658" s="174">
        <v>1</v>
      </c>
      <c r="W658" s="175">
        <v>2</v>
      </c>
      <c r="X658" s="177">
        <v>3</v>
      </c>
      <c r="Y658" s="177"/>
      <c r="Z658" s="177"/>
      <c r="AA658" s="178"/>
      <c r="AB658" s="209">
        <v>1</v>
      </c>
      <c r="AC658" s="254">
        <v>2</v>
      </c>
      <c r="AD658" s="255">
        <v>2</v>
      </c>
      <c r="AE658" s="180">
        <v>2</v>
      </c>
      <c r="AF658" s="307" t="s">
        <v>598</v>
      </c>
      <c r="AG658" s="1064" t="s">
        <v>378</v>
      </c>
      <c r="AH658" s="884" t="s">
        <v>689</v>
      </c>
      <c r="AI658" s="884" t="s">
        <v>690</v>
      </c>
      <c r="AJ658" s="884" t="s">
        <v>687</v>
      </c>
      <c r="AK658" s="777" t="s">
        <v>315</v>
      </c>
      <c r="AL658" s="1067" t="s">
        <v>599</v>
      </c>
      <c r="AM658" s="827" t="s">
        <v>547</v>
      </c>
      <c r="AN658" s="1062">
        <v>1229903</v>
      </c>
      <c r="AO658" s="1063">
        <v>3</v>
      </c>
      <c r="AP658" s="1063">
        <v>7</v>
      </c>
      <c r="AQ658" s="806" t="s">
        <v>317</v>
      </c>
      <c r="AR658" s="806" t="s">
        <v>317</v>
      </c>
      <c r="AS658" s="1061" t="s">
        <v>691</v>
      </c>
      <c r="AT658" s="1061" t="s">
        <v>692</v>
      </c>
      <c r="AU658" s="1061" t="s">
        <v>693</v>
      </c>
      <c r="AV658" s="1061" t="s">
        <v>694</v>
      </c>
      <c r="AW658" s="1061">
        <v>1</v>
      </c>
      <c r="AX658" s="796">
        <v>1229903</v>
      </c>
      <c r="AY658" s="780" t="s">
        <v>688</v>
      </c>
    </row>
    <row r="659" spans="1:51" ht="25.5" customHeight="1" x14ac:dyDescent="0.25">
      <c r="A659" s="815"/>
      <c r="B659" s="1043"/>
      <c r="C659" s="812"/>
      <c r="D659" s="132" t="s">
        <v>3</v>
      </c>
      <c r="E659" s="251"/>
      <c r="F659" s="251"/>
      <c r="G659" s="174">
        <f>+G658*$G$635/$G$634</f>
        <v>17491950</v>
      </c>
      <c r="H659" s="237">
        <f>+H658*$H$635/$H$634</f>
        <v>17491950</v>
      </c>
      <c r="I659" s="237" t="e">
        <f>+I658*$I$635/$I$634</f>
        <v>#REF!</v>
      </c>
      <c r="J659" s="186" t="e">
        <f>+J658*$J$635/$J$634</f>
        <v>#REF!</v>
      </c>
      <c r="K659" s="185"/>
      <c r="L659" s="186"/>
      <c r="M659" s="208"/>
      <c r="N659" s="138"/>
      <c r="O659" s="186" t="e">
        <f>+O658*$O$641/$O$640</f>
        <v>#DIV/0!</v>
      </c>
      <c r="P659" s="186">
        <f ca="1">+P658*$P$641/$P$640</f>
        <v>20991000</v>
      </c>
      <c r="Q659" s="186">
        <f ca="1">+Q658*$Q$641/$Q$640</f>
        <v>21924800</v>
      </c>
      <c r="R659" s="186">
        <f ca="1">+R658*$R$641/$R$640</f>
        <v>21924800</v>
      </c>
      <c r="S659" s="177"/>
      <c r="T659" s="174"/>
      <c r="U659" s="237">
        <f>+U658*$U$635/$U$634</f>
        <v>156895000</v>
      </c>
      <c r="V659" s="237" t="e">
        <f>+V658*$V$635/$V$634</f>
        <v>#REF!</v>
      </c>
      <c r="W659" s="186" t="e">
        <f>+W658*$W$635/$W$634</f>
        <v>#REF!</v>
      </c>
      <c r="X659" s="177"/>
      <c r="Y659" s="177"/>
      <c r="Z659" s="177"/>
      <c r="AA659" s="178"/>
      <c r="AB659" s="185" t="e">
        <v>#REF!</v>
      </c>
      <c r="AC659" s="185" t="e">
        <v>#REF!</v>
      </c>
      <c r="AD659" s="185">
        <v>20154666.666666668</v>
      </c>
      <c r="AE659" s="185" t="e">
        <v>#REF!</v>
      </c>
      <c r="AF659" s="308"/>
      <c r="AG659" s="1065"/>
      <c r="AH659" s="885"/>
      <c r="AI659" s="885"/>
      <c r="AJ659" s="885"/>
      <c r="AK659" s="778"/>
      <c r="AL659" s="1068"/>
      <c r="AM659" s="827"/>
      <c r="AN659" s="1062"/>
      <c r="AO659" s="1063"/>
      <c r="AP659" s="1063"/>
      <c r="AQ659" s="806"/>
      <c r="AR659" s="806"/>
      <c r="AS659" s="1061"/>
      <c r="AT659" s="1061"/>
      <c r="AU659" s="1061"/>
      <c r="AV659" s="1061"/>
      <c r="AW659" s="1061"/>
      <c r="AX659" s="797"/>
      <c r="AY659" s="781"/>
    </row>
    <row r="660" spans="1:51" ht="27" x14ac:dyDescent="0.25">
      <c r="A660" s="815"/>
      <c r="B660" s="1043"/>
      <c r="C660" s="812"/>
      <c r="D660" s="136" t="s">
        <v>42</v>
      </c>
      <c r="E660" s="251"/>
      <c r="F660" s="251"/>
      <c r="G660" s="174"/>
      <c r="H660" s="237"/>
      <c r="I660" s="237"/>
      <c r="J660" s="186"/>
      <c r="K660" s="185"/>
      <c r="L660" s="186"/>
      <c r="M660" s="208"/>
      <c r="N660" s="138"/>
      <c r="O660" s="186"/>
      <c r="P660" s="186"/>
      <c r="Q660" s="186"/>
      <c r="R660" s="175"/>
      <c r="S660" s="177"/>
      <c r="T660" s="174"/>
      <c r="U660" s="174"/>
      <c r="V660" s="174"/>
      <c r="W660" s="175"/>
      <c r="X660" s="177"/>
      <c r="Y660" s="177"/>
      <c r="Z660" s="177"/>
      <c r="AA660" s="178"/>
      <c r="AB660" s="209"/>
      <c r="AC660" s="254"/>
      <c r="AD660" s="255"/>
      <c r="AE660" s="180"/>
      <c r="AF660" s="308"/>
      <c r="AG660" s="1065"/>
      <c r="AH660" s="885"/>
      <c r="AI660" s="885"/>
      <c r="AJ660" s="885"/>
      <c r="AK660" s="778"/>
      <c r="AL660" s="1068"/>
      <c r="AM660" s="827"/>
      <c r="AN660" s="1062"/>
      <c r="AO660" s="1063"/>
      <c r="AP660" s="1063"/>
      <c r="AQ660" s="806"/>
      <c r="AR660" s="806"/>
      <c r="AS660" s="1061"/>
      <c r="AT660" s="1061"/>
      <c r="AU660" s="1061"/>
      <c r="AV660" s="1061"/>
      <c r="AW660" s="1061"/>
      <c r="AX660" s="797"/>
      <c r="AY660" s="781"/>
    </row>
    <row r="661" spans="1:51" ht="19.149999999999999" customHeight="1" x14ac:dyDescent="0.25">
      <c r="A661" s="815"/>
      <c r="B661" s="1043"/>
      <c r="C661" s="812"/>
      <c r="D661" s="132" t="s">
        <v>4</v>
      </c>
      <c r="E661" s="251"/>
      <c r="F661" s="251"/>
      <c r="G661" s="174"/>
      <c r="H661" s="174">
        <f>+$U$637/2</f>
        <v>15437116.5</v>
      </c>
      <c r="I661" s="237"/>
      <c r="J661" s="186"/>
      <c r="K661" s="185"/>
      <c r="L661" s="186"/>
      <c r="M661" s="208"/>
      <c r="N661" s="138"/>
      <c r="O661" s="186"/>
      <c r="P661" s="186"/>
      <c r="Q661" s="186"/>
      <c r="R661" s="175"/>
      <c r="S661" s="177"/>
      <c r="T661" s="174">
        <f>+T658*$T$637/$T$634</f>
        <v>13317533</v>
      </c>
      <c r="U661" s="174">
        <f>+$U$637/2</f>
        <v>15437116.5</v>
      </c>
      <c r="V661" s="174"/>
      <c r="W661" s="175"/>
      <c r="X661" s="177"/>
      <c r="Y661" s="177"/>
      <c r="Z661" s="177"/>
      <c r="AA661" s="178"/>
      <c r="AB661" s="209"/>
      <c r="AC661" s="254"/>
      <c r="AD661" s="255"/>
      <c r="AE661" s="180"/>
      <c r="AF661" s="308"/>
      <c r="AG661" s="1065"/>
      <c r="AH661" s="885"/>
      <c r="AI661" s="885"/>
      <c r="AJ661" s="885"/>
      <c r="AK661" s="778"/>
      <c r="AL661" s="1068"/>
      <c r="AM661" s="827"/>
      <c r="AN661" s="1062"/>
      <c r="AO661" s="1063"/>
      <c r="AP661" s="1063"/>
      <c r="AQ661" s="806"/>
      <c r="AR661" s="806"/>
      <c r="AS661" s="1061"/>
      <c r="AT661" s="1061"/>
      <c r="AU661" s="1061"/>
      <c r="AV661" s="1061"/>
      <c r="AW661" s="1061"/>
      <c r="AX661" s="797"/>
      <c r="AY661" s="781"/>
    </row>
    <row r="662" spans="1:51" ht="27" x14ac:dyDescent="0.25">
      <c r="A662" s="815"/>
      <c r="B662" s="1043"/>
      <c r="C662" s="812"/>
      <c r="D662" s="136" t="s">
        <v>43</v>
      </c>
      <c r="E662" s="251"/>
      <c r="F662" s="251"/>
      <c r="G662" s="174">
        <v>1</v>
      </c>
      <c r="H662" s="237">
        <v>1</v>
      </c>
      <c r="I662" s="237">
        <v>1</v>
      </c>
      <c r="J662" s="186">
        <v>2</v>
      </c>
      <c r="K662" s="185">
        <v>3</v>
      </c>
      <c r="L662" s="186"/>
      <c r="M662" s="208"/>
      <c r="N662" s="138"/>
      <c r="O662" s="186">
        <f>+O658</f>
        <v>1</v>
      </c>
      <c r="P662" s="186">
        <v>2</v>
      </c>
      <c r="Q662" s="186">
        <v>2</v>
      </c>
      <c r="R662" s="175">
        <v>2</v>
      </c>
      <c r="S662" s="177"/>
      <c r="T662" s="174">
        <v>1</v>
      </c>
      <c r="U662" s="174">
        <v>1</v>
      </c>
      <c r="V662" s="237">
        <v>1</v>
      </c>
      <c r="W662" s="175">
        <v>2</v>
      </c>
      <c r="X662" s="177">
        <v>3</v>
      </c>
      <c r="Y662" s="177"/>
      <c r="Z662" s="177"/>
      <c r="AA662" s="178"/>
      <c r="AB662" s="209">
        <v>1</v>
      </c>
      <c r="AC662" s="254">
        <v>2</v>
      </c>
      <c r="AD662" s="255">
        <v>2</v>
      </c>
      <c r="AE662" s="180">
        <v>2</v>
      </c>
      <c r="AF662" s="308"/>
      <c r="AG662" s="1065"/>
      <c r="AH662" s="885"/>
      <c r="AI662" s="885"/>
      <c r="AJ662" s="885"/>
      <c r="AK662" s="778"/>
      <c r="AL662" s="1068"/>
      <c r="AM662" s="827"/>
      <c r="AN662" s="1062"/>
      <c r="AO662" s="1063"/>
      <c r="AP662" s="1063"/>
      <c r="AQ662" s="806"/>
      <c r="AR662" s="806"/>
      <c r="AS662" s="1061"/>
      <c r="AT662" s="1061"/>
      <c r="AU662" s="1061"/>
      <c r="AV662" s="1061"/>
      <c r="AW662" s="1061"/>
      <c r="AX662" s="797"/>
      <c r="AY662" s="781"/>
    </row>
    <row r="663" spans="1:51" ht="27.75" thickBot="1" x14ac:dyDescent="0.3">
      <c r="A663" s="815"/>
      <c r="B663" s="1043"/>
      <c r="C663" s="813"/>
      <c r="D663" s="140" t="s">
        <v>45</v>
      </c>
      <c r="E663" s="251"/>
      <c r="F663" s="251"/>
      <c r="G663" s="174">
        <f>+G662*$G$635/$G$634</f>
        <v>17491950</v>
      </c>
      <c r="H663" s="237">
        <f>+H662*$H$635/$H$634</f>
        <v>17491950</v>
      </c>
      <c r="I663" s="237" t="e">
        <f>+I662*$I$635/$I$634</f>
        <v>#REF!</v>
      </c>
      <c r="J663" s="186" t="e">
        <f>+J662*$J$635/$J$634</f>
        <v>#REF!</v>
      </c>
      <c r="K663" s="185"/>
      <c r="L663" s="186"/>
      <c r="M663" s="208"/>
      <c r="N663" s="138"/>
      <c r="O663" s="186" t="e">
        <f>+O659</f>
        <v>#DIV/0!</v>
      </c>
      <c r="P663" s="186">
        <f ca="1">+P662*$P$641/$P$640</f>
        <v>20991000</v>
      </c>
      <c r="Q663" s="186">
        <f ca="1">+Q662*$Q$641/$Q$640</f>
        <v>21924800</v>
      </c>
      <c r="R663" s="186">
        <f ca="1">+R662*$R$641/$R$640</f>
        <v>21924800</v>
      </c>
      <c r="S663" s="177"/>
      <c r="T663" s="174"/>
      <c r="U663" s="237">
        <f>+U662*$U$635/$U$634</f>
        <v>156895000</v>
      </c>
      <c r="V663" s="237" t="e">
        <f>+V662*$V$635/$V$634</f>
        <v>#REF!</v>
      </c>
      <c r="W663" s="186" t="e">
        <f>+W662*$W$635/$W$634</f>
        <v>#REF!</v>
      </c>
      <c r="X663" s="177"/>
      <c r="Y663" s="177"/>
      <c r="Z663" s="177"/>
      <c r="AA663" s="178"/>
      <c r="AB663" s="209" t="e">
        <v>#REF!</v>
      </c>
      <c r="AC663" s="185" t="e">
        <v>#REF!</v>
      </c>
      <c r="AD663" s="185">
        <v>20154666.666666668</v>
      </c>
      <c r="AE663" s="185" t="e">
        <v>#REF!</v>
      </c>
      <c r="AF663" s="309"/>
      <c r="AG663" s="1066"/>
      <c r="AH663" s="886"/>
      <c r="AI663" s="886"/>
      <c r="AJ663" s="886"/>
      <c r="AK663" s="779"/>
      <c r="AL663" s="1069"/>
      <c r="AM663" s="827"/>
      <c r="AN663" s="1062"/>
      <c r="AO663" s="1063"/>
      <c r="AP663" s="1063"/>
      <c r="AQ663" s="806"/>
      <c r="AR663" s="806"/>
      <c r="AS663" s="1061"/>
      <c r="AT663" s="1061"/>
      <c r="AU663" s="1061"/>
      <c r="AV663" s="1061"/>
      <c r="AW663" s="1061"/>
      <c r="AX663" s="798"/>
      <c r="AY663" s="782"/>
    </row>
    <row r="664" spans="1:51" ht="36" customHeight="1" x14ac:dyDescent="0.25">
      <c r="A664" s="815"/>
      <c r="B664" s="1043"/>
      <c r="C664" s="811" t="s">
        <v>334</v>
      </c>
      <c r="D664" s="141" t="s">
        <v>41</v>
      </c>
      <c r="E664" s="251"/>
      <c r="F664" s="251"/>
      <c r="G664" s="237"/>
      <c r="H664" s="237"/>
      <c r="I664" s="237">
        <v>1</v>
      </c>
      <c r="J664" s="186">
        <v>1</v>
      </c>
      <c r="K664" s="185">
        <v>1</v>
      </c>
      <c r="L664" s="186"/>
      <c r="M664" s="208"/>
      <c r="N664" s="138"/>
      <c r="O664" s="186">
        <v>1</v>
      </c>
      <c r="P664" s="186">
        <v>2</v>
      </c>
      <c r="Q664" s="186">
        <v>2</v>
      </c>
      <c r="R664" s="175">
        <v>2</v>
      </c>
      <c r="S664" s="177"/>
      <c r="T664" s="174"/>
      <c r="U664" s="174"/>
      <c r="V664" s="174">
        <v>1</v>
      </c>
      <c r="W664" s="175">
        <v>1</v>
      </c>
      <c r="X664" s="177">
        <v>1</v>
      </c>
      <c r="Y664" s="177"/>
      <c r="Z664" s="177"/>
      <c r="AA664" s="178">
        <v>2</v>
      </c>
      <c r="AB664" s="209">
        <v>2</v>
      </c>
      <c r="AC664" s="254">
        <v>2</v>
      </c>
      <c r="AD664" s="255">
        <v>2</v>
      </c>
      <c r="AE664" s="180">
        <v>2</v>
      </c>
      <c r="AF664" s="307" t="s">
        <v>600</v>
      </c>
      <c r="AG664" s="771" t="s">
        <v>334</v>
      </c>
      <c r="AH664" s="827" t="s">
        <v>601</v>
      </c>
      <c r="AI664" s="827" t="s">
        <v>602</v>
      </c>
      <c r="AJ664" s="827" t="s">
        <v>603</v>
      </c>
      <c r="AK664" s="818" t="s">
        <v>315</v>
      </c>
      <c r="AL664" s="827" t="s">
        <v>225</v>
      </c>
      <c r="AM664" s="827" t="s">
        <v>547</v>
      </c>
      <c r="AN664" s="808">
        <v>163231</v>
      </c>
      <c r="AO664" s="808">
        <v>77499</v>
      </c>
      <c r="AP664" s="808">
        <v>85731</v>
      </c>
      <c r="AQ664" s="806" t="s">
        <v>317</v>
      </c>
      <c r="AR664" s="806" t="s">
        <v>317</v>
      </c>
      <c r="AS664" s="806" t="s">
        <v>317</v>
      </c>
      <c r="AT664" s="806" t="s">
        <v>317</v>
      </c>
      <c r="AU664" s="806" t="s">
        <v>317</v>
      </c>
      <c r="AV664" s="806" t="s">
        <v>317</v>
      </c>
      <c r="AW664" s="806" t="s">
        <v>317</v>
      </c>
      <c r="AX664" s="796">
        <v>163231</v>
      </c>
      <c r="AY664" s="839" t="s">
        <v>595</v>
      </c>
    </row>
    <row r="665" spans="1:51" ht="18.75" customHeight="1" x14ac:dyDescent="0.25">
      <c r="A665" s="815"/>
      <c r="B665" s="1043"/>
      <c r="C665" s="812"/>
      <c r="D665" s="132" t="s">
        <v>3</v>
      </c>
      <c r="E665" s="251"/>
      <c r="F665" s="251"/>
      <c r="G665" s="237"/>
      <c r="H665" s="237"/>
      <c r="I665" s="237" t="e">
        <f>+I664*$I$635/$I$634</f>
        <v>#REF!</v>
      </c>
      <c r="J665" s="186" t="e">
        <f>+J664*$J$635/$J$634</f>
        <v>#REF!</v>
      </c>
      <c r="K665" s="185"/>
      <c r="L665" s="186"/>
      <c r="M665" s="208"/>
      <c r="N665" s="138"/>
      <c r="O665" s="186">
        <f>+O664*$O$629/$O$628</f>
        <v>12823849.800000001</v>
      </c>
      <c r="P665" s="186">
        <f>+P664*$P$629/$P$628</f>
        <v>29377133.079999998</v>
      </c>
      <c r="Q665" s="186">
        <f>+Q664*$Q$629/$Q$628</f>
        <v>28577133.079999998</v>
      </c>
      <c r="R665" s="186">
        <f>+R664*$R$629/$R$628</f>
        <v>28577133.080000006</v>
      </c>
      <c r="S665" s="177"/>
      <c r="T665" s="174"/>
      <c r="U665" s="174"/>
      <c r="V665" s="237" t="e">
        <f>+V664*$V$635/$V$634</f>
        <v>#REF!</v>
      </c>
      <c r="W665" s="186" t="e">
        <f>+W664*$W$635/$W$634</f>
        <v>#REF!</v>
      </c>
      <c r="X665" s="177"/>
      <c r="Y665" s="177"/>
      <c r="Z665" s="177"/>
      <c r="AA665" s="178"/>
      <c r="AB665" s="185" t="e">
        <v>#DIV/0!</v>
      </c>
      <c r="AC665" s="185" t="e">
        <v>#DIV/0!</v>
      </c>
      <c r="AD665" s="185" t="e">
        <v>#DIV/0!</v>
      </c>
      <c r="AE665" s="185" t="e">
        <v>#DIV/0!</v>
      </c>
      <c r="AF665" s="308"/>
      <c r="AG665" s="772"/>
      <c r="AH665" s="827"/>
      <c r="AI665" s="827"/>
      <c r="AJ665" s="827"/>
      <c r="AK665" s="818"/>
      <c r="AL665" s="827"/>
      <c r="AM665" s="827"/>
      <c r="AN665" s="808"/>
      <c r="AO665" s="808"/>
      <c r="AP665" s="808"/>
      <c r="AQ665" s="806"/>
      <c r="AR665" s="806"/>
      <c r="AS665" s="806"/>
      <c r="AT665" s="806"/>
      <c r="AU665" s="806"/>
      <c r="AV665" s="806"/>
      <c r="AW665" s="806"/>
      <c r="AX665" s="797"/>
      <c r="AY665" s="839"/>
    </row>
    <row r="666" spans="1:51" ht="27.75" customHeight="1" x14ac:dyDescent="0.25">
      <c r="A666" s="815"/>
      <c r="B666" s="1043"/>
      <c r="C666" s="812"/>
      <c r="D666" s="136" t="s">
        <v>42</v>
      </c>
      <c r="E666" s="251"/>
      <c r="F666" s="251"/>
      <c r="G666" s="237"/>
      <c r="H666" s="237"/>
      <c r="I666" s="237"/>
      <c r="J666" s="186"/>
      <c r="K666" s="185"/>
      <c r="L666" s="186"/>
      <c r="M666" s="208"/>
      <c r="N666" s="138"/>
      <c r="O666" s="186"/>
      <c r="P666" s="186"/>
      <c r="Q666" s="186"/>
      <c r="R666" s="175"/>
      <c r="S666" s="177"/>
      <c r="T666" s="174"/>
      <c r="U666" s="174"/>
      <c r="V666" s="174"/>
      <c r="W666" s="175"/>
      <c r="X666" s="177"/>
      <c r="Y666" s="177"/>
      <c r="Z666" s="177"/>
      <c r="AA666" s="178"/>
      <c r="AB666" s="209"/>
      <c r="AC666" s="254"/>
      <c r="AD666" s="255"/>
      <c r="AE666" s="180"/>
      <c r="AF666" s="308"/>
      <c r="AG666" s="772"/>
      <c r="AH666" s="827"/>
      <c r="AI666" s="827"/>
      <c r="AJ666" s="827"/>
      <c r="AK666" s="818"/>
      <c r="AL666" s="827"/>
      <c r="AM666" s="827"/>
      <c r="AN666" s="808"/>
      <c r="AO666" s="808"/>
      <c r="AP666" s="808"/>
      <c r="AQ666" s="806"/>
      <c r="AR666" s="806"/>
      <c r="AS666" s="806"/>
      <c r="AT666" s="806"/>
      <c r="AU666" s="806"/>
      <c r="AV666" s="806"/>
      <c r="AW666" s="806"/>
      <c r="AX666" s="797"/>
      <c r="AY666" s="839"/>
    </row>
    <row r="667" spans="1:51" ht="27.75" customHeight="1" x14ac:dyDescent="0.25">
      <c r="A667" s="815"/>
      <c r="B667" s="1043"/>
      <c r="C667" s="812"/>
      <c r="D667" s="132" t="s">
        <v>4</v>
      </c>
      <c r="E667" s="251"/>
      <c r="F667" s="251"/>
      <c r="G667" s="237"/>
      <c r="H667" s="237"/>
      <c r="I667" s="237"/>
      <c r="J667" s="186"/>
      <c r="K667" s="185"/>
      <c r="L667" s="186"/>
      <c r="M667" s="208"/>
      <c r="N667" s="138"/>
      <c r="O667" s="186"/>
      <c r="P667" s="186"/>
      <c r="Q667" s="186"/>
      <c r="R667" s="175"/>
      <c r="S667" s="177"/>
      <c r="T667" s="174"/>
      <c r="U667" s="174"/>
      <c r="V667" s="174"/>
      <c r="W667" s="175"/>
      <c r="X667" s="177"/>
      <c r="Y667" s="177"/>
      <c r="Z667" s="177"/>
      <c r="AA667" s="178"/>
      <c r="AB667" s="209"/>
      <c r="AC667" s="254"/>
      <c r="AD667" s="255"/>
      <c r="AE667" s="180"/>
      <c r="AF667" s="308"/>
      <c r="AG667" s="772"/>
      <c r="AH667" s="827"/>
      <c r="AI667" s="827"/>
      <c r="AJ667" s="827"/>
      <c r="AK667" s="818"/>
      <c r="AL667" s="827"/>
      <c r="AM667" s="827"/>
      <c r="AN667" s="808"/>
      <c r="AO667" s="808"/>
      <c r="AP667" s="808"/>
      <c r="AQ667" s="806"/>
      <c r="AR667" s="806"/>
      <c r="AS667" s="806"/>
      <c r="AT667" s="806"/>
      <c r="AU667" s="806"/>
      <c r="AV667" s="806"/>
      <c r="AW667" s="806"/>
      <c r="AX667" s="797"/>
      <c r="AY667" s="839"/>
    </row>
    <row r="668" spans="1:51" ht="27.75" customHeight="1" x14ac:dyDescent="0.25">
      <c r="A668" s="815"/>
      <c r="B668" s="1043"/>
      <c r="C668" s="812"/>
      <c r="D668" s="136" t="s">
        <v>43</v>
      </c>
      <c r="E668" s="251"/>
      <c r="F668" s="251"/>
      <c r="G668" s="237"/>
      <c r="H668" s="237"/>
      <c r="I668" s="237">
        <v>1</v>
      </c>
      <c r="J668" s="186">
        <v>1</v>
      </c>
      <c r="K668" s="185">
        <v>1</v>
      </c>
      <c r="L668" s="186"/>
      <c r="M668" s="208"/>
      <c r="N668" s="138"/>
      <c r="O668" s="186">
        <f>+O664</f>
        <v>1</v>
      </c>
      <c r="P668" s="186">
        <v>2</v>
      </c>
      <c r="Q668" s="186">
        <v>2</v>
      </c>
      <c r="R668" s="175">
        <v>2</v>
      </c>
      <c r="S668" s="177"/>
      <c r="T668" s="174"/>
      <c r="U668" s="174"/>
      <c r="V668" s="174">
        <v>1</v>
      </c>
      <c r="W668" s="175">
        <v>1</v>
      </c>
      <c r="X668" s="177">
        <v>1</v>
      </c>
      <c r="Y668" s="177"/>
      <c r="Z668" s="177"/>
      <c r="AA668" s="178">
        <v>2</v>
      </c>
      <c r="AB668" s="209">
        <v>2</v>
      </c>
      <c r="AC668" s="254">
        <v>2</v>
      </c>
      <c r="AD668" s="255">
        <v>2</v>
      </c>
      <c r="AE668" s="180">
        <v>2</v>
      </c>
      <c r="AF668" s="308"/>
      <c r="AG668" s="772"/>
      <c r="AH668" s="827"/>
      <c r="AI668" s="827"/>
      <c r="AJ668" s="827"/>
      <c r="AK668" s="818"/>
      <c r="AL668" s="827"/>
      <c r="AM668" s="827"/>
      <c r="AN668" s="808"/>
      <c r="AO668" s="808"/>
      <c r="AP668" s="808"/>
      <c r="AQ668" s="806"/>
      <c r="AR668" s="806"/>
      <c r="AS668" s="806"/>
      <c r="AT668" s="806"/>
      <c r="AU668" s="806"/>
      <c r="AV668" s="806"/>
      <c r="AW668" s="806"/>
      <c r="AX668" s="797"/>
      <c r="AY668" s="839"/>
    </row>
    <row r="669" spans="1:51" ht="27.75" customHeight="1" thickBot="1" x14ac:dyDescent="0.3">
      <c r="A669" s="815"/>
      <c r="B669" s="1043"/>
      <c r="C669" s="813"/>
      <c r="D669" s="140" t="s">
        <v>45</v>
      </c>
      <c r="E669" s="251"/>
      <c r="F669" s="251"/>
      <c r="G669" s="237"/>
      <c r="H669" s="237"/>
      <c r="I669" s="237" t="e">
        <f>+I668*$I$635/$I$634</f>
        <v>#REF!</v>
      </c>
      <c r="J669" s="186" t="e">
        <f>+J668*$J$635/$J$634</f>
        <v>#REF!</v>
      </c>
      <c r="K669" s="185"/>
      <c r="L669" s="186"/>
      <c r="M669" s="208"/>
      <c r="N669" s="138"/>
      <c r="O669" s="186">
        <f>+O665</f>
        <v>12823849.800000001</v>
      </c>
      <c r="P669" s="186">
        <f ca="1">+P668*$P$641/$P$640</f>
        <v>20991000</v>
      </c>
      <c r="Q669" s="186">
        <f ca="1">+Q668*$Q$641/$Q$640</f>
        <v>21924800</v>
      </c>
      <c r="R669" s="186">
        <f ca="1">+R668*$R$641/$R$640</f>
        <v>21924800</v>
      </c>
      <c r="S669" s="177"/>
      <c r="T669" s="174"/>
      <c r="U669" s="174"/>
      <c r="V669" s="237" t="e">
        <f>+V668*$V$635/$V$634</f>
        <v>#REF!</v>
      </c>
      <c r="W669" s="186" t="e">
        <f>+W668*$W$635/$W$634</f>
        <v>#REF!</v>
      </c>
      <c r="X669" s="177"/>
      <c r="Y669" s="177"/>
      <c r="Z669" s="177"/>
      <c r="AA669" s="178"/>
      <c r="AB669" s="185" t="e">
        <v>#DIV/0!</v>
      </c>
      <c r="AC669" s="185" t="e">
        <v>#REF!</v>
      </c>
      <c r="AD669" s="185">
        <v>20154666.666666668</v>
      </c>
      <c r="AE669" s="185" t="e">
        <v>#REF!</v>
      </c>
      <c r="AF669" s="309"/>
      <c r="AG669" s="773"/>
      <c r="AH669" s="827"/>
      <c r="AI669" s="827"/>
      <c r="AJ669" s="827"/>
      <c r="AK669" s="818"/>
      <c r="AL669" s="827"/>
      <c r="AM669" s="827"/>
      <c r="AN669" s="808"/>
      <c r="AO669" s="808"/>
      <c r="AP669" s="808"/>
      <c r="AQ669" s="806"/>
      <c r="AR669" s="806"/>
      <c r="AS669" s="806"/>
      <c r="AT669" s="806"/>
      <c r="AU669" s="806"/>
      <c r="AV669" s="806"/>
      <c r="AW669" s="806"/>
      <c r="AX669" s="798"/>
      <c r="AY669" s="839"/>
    </row>
    <row r="670" spans="1:51" ht="36" customHeight="1" x14ac:dyDescent="0.25">
      <c r="A670" s="815"/>
      <c r="B670" s="1043"/>
      <c r="C670" s="811" t="s">
        <v>361</v>
      </c>
      <c r="D670" s="141" t="s">
        <v>41</v>
      </c>
      <c r="E670" s="251"/>
      <c r="F670" s="251"/>
      <c r="G670" s="237"/>
      <c r="H670" s="237">
        <v>1</v>
      </c>
      <c r="I670" s="237">
        <v>1</v>
      </c>
      <c r="J670" s="186">
        <v>1</v>
      </c>
      <c r="K670" s="185">
        <v>1</v>
      </c>
      <c r="L670" s="186"/>
      <c r="M670" s="208"/>
      <c r="N670" s="138"/>
      <c r="O670" s="186">
        <v>1</v>
      </c>
      <c r="P670" s="186">
        <v>2</v>
      </c>
      <c r="Q670" s="186">
        <v>2</v>
      </c>
      <c r="R670" s="175">
        <v>2</v>
      </c>
      <c r="S670" s="177"/>
      <c r="T670" s="174"/>
      <c r="U670" s="174">
        <v>1</v>
      </c>
      <c r="V670" s="174">
        <v>1</v>
      </c>
      <c r="W670" s="175">
        <v>1</v>
      </c>
      <c r="X670" s="177">
        <v>1</v>
      </c>
      <c r="Y670" s="177"/>
      <c r="Z670" s="177">
        <v>1</v>
      </c>
      <c r="AA670" s="178"/>
      <c r="AB670" s="209">
        <v>1</v>
      </c>
      <c r="AC670" s="254">
        <v>2</v>
      </c>
      <c r="AD670" s="255">
        <v>2</v>
      </c>
      <c r="AE670" s="180">
        <v>2</v>
      </c>
      <c r="AF670" s="304" t="s">
        <v>604</v>
      </c>
      <c r="AG670" s="771" t="s">
        <v>361</v>
      </c>
      <c r="AH670" s="827" t="s">
        <v>605</v>
      </c>
      <c r="AI670" s="827" t="s">
        <v>606</v>
      </c>
      <c r="AJ670" s="827" t="s">
        <v>607</v>
      </c>
      <c r="AK670" s="818" t="s">
        <v>315</v>
      </c>
      <c r="AL670" s="827" t="s">
        <v>225</v>
      </c>
      <c r="AM670" s="827" t="s">
        <v>547</v>
      </c>
      <c r="AN670" s="808">
        <v>1080200</v>
      </c>
      <c r="AO670" s="808">
        <v>517025</v>
      </c>
      <c r="AP670" s="808">
        <v>563175</v>
      </c>
      <c r="AQ670" s="806" t="s">
        <v>317</v>
      </c>
      <c r="AR670" s="806" t="s">
        <v>317</v>
      </c>
      <c r="AS670" s="806" t="s">
        <v>317</v>
      </c>
      <c r="AT670" s="806" t="s">
        <v>317</v>
      </c>
      <c r="AU670" s="806" t="s">
        <v>317</v>
      </c>
      <c r="AV670" s="806" t="s">
        <v>317</v>
      </c>
      <c r="AW670" s="806" t="s">
        <v>317</v>
      </c>
      <c r="AX670" s="796">
        <v>1080200</v>
      </c>
      <c r="AY670" s="839" t="s">
        <v>595</v>
      </c>
    </row>
    <row r="671" spans="1:51" ht="18" x14ac:dyDescent="0.25">
      <c r="A671" s="815"/>
      <c r="B671" s="1043"/>
      <c r="C671" s="812"/>
      <c r="D671" s="132" t="s">
        <v>3</v>
      </c>
      <c r="E671" s="251"/>
      <c r="F671" s="251"/>
      <c r="G671" s="237"/>
      <c r="H671" s="237">
        <f>+H670*$H$635/$H$634</f>
        <v>17491950</v>
      </c>
      <c r="I671" s="237" t="e">
        <f>+I670*$I$635/$I$634</f>
        <v>#REF!</v>
      </c>
      <c r="J671" s="186" t="e">
        <f>+J670*$J$635/$J$634</f>
        <v>#REF!</v>
      </c>
      <c r="K671" s="185"/>
      <c r="L671" s="186"/>
      <c r="M671" s="208"/>
      <c r="N671" s="138"/>
      <c r="O671" s="186" t="e">
        <f>+O670*$O$641/$O$640</f>
        <v>#DIV/0!</v>
      </c>
      <c r="P671" s="186">
        <f ca="1">+P670*$P$641/$P$640</f>
        <v>20991000</v>
      </c>
      <c r="Q671" s="186">
        <f ca="1">+Q670*$Q$641/$Q$640</f>
        <v>21924800</v>
      </c>
      <c r="R671" s="186">
        <f ca="1">+R670*$R$641/$R$640</f>
        <v>21924800</v>
      </c>
      <c r="S671" s="177"/>
      <c r="T671" s="174"/>
      <c r="U671" s="237">
        <f>+U670*$U$635/$U$634</f>
        <v>156895000</v>
      </c>
      <c r="V671" s="237" t="e">
        <f>+V670*$V$635/$V$634</f>
        <v>#REF!</v>
      </c>
      <c r="W671" s="186" t="e">
        <f>+W670*$W$635/$W$634</f>
        <v>#REF!</v>
      </c>
      <c r="X671" s="177"/>
      <c r="Y671" s="177"/>
      <c r="Z671" s="177"/>
      <c r="AA671" s="178"/>
      <c r="AB671" s="185" t="e">
        <v>#REF!</v>
      </c>
      <c r="AC671" s="185" t="e">
        <v>#REF!</v>
      </c>
      <c r="AD671" s="185">
        <v>20154666.666666668</v>
      </c>
      <c r="AE671" s="185" t="e">
        <v>#REF!</v>
      </c>
      <c r="AF671" s="305"/>
      <c r="AG671" s="772"/>
      <c r="AH671" s="827"/>
      <c r="AI671" s="827"/>
      <c r="AJ671" s="827"/>
      <c r="AK671" s="818"/>
      <c r="AL671" s="827"/>
      <c r="AM671" s="827"/>
      <c r="AN671" s="808"/>
      <c r="AO671" s="808"/>
      <c r="AP671" s="808"/>
      <c r="AQ671" s="806"/>
      <c r="AR671" s="806"/>
      <c r="AS671" s="806"/>
      <c r="AT671" s="806"/>
      <c r="AU671" s="806"/>
      <c r="AV671" s="806"/>
      <c r="AW671" s="806"/>
      <c r="AX671" s="797"/>
      <c r="AY671" s="839"/>
    </row>
    <row r="672" spans="1:51" ht="27" x14ac:dyDescent="0.25">
      <c r="A672" s="815"/>
      <c r="B672" s="1043"/>
      <c r="C672" s="812"/>
      <c r="D672" s="136" t="s">
        <v>42</v>
      </c>
      <c r="E672" s="251"/>
      <c r="F672" s="251"/>
      <c r="G672" s="237"/>
      <c r="H672" s="237"/>
      <c r="I672" s="237"/>
      <c r="J672" s="186"/>
      <c r="K672" s="185"/>
      <c r="L672" s="186"/>
      <c r="M672" s="208"/>
      <c r="N672" s="138"/>
      <c r="O672" s="186"/>
      <c r="P672" s="186"/>
      <c r="Q672" s="186"/>
      <c r="R672" s="175"/>
      <c r="S672" s="177"/>
      <c r="T672" s="174"/>
      <c r="U672" s="174"/>
      <c r="V672" s="174"/>
      <c r="W672" s="175"/>
      <c r="X672" s="177"/>
      <c r="Y672" s="177"/>
      <c r="Z672" s="177"/>
      <c r="AA672" s="178"/>
      <c r="AB672" s="209"/>
      <c r="AC672" s="254"/>
      <c r="AD672" s="255"/>
      <c r="AE672" s="180"/>
      <c r="AF672" s="305"/>
      <c r="AG672" s="772"/>
      <c r="AH672" s="827"/>
      <c r="AI672" s="827"/>
      <c r="AJ672" s="827"/>
      <c r="AK672" s="818"/>
      <c r="AL672" s="827"/>
      <c r="AM672" s="827"/>
      <c r="AN672" s="808"/>
      <c r="AO672" s="808"/>
      <c r="AP672" s="808"/>
      <c r="AQ672" s="806"/>
      <c r="AR672" s="806"/>
      <c r="AS672" s="806"/>
      <c r="AT672" s="806"/>
      <c r="AU672" s="806"/>
      <c r="AV672" s="806"/>
      <c r="AW672" s="806"/>
      <c r="AX672" s="797"/>
      <c r="AY672" s="839"/>
    </row>
    <row r="673" spans="1:51" ht="28.9" customHeight="1" x14ac:dyDescent="0.25">
      <c r="A673" s="815"/>
      <c r="B673" s="1043"/>
      <c r="C673" s="812"/>
      <c r="D673" s="132" t="s">
        <v>4</v>
      </c>
      <c r="E673" s="251"/>
      <c r="F673" s="251"/>
      <c r="G673" s="237"/>
      <c r="H673" s="174">
        <f>+$U$637/2</f>
        <v>15437116.5</v>
      </c>
      <c r="I673" s="237"/>
      <c r="J673" s="186"/>
      <c r="K673" s="185"/>
      <c r="L673" s="186"/>
      <c r="M673" s="208"/>
      <c r="N673" s="138"/>
      <c r="O673" s="186"/>
      <c r="P673" s="186"/>
      <c r="Q673" s="186"/>
      <c r="R673" s="175"/>
      <c r="S673" s="177"/>
      <c r="T673" s="174"/>
      <c r="U673" s="174">
        <f>+$U$637/2</f>
        <v>15437116.5</v>
      </c>
      <c r="V673" s="174"/>
      <c r="W673" s="175"/>
      <c r="X673" s="177"/>
      <c r="Y673" s="177"/>
      <c r="Z673" s="177"/>
      <c r="AA673" s="178"/>
      <c r="AB673" s="209"/>
      <c r="AC673" s="254"/>
      <c r="AD673" s="255"/>
      <c r="AE673" s="180"/>
      <c r="AF673" s="306"/>
      <c r="AG673" s="772"/>
      <c r="AH673" s="827"/>
      <c r="AI673" s="827"/>
      <c r="AJ673" s="827"/>
      <c r="AK673" s="818"/>
      <c r="AL673" s="827"/>
      <c r="AM673" s="827"/>
      <c r="AN673" s="808"/>
      <c r="AO673" s="808"/>
      <c r="AP673" s="808"/>
      <c r="AQ673" s="806"/>
      <c r="AR673" s="806"/>
      <c r="AS673" s="806"/>
      <c r="AT673" s="806"/>
      <c r="AU673" s="806"/>
      <c r="AV673" s="806"/>
      <c r="AW673" s="806"/>
      <c r="AX673" s="797"/>
      <c r="AY673" s="839"/>
    </row>
    <row r="674" spans="1:51" ht="27" x14ac:dyDescent="0.25">
      <c r="A674" s="815"/>
      <c r="B674" s="1043"/>
      <c r="C674" s="812"/>
      <c r="D674" s="136" t="s">
        <v>43</v>
      </c>
      <c r="E674" s="251"/>
      <c r="F674" s="251"/>
      <c r="G674" s="237"/>
      <c r="H674" s="237">
        <v>1</v>
      </c>
      <c r="I674" s="237">
        <v>1</v>
      </c>
      <c r="J674" s="186">
        <v>1</v>
      </c>
      <c r="K674" s="185">
        <v>1</v>
      </c>
      <c r="L674" s="186"/>
      <c r="M674" s="208"/>
      <c r="N674" s="138"/>
      <c r="O674" s="186">
        <f>+O670</f>
        <v>1</v>
      </c>
      <c r="P674" s="186">
        <v>2</v>
      </c>
      <c r="Q674" s="186">
        <v>2</v>
      </c>
      <c r="R674" s="175">
        <v>2</v>
      </c>
      <c r="S674" s="177"/>
      <c r="T674" s="174"/>
      <c r="U674" s="174">
        <v>1</v>
      </c>
      <c r="V674" s="174">
        <v>1</v>
      </c>
      <c r="W674" s="175">
        <v>1</v>
      </c>
      <c r="X674" s="177">
        <v>1</v>
      </c>
      <c r="Y674" s="177"/>
      <c r="Z674" s="177">
        <v>1</v>
      </c>
      <c r="AA674" s="178"/>
      <c r="AB674" s="209">
        <v>1</v>
      </c>
      <c r="AC674" s="254">
        <v>2</v>
      </c>
      <c r="AD674" s="255">
        <v>2</v>
      </c>
      <c r="AE674" s="180">
        <v>2</v>
      </c>
      <c r="AF674" s="177" t="s">
        <v>608</v>
      </c>
      <c r="AG674" s="772"/>
      <c r="AH674" s="827"/>
      <c r="AI674" s="827"/>
      <c r="AJ674" s="827"/>
      <c r="AK674" s="818"/>
      <c r="AL674" s="827"/>
      <c r="AM674" s="827"/>
      <c r="AN674" s="808"/>
      <c r="AO674" s="808"/>
      <c r="AP674" s="808"/>
      <c r="AQ674" s="806"/>
      <c r="AR674" s="806"/>
      <c r="AS674" s="806"/>
      <c r="AT674" s="806"/>
      <c r="AU674" s="806"/>
      <c r="AV674" s="806"/>
      <c r="AW674" s="806"/>
      <c r="AX674" s="797"/>
      <c r="AY674" s="839"/>
    </row>
    <row r="675" spans="1:51" ht="27.75" thickBot="1" x14ac:dyDescent="0.3">
      <c r="A675" s="815"/>
      <c r="B675" s="1043"/>
      <c r="C675" s="813"/>
      <c r="D675" s="140" t="s">
        <v>45</v>
      </c>
      <c r="E675" s="251"/>
      <c r="F675" s="251"/>
      <c r="G675" s="237"/>
      <c r="H675" s="237">
        <f>+H674*$H$635/$H$634</f>
        <v>17491950</v>
      </c>
      <c r="I675" s="237" t="e">
        <f>+I674*$I$635/$I$634</f>
        <v>#REF!</v>
      </c>
      <c r="J675" s="186" t="e">
        <f>+J674*$J$635/$J$634</f>
        <v>#REF!</v>
      </c>
      <c r="K675" s="185"/>
      <c r="L675" s="186"/>
      <c r="M675" s="208"/>
      <c r="N675" s="138"/>
      <c r="O675" s="186" t="e">
        <f>+O671</f>
        <v>#DIV/0!</v>
      </c>
      <c r="P675" s="186">
        <f ca="1">+P674*$P$641/$P$640</f>
        <v>20991000</v>
      </c>
      <c r="Q675" s="186">
        <f ca="1">+Q674*$Q$641/$Q$640</f>
        <v>21924800</v>
      </c>
      <c r="R675" s="186">
        <f ca="1">+R674*$R$641/$R$640</f>
        <v>21924800</v>
      </c>
      <c r="S675" s="177"/>
      <c r="T675" s="174"/>
      <c r="U675" s="237">
        <f>+U674*$U$635/$U$634</f>
        <v>156895000</v>
      </c>
      <c r="V675" s="237" t="e">
        <f>+V674*$V$635/$V$634</f>
        <v>#REF!</v>
      </c>
      <c r="W675" s="186" t="e">
        <f>+W674*$W$635/$W$634</f>
        <v>#REF!</v>
      </c>
      <c r="X675" s="177"/>
      <c r="Y675" s="177"/>
      <c r="Z675" s="177"/>
      <c r="AA675" s="178"/>
      <c r="AB675" s="209" t="e">
        <v>#REF!</v>
      </c>
      <c r="AC675" s="185" t="e">
        <v>#REF!</v>
      </c>
      <c r="AD675" s="185">
        <v>20154666.666666668</v>
      </c>
      <c r="AE675" s="185" t="e">
        <v>#REF!</v>
      </c>
      <c r="AF675" s="257"/>
      <c r="AG675" s="773"/>
      <c r="AH675" s="827"/>
      <c r="AI675" s="827"/>
      <c r="AJ675" s="827"/>
      <c r="AK675" s="818"/>
      <c r="AL675" s="827"/>
      <c r="AM675" s="827"/>
      <c r="AN675" s="808"/>
      <c r="AO675" s="808"/>
      <c r="AP675" s="808"/>
      <c r="AQ675" s="806"/>
      <c r="AR675" s="806"/>
      <c r="AS675" s="806"/>
      <c r="AT675" s="806"/>
      <c r="AU675" s="806"/>
      <c r="AV675" s="806"/>
      <c r="AW675" s="806"/>
      <c r="AX675" s="798"/>
      <c r="AY675" s="839"/>
    </row>
    <row r="676" spans="1:51" ht="18" customHeight="1" x14ac:dyDescent="0.25">
      <c r="A676" s="815"/>
      <c r="B676" s="1043"/>
      <c r="C676" s="818" t="s">
        <v>409</v>
      </c>
      <c r="D676" s="141" t="s">
        <v>41</v>
      </c>
      <c r="E676" s="142"/>
      <c r="F676" s="143"/>
      <c r="G676" s="144">
        <v>19</v>
      </c>
      <c r="H676" s="144">
        <v>18</v>
      </c>
      <c r="I676" s="144">
        <v>17</v>
      </c>
      <c r="J676" s="186">
        <v>15</v>
      </c>
      <c r="K676" s="137">
        <v>13</v>
      </c>
      <c r="L676" s="138"/>
      <c r="M676" s="138"/>
      <c r="N676" s="138"/>
      <c r="O676" s="138">
        <v>6</v>
      </c>
      <c r="P676" s="138">
        <v>2</v>
      </c>
      <c r="Q676" s="138">
        <v>1</v>
      </c>
      <c r="R676" s="147">
        <v>0</v>
      </c>
      <c r="S676" s="139"/>
      <c r="T676" s="148"/>
      <c r="U676" s="148"/>
      <c r="V676" s="148"/>
      <c r="W676" s="146"/>
      <c r="X676" s="139"/>
      <c r="Y676" s="139"/>
      <c r="Z676" s="139"/>
      <c r="AA676" s="165"/>
      <c r="AB676" s="151">
        <v>1</v>
      </c>
      <c r="AC676" s="129"/>
      <c r="AD676" s="162"/>
      <c r="AE676" s="139"/>
      <c r="AF676" s="202"/>
      <c r="AG676" s="817" t="s">
        <v>541</v>
      </c>
      <c r="AH676" s="827" t="s">
        <v>70</v>
      </c>
      <c r="AI676" s="827" t="s">
        <v>70</v>
      </c>
      <c r="AJ676" s="827" t="s">
        <v>70</v>
      </c>
      <c r="AK676" s="774" t="s">
        <v>315</v>
      </c>
      <c r="AL676" s="827"/>
      <c r="AM676" s="827" t="s">
        <v>547</v>
      </c>
      <c r="AN676" s="808">
        <v>7804660</v>
      </c>
      <c r="AO676" s="796">
        <v>3721767</v>
      </c>
      <c r="AP676" s="796">
        <v>4082893</v>
      </c>
      <c r="AQ676" s="806" t="s">
        <v>317</v>
      </c>
      <c r="AR676" s="806" t="s">
        <v>317</v>
      </c>
      <c r="AS676" s="806" t="s">
        <v>317</v>
      </c>
      <c r="AT676" s="806" t="s">
        <v>317</v>
      </c>
      <c r="AU676" s="806" t="s">
        <v>317</v>
      </c>
      <c r="AV676" s="806" t="s">
        <v>317</v>
      </c>
      <c r="AW676" s="806" t="s">
        <v>317</v>
      </c>
      <c r="AX676" s="796">
        <v>7804660</v>
      </c>
      <c r="AY676" s="839" t="s">
        <v>595</v>
      </c>
    </row>
    <row r="677" spans="1:51" ht="18" x14ac:dyDescent="0.25">
      <c r="A677" s="815"/>
      <c r="B677" s="1043"/>
      <c r="C677" s="818"/>
      <c r="D677" s="132" t="s">
        <v>3</v>
      </c>
      <c r="E677" s="142"/>
      <c r="F677" s="143"/>
      <c r="G677" s="174">
        <f>+G676*$G$635/$G$634</f>
        <v>332347050</v>
      </c>
      <c r="H677" s="237">
        <f>+H676*$H$635/$H$634</f>
        <v>314855100</v>
      </c>
      <c r="I677" s="237" t="e">
        <f>+I676*$I$635/$I$634</f>
        <v>#REF!</v>
      </c>
      <c r="J677" s="186" t="e">
        <f>+J676*$J$635/$J$634</f>
        <v>#REF!</v>
      </c>
      <c r="K677" s="137"/>
      <c r="L677" s="138"/>
      <c r="M677" s="138"/>
      <c r="N677" s="138"/>
      <c r="O677" s="186">
        <f>+O676*$O$635/$O$634</f>
        <v>62973000</v>
      </c>
      <c r="P677" s="186">
        <f>+P676*$P$635/$P$634</f>
        <v>20991000</v>
      </c>
      <c r="Q677" s="186">
        <f>+Q676*$Q$635/$Q$634</f>
        <v>10962400</v>
      </c>
      <c r="R677" s="186">
        <f>+R676*$R$635/$R$634</f>
        <v>0</v>
      </c>
      <c r="S677" s="139"/>
      <c r="T677" s="148"/>
      <c r="U677" s="148"/>
      <c r="V677" s="148"/>
      <c r="W677" s="146"/>
      <c r="X677" s="139"/>
      <c r="Y677" s="139"/>
      <c r="Z677" s="139"/>
      <c r="AA677" s="165"/>
      <c r="AB677" s="151"/>
      <c r="AC677" s="129"/>
      <c r="AD677" s="162"/>
      <c r="AE677" s="139"/>
      <c r="AF677" s="202"/>
      <c r="AG677" s="817"/>
      <c r="AH677" s="827"/>
      <c r="AI677" s="827"/>
      <c r="AJ677" s="827"/>
      <c r="AK677" s="775"/>
      <c r="AL677" s="827"/>
      <c r="AM677" s="827"/>
      <c r="AN677" s="808"/>
      <c r="AO677" s="797"/>
      <c r="AP677" s="797"/>
      <c r="AQ677" s="806"/>
      <c r="AR677" s="806"/>
      <c r="AS677" s="806"/>
      <c r="AT677" s="806"/>
      <c r="AU677" s="806"/>
      <c r="AV677" s="806"/>
      <c r="AW677" s="806"/>
      <c r="AX677" s="797"/>
      <c r="AY677" s="839"/>
    </row>
    <row r="678" spans="1:51" ht="27" x14ac:dyDescent="0.25">
      <c r="A678" s="815"/>
      <c r="B678" s="1043"/>
      <c r="C678" s="818"/>
      <c r="D678" s="136" t="s">
        <v>42</v>
      </c>
      <c r="E678" s="142"/>
      <c r="F678" s="143"/>
      <c r="G678" s="144"/>
      <c r="H678" s="144"/>
      <c r="I678" s="144"/>
      <c r="J678" s="138"/>
      <c r="K678" s="137"/>
      <c r="L678" s="138"/>
      <c r="M678" s="138"/>
      <c r="N678" s="138"/>
      <c r="O678" s="138"/>
      <c r="P678" s="138"/>
      <c r="Q678" s="138"/>
      <c r="R678" s="147"/>
      <c r="S678" s="139"/>
      <c r="T678" s="148"/>
      <c r="U678" s="148"/>
      <c r="V678" s="148"/>
      <c r="W678" s="146"/>
      <c r="X678" s="139"/>
      <c r="Y678" s="139"/>
      <c r="Z678" s="139"/>
      <c r="AA678" s="165"/>
      <c r="AB678" s="151"/>
      <c r="AC678" s="129"/>
      <c r="AD678" s="162"/>
      <c r="AE678" s="139"/>
      <c r="AF678" s="202"/>
      <c r="AG678" s="817"/>
      <c r="AH678" s="827"/>
      <c r="AI678" s="827"/>
      <c r="AJ678" s="827"/>
      <c r="AK678" s="775"/>
      <c r="AL678" s="827"/>
      <c r="AM678" s="827"/>
      <c r="AN678" s="808"/>
      <c r="AO678" s="797"/>
      <c r="AP678" s="797"/>
      <c r="AQ678" s="806"/>
      <c r="AR678" s="806"/>
      <c r="AS678" s="806"/>
      <c r="AT678" s="806"/>
      <c r="AU678" s="806"/>
      <c r="AV678" s="806"/>
      <c r="AW678" s="806"/>
      <c r="AX678" s="797"/>
      <c r="AY678" s="839"/>
    </row>
    <row r="679" spans="1:51" ht="28.9" customHeight="1" x14ac:dyDescent="0.25">
      <c r="A679" s="815"/>
      <c r="B679" s="1043"/>
      <c r="C679" s="818"/>
      <c r="D679" s="132" t="s">
        <v>4</v>
      </c>
      <c r="E679" s="142"/>
      <c r="F679" s="143"/>
      <c r="G679" s="144"/>
      <c r="H679" s="144"/>
      <c r="I679" s="144"/>
      <c r="J679" s="138"/>
      <c r="K679" s="137"/>
      <c r="L679" s="138"/>
      <c r="M679" s="138"/>
      <c r="N679" s="138"/>
      <c r="O679" s="138"/>
      <c r="P679" s="138"/>
      <c r="Q679" s="138"/>
      <c r="R679" s="147"/>
      <c r="S679" s="139"/>
      <c r="T679" s="148"/>
      <c r="U679" s="148"/>
      <c r="V679" s="148"/>
      <c r="W679" s="146"/>
      <c r="X679" s="139"/>
      <c r="Y679" s="139"/>
      <c r="Z679" s="139"/>
      <c r="AA679" s="165"/>
      <c r="AB679" s="151"/>
      <c r="AC679" s="129"/>
      <c r="AD679" s="162"/>
      <c r="AE679" s="139"/>
      <c r="AF679" s="202"/>
      <c r="AG679" s="817"/>
      <c r="AH679" s="827"/>
      <c r="AI679" s="827"/>
      <c r="AJ679" s="827"/>
      <c r="AK679" s="775"/>
      <c r="AL679" s="827"/>
      <c r="AM679" s="827"/>
      <c r="AN679" s="808"/>
      <c r="AO679" s="797"/>
      <c r="AP679" s="797"/>
      <c r="AQ679" s="806"/>
      <c r="AR679" s="806"/>
      <c r="AS679" s="806"/>
      <c r="AT679" s="806"/>
      <c r="AU679" s="806"/>
      <c r="AV679" s="806"/>
      <c r="AW679" s="806"/>
      <c r="AX679" s="797"/>
      <c r="AY679" s="839"/>
    </row>
    <row r="680" spans="1:51" ht="27" x14ac:dyDescent="0.25">
      <c r="A680" s="815"/>
      <c r="B680" s="1043"/>
      <c r="C680" s="818"/>
      <c r="D680" s="136" t="s">
        <v>43</v>
      </c>
      <c r="E680" s="142"/>
      <c r="F680" s="143"/>
      <c r="G680" s="144">
        <v>19</v>
      </c>
      <c r="H680" s="144">
        <v>18</v>
      </c>
      <c r="I680" s="144">
        <v>17</v>
      </c>
      <c r="J680" s="138">
        <v>15</v>
      </c>
      <c r="K680" s="137"/>
      <c r="L680" s="138"/>
      <c r="M680" s="138"/>
      <c r="N680" s="138"/>
      <c r="O680" s="138">
        <v>6</v>
      </c>
      <c r="P680" s="138">
        <v>2</v>
      </c>
      <c r="Q680" s="138">
        <v>1</v>
      </c>
      <c r="R680" s="147">
        <v>0</v>
      </c>
      <c r="S680" s="139"/>
      <c r="T680" s="148"/>
      <c r="U680" s="148"/>
      <c r="V680" s="148"/>
      <c r="W680" s="146"/>
      <c r="X680" s="139"/>
      <c r="Y680" s="139"/>
      <c r="Z680" s="139"/>
      <c r="AA680" s="165"/>
      <c r="AB680" s="212">
        <f>+AB674</f>
        <v>1</v>
      </c>
      <c r="AC680" s="129"/>
      <c r="AD680" s="162"/>
      <c r="AE680" s="139"/>
      <c r="AF680" s="202"/>
      <c r="AG680" s="817"/>
      <c r="AH680" s="827"/>
      <c r="AI680" s="827"/>
      <c r="AJ680" s="827"/>
      <c r="AK680" s="775"/>
      <c r="AL680" s="827"/>
      <c r="AM680" s="827"/>
      <c r="AN680" s="808"/>
      <c r="AO680" s="797"/>
      <c r="AP680" s="797"/>
      <c r="AQ680" s="806"/>
      <c r="AR680" s="806"/>
      <c r="AS680" s="806"/>
      <c r="AT680" s="806"/>
      <c r="AU680" s="806"/>
      <c r="AV680" s="806"/>
      <c r="AW680" s="806"/>
      <c r="AX680" s="797"/>
      <c r="AY680" s="839"/>
    </row>
    <row r="681" spans="1:51" ht="27.75" thickBot="1" x14ac:dyDescent="0.3">
      <c r="A681" s="815"/>
      <c r="B681" s="1043"/>
      <c r="C681" s="818"/>
      <c r="D681" s="140" t="s">
        <v>45</v>
      </c>
      <c r="E681" s="142"/>
      <c r="F681" s="143"/>
      <c r="G681" s="174">
        <f>+G680*$G$635/$G$634</f>
        <v>332347050</v>
      </c>
      <c r="H681" s="237">
        <f>+H680*$H$635/$H$634</f>
        <v>314855100</v>
      </c>
      <c r="I681" s="237" t="e">
        <f>+I680*$I$635/$I$634</f>
        <v>#REF!</v>
      </c>
      <c r="J681" s="186" t="e">
        <f>+J680*$J$635/$J$634</f>
        <v>#REF!</v>
      </c>
      <c r="K681" s="137"/>
      <c r="L681" s="138"/>
      <c r="M681" s="138"/>
      <c r="N681" s="138"/>
      <c r="O681" s="138">
        <f>+O677</f>
        <v>62973000</v>
      </c>
      <c r="P681" s="186">
        <f>+P680*$P$635/$P$634</f>
        <v>20991000</v>
      </c>
      <c r="Q681" s="186">
        <f>+Q680*$Q$635/$Q$634</f>
        <v>10962400</v>
      </c>
      <c r="R681" s="186">
        <f>+R680*$R$635/$R$634</f>
        <v>0</v>
      </c>
      <c r="S681" s="139"/>
      <c r="T681" s="148"/>
      <c r="U681" s="148"/>
      <c r="V681" s="148"/>
      <c r="W681" s="146"/>
      <c r="X681" s="139"/>
      <c r="Y681" s="139"/>
      <c r="Z681" s="139"/>
      <c r="AA681" s="165"/>
      <c r="AB681" s="212" t="e">
        <f>+AB675</f>
        <v>#REF!</v>
      </c>
      <c r="AC681" s="129"/>
      <c r="AD681" s="162"/>
      <c r="AE681" s="139"/>
      <c r="AF681" s="202"/>
      <c r="AG681" s="817"/>
      <c r="AH681" s="827"/>
      <c r="AI681" s="827"/>
      <c r="AJ681" s="827"/>
      <c r="AK681" s="776"/>
      <c r="AL681" s="827"/>
      <c r="AM681" s="827"/>
      <c r="AN681" s="808"/>
      <c r="AO681" s="798"/>
      <c r="AP681" s="798"/>
      <c r="AQ681" s="806"/>
      <c r="AR681" s="806"/>
      <c r="AS681" s="806"/>
      <c r="AT681" s="806"/>
      <c r="AU681" s="806"/>
      <c r="AV681" s="806"/>
      <c r="AW681" s="806"/>
      <c r="AX681" s="798"/>
      <c r="AY681" s="839"/>
    </row>
    <row r="682" spans="1:51" ht="18" customHeight="1" x14ac:dyDescent="0.25">
      <c r="A682" s="815"/>
      <c r="B682" s="1043"/>
      <c r="C682" s="818" t="s">
        <v>410</v>
      </c>
      <c r="D682" s="141" t="s">
        <v>41</v>
      </c>
      <c r="E682" s="251">
        <f t="shared" ref="E682:F687" si="61">+E634</f>
        <v>20</v>
      </c>
      <c r="F682" s="251">
        <f t="shared" si="61"/>
        <v>20</v>
      </c>
      <c r="G682" s="207">
        <f>+G658+G676</f>
        <v>20</v>
      </c>
      <c r="H682" s="207">
        <f>+H658+H670+H676</f>
        <v>20</v>
      </c>
      <c r="I682" s="207">
        <f>+I658+I664+I670+I676</f>
        <v>20</v>
      </c>
      <c r="J682" s="138">
        <f>+J640+J658+J664+J670+J676</f>
        <v>20</v>
      </c>
      <c r="K682" s="300">
        <f>+K640+K658+K664+K670+K676</f>
        <v>20</v>
      </c>
      <c r="L682" s="208"/>
      <c r="M682" s="208">
        <f t="shared" ref="M682:N687" si="62">+M634</f>
        <v>20</v>
      </c>
      <c r="N682" s="138">
        <f t="shared" si="62"/>
        <v>10</v>
      </c>
      <c r="O682" s="138">
        <f t="shared" ref="O682:O687" si="63">+O652+O658+O664+O670+O676</f>
        <v>10</v>
      </c>
      <c r="P682" s="138">
        <f t="shared" ref="P682:P687" si="64">+P640+P652+P658+P664+P670+P676</f>
        <v>10</v>
      </c>
      <c r="Q682" s="138">
        <f t="shared" ref="Q682:Q687" si="65">+Q640+Q646+Q652+Q658+Q664+Q670+Q676</f>
        <v>10</v>
      </c>
      <c r="R682" s="147">
        <v>10</v>
      </c>
      <c r="S682" s="139"/>
      <c r="T682" s="207">
        <f>+T658+T676</f>
        <v>1</v>
      </c>
      <c r="U682" s="163">
        <f>+U658+U670</f>
        <v>2</v>
      </c>
      <c r="V682" s="207">
        <f>+V658+V664+V670+V676</f>
        <v>3</v>
      </c>
      <c r="W682" s="138">
        <f>W640+W658+W664+W670</f>
        <v>5</v>
      </c>
      <c r="X682" s="300">
        <f>+X640+X658+X664+X670+X676</f>
        <v>7</v>
      </c>
      <c r="Y682" s="139"/>
      <c r="Z682" s="203">
        <f t="shared" ref="Z682:AA687" si="66">+Z634</f>
        <v>2</v>
      </c>
      <c r="AA682" s="152">
        <f t="shared" si="66"/>
        <v>4</v>
      </c>
      <c r="AB682" s="212">
        <f>+AB652+AB658+AB664+AB670+AB676</f>
        <v>6</v>
      </c>
      <c r="AC682" s="137">
        <f t="shared" ref="AC682:AC687" si="67">+AC640+AC652+AC658+AC664+AC670+AC676</f>
        <v>8</v>
      </c>
      <c r="AD682" s="137">
        <f t="shared" ref="AD682:AE687" si="68">+AD640+AD646+AD652+AD658+AD664+AD670+AD676</f>
        <v>20154675.666666668</v>
      </c>
      <c r="AE682" s="137" t="e">
        <f t="shared" si="68"/>
        <v>#REF!</v>
      </c>
      <c r="AF682" s="202"/>
      <c r="AG682" s="817" t="s">
        <v>541</v>
      </c>
      <c r="AH682" s="827" t="s">
        <v>70</v>
      </c>
      <c r="AI682" s="827" t="s">
        <v>70</v>
      </c>
      <c r="AJ682" s="827" t="s">
        <v>70</v>
      </c>
      <c r="AK682" s="818" t="s">
        <v>315</v>
      </c>
      <c r="AL682" s="827"/>
      <c r="AM682" s="827" t="s">
        <v>547</v>
      </c>
      <c r="AN682" s="808">
        <v>7804660</v>
      </c>
      <c r="AO682" s="796">
        <v>3721767</v>
      </c>
      <c r="AP682" s="796">
        <v>4082893</v>
      </c>
      <c r="AQ682" s="806" t="s">
        <v>317</v>
      </c>
      <c r="AR682" s="806" t="s">
        <v>317</v>
      </c>
      <c r="AS682" s="806" t="s">
        <v>317</v>
      </c>
      <c r="AT682" s="806" t="s">
        <v>317</v>
      </c>
      <c r="AU682" s="806" t="s">
        <v>317</v>
      </c>
      <c r="AV682" s="806" t="s">
        <v>317</v>
      </c>
      <c r="AW682" s="806" t="s">
        <v>317</v>
      </c>
      <c r="AX682" s="796">
        <v>7804660</v>
      </c>
      <c r="AY682" s="839" t="s">
        <v>595</v>
      </c>
    </row>
    <row r="683" spans="1:51" ht="18" x14ac:dyDescent="0.25">
      <c r="A683" s="815"/>
      <c r="B683" s="1043"/>
      <c r="C683" s="818"/>
      <c r="D683" s="132" t="s">
        <v>3</v>
      </c>
      <c r="E683" s="251">
        <f t="shared" si="61"/>
        <v>349839000</v>
      </c>
      <c r="F683" s="251">
        <f t="shared" si="61"/>
        <v>349839000</v>
      </c>
      <c r="G683" s="207">
        <f t="shared" ref="G683:G687" si="69">+G659+G677</f>
        <v>349839000</v>
      </c>
      <c r="H683" s="207">
        <f t="shared" ref="H683:H687" si="70">+H659+H671+H677</f>
        <v>349839000</v>
      </c>
      <c r="I683" s="207" t="e">
        <f t="shared" ref="I683:I687" si="71">+I659+I665+I671+I677</f>
        <v>#REF!</v>
      </c>
      <c r="J683" s="138" t="e">
        <f t="shared" ref="J683:K687" si="72">+J641+J659+J665+J671+J677</f>
        <v>#REF!</v>
      </c>
      <c r="K683" s="300">
        <f t="shared" si="72"/>
        <v>0</v>
      </c>
      <c r="L683" s="208"/>
      <c r="M683" s="208">
        <f t="shared" si="62"/>
        <v>349839000</v>
      </c>
      <c r="N683" s="138">
        <f t="shared" si="62"/>
        <v>104955000</v>
      </c>
      <c r="O683" s="138" t="e">
        <f t="shared" si="63"/>
        <v>#DIV/0!</v>
      </c>
      <c r="P683" s="138">
        <f t="shared" ca="1" si="64"/>
        <v>113341133.08</v>
      </c>
      <c r="Q683" s="138">
        <f t="shared" ca="1" si="65"/>
        <v>116276333.08</v>
      </c>
      <c r="R683" s="186">
        <f>+R682*$R$635/$R$634</f>
        <v>109624000</v>
      </c>
      <c r="S683" s="139"/>
      <c r="T683" s="207">
        <f t="shared" ref="T683:T687" si="73">+T659+T677</f>
        <v>0</v>
      </c>
      <c r="U683" s="163">
        <f t="shared" ref="U683:U687" si="74">+U659+U671</f>
        <v>313790000</v>
      </c>
      <c r="V683" s="207" t="e">
        <f t="shared" ref="V683:V687" si="75">+V659+V665+V671+V677</f>
        <v>#REF!</v>
      </c>
      <c r="W683" s="138" t="e">
        <f t="shared" ref="W683:W687" si="76">W641+W659+W665+W671</f>
        <v>#REF!</v>
      </c>
      <c r="X683" s="300">
        <f t="shared" ref="X683:X687" si="77">+X641+X659+X665+X671+X677</f>
        <v>0</v>
      </c>
      <c r="Y683" s="139"/>
      <c r="Z683" s="203">
        <f t="shared" si="66"/>
        <v>0</v>
      </c>
      <c r="AA683" s="152">
        <f t="shared" si="66"/>
        <v>90696000</v>
      </c>
      <c r="AB683" s="212" t="e">
        <f>+AB653+AB659+AB665+AB671+AB675</f>
        <v>#REF!</v>
      </c>
      <c r="AC683" s="137" t="e">
        <f t="shared" si="67"/>
        <v>#REF!</v>
      </c>
      <c r="AD683" s="137" t="e">
        <f t="shared" si="68"/>
        <v>#DIV/0!</v>
      </c>
      <c r="AE683" s="137" t="e">
        <f>+AE641+AE647+AE653+AE659+AE665+AE671+AE677</f>
        <v>#REF!</v>
      </c>
      <c r="AF683" s="202"/>
      <c r="AG683" s="817"/>
      <c r="AH683" s="827"/>
      <c r="AI683" s="827"/>
      <c r="AJ683" s="827"/>
      <c r="AK683" s="818"/>
      <c r="AL683" s="827"/>
      <c r="AM683" s="827"/>
      <c r="AN683" s="808"/>
      <c r="AO683" s="797"/>
      <c r="AP683" s="797"/>
      <c r="AQ683" s="806"/>
      <c r="AR683" s="806"/>
      <c r="AS683" s="806"/>
      <c r="AT683" s="806"/>
      <c r="AU683" s="806"/>
      <c r="AV683" s="806"/>
      <c r="AW683" s="806"/>
      <c r="AX683" s="797"/>
      <c r="AY683" s="839"/>
    </row>
    <row r="684" spans="1:51" ht="27" x14ac:dyDescent="0.25">
      <c r="A684" s="815"/>
      <c r="B684" s="1043"/>
      <c r="C684" s="818"/>
      <c r="D684" s="136" t="s">
        <v>42</v>
      </c>
      <c r="E684" s="251" t="e">
        <f t="shared" si="61"/>
        <v>#REF!</v>
      </c>
      <c r="F684" s="251" t="e">
        <f t="shared" si="61"/>
        <v>#REF!</v>
      </c>
      <c r="G684" s="207">
        <f t="shared" si="69"/>
        <v>0</v>
      </c>
      <c r="H684" s="207">
        <f t="shared" si="70"/>
        <v>0</v>
      </c>
      <c r="I684" s="207">
        <f t="shared" si="71"/>
        <v>0</v>
      </c>
      <c r="J684" s="138">
        <f t="shared" si="72"/>
        <v>0</v>
      </c>
      <c r="K684" s="300">
        <f t="shared" si="72"/>
        <v>0</v>
      </c>
      <c r="L684" s="208"/>
      <c r="M684" s="208" t="e">
        <f t="shared" si="62"/>
        <v>#REF!</v>
      </c>
      <c r="N684" s="138">
        <f t="shared" si="62"/>
        <v>0</v>
      </c>
      <c r="O684" s="138">
        <f t="shared" si="63"/>
        <v>0</v>
      </c>
      <c r="P684" s="138">
        <f t="shared" si="64"/>
        <v>0</v>
      </c>
      <c r="Q684" s="138">
        <f t="shared" si="65"/>
        <v>0</v>
      </c>
      <c r="R684" s="147"/>
      <c r="S684" s="139"/>
      <c r="T684" s="207">
        <f t="shared" si="73"/>
        <v>0</v>
      </c>
      <c r="U684" s="163">
        <f t="shared" si="74"/>
        <v>0</v>
      </c>
      <c r="V684" s="207">
        <f t="shared" si="75"/>
        <v>0</v>
      </c>
      <c r="W684" s="138">
        <f t="shared" si="76"/>
        <v>0</v>
      </c>
      <c r="X684" s="300">
        <f t="shared" si="77"/>
        <v>0</v>
      </c>
      <c r="Y684" s="139"/>
      <c r="Z684" s="203">
        <f t="shared" si="66"/>
        <v>0</v>
      </c>
      <c r="AA684" s="152">
        <f t="shared" si="66"/>
        <v>0</v>
      </c>
      <c r="AB684" s="212">
        <f>+AB654+AB660+AB666+AB672+AB676</f>
        <v>1</v>
      </c>
      <c r="AC684" s="137" t="e">
        <f t="shared" si="67"/>
        <v>#REF!</v>
      </c>
      <c r="AD684" s="137">
        <f t="shared" si="68"/>
        <v>20154666.666666668</v>
      </c>
      <c r="AE684" s="137" t="e">
        <f t="shared" si="68"/>
        <v>#REF!</v>
      </c>
      <c r="AF684" s="202"/>
      <c r="AG684" s="817"/>
      <c r="AH684" s="827"/>
      <c r="AI684" s="827"/>
      <c r="AJ684" s="827"/>
      <c r="AK684" s="818"/>
      <c r="AL684" s="827"/>
      <c r="AM684" s="827"/>
      <c r="AN684" s="808"/>
      <c r="AO684" s="797"/>
      <c r="AP684" s="797"/>
      <c r="AQ684" s="806"/>
      <c r="AR684" s="806"/>
      <c r="AS684" s="806"/>
      <c r="AT684" s="806"/>
      <c r="AU684" s="806"/>
      <c r="AV684" s="806"/>
      <c r="AW684" s="806"/>
      <c r="AX684" s="797"/>
      <c r="AY684" s="839"/>
    </row>
    <row r="685" spans="1:51" ht="28.9" customHeight="1" x14ac:dyDescent="0.25">
      <c r="A685" s="815"/>
      <c r="B685" s="1043"/>
      <c r="C685" s="818"/>
      <c r="D685" s="132" t="s">
        <v>4</v>
      </c>
      <c r="E685" s="251">
        <f t="shared" si="61"/>
        <v>30874233</v>
      </c>
      <c r="F685" s="251">
        <f t="shared" si="61"/>
        <v>30874233</v>
      </c>
      <c r="G685" s="207">
        <f t="shared" si="69"/>
        <v>0</v>
      </c>
      <c r="H685" s="207">
        <f t="shared" si="70"/>
        <v>30874233</v>
      </c>
      <c r="I685" s="207">
        <f t="shared" si="71"/>
        <v>0</v>
      </c>
      <c r="J685" s="138">
        <f t="shared" si="72"/>
        <v>0</v>
      </c>
      <c r="K685" s="300">
        <f t="shared" si="72"/>
        <v>0</v>
      </c>
      <c r="L685" s="208"/>
      <c r="M685" s="208">
        <f t="shared" si="62"/>
        <v>30874233</v>
      </c>
      <c r="N685" s="138">
        <f t="shared" si="62"/>
        <v>0</v>
      </c>
      <c r="O685" s="138">
        <f t="shared" si="63"/>
        <v>0</v>
      </c>
      <c r="P685" s="138">
        <f t="shared" si="64"/>
        <v>0</v>
      </c>
      <c r="Q685" s="138">
        <f t="shared" si="65"/>
        <v>0</v>
      </c>
      <c r="R685" s="147"/>
      <c r="S685" s="139"/>
      <c r="T685" s="207">
        <f t="shared" si="73"/>
        <v>13317533</v>
      </c>
      <c r="U685" s="163">
        <f t="shared" si="74"/>
        <v>30874233</v>
      </c>
      <c r="V685" s="207">
        <f t="shared" si="75"/>
        <v>0</v>
      </c>
      <c r="W685" s="138">
        <f t="shared" si="76"/>
        <v>0</v>
      </c>
      <c r="X685" s="300">
        <f t="shared" si="77"/>
        <v>0</v>
      </c>
      <c r="Y685" s="139"/>
      <c r="Z685" s="203">
        <f t="shared" si="66"/>
        <v>0</v>
      </c>
      <c r="AA685" s="152">
        <f t="shared" si="66"/>
        <v>0</v>
      </c>
      <c r="AB685" s="212">
        <f>+AB655+AB661+AB667+AB673+AB677</f>
        <v>0</v>
      </c>
      <c r="AC685" s="137">
        <f t="shared" si="67"/>
        <v>0</v>
      </c>
      <c r="AD685" s="137">
        <f t="shared" si="68"/>
        <v>0</v>
      </c>
      <c r="AE685" s="137">
        <f t="shared" si="68"/>
        <v>0</v>
      </c>
      <c r="AF685" s="202"/>
      <c r="AG685" s="817"/>
      <c r="AH685" s="827"/>
      <c r="AI685" s="827"/>
      <c r="AJ685" s="827"/>
      <c r="AK685" s="818"/>
      <c r="AL685" s="827"/>
      <c r="AM685" s="827"/>
      <c r="AN685" s="808"/>
      <c r="AO685" s="797"/>
      <c r="AP685" s="797"/>
      <c r="AQ685" s="806"/>
      <c r="AR685" s="806"/>
      <c r="AS685" s="806"/>
      <c r="AT685" s="806"/>
      <c r="AU685" s="806"/>
      <c r="AV685" s="806"/>
      <c r="AW685" s="806"/>
      <c r="AX685" s="797"/>
      <c r="AY685" s="839"/>
    </row>
    <row r="686" spans="1:51" ht="27" x14ac:dyDescent="0.25">
      <c r="A686" s="815"/>
      <c r="B686" s="1043"/>
      <c r="C686" s="818"/>
      <c r="D686" s="136" t="s">
        <v>43</v>
      </c>
      <c r="E686" s="251">
        <f t="shared" si="61"/>
        <v>20</v>
      </c>
      <c r="F686" s="251">
        <f t="shared" si="61"/>
        <v>20</v>
      </c>
      <c r="G686" s="207">
        <f t="shared" si="69"/>
        <v>20</v>
      </c>
      <c r="H686" s="207">
        <f t="shared" si="70"/>
        <v>20</v>
      </c>
      <c r="I686" s="207">
        <f t="shared" si="71"/>
        <v>20</v>
      </c>
      <c r="J686" s="138">
        <f t="shared" si="72"/>
        <v>20</v>
      </c>
      <c r="K686" s="300">
        <f t="shared" si="72"/>
        <v>7</v>
      </c>
      <c r="L686" s="208"/>
      <c r="M686" s="208">
        <f t="shared" si="62"/>
        <v>20</v>
      </c>
      <c r="N686" s="138">
        <f t="shared" si="62"/>
        <v>10</v>
      </c>
      <c r="O686" s="138">
        <f t="shared" si="63"/>
        <v>10</v>
      </c>
      <c r="P686" s="138">
        <f t="shared" si="64"/>
        <v>10</v>
      </c>
      <c r="Q686" s="138">
        <f t="shared" si="65"/>
        <v>10</v>
      </c>
      <c r="R686" s="147">
        <v>10</v>
      </c>
      <c r="S686" s="139"/>
      <c r="T686" s="207">
        <f t="shared" si="73"/>
        <v>1</v>
      </c>
      <c r="U686" s="163">
        <f t="shared" si="74"/>
        <v>2</v>
      </c>
      <c r="V686" s="207">
        <f t="shared" si="75"/>
        <v>3</v>
      </c>
      <c r="W686" s="138">
        <f t="shared" si="76"/>
        <v>5</v>
      </c>
      <c r="X686" s="300">
        <f t="shared" si="77"/>
        <v>7</v>
      </c>
      <c r="Y686" s="139"/>
      <c r="Z686" s="203">
        <f t="shared" si="66"/>
        <v>2</v>
      </c>
      <c r="AA686" s="152">
        <f t="shared" si="66"/>
        <v>4</v>
      </c>
      <c r="AB686" s="212">
        <f>+AB656+AB662+AB668+AB674+AB680</f>
        <v>6</v>
      </c>
      <c r="AC686" s="137">
        <f t="shared" si="67"/>
        <v>7</v>
      </c>
      <c r="AD686" s="137">
        <f t="shared" si="68"/>
        <v>7</v>
      </c>
      <c r="AE686" s="137">
        <f t="shared" si="68"/>
        <v>8</v>
      </c>
      <c r="AF686" s="202"/>
      <c r="AG686" s="817"/>
      <c r="AH686" s="827"/>
      <c r="AI686" s="827"/>
      <c r="AJ686" s="827"/>
      <c r="AK686" s="818"/>
      <c r="AL686" s="827"/>
      <c r="AM686" s="827"/>
      <c r="AN686" s="808"/>
      <c r="AO686" s="797"/>
      <c r="AP686" s="797"/>
      <c r="AQ686" s="806"/>
      <c r="AR686" s="806"/>
      <c r="AS686" s="806"/>
      <c r="AT686" s="806"/>
      <c r="AU686" s="806"/>
      <c r="AV686" s="806"/>
      <c r="AW686" s="806"/>
      <c r="AX686" s="797"/>
      <c r="AY686" s="839"/>
    </row>
    <row r="687" spans="1:51" ht="27.75" thickBot="1" x14ac:dyDescent="0.3">
      <c r="A687" s="816"/>
      <c r="B687" s="1048"/>
      <c r="C687" s="818"/>
      <c r="D687" s="140" t="s">
        <v>45</v>
      </c>
      <c r="E687" s="251">
        <f t="shared" si="61"/>
        <v>380713233</v>
      </c>
      <c r="F687" s="251">
        <f t="shared" si="61"/>
        <v>380713233</v>
      </c>
      <c r="G687" s="207">
        <f t="shared" si="69"/>
        <v>349839000</v>
      </c>
      <c r="H687" s="207">
        <f t="shared" si="70"/>
        <v>349839000</v>
      </c>
      <c r="I687" s="207" t="e">
        <f t="shared" si="71"/>
        <v>#REF!</v>
      </c>
      <c r="J687" s="138" t="e">
        <f t="shared" si="72"/>
        <v>#REF!</v>
      </c>
      <c r="K687" s="300">
        <f t="shared" si="72"/>
        <v>0</v>
      </c>
      <c r="L687" s="208"/>
      <c r="M687" s="208">
        <f t="shared" si="62"/>
        <v>380713233</v>
      </c>
      <c r="N687" s="138">
        <f t="shared" si="62"/>
        <v>104955000</v>
      </c>
      <c r="O687" s="138" t="e">
        <f t="shared" si="63"/>
        <v>#DIV/0!</v>
      </c>
      <c r="P687" s="138">
        <f t="shared" ca="1" si="64"/>
        <v>104955000</v>
      </c>
      <c r="Q687" s="138">
        <f t="shared" ca="1" si="65"/>
        <v>109624000</v>
      </c>
      <c r="R687" s="186">
        <f>+R686*$R$635/$R$634</f>
        <v>109624000</v>
      </c>
      <c r="S687" s="139"/>
      <c r="T687" s="207">
        <f t="shared" si="73"/>
        <v>0</v>
      </c>
      <c r="U687" s="163">
        <f t="shared" si="74"/>
        <v>313790000</v>
      </c>
      <c r="V687" s="207" t="e">
        <f t="shared" si="75"/>
        <v>#REF!</v>
      </c>
      <c r="W687" s="138" t="e">
        <f t="shared" si="76"/>
        <v>#REF!</v>
      </c>
      <c r="X687" s="300">
        <f t="shared" si="77"/>
        <v>0</v>
      </c>
      <c r="Y687" s="139"/>
      <c r="Z687" s="203">
        <f t="shared" si="66"/>
        <v>0</v>
      </c>
      <c r="AA687" s="152">
        <f t="shared" si="66"/>
        <v>90696000</v>
      </c>
      <c r="AB687" s="212" t="e">
        <f>+AB657+AB663+AB669+AB675+AB681</f>
        <v>#REF!</v>
      </c>
      <c r="AC687" s="137" t="e">
        <f t="shared" si="67"/>
        <v>#REF!</v>
      </c>
      <c r="AD687" s="137">
        <f t="shared" si="68"/>
        <v>70541335.333333343</v>
      </c>
      <c r="AE687" s="137" t="e">
        <f t="shared" si="68"/>
        <v>#REF!</v>
      </c>
      <c r="AF687" s="202"/>
      <c r="AG687" s="817"/>
      <c r="AH687" s="827"/>
      <c r="AI687" s="827"/>
      <c r="AJ687" s="827"/>
      <c r="AK687" s="818"/>
      <c r="AL687" s="827"/>
      <c r="AM687" s="827"/>
      <c r="AN687" s="808"/>
      <c r="AO687" s="798"/>
      <c r="AP687" s="798"/>
      <c r="AQ687" s="806"/>
      <c r="AR687" s="806"/>
      <c r="AS687" s="806"/>
      <c r="AT687" s="806"/>
      <c r="AU687" s="806"/>
      <c r="AV687" s="806"/>
      <c r="AW687" s="806"/>
      <c r="AX687" s="798"/>
      <c r="AY687" s="839"/>
    </row>
    <row r="688" spans="1:51" ht="18" customHeight="1" x14ac:dyDescent="0.25">
      <c r="A688" s="814">
        <v>7</v>
      </c>
      <c r="B688" s="1042" t="s">
        <v>295</v>
      </c>
      <c r="C688" s="818" t="s">
        <v>609</v>
      </c>
      <c r="D688" s="141" t="s">
        <v>41</v>
      </c>
      <c r="E688" s="251">
        <f>+[5]INVERSIÓN!U46</f>
        <v>0.6</v>
      </c>
      <c r="F688" s="251">
        <f>+[5]INVERSIÓN!V46</f>
        <v>0.6</v>
      </c>
      <c r="G688" s="258">
        <f>+[5]INVERSIÓN!V46</f>
        <v>0.6</v>
      </c>
      <c r="H688" s="258">
        <f>+[5]INVERSIÓN!X46</f>
        <v>0.6</v>
      </c>
      <c r="I688" s="258" t="e">
        <f>+#REF!</f>
        <v>#REF!</v>
      </c>
      <c r="J688" s="259" t="e">
        <f>+#REF!</f>
        <v>#REF!</v>
      </c>
      <c r="K688" s="311">
        <f>+INVERSIÓN!AB52</f>
        <v>0.6</v>
      </c>
      <c r="L688" s="259">
        <f>+[6]INVERSIÓN!O46</f>
        <v>0</v>
      </c>
      <c r="M688" s="208">
        <f t="shared" ref="M688:M693" si="78">+F688</f>
        <v>0.6</v>
      </c>
      <c r="N688" s="138">
        <f>+[6]INVERSIÓN!K46</f>
        <v>0.5</v>
      </c>
      <c r="O688" s="138">
        <f>+[6]INVERSIÓN!M46</f>
        <v>0.5</v>
      </c>
      <c r="P688" s="138">
        <f>+[5]INVERSIÓN!O46</f>
        <v>0.5</v>
      </c>
      <c r="Q688" s="138">
        <f>+[5]INVERSIÓN!Q46</f>
        <v>0.5</v>
      </c>
      <c r="R688" s="147">
        <f>+[5]INVERSIÓN!S46</f>
        <v>0.5</v>
      </c>
      <c r="S688" s="1055" t="s">
        <v>610</v>
      </c>
      <c r="T688" s="174">
        <f>+[5]INVERSIÓN!W46</f>
        <v>0.06</v>
      </c>
      <c r="U688" s="174">
        <f>+[5]INVERSIÓN!DR46</f>
        <v>0.09</v>
      </c>
      <c r="V688" s="174" t="e">
        <f>+#REF!</f>
        <v>#REF!</v>
      </c>
      <c r="W688" s="175" t="e">
        <f>+#REF!</f>
        <v>#REF!</v>
      </c>
      <c r="X688" s="217">
        <f>+INVERSIÓN!BB52</f>
        <v>0.6</v>
      </c>
      <c r="Y688" s="217"/>
      <c r="Z688" s="217">
        <f>+[6]INVERSIÓN!J46</f>
        <v>0.05</v>
      </c>
      <c r="AA688" s="176">
        <f>+[6]INVERSIÓN!DX46</f>
        <v>0.1</v>
      </c>
      <c r="AB688" s="218">
        <f>+[6]INVERSIÓN!DY46</f>
        <v>0.15</v>
      </c>
      <c r="AC688" s="260">
        <f>+[5]INVERSIÓN!P46</f>
        <v>0.22</v>
      </c>
      <c r="AD688" s="222">
        <f>+[5]INVERSIÓN!R46</f>
        <v>0.42</v>
      </c>
      <c r="AE688" s="219" t="e">
        <f>+[5]INVERSIÓN!EB46</f>
        <v>#REF!</v>
      </c>
      <c r="AF688" s="1058" t="s">
        <v>610</v>
      </c>
      <c r="AG688" s="817" t="s">
        <v>541</v>
      </c>
      <c r="AH688" s="827" t="s">
        <v>70</v>
      </c>
      <c r="AI688" s="827" t="s">
        <v>70</v>
      </c>
      <c r="AJ688" s="827" t="s">
        <v>70</v>
      </c>
      <c r="AK688" s="818" t="s">
        <v>315</v>
      </c>
      <c r="AL688" s="827" t="s">
        <v>70</v>
      </c>
      <c r="AM688" s="827" t="s">
        <v>547</v>
      </c>
      <c r="AN688" s="808">
        <v>7804660</v>
      </c>
      <c r="AO688" s="796">
        <v>3721767</v>
      </c>
      <c r="AP688" s="796">
        <v>4082893</v>
      </c>
      <c r="AQ688" s="795" t="s">
        <v>317</v>
      </c>
      <c r="AR688" s="795" t="s">
        <v>317</v>
      </c>
      <c r="AS688" s="795" t="s">
        <v>317</v>
      </c>
      <c r="AT688" s="795" t="s">
        <v>317</v>
      </c>
      <c r="AU688" s="795" t="s">
        <v>317</v>
      </c>
      <c r="AV688" s="795" t="s">
        <v>317</v>
      </c>
      <c r="AW688" s="795" t="s">
        <v>317</v>
      </c>
      <c r="AX688" s="796">
        <v>7804660</v>
      </c>
      <c r="AY688" s="780" t="s">
        <v>611</v>
      </c>
    </row>
    <row r="689" spans="1:51" ht="18" x14ac:dyDescent="0.25">
      <c r="A689" s="815"/>
      <c r="B689" s="1043"/>
      <c r="C689" s="818"/>
      <c r="D689" s="132" t="s">
        <v>3</v>
      </c>
      <c r="E689" s="251">
        <f>+[5]INVERSIÓN!U47</f>
        <v>482999000</v>
      </c>
      <c r="F689" s="251">
        <f>+[5]INVERSIÓN!V47</f>
        <v>482999000</v>
      </c>
      <c r="G689" s="258">
        <f>+[5]INVERSIÓN!V47</f>
        <v>482999000</v>
      </c>
      <c r="H689" s="258">
        <f>+[5]INVERSIÓN!X47</f>
        <v>482999000</v>
      </c>
      <c r="I689" s="258" t="e">
        <f>+#REF!</f>
        <v>#REF!</v>
      </c>
      <c r="J689" s="259" t="e">
        <f>+#REF!</f>
        <v>#REF!</v>
      </c>
      <c r="K689" s="311">
        <f>+INVERSIÓN!AB53</f>
        <v>482999000</v>
      </c>
      <c r="L689" s="259">
        <f>+[6]INVERSIÓN!O47</f>
        <v>0</v>
      </c>
      <c r="M689" s="208">
        <f t="shared" si="78"/>
        <v>482999000</v>
      </c>
      <c r="N689" s="138">
        <f>+[6]INVERSIÓN!K47</f>
        <v>220180000</v>
      </c>
      <c r="O689" s="138">
        <f>+[6]INVERSIÓN!M47</f>
        <v>220180000</v>
      </c>
      <c r="P689" s="138">
        <f>+[5]INVERSIÓN!O47</f>
        <v>199997000</v>
      </c>
      <c r="Q689" s="138">
        <f>+[5]INVERSIÓN!Q47</f>
        <v>218352000</v>
      </c>
      <c r="R689" s="147">
        <f>+[5]INVERSIÓN!S47</f>
        <v>218352000</v>
      </c>
      <c r="S689" s="1056"/>
      <c r="T689" s="174">
        <f>+[5]INVERSIÓN!W47</f>
        <v>0</v>
      </c>
      <c r="U689" s="174">
        <f>+[5]INVERSIÓN!DR47</f>
        <v>340880000</v>
      </c>
      <c r="V689" s="174" t="e">
        <f>+#REF!</f>
        <v>#REF!</v>
      </c>
      <c r="W689" s="175" t="e">
        <f>+#REF!</f>
        <v>#REF!</v>
      </c>
      <c r="X689" s="217">
        <f>+INVERSIÓN!BB53</f>
        <v>447929500</v>
      </c>
      <c r="Y689" s="221"/>
      <c r="Z689" s="217">
        <f>+[6]INVERSIÓN!J47</f>
        <v>0</v>
      </c>
      <c r="AA689" s="176">
        <f>+[6]INVERSIÓN!DX47</f>
        <v>162068000</v>
      </c>
      <c r="AB689" s="218">
        <f>+[6]INVERSIÓN!DY47</f>
        <v>162068000</v>
      </c>
      <c r="AC689" s="260">
        <f>+[5]INVERSIÓN!P47</f>
        <v>162068000</v>
      </c>
      <c r="AD689" s="222">
        <f>+[5]INVERSIÓN!R47</f>
        <v>162068000</v>
      </c>
      <c r="AE689" s="219" t="e">
        <f>+[5]INVERSIÓN!EB47</f>
        <v>#REF!</v>
      </c>
      <c r="AF689" s="1059"/>
      <c r="AG689" s="817"/>
      <c r="AH689" s="827"/>
      <c r="AI689" s="827"/>
      <c r="AJ689" s="827"/>
      <c r="AK689" s="818"/>
      <c r="AL689" s="827"/>
      <c r="AM689" s="827"/>
      <c r="AN689" s="808"/>
      <c r="AO689" s="797"/>
      <c r="AP689" s="797"/>
      <c r="AQ689" s="795"/>
      <c r="AR689" s="795"/>
      <c r="AS689" s="795"/>
      <c r="AT689" s="795"/>
      <c r="AU689" s="795"/>
      <c r="AV689" s="795"/>
      <c r="AW689" s="795"/>
      <c r="AX689" s="797"/>
      <c r="AY689" s="781"/>
    </row>
    <row r="690" spans="1:51" ht="27" x14ac:dyDescent="0.25">
      <c r="A690" s="815"/>
      <c r="B690" s="1043"/>
      <c r="C690" s="818"/>
      <c r="D690" s="136" t="s">
        <v>42</v>
      </c>
      <c r="E690" s="251" t="e">
        <f>+[5]INVERSIÓN!U48</f>
        <v>#REF!</v>
      </c>
      <c r="F690" s="251" t="e">
        <f>+[5]INVERSIÓN!V48</f>
        <v>#REF!</v>
      </c>
      <c r="G690" s="258" t="e">
        <f>+[5]INVERSIÓN!V48</f>
        <v>#REF!</v>
      </c>
      <c r="H690" s="258" t="e">
        <f>+[5]INVERSIÓN!X48</f>
        <v>#REF!</v>
      </c>
      <c r="I690" s="258" t="e">
        <f>+#REF!</f>
        <v>#REF!</v>
      </c>
      <c r="J690" s="259" t="e">
        <f>+#REF!</f>
        <v>#REF!</v>
      </c>
      <c r="K690" s="311">
        <f>+INVERSIÓN!AB54</f>
        <v>0</v>
      </c>
      <c r="L690" s="259">
        <f>+[6]INVERSIÓN!O48</f>
        <v>0</v>
      </c>
      <c r="M690" s="208" t="e">
        <f t="shared" si="78"/>
        <v>#REF!</v>
      </c>
      <c r="N690" s="138">
        <f>+[6]INVERSIÓN!K48</f>
        <v>0</v>
      </c>
      <c r="O690" s="138">
        <f>+[6]INVERSIÓN!M48</f>
        <v>0</v>
      </c>
      <c r="P690" s="138" t="e">
        <f>+[5]INVERSIÓN!O48</f>
        <v>#REF!</v>
      </c>
      <c r="Q690" s="138" t="e">
        <f>+[5]INVERSIÓN!Q48</f>
        <v>#REF!</v>
      </c>
      <c r="R690" s="147" t="e">
        <f>+[5]INVERSIÓN!S48</f>
        <v>#REF!</v>
      </c>
      <c r="S690" s="1056"/>
      <c r="T690" s="174">
        <v>0</v>
      </c>
      <c r="U690" s="174">
        <v>0</v>
      </c>
      <c r="V690" s="174" t="e">
        <f>+#REF!</f>
        <v>#REF!</v>
      </c>
      <c r="W690" s="175" t="e">
        <f>+#REF!</f>
        <v>#REF!</v>
      </c>
      <c r="X690" s="217">
        <f>+INVERSIÓN!BB54</f>
        <v>409112774</v>
      </c>
      <c r="Y690" s="221"/>
      <c r="Z690" s="217">
        <f>+[6]INVERSIÓN!J48</f>
        <v>0</v>
      </c>
      <c r="AA690" s="176">
        <f>+[6]INVERSIÓN!DX48</f>
        <v>0</v>
      </c>
      <c r="AB690" s="218">
        <f>+[6]INVERSIÓN!DY48</f>
        <v>0</v>
      </c>
      <c r="AC690" s="260" t="e">
        <f>+[5]INVERSIÓN!P48</f>
        <v>#REF!</v>
      </c>
      <c r="AD690" s="222" t="e">
        <f>+[5]INVERSIÓN!R48</f>
        <v>#REF!</v>
      </c>
      <c r="AE690" s="219" t="e">
        <f>+[5]INVERSIÓN!EB48</f>
        <v>#REF!</v>
      </c>
      <c r="AF690" s="1059"/>
      <c r="AG690" s="817"/>
      <c r="AH690" s="827"/>
      <c r="AI690" s="827"/>
      <c r="AJ690" s="827"/>
      <c r="AK690" s="818"/>
      <c r="AL690" s="827"/>
      <c r="AM690" s="827"/>
      <c r="AN690" s="808"/>
      <c r="AO690" s="797"/>
      <c r="AP690" s="797"/>
      <c r="AQ690" s="795"/>
      <c r="AR690" s="795"/>
      <c r="AS690" s="795"/>
      <c r="AT690" s="795"/>
      <c r="AU690" s="795"/>
      <c r="AV690" s="795"/>
      <c r="AW690" s="795"/>
      <c r="AX690" s="797"/>
      <c r="AY690" s="781"/>
    </row>
    <row r="691" spans="1:51" ht="27" x14ac:dyDescent="0.25">
      <c r="A691" s="815"/>
      <c r="B691" s="1043"/>
      <c r="C691" s="818"/>
      <c r="D691" s="132" t="s">
        <v>4</v>
      </c>
      <c r="E691" s="251">
        <f>+[5]INVERSIÓN!U49</f>
        <v>45106067</v>
      </c>
      <c r="F691" s="251">
        <f>+[5]INVERSIÓN!V49</f>
        <v>45106067</v>
      </c>
      <c r="G691" s="258">
        <f>+[5]INVERSIÓN!V49</f>
        <v>45106067</v>
      </c>
      <c r="H691" s="258">
        <f>+[5]INVERSIÓN!X49</f>
        <v>45106067</v>
      </c>
      <c r="I691" s="258" t="e">
        <f>+#REF!</f>
        <v>#REF!</v>
      </c>
      <c r="J691" s="259" t="e">
        <f>+#REF!</f>
        <v>#REF!</v>
      </c>
      <c r="K691" s="311">
        <f>+INVERSIÓN!AB55</f>
        <v>0</v>
      </c>
      <c r="L691" s="259">
        <f>+[6]INVERSIÓN!O49</f>
        <v>0</v>
      </c>
      <c r="M691" s="208">
        <f t="shared" si="78"/>
        <v>45106067</v>
      </c>
      <c r="N691" s="138">
        <f>+[6]INVERSIÓN!K49</f>
        <v>0</v>
      </c>
      <c r="O691" s="138">
        <f>+[6]INVERSIÓN!M49</f>
        <v>0</v>
      </c>
      <c r="P691" s="138" t="e">
        <f>+[5]INVERSIÓN!O49</f>
        <v>#REF!</v>
      </c>
      <c r="Q691" s="138" t="e">
        <f>+[5]INVERSIÓN!Q49</f>
        <v>#REF!</v>
      </c>
      <c r="R691" s="147" t="e">
        <f>+[5]INVERSIÓN!S49</f>
        <v>#REF!</v>
      </c>
      <c r="S691" s="1056"/>
      <c r="T691" s="174">
        <f>+[5]INVERSIÓN!W49</f>
        <v>18479500</v>
      </c>
      <c r="U691" s="174">
        <f>+[5]INVERSIÓN!DR49</f>
        <v>36465800</v>
      </c>
      <c r="V691" s="174" t="e">
        <f>+#REF!</f>
        <v>#REF!</v>
      </c>
      <c r="W691" s="175" t="e">
        <f>+#REF!</f>
        <v>#REF!</v>
      </c>
      <c r="X691" s="217">
        <f>+INVERSIÓN!BB55</f>
        <v>0</v>
      </c>
      <c r="Y691" s="221"/>
      <c r="Z691" s="217">
        <f>+[6]INVERSIÓN!J49</f>
        <v>0</v>
      </c>
      <c r="AA691" s="176">
        <f>+[6]INVERSIÓN!DX49</f>
        <v>0</v>
      </c>
      <c r="AB691" s="218">
        <f>+[6]INVERSIÓN!DY49</f>
        <v>0</v>
      </c>
      <c r="AC691" s="260" t="e">
        <f>+[5]INVERSIÓN!P49</f>
        <v>#REF!</v>
      </c>
      <c r="AD691" s="222" t="e">
        <f>+[5]INVERSIÓN!R49</f>
        <v>#REF!</v>
      </c>
      <c r="AE691" s="219" t="e">
        <f>+[5]INVERSIÓN!EB49</f>
        <v>#REF!</v>
      </c>
      <c r="AF691" s="1059"/>
      <c r="AG691" s="817"/>
      <c r="AH691" s="827"/>
      <c r="AI691" s="827"/>
      <c r="AJ691" s="827"/>
      <c r="AK691" s="818"/>
      <c r="AL691" s="827"/>
      <c r="AM691" s="827"/>
      <c r="AN691" s="808"/>
      <c r="AO691" s="797"/>
      <c r="AP691" s="797"/>
      <c r="AQ691" s="795"/>
      <c r="AR691" s="795"/>
      <c r="AS691" s="795"/>
      <c r="AT691" s="795"/>
      <c r="AU691" s="795"/>
      <c r="AV691" s="795"/>
      <c r="AW691" s="795"/>
      <c r="AX691" s="797"/>
      <c r="AY691" s="781"/>
    </row>
    <row r="692" spans="1:51" ht="27" x14ac:dyDescent="0.25">
      <c r="A692" s="815"/>
      <c r="B692" s="1043"/>
      <c r="C692" s="818"/>
      <c r="D692" s="136" t="s">
        <v>43</v>
      </c>
      <c r="E692" s="251">
        <f>+[5]INVERSIÓN!U50</f>
        <v>0.6</v>
      </c>
      <c r="F692" s="251">
        <f>+[5]INVERSIÓN!V50</f>
        <v>0.6</v>
      </c>
      <c r="G692" s="258">
        <f>+[5]INVERSIÓN!V50</f>
        <v>0.6</v>
      </c>
      <c r="H692" s="258">
        <f>+[5]INVERSIÓN!X50</f>
        <v>0.6</v>
      </c>
      <c r="I692" s="258" t="e">
        <f>+#REF!</f>
        <v>#REF!</v>
      </c>
      <c r="J692" s="259" t="e">
        <f>+#REF!</f>
        <v>#REF!</v>
      </c>
      <c r="K692" s="311">
        <f>+INVERSIÓN!AB56</f>
        <v>45106067</v>
      </c>
      <c r="L692" s="259">
        <f>+[6]INVERSIÓN!O50</f>
        <v>0</v>
      </c>
      <c r="M692" s="208">
        <f t="shared" si="78"/>
        <v>0.6</v>
      </c>
      <c r="N692" s="138">
        <f>+[6]INVERSIÓN!K50</f>
        <v>0.5</v>
      </c>
      <c r="O692" s="138">
        <f>+[6]INVERSIÓN!M50</f>
        <v>0.5</v>
      </c>
      <c r="P692" s="138">
        <f>+[5]INVERSIÓN!O50</f>
        <v>0.5</v>
      </c>
      <c r="Q692" s="138">
        <f>+[5]INVERSIÓN!Q50</f>
        <v>0.5</v>
      </c>
      <c r="R692" s="147">
        <f>+[5]INVERSIÓN!S50</f>
        <v>0.5</v>
      </c>
      <c r="S692" s="1056"/>
      <c r="T692" s="174">
        <f>+[5]INVERSIÓN!W50</f>
        <v>0.06</v>
      </c>
      <c r="U692" s="174">
        <f>+[5]INVERSIÓN!DR50</f>
        <v>0.09</v>
      </c>
      <c r="V692" s="174" t="e">
        <f>+#REF!</f>
        <v>#REF!</v>
      </c>
      <c r="W692" s="175" t="e">
        <f>+#REF!</f>
        <v>#REF!</v>
      </c>
      <c r="X692" s="217">
        <f>+INVERSIÓN!BB56</f>
        <v>45106067</v>
      </c>
      <c r="Y692" s="222"/>
      <c r="Z692" s="217">
        <f>+[6]INVERSIÓN!J50</f>
        <v>0.05</v>
      </c>
      <c r="AA692" s="176">
        <f>+[6]INVERSIÓN!DX50</f>
        <v>0.1</v>
      </c>
      <c r="AB692" s="218">
        <f>+[6]INVERSIÓN!DY50</f>
        <v>0.15</v>
      </c>
      <c r="AC692" s="260">
        <f>+[5]INVERSIÓN!P50</f>
        <v>0.22</v>
      </c>
      <c r="AD692" s="222">
        <f>+[5]INVERSIÓN!R50</f>
        <v>0.42</v>
      </c>
      <c r="AE692" s="219" t="e">
        <f>+[5]INVERSIÓN!EB50</f>
        <v>#REF!</v>
      </c>
      <c r="AF692" s="1059"/>
      <c r="AG692" s="817"/>
      <c r="AH692" s="827"/>
      <c r="AI692" s="827"/>
      <c r="AJ692" s="827"/>
      <c r="AK692" s="818"/>
      <c r="AL692" s="827"/>
      <c r="AM692" s="827"/>
      <c r="AN692" s="808"/>
      <c r="AO692" s="797"/>
      <c r="AP692" s="797"/>
      <c r="AQ692" s="795"/>
      <c r="AR692" s="795"/>
      <c r="AS692" s="795"/>
      <c r="AT692" s="795"/>
      <c r="AU692" s="795"/>
      <c r="AV692" s="795"/>
      <c r="AW692" s="795"/>
      <c r="AX692" s="797"/>
      <c r="AY692" s="781"/>
    </row>
    <row r="693" spans="1:51" ht="27.75" thickBot="1" x14ac:dyDescent="0.3">
      <c r="A693" s="815"/>
      <c r="B693" s="1043"/>
      <c r="C693" s="818"/>
      <c r="D693" s="140" t="s">
        <v>45</v>
      </c>
      <c r="E693" s="251">
        <f>+[5]INVERSIÓN!U51</f>
        <v>528105067</v>
      </c>
      <c r="F693" s="251">
        <f>+[5]INVERSIÓN!V51</f>
        <v>528105067</v>
      </c>
      <c r="G693" s="258">
        <f>+[5]INVERSIÓN!V51</f>
        <v>528105067</v>
      </c>
      <c r="H693" s="258">
        <f>+[5]INVERSIÓN!X51</f>
        <v>528105067</v>
      </c>
      <c r="I693" s="258" t="e">
        <f>+#REF!</f>
        <v>#REF!</v>
      </c>
      <c r="J693" s="259" t="e">
        <f>+#REF!</f>
        <v>#REF!</v>
      </c>
      <c r="K693" s="311">
        <f>+INVERSIÓN!AB57</f>
        <v>0.6</v>
      </c>
      <c r="L693" s="259">
        <f>+[6]INVERSIÓN!O51</f>
        <v>0</v>
      </c>
      <c r="M693" s="208">
        <f t="shared" si="78"/>
        <v>528105067</v>
      </c>
      <c r="N693" s="138">
        <f>+[6]INVERSIÓN!K51</f>
        <v>220180000</v>
      </c>
      <c r="O693" s="138">
        <f>+[6]INVERSIÓN!M51</f>
        <v>220180000</v>
      </c>
      <c r="P693" s="138">
        <f>+[5]INVERSIÓN!O51</f>
        <v>199997000</v>
      </c>
      <c r="Q693" s="138">
        <f>+[5]INVERSIÓN!Q51</f>
        <v>218352000</v>
      </c>
      <c r="R693" s="147">
        <f>+[5]INVERSIÓN!S51</f>
        <v>218352000</v>
      </c>
      <c r="S693" s="1056"/>
      <c r="T693" s="174">
        <f>+[5]INVERSIÓN!W51</f>
        <v>18479500</v>
      </c>
      <c r="U693" s="174">
        <f>+[5]INVERSIÓN!DR51</f>
        <v>377345800</v>
      </c>
      <c r="V693" s="174" t="e">
        <f>+#REF!</f>
        <v>#REF!</v>
      </c>
      <c r="W693" s="175" t="e">
        <f>+#REF!</f>
        <v>#REF!</v>
      </c>
      <c r="X693" s="217">
        <f>+INVERSIÓN!BB57</f>
        <v>0.55999999999999994</v>
      </c>
      <c r="Y693" s="217"/>
      <c r="Z693" s="217">
        <f>+[6]INVERSIÓN!J51</f>
        <v>0</v>
      </c>
      <c r="AA693" s="176">
        <f>+[6]INVERSIÓN!DX51</f>
        <v>162068000</v>
      </c>
      <c r="AB693" s="218">
        <f>+[6]INVERSIÓN!DY51</f>
        <v>162068000</v>
      </c>
      <c r="AC693" s="260">
        <f>+[5]INVERSIÓN!P51</f>
        <v>162068000</v>
      </c>
      <c r="AD693" s="222">
        <f>+[5]INVERSIÓN!R51</f>
        <v>162068000</v>
      </c>
      <c r="AE693" s="219" t="e">
        <f>+[5]INVERSIÓN!EB51</f>
        <v>#REF!</v>
      </c>
      <c r="AF693" s="1059"/>
      <c r="AG693" s="817"/>
      <c r="AH693" s="827"/>
      <c r="AI693" s="827"/>
      <c r="AJ693" s="827"/>
      <c r="AK693" s="818"/>
      <c r="AL693" s="827"/>
      <c r="AM693" s="827"/>
      <c r="AN693" s="808"/>
      <c r="AO693" s="798"/>
      <c r="AP693" s="798"/>
      <c r="AQ693" s="795"/>
      <c r="AR693" s="795"/>
      <c r="AS693" s="795"/>
      <c r="AT693" s="795"/>
      <c r="AU693" s="795"/>
      <c r="AV693" s="795"/>
      <c r="AW693" s="795"/>
      <c r="AX693" s="798"/>
      <c r="AY693" s="782"/>
    </row>
    <row r="694" spans="1:51" ht="18" customHeight="1" x14ac:dyDescent="0.25">
      <c r="A694" s="815"/>
      <c r="B694" s="1043"/>
      <c r="C694" s="818" t="s">
        <v>410</v>
      </c>
      <c r="D694" s="141" t="s">
        <v>41</v>
      </c>
      <c r="E694" s="251">
        <f t="shared" ref="E694:K699" si="79">+E688</f>
        <v>0.6</v>
      </c>
      <c r="F694" s="251">
        <f t="shared" si="79"/>
        <v>0.6</v>
      </c>
      <c r="G694" s="207">
        <f t="shared" si="79"/>
        <v>0.6</v>
      </c>
      <c r="H694" s="207">
        <f t="shared" si="79"/>
        <v>0.6</v>
      </c>
      <c r="I694" s="207" t="e">
        <f t="shared" si="79"/>
        <v>#REF!</v>
      </c>
      <c r="J694" s="208" t="e">
        <f t="shared" si="79"/>
        <v>#REF!</v>
      </c>
      <c r="K694" s="300">
        <f>+K688</f>
        <v>0.6</v>
      </c>
      <c r="L694" s="208"/>
      <c r="M694" s="208">
        <f t="shared" ref="M694:R699" si="80">+M688</f>
        <v>0.6</v>
      </c>
      <c r="N694" s="138">
        <f t="shared" si="80"/>
        <v>0.5</v>
      </c>
      <c r="O694" s="138">
        <f t="shared" si="80"/>
        <v>0.5</v>
      </c>
      <c r="P694" s="138">
        <f t="shared" si="80"/>
        <v>0.5</v>
      </c>
      <c r="Q694" s="138">
        <f t="shared" si="80"/>
        <v>0.5</v>
      </c>
      <c r="R694" s="147">
        <f t="shared" si="80"/>
        <v>0.5</v>
      </c>
      <c r="S694" s="1056"/>
      <c r="T694" s="163">
        <f>+T688</f>
        <v>0.06</v>
      </c>
      <c r="U694" s="163">
        <f>+U688</f>
        <v>0.09</v>
      </c>
      <c r="V694" s="163" t="e">
        <f>+V688</f>
        <v>#REF!</v>
      </c>
      <c r="W694" s="164" t="e">
        <f>+W688</f>
        <v>#REF!</v>
      </c>
      <c r="X694" s="261">
        <f>+X688</f>
        <v>0.6</v>
      </c>
      <c r="Y694" s="150"/>
      <c r="Z694" s="261">
        <f t="shared" ref="Z694:AE699" si="81">+Z688</f>
        <v>0.05</v>
      </c>
      <c r="AA694" s="222">
        <f t="shared" si="81"/>
        <v>0.1</v>
      </c>
      <c r="AB694" s="262">
        <f t="shared" si="81"/>
        <v>0.15</v>
      </c>
      <c r="AC694" s="260">
        <f t="shared" si="81"/>
        <v>0.22</v>
      </c>
      <c r="AD694" s="263">
        <f t="shared" si="81"/>
        <v>0.42</v>
      </c>
      <c r="AE694" s="261" t="e">
        <f t="shared" si="81"/>
        <v>#REF!</v>
      </c>
      <c r="AF694" s="1059"/>
      <c r="AG694" s="817" t="s">
        <v>541</v>
      </c>
      <c r="AH694" s="827" t="s">
        <v>70</v>
      </c>
      <c r="AI694" s="827" t="s">
        <v>70</v>
      </c>
      <c r="AJ694" s="827" t="s">
        <v>70</v>
      </c>
      <c r="AK694" s="818" t="s">
        <v>315</v>
      </c>
      <c r="AL694" s="827" t="s">
        <v>70</v>
      </c>
      <c r="AM694" s="827" t="s">
        <v>547</v>
      </c>
      <c r="AN694" s="808">
        <v>7804660</v>
      </c>
      <c r="AO694" s="796">
        <v>3721767</v>
      </c>
      <c r="AP694" s="796">
        <v>4082893</v>
      </c>
      <c r="AQ694" s="795" t="s">
        <v>317</v>
      </c>
      <c r="AR694" s="795" t="s">
        <v>317</v>
      </c>
      <c r="AS694" s="795" t="s">
        <v>317</v>
      </c>
      <c r="AT694" s="795" t="s">
        <v>317</v>
      </c>
      <c r="AU694" s="795" t="s">
        <v>317</v>
      </c>
      <c r="AV694" s="795" t="s">
        <v>317</v>
      </c>
      <c r="AW694" s="795" t="s">
        <v>317</v>
      </c>
      <c r="AX694" s="796">
        <v>7804660</v>
      </c>
      <c r="AY694" s="835"/>
    </row>
    <row r="695" spans="1:51" ht="18" x14ac:dyDescent="0.25">
      <c r="A695" s="815"/>
      <c r="B695" s="1043"/>
      <c r="C695" s="818"/>
      <c r="D695" s="132" t="s">
        <v>3</v>
      </c>
      <c r="E695" s="251">
        <f t="shared" si="79"/>
        <v>482999000</v>
      </c>
      <c r="F695" s="251">
        <f t="shared" si="79"/>
        <v>482999000</v>
      </c>
      <c r="G695" s="207">
        <f t="shared" si="79"/>
        <v>482999000</v>
      </c>
      <c r="H695" s="207">
        <f t="shared" si="79"/>
        <v>482999000</v>
      </c>
      <c r="I695" s="207" t="e">
        <f t="shared" si="79"/>
        <v>#REF!</v>
      </c>
      <c r="J695" s="208" t="e">
        <f t="shared" si="79"/>
        <v>#REF!</v>
      </c>
      <c r="K695" s="300">
        <f t="shared" si="79"/>
        <v>482999000</v>
      </c>
      <c r="L695" s="208"/>
      <c r="M695" s="208">
        <f t="shared" si="80"/>
        <v>482999000</v>
      </c>
      <c r="N695" s="138">
        <f t="shared" si="80"/>
        <v>220180000</v>
      </c>
      <c r="O695" s="138">
        <f t="shared" si="80"/>
        <v>220180000</v>
      </c>
      <c r="P695" s="138">
        <f t="shared" si="80"/>
        <v>199997000</v>
      </c>
      <c r="Q695" s="138">
        <f t="shared" si="80"/>
        <v>218352000</v>
      </c>
      <c r="R695" s="147">
        <f t="shared" si="80"/>
        <v>218352000</v>
      </c>
      <c r="S695" s="1056"/>
      <c r="T695" s="163">
        <f t="shared" ref="T695:X699" si="82">+T689</f>
        <v>0</v>
      </c>
      <c r="U695" s="163">
        <f t="shared" si="82"/>
        <v>340880000</v>
      </c>
      <c r="V695" s="163" t="e">
        <f t="shared" si="82"/>
        <v>#REF!</v>
      </c>
      <c r="W695" s="164" t="e">
        <f t="shared" si="82"/>
        <v>#REF!</v>
      </c>
      <c r="X695" s="261">
        <f t="shared" si="82"/>
        <v>447929500</v>
      </c>
      <c r="Y695" s="150"/>
      <c r="Z695" s="261">
        <f t="shared" si="81"/>
        <v>0</v>
      </c>
      <c r="AA695" s="222">
        <f t="shared" si="81"/>
        <v>162068000</v>
      </c>
      <c r="AB695" s="262">
        <f t="shared" si="81"/>
        <v>162068000</v>
      </c>
      <c r="AC695" s="260">
        <f t="shared" si="81"/>
        <v>162068000</v>
      </c>
      <c r="AD695" s="263">
        <f t="shared" si="81"/>
        <v>162068000</v>
      </c>
      <c r="AE695" s="261" t="e">
        <f t="shared" si="81"/>
        <v>#REF!</v>
      </c>
      <c r="AF695" s="1059"/>
      <c r="AG695" s="817"/>
      <c r="AH695" s="827"/>
      <c r="AI695" s="827"/>
      <c r="AJ695" s="827"/>
      <c r="AK695" s="818"/>
      <c r="AL695" s="827"/>
      <c r="AM695" s="827"/>
      <c r="AN695" s="808"/>
      <c r="AO695" s="797"/>
      <c r="AP695" s="797"/>
      <c r="AQ695" s="795"/>
      <c r="AR695" s="795"/>
      <c r="AS695" s="795"/>
      <c r="AT695" s="795"/>
      <c r="AU695" s="795"/>
      <c r="AV695" s="795"/>
      <c r="AW695" s="795"/>
      <c r="AX695" s="797"/>
      <c r="AY695" s="836"/>
    </row>
    <row r="696" spans="1:51" ht="27" x14ac:dyDescent="0.25">
      <c r="A696" s="815"/>
      <c r="B696" s="1043"/>
      <c r="C696" s="818"/>
      <c r="D696" s="136" t="s">
        <v>42</v>
      </c>
      <c r="E696" s="251" t="e">
        <f t="shared" si="79"/>
        <v>#REF!</v>
      </c>
      <c r="F696" s="251" t="e">
        <f t="shared" si="79"/>
        <v>#REF!</v>
      </c>
      <c r="G696" s="207">
        <v>0</v>
      </c>
      <c r="H696" s="207">
        <v>0</v>
      </c>
      <c r="I696" s="207" t="e">
        <f t="shared" si="79"/>
        <v>#REF!</v>
      </c>
      <c r="J696" s="208" t="e">
        <f t="shared" si="79"/>
        <v>#REF!</v>
      </c>
      <c r="K696" s="300">
        <f t="shared" si="79"/>
        <v>0</v>
      </c>
      <c r="L696" s="208"/>
      <c r="M696" s="208" t="e">
        <f t="shared" si="80"/>
        <v>#REF!</v>
      </c>
      <c r="N696" s="138">
        <f t="shared" si="80"/>
        <v>0</v>
      </c>
      <c r="O696" s="138">
        <f t="shared" si="80"/>
        <v>0</v>
      </c>
      <c r="P696" s="138" t="e">
        <f t="shared" si="80"/>
        <v>#REF!</v>
      </c>
      <c r="Q696" s="138" t="e">
        <f t="shared" si="80"/>
        <v>#REF!</v>
      </c>
      <c r="R696" s="147" t="e">
        <f t="shared" si="80"/>
        <v>#REF!</v>
      </c>
      <c r="S696" s="1056"/>
      <c r="T696" s="163">
        <v>0</v>
      </c>
      <c r="U696" s="163">
        <v>0</v>
      </c>
      <c r="V696" s="163" t="e">
        <f t="shared" si="82"/>
        <v>#REF!</v>
      </c>
      <c r="W696" s="164" t="e">
        <f t="shared" si="82"/>
        <v>#REF!</v>
      </c>
      <c r="X696" s="261">
        <f t="shared" si="82"/>
        <v>409112774</v>
      </c>
      <c r="Y696" s="150"/>
      <c r="Z696" s="261">
        <f t="shared" si="81"/>
        <v>0</v>
      </c>
      <c r="AA696" s="222">
        <f t="shared" si="81"/>
        <v>0</v>
      </c>
      <c r="AB696" s="262">
        <f t="shared" si="81"/>
        <v>0</v>
      </c>
      <c r="AC696" s="260" t="e">
        <f t="shared" si="81"/>
        <v>#REF!</v>
      </c>
      <c r="AD696" s="263" t="e">
        <f t="shared" si="81"/>
        <v>#REF!</v>
      </c>
      <c r="AE696" s="261" t="e">
        <f t="shared" si="81"/>
        <v>#REF!</v>
      </c>
      <c r="AF696" s="1059"/>
      <c r="AG696" s="817"/>
      <c r="AH696" s="827"/>
      <c r="AI696" s="827"/>
      <c r="AJ696" s="827"/>
      <c r="AK696" s="818"/>
      <c r="AL696" s="827"/>
      <c r="AM696" s="827"/>
      <c r="AN696" s="808"/>
      <c r="AO696" s="797"/>
      <c r="AP696" s="797"/>
      <c r="AQ696" s="795"/>
      <c r="AR696" s="795"/>
      <c r="AS696" s="795"/>
      <c r="AT696" s="795"/>
      <c r="AU696" s="795"/>
      <c r="AV696" s="795"/>
      <c r="AW696" s="795"/>
      <c r="AX696" s="797"/>
      <c r="AY696" s="836"/>
    </row>
    <row r="697" spans="1:51" ht="27" x14ac:dyDescent="0.25">
      <c r="A697" s="815"/>
      <c r="B697" s="1043"/>
      <c r="C697" s="818"/>
      <c r="D697" s="132" t="s">
        <v>4</v>
      </c>
      <c r="E697" s="251">
        <f t="shared" si="79"/>
        <v>45106067</v>
      </c>
      <c r="F697" s="251">
        <f t="shared" si="79"/>
        <v>45106067</v>
      </c>
      <c r="G697" s="207">
        <f t="shared" si="79"/>
        <v>45106067</v>
      </c>
      <c r="H697" s="207">
        <f t="shared" si="79"/>
        <v>45106067</v>
      </c>
      <c r="I697" s="207" t="e">
        <f t="shared" si="79"/>
        <v>#REF!</v>
      </c>
      <c r="J697" s="208" t="e">
        <f t="shared" si="79"/>
        <v>#REF!</v>
      </c>
      <c r="K697" s="300">
        <f t="shared" si="79"/>
        <v>0</v>
      </c>
      <c r="L697" s="208"/>
      <c r="M697" s="208">
        <f t="shared" si="80"/>
        <v>45106067</v>
      </c>
      <c r="N697" s="138">
        <f t="shared" si="80"/>
        <v>0</v>
      </c>
      <c r="O697" s="138">
        <f t="shared" si="80"/>
        <v>0</v>
      </c>
      <c r="P697" s="138" t="e">
        <f t="shared" si="80"/>
        <v>#REF!</v>
      </c>
      <c r="Q697" s="138" t="e">
        <f t="shared" si="80"/>
        <v>#REF!</v>
      </c>
      <c r="R697" s="147" t="e">
        <f t="shared" si="80"/>
        <v>#REF!</v>
      </c>
      <c r="S697" s="1056"/>
      <c r="T697" s="163">
        <f t="shared" si="82"/>
        <v>18479500</v>
      </c>
      <c r="U697" s="163">
        <f t="shared" si="82"/>
        <v>36465800</v>
      </c>
      <c r="V697" s="163" t="e">
        <f t="shared" si="82"/>
        <v>#REF!</v>
      </c>
      <c r="W697" s="164" t="e">
        <f t="shared" si="82"/>
        <v>#REF!</v>
      </c>
      <c r="X697" s="261">
        <f t="shared" si="82"/>
        <v>0</v>
      </c>
      <c r="Y697" s="150"/>
      <c r="Z697" s="261">
        <f t="shared" si="81"/>
        <v>0</v>
      </c>
      <c r="AA697" s="222">
        <f t="shared" si="81"/>
        <v>0</v>
      </c>
      <c r="AB697" s="262">
        <f t="shared" si="81"/>
        <v>0</v>
      </c>
      <c r="AC697" s="260" t="e">
        <f t="shared" si="81"/>
        <v>#REF!</v>
      </c>
      <c r="AD697" s="263" t="e">
        <f t="shared" si="81"/>
        <v>#REF!</v>
      </c>
      <c r="AE697" s="261" t="e">
        <f t="shared" si="81"/>
        <v>#REF!</v>
      </c>
      <c r="AF697" s="1059"/>
      <c r="AG697" s="817"/>
      <c r="AH697" s="827"/>
      <c r="AI697" s="827"/>
      <c r="AJ697" s="827"/>
      <c r="AK697" s="818"/>
      <c r="AL697" s="827"/>
      <c r="AM697" s="827"/>
      <c r="AN697" s="808"/>
      <c r="AO697" s="797"/>
      <c r="AP697" s="797"/>
      <c r="AQ697" s="795"/>
      <c r="AR697" s="795"/>
      <c r="AS697" s="795"/>
      <c r="AT697" s="795"/>
      <c r="AU697" s="795"/>
      <c r="AV697" s="795"/>
      <c r="AW697" s="795"/>
      <c r="AX697" s="797"/>
      <c r="AY697" s="836"/>
    </row>
    <row r="698" spans="1:51" ht="27" x14ac:dyDescent="0.25">
      <c r="A698" s="815"/>
      <c r="B698" s="1043"/>
      <c r="C698" s="818"/>
      <c r="D698" s="136" t="s">
        <v>43</v>
      </c>
      <c r="E698" s="251">
        <f t="shared" si="79"/>
        <v>0.6</v>
      </c>
      <c r="F698" s="251">
        <f t="shared" si="79"/>
        <v>0.6</v>
      </c>
      <c r="G698" s="207">
        <f t="shared" si="79"/>
        <v>0.6</v>
      </c>
      <c r="H698" s="207">
        <f t="shared" si="79"/>
        <v>0.6</v>
      </c>
      <c r="I698" s="207" t="e">
        <f t="shared" si="79"/>
        <v>#REF!</v>
      </c>
      <c r="J698" s="208" t="e">
        <f t="shared" si="79"/>
        <v>#REF!</v>
      </c>
      <c r="K698" s="300">
        <f t="shared" si="79"/>
        <v>45106067</v>
      </c>
      <c r="L698" s="208"/>
      <c r="M698" s="208">
        <f t="shared" si="80"/>
        <v>0.6</v>
      </c>
      <c r="N698" s="138">
        <f t="shared" si="80"/>
        <v>0.5</v>
      </c>
      <c r="O698" s="138">
        <f t="shared" si="80"/>
        <v>0.5</v>
      </c>
      <c r="P698" s="138">
        <f t="shared" si="80"/>
        <v>0.5</v>
      </c>
      <c r="Q698" s="138">
        <f t="shared" si="80"/>
        <v>0.5</v>
      </c>
      <c r="R698" s="147">
        <f t="shared" si="80"/>
        <v>0.5</v>
      </c>
      <c r="S698" s="1056"/>
      <c r="T698" s="163">
        <f t="shared" si="82"/>
        <v>0.06</v>
      </c>
      <c r="U698" s="163">
        <f t="shared" si="82"/>
        <v>0.09</v>
      </c>
      <c r="V698" s="163" t="e">
        <f t="shared" si="82"/>
        <v>#REF!</v>
      </c>
      <c r="W698" s="164" t="e">
        <f t="shared" si="82"/>
        <v>#REF!</v>
      </c>
      <c r="X698" s="261">
        <f t="shared" si="82"/>
        <v>45106067</v>
      </c>
      <c r="Y698" s="150"/>
      <c r="Z698" s="261">
        <f t="shared" si="81"/>
        <v>0.05</v>
      </c>
      <c r="AA698" s="222">
        <f t="shared" si="81"/>
        <v>0.1</v>
      </c>
      <c r="AB698" s="262">
        <f t="shared" si="81"/>
        <v>0.15</v>
      </c>
      <c r="AC698" s="260">
        <f t="shared" si="81"/>
        <v>0.22</v>
      </c>
      <c r="AD698" s="263">
        <f t="shared" si="81"/>
        <v>0.42</v>
      </c>
      <c r="AE698" s="261" t="e">
        <f t="shared" si="81"/>
        <v>#REF!</v>
      </c>
      <c r="AF698" s="1059"/>
      <c r="AG698" s="817"/>
      <c r="AH698" s="827"/>
      <c r="AI698" s="827"/>
      <c r="AJ698" s="827"/>
      <c r="AK698" s="818"/>
      <c r="AL698" s="827"/>
      <c r="AM698" s="827"/>
      <c r="AN698" s="808"/>
      <c r="AO698" s="797"/>
      <c r="AP698" s="797"/>
      <c r="AQ698" s="795"/>
      <c r="AR698" s="795"/>
      <c r="AS698" s="795"/>
      <c r="AT698" s="795"/>
      <c r="AU698" s="795"/>
      <c r="AV698" s="795"/>
      <c r="AW698" s="795"/>
      <c r="AX698" s="797"/>
      <c r="AY698" s="836"/>
    </row>
    <row r="699" spans="1:51" ht="27.75" thickBot="1" x14ac:dyDescent="0.3">
      <c r="A699" s="816"/>
      <c r="B699" s="1048"/>
      <c r="C699" s="818"/>
      <c r="D699" s="140" t="s">
        <v>45</v>
      </c>
      <c r="E699" s="251">
        <f t="shared" si="79"/>
        <v>528105067</v>
      </c>
      <c r="F699" s="251">
        <f t="shared" si="79"/>
        <v>528105067</v>
      </c>
      <c r="G699" s="207">
        <f t="shared" si="79"/>
        <v>528105067</v>
      </c>
      <c r="H699" s="207">
        <f t="shared" si="79"/>
        <v>528105067</v>
      </c>
      <c r="I699" s="207" t="e">
        <f>+I693</f>
        <v>#REF!</v>
      </c>
      <c r="J699" s="208" t="e">
        <f t="shared" si="79"/>
        <v>#REF!</v>
      </c>
      <c r="K699" s="300">
        <f t="shared" si="79"/>
        <v>0.6</v>
      </c>
      <c r="L699" s="208"/>
      <c r="M699" s="208">
        <f t="shared" si="80"/>
        <v>528105067</v>
      </c>
      <c r="N699" s="138">
        <f t="shared" si="80"/>
        <v>220180000</v>
      </c>
      <c r="O699" s="138">
        <f t="shared" si="80"/>
        <v>220180000</v>
      </c>
      <c r="P699" s="138">
        <f t="shared" si="80"/>
        <v>199997000</v>
      </c>
      <c r="Q699" s="138">
        <f t="shared" si="80"/>
        <v>218352000</v>
      </c>
      <c r="R699" s="147">
        <f t="shared" si="80"/>
        <v>218352000</v>
      </c>
      <c r="S699" s="1057"/>
      <c r="T699" s="163">
        <f t="shared" si="82"/>
        <v>18479500</v>
      </c>
      <c r="U699" s="163">
        <f t="shared" si="82"/>
        <v>377345800</v>
      </c>
      <c r="V699" s="163" t="e">
        <f t="shared" si="82"/>
        <v>#REF!</v>
      </c>
      <c r="W699" s="164" t="e">
        <f t="shared" si="82"/>
        <v>#REF!</v>
      </c>
      <c r="X699" s="261">
        <f t="shared" si="82"/>
        <v>0.55999999999999994</v>
      </c>
      <c r="Y699" s="150"/>
      <c r="Z699" s="261">
        <f t="shared" si="81"/>
        <v>0</v>
      </c>
      <c r="AA699" s="222">
        <f t="shared" si="81"/>
        <v>162068000</v>
      </c>
      <c r="AB699" s="262">
        <f t="shared" si="81"/>
        <v>162068000</v>
      </c>
      <c r="AC699" s="260">
        <f t="shared" si="81"/>
        <v>162068000</v>
      </c>
      <c r="AD699" s="263">
        <f t="shared" si="81"/>
        <v>162068000</v>
      </c>
      <c r="AE699" s="261" t="e">
        <f t="shared" si="81"/>
        <v>#REF!</v>
      </c>
      <c r="AF699" s="1060"/>
      <c r="AG699" s="817"/>
      <c r="AH699" s="827"/>
      <c r="AI699" s="827"/>
      <c r="AJ699" s="827"/>
      <c r="AK699" s="818"/>
      <c r="AL699" s="827"/>
      <c r="AM699" s="827"/>
      <c r="AN699" s="808"/>
      <c r="AO699" s="798"/>
      <c r="AP699" s="798"/>
      <c r="AQ699" s="795"/>
      <c r="AR699" s="795"/>
      <c r="AS699" s="795"/>
      <c r="AT699" s="795"/>
      <c r="AU699" s="795"/>
      <c r="AV699" s="795"/>
      <c r="AW699" s="795"/>
      <c r="AX699" s="798"/>
      <c r="AY699" s="837"/>
    </row>
    <row r="700" spans="1:51" s="3" customFormat="1" ht="26.25" customHeight="1" x14ac:dyDescent="0.25">
      <c r="A700" s="814">
        <v>8</v>
      </c>
      <c r="B700" s="1042" t="s">
        <v>296</v>
      </c>
      <c r="C700" s="818" t="s">
        <v>612</v>
      </c>
      <c r="D700" s="141" t="s">
        <v>41</v>
      </c>
      <c r="E700" s="258">
        <f>+[5]INVERSIÓN!U52</f>
        <v>1.4</v>
      </c>
      <c r="F700" s="258">
        <v>1.4</v>
      </c>
      <c r="G700" s="207">
        <f>+[5]INVERSIÓN!V52</f>
        <v>1.4</v>
      </c>
      <c r="H700" s="207">
        <f>+[5]INVERSIÓN!X52</f>
        <v>1.4</v>
      </c>
      <c r="I700" s="207">
        <v>1.4</v>
      </c>
      <c r="J700" s="208">
        <v>1.4</v>
      </c>
      <c r="K700" s="300">
        <f>+INVERSIÓN!AB59</f>
        <v>1.4</v>
      </c>
      <c r="L700" s="208"/>
      <c r="M700" s="208">
        <f t="shared" ref="M700:M705" si="83">+F700</f>
        <v>1.4</v>
      </c>
      <c r="N700" s="138">
        <f>+[6]INVERSIÓN!K52</f>
        <v>0.5</v>
      </c>
      <c r="O700" s="138">
        <f>+[6]INVERSIÓN!M52</f>
        <v>0.5</v>
      </c>
      <c r="P700" s="138">
        <f>+[5]INVERSIÓN!O52</f>
        <v>0.5</v>
      </c>
      <c r="Q700" s="138">
        <f>+[5]INVERSIÓN!Q52</f>
        <v>0.5</v>
      </c>
      <c r="R700" s="147">
        <f>+[5]INVERSIÓN!S52</f>
        <v>0.5</v>
      </c>
      <c r="S700" s="1049" t="s">
        <v>697</v>
      </c>
      <c r="T700" s="174">
        <f>+[5]INVERSIÓN!W52</f>
        <v>7.0000000000000007E-2</v>
      </c>
      <c r="U700" s="264">
        <f>+[5]INVERSIÓN!DR52</f>
        <v>0.19600000000000001</v>
      </c>
      <c r="V700" s="174">
        <v>0.32</v>
      </c>
      <c r="W700" s="175">
        <v>0.44800000000000001</v>
      </c>
      <c r="X700" s="217">
        <f>+INVERSIÓN!BA59</f>
        <v>1.4000000000000004</v>
      </c>
      <c r="Y700" s="217"/>
      <c r="Z700" s="217">
        <f>+[6]INVERSIÓN!J52</f>
        <v>0</v>
      </c>
      <c r="AA700" s="176">
        <f>+[6]INVERSIÓN!DX52</f>
        <v>0</v>
      </c>
      <c r="AB700" s="218">
        <f>+[6]INVERSIÓN!DY52</f>
        <v>0</v>
      </c>
      <c r="AC700" s="260">
        <f>+[5]INVERSIÓN!P52</f>
        <v>0.17</v>
      </c>
      <c r="AD700" s="145">
        <f>+[5]INVERSIÓN!R52</f>
        <v>0.34</v>
      </c>
      <c r="AE700" s="219" t="e">
        <f>+[5]INVERSIÓN!EB52</f>
        <v>#REF!</v>
      </c>
      <c r="AF700" s="1052" t="s">
        <v>698</v>
      </c>
      <c r="AG700" s="817" t="s">
        <v>541</v>
      </c>
      <c r="AH700" s="827" t="s">
        <v>70</v>
      </c>
      <c r="AI700" s="827" t="s">
        <v>70</v>
      </c>
      <c r="AJ700" s="827" t="s">
        <v>70</v>
      </c>
      <c r="AK700" s="818" t="s">
        <v>315</v>
      </c>
      <c r="AL700" s="827"/>
      <c r="AM700" s="827" t="s">
        <v>547</v>
      </c>
      <c r="AN700" s="808">
        <v>7804660</v>
      </c>
      <c r="AO700" s="796">
        <v>3721767</v>
      </c>
      <c r="AP700" s="796">
        <v>4082893</v>
      </c>
      <c r="AQ700" s="795" t="s">
        <v>317</v>
      </c>
      <c r="AR700" s="795" t="s">
        <v>317</v>
      </c>
      <c r="AS700" s="795" t="s">
        <v>317</v>
      </c>
      <c r="AT700" s="795" t="s">
        <v>317</v>
      </c>
      <c r="AU700" s="795" t="s">
        <v>317</v>
      </c>
      <c r="AV700" s="795" t="s">
        <v>317</v>
      </c>
      <c r="AW700" s="795" t="s">
        <v>317</v>
      </c>
      <c r="AX700" s="796">
        <v>7804660</v>
      </c>
      <c r="AY700" s="159"/>
    </row>
    <row r="701" spans="1:51" s="3" customFormat="1" ht="24.75" customHeight="1" x14ac:dyDescent="0.25">
      <c r="A701" s="815"/>
      <c r="B701" s="1043"/>
      <c r="C701" s="818"/>
      <c r="D701" s="132" t="s">
        <v>3</v>
      </c>
      <c r="E701" s="258">
        <f>+[6]INVERSIÓN!H53</f>
        <v>159600000</v>
      </c>
      <c r="F701" s="258">
        <f>+[6]INVERSIÓN!I53</f>
        <v>159600000</v>
      </c>
      <c r="G701" s="207">
        <f>+[5]INVERSIÓN!V53</f>
        <v>250350000</v>
      </c>
      <c r="H701" s="207">
        <f>+[5]INVERSIÓN!X53</f>
        <v>250350000</v>
      </c>
      <c r="I701" s="207">
        <v>250350000</v>
      </c>
      <c r="J701" s="208">
        <v>222016000</v>
      </c>
      <c r="K701" s="300">
        <f>+INVERSIÓN!AB60</f>
        <v>250350000</v>
      </c>
      <c r="L701" s="183"/>
      <c r="M701" s="208">
        <f t="shared" si="83"/>
        <v>159600000</v>
      </c>
      <c r="N701" s="138">
        <f>+[6]INVERSIÓN!K53</f>
        <v>152972000</v>
      </c>
      <c r="O701" s="138">
        <f>+[6]INVERSIÓN!M53</f>
        <v>152972000</v>
      </c>
      <c r="P701" s="138">
        <f>+[5]INVERSIÓN!O53</f>
        <v>136314000</v>
      </c>
      <c r="Q701" s="138">
        <f>+[5]INVERSIÓN!Q53</f>
        <v>156172000</v>
      </c>
      <c r="R701" s="147">
        <f>+[5]INVERSIÓN!S53</f>
        <v>156172000</v>
      </c>
      <c r="S701" s="1050"/>
      <c r="T701" s="174">
        <f>+[5]INVERSIÓN!W53</f>
        <v>0</v>
      </c>
      <c r="U701" s="174">
        <f>+[5]INVERSIÓN!DR53</f>
        <v>99990000</v>
      </c>
      <c r="V701" s="174">
        <v>207261000</v>
      </c>
      <c r="W701" s="175">
        <v>222016000</v>
      </c>
      <c r="X701" s="217">
        <f>+INVERSIÓN!BA60</f>
        <v>277709000</v>
      </c>
      <c r="Y701" s="221"/>
      <c r="Z701" s="217">
        <f>+[6]INVERSIÓN!J53</f>
        <v>0</v>
      </c>
      <c r="AA701" s="176">
        <f>+[6]INVERSIÓN!DX53</f>
        <v>101484000</v>
      </c>
      <c r="AB701" s="218">
        <f>+[6]INVERSIÓN!DY53</f>
        <v>116067000</v>
      </c>
      <c r="AC701" s="260">
        <f>+[5]INVERSIÓN!P53</f>
        <v>116067000</v>
      </c>
      <c r="AD701" s="145">
        <f>+[5]INVERSIÓN!R53</f>
        <v>116067000</v>
      </c>
      <c r="AE701" s="219" t="e">
        <f>+[5]INVERSIÓN!EB53</f>
        <v>#REF!</v>
      </c>
      <c r="AF701" s="1053"/>
      <c r="AG701" s="817"/>
      <c r="AH701" s="827"/>
      <c r="AI701" s="827"/>
      <c r="AJ701" s="827"/>
      <c r="AK701" s="818"/>
      <c r="AL701" s="827"/>
      <c r="AM701" s="827"/>
      <c r="AN701" s="808"/>
      <c r="AO701" s="797"/>
      <c r="AP701" s="797"/>
      <c r="AQ701" s="795"/>
      <c r="AR701" s="795"/>
      <c r="AS701" s="795"/>
      <c r="AT701" s="795"/>
      <c r="AU701" s="795"/>
      <c r="AV701" s="795"/>
      <c r="AW701" s="795"/>
      <c r="AX701" s="797"/>
      <c r="AY701" s="159"/>
    </row>
    <row r="702" spans="1:51" s="3" customFormat="1" ht="32.25" customHeight="1" x14ac:dyDescent="0.25">
      <c r="A702" s="815"/>
      <c r="B702" s="1043"/>
      <c r="C702" s="818"/>
      <c r="D702" s="136" t="s">
        <v>42</v>
      </c>
      <c r="E702" s="258">
        <f>+[6]INVERSIÓN!H54</f>
        <v>0</v>
      </c>
      <c r="F702" s="258">
        <f>+[6]INVERSIÓN!I54</f>
        <v>0</v>
      </c>
      <c r="G702" s="207">
        <v>0</v>
      </c>
      <c r="H702" s="207">
        <v>0</v>
      </c>
      <c r="I702" s="207">
        <v>0</v>
      </c>
      <c r="J702" s="208">
        <v>0</v>
      </c>
      <c r="K702" s="300">
        <f>+INVERSIÓN!AB61</f>
        <v>0</v>
      </c>
      <c r="L702" s="183"/>
      <c r="M702" s="208">
        <f t="shared" si="83"/>
        <v>0</v>
      </c>
      <c r="N702" s="138">
        <f>+[6]INVERSIÓN!K54</f>
        <v>0</v>
      </c>
      <c r="O702" s="138">
        <f>+[6]INVERSIÓN!M54</f>
        <v>0</v>
      </c>
      <c r="P702" s="138" t="e">
        <f>+[5]INVERSIÓN!O54</f>
        <v>#REF!</v>
      </c>
      <c r="Q702" s="138" t="e">
        <f>+[5]INVERSIÓN!Q54</f>
        <v>#REF!</v>
      </c>
      <c r="R702" s="147" t="e">
        <f>+[5]INVERSIÓN!S54</f>
        <v>#REF!</v>
      </c>
      <c r="S702" s="1050"/>
      <c r="T702" s="174">
        <v>0</v>
      </c>
      <c r="U702" s="174">
        <v>0</v>
      </c>
      <c r="V702" s="174">
        <v>0</v>
      </c>
      <c r="W702" s="175">
        <v>0</v>
      </c>
      <c r="X702" s="217">
        <f>+INVERSIÓN!BA61</f>
        <v>243612895</v>
      </c>
      <c r="Y702" s="221"/>
      <c r="Z702" s="217">
        <f>+[6]INVERSIÓN!J54</f>
        <v>0</v>
      </c>
      <c r="AA702" s="176">
        <f>+[6]INVERSIÓN!DX54</f>
        <v>0</v>
      </c>
      <c r="AB702" s="218">
        <f>+[6]INVERSIÓN!DY54</f>
        <v>0</v>
      </c>
      <c r="AC702" s="260" t="e">
        <f>+[5]INVERSIÓN!P54</f>
        <v>#REF!</v>
      </c>
      <c r="AD702" s="145" t="e">
        <f>+[5]INVERSIÓN!R54</f>
        <v>#REF!</v>
      </c>
      <c r="AE702" s="219" t="e">
        <f>+[5]INVERSIÓN!EB54</f>
        <v>#REF!</v>
      </c>
      <c r="AF702" s="1053"/>
      <c r="AG702" s="817"/>
      <c r="AH702" s="827"/>
      <c r="AI702" s="827"/>
      <c r="AJ702" s="827"/>
      <c r="AK702" s="818"/>
      <c r="AL702" s="827"/>
      <c r="AM702" s="827"/>
      <c r="AN702" s="808"/>
      <c r="AO702" s="797"/>
      <c r="AP702" s="797"/>
      <c r="AQ702" s="795"/>
      <c r="AR702" s="795"/>
      <c r="AS702" s="795"/>
      <c r="AT702" s="795"/>
      <c r="AU702" s="795"/>
      <c r="AV702" s="795"/>
      <c r="AW702" s="795"/>
      <c r="AX702" s="797"/>
      <c r="AY702" s="159"/>
    </row>
    <row r="703" spans="1:51" s="3" customFormat="1" ht="30" customHeight="1" x14ac:dyDescent="0.25">
      <c r="A703" s="815"/>
      <c r="B703" s="1043"/>
      <c r="C703" s="818"/>
      <c r="D703" s="132" t="s">
        <v>4</v>
      </c>
      <c r="E703" s="258">
        <f>+[6]INVERSIÓN!H55</f>
        <v>0</v>
      </c>
      <c r="F703" s="258">
        <f>+[6]INVERSIÓN!I55</f>
        <v>0</v>
      </c>
      <c r="G703" s="207">
        <f>+[5]INVERSIÓN!V55</f>
        <v>46923400</v>
      </c>
      <c r="H703" s="207">
        <f>+[5]INVERSIÓN!X55</f>
        <v>46923400</v>
      </c>
      <c r="I703" s="207">
        <v>46923400</v>
      </c>
      <c r="J703" s="208">
        <v>46923400</v>
      </c>
      <c r="K703" s="300">
        <f>+INVERSIÓN!AB62</f>
        <v>0</v>
      </c>
      <c r="L703" s="183"/>
      <c r="M703" s="208">
        <f t="shared" si="83"/>
        <v>0</v>
      </c>
      <c r="N703" s="138">
        <f>+[6]INVERSIÓN!K55</f>
        <v>0</v>
      </c>
      <c r="O703" s="138">
        <f>+[6]INVERSIÓN!M55</f>
        <v>0</v>
      </c>
      <c r="P703" s="138" t="e">
        <f>+[5]INVERSIÓN!O55</f>
        <v>#REF!</v>
      </c>
      <c r="Q703" s="138" t="e">
        <f>+[5]INVERSIÓN!Q55</f>
        <v>#REF!</v>
      </c>
      <c r="R703" s="147" t="e">
        <f>+[5]INVERSIÓN!S55</f>
        <v>#REF!</v>
      </c>
      <c r="S703" s="1050"/>
      <c r="T703" s="174">
        <f>+[5]INVERSIÓN!W55</f>
        <v>5648300</v>
      </c>
      <c r="U703" s="174">
        <f>+[5]INVERSIÓN!DR55</f>
        <v>33089933</v>
      </c>
      <c r="V703" s="174">
        <v>42024000</v>
      </c>
      <c r="W703" s="175">
        <v>44906000</v>
      </c>
      <c r="X703" s="217">
        <f>+INVERSIÓN!BA62</f>
        <v>0</v>
      </c>
      <c r="Y703" s="221"/>
      <c r="Z703" s="217">
        <f>+[6]INVERSIÓN!J55</f>
        <v>0</v>
      </c>
      <c r="AA703" s="176">
        <f>+[6]INVERSIÓN!DX55</f>
        <v>0</v>
      </c>
      <c r="AB703" s="218">
        <f>+[6]INVERSIÓN!DY55</f>
        <v>0</v>
      </c>
      <c r="AC703" s="260" t="e">
        <f>+[5]INVERSIÓN!P55</f>
        <v>#REF!</v>
      </c>
      <c r="AD703" s="145" t="e">
        <f>+[5]INVERSIÓN!R55</f>
        <v>#REF!</v>
      </c>
      <c r="AE703" s="219" t="e">
        <f>+[5]INVERSIÓN!EB55</f>
        <v>#REF!</v>
      </c>
      <c r="AF703" s="1053"/>
      <c r="AG703" s="817"/>
      <c r="AH703" s="827"/>
      <c r="AI703" s="827"/>
      <c r="AJ703" s="827"/>
      <c r="AK703" s="818"/>
      <c r="AL703" s="827"/>
      <c r="AM703" s="827"/>
      <c r="AN703" s="808"/>
      <c r="AO703" s="797"/>
      <c r="AP703" s="797"/>
      <c r="AQ703" s="795"/>
      <c r="AR703" s="795"/>
      <c r="AS703" s="795"/>
      <c r="AT703" s="795"/>
      <c r="AU703" s="795"/>
      <c r="AV703" s="795"/>
      <c r="AW703" s="795"/>
      <c r="AX703" s="797"/>
      <c r="AY703" s="159"/>
    </row>
    <row r="704" spans="1:51" s="3" customFormat="1" ht="31.5" customHeight="1" x14ac:dyDescent="0.25">
      <c r="A704" s="815"/>
      <c r="B704" s="1043"/>
      <c r="C704" s="818"/>
      <c r="D704" s="136" t="s">
        <v>43</v>
      </c>
      <c r="E704" s="258">
        <f>+[6]INVERSIÓN!H56</f>
        <v>0.5</v>
      </c>
      <c r="F704" s="258">
        <f>+[6]INVERSIÓN!I56</f>
        <v>0.5</v>
      </c>
      <c r="G704" s="207">
        <f>+[5]INVERSIÓN!V56</f>
        <v>1.4</v>
      </c>
      <c r="H704" s="207">
        <f>+[5]INVERSIÓN!X56</f>
        <v>1.4</v>
      </c>
      <c r="I704" s="207">
        <v>1.4</v>
      </c>
      <c r="J704" s="208">
        <v>1.4</v>
      </c>
      <c r="K704" s="300">
        <f>+INVERSIÓN!AB63</f>
        <v>46923400</v>
      </c>
      <c r="L704" s="208"/>
      <c r="M704" s="208">
        <f t="shared" si="83"/>
        <v>0.5</v>
      </c>
      <c r="N704" s="138">
        <f>+[6]INVERSIÓN!K56</f>
        <v>0.5</v>
      </c>
      <c r="O704" s="138">
        <f>+[6]INVERSIÓN!M56</f>
        <v>0.5</v>
      </c>
      <c r="P704" s="138">
        <f>+[5]INVERSIÓN!O56</f>
        <v>0.5</v>
      </c>
      <c r="Q704" s="138">
        <f>+[5]INVERSIÓN!Q56</f>
        <v>0.5</v>
      </c>
      <c r="R704" s="147">
        <f>+[5]INVERSIÓN!S56</f>
        <v>0.5</v>
      </c>
      <c r="S704" s="1050"/>
      <c r="T704" s="174">
        <f>+[5]INVERSIÓN!W56</f>
        <v>7.0000000000000007E-2</v>
      </c>
      <c r="U704" s="264">
        <f>+[5]INVERSIÓN!DR56</f>
        <v>0.19600000000000001</v>
      </c>
      <c r="V704" s="174">
        <v>0.32</v>
      </c>
      <c r="W704" s="175">
        <v>0.44800000000000001</v>
      </c>
      <c r="X704" s="217">
        <f>+INVERSIÓN!BA63</f>
        <v>46923400</v>
      </c>
      <c r="Y704" s="222"/>
      <c r="Z704" s="217">
        <f>+[6]INVERSIÓN!J56</f>
        <v>0</v>
      </c>
      <c r="AA704" s="176">
        <f>+[6]INVERSIÓN!DX56</f>
        <v>0</v>
      </c>
      <c r="AB704" s="218">
        <f>+[6]INVERSIÓN!DY56</f>
        <v>0</v>
      </c>
      <c r="AC704" s="260">
        <f>+[5]INVERSIÓN!P56</f>
        <v>0.17</v>
      </c>
      <c r="AD704" s="145">
        <f>+[5]INVERSIÓN!R56</f>
        <v>0.34</v>
      </c>
      <c r="AE704" s="219" t="e">
        <f>+[5]INVERSIÓN!EB56</f>
        <v>#REF!</v>
      </c>
      <c r="AF704" s="1053"/>
      <c r="AG704" s="817"/>
      <c r="AH704" s="827"/>
      <c r="AI704" s="827"/>
      <c r="AJ704" s="827"/>
      <c r="AK704" s="818"/>
      <c r="AL704" s="827"/>
      <c r="AM704" s="827"/>
      <c r="AN704" s="808"/>
      <c r="AO704" s="797"/>
      <c r="AP704" s="797"/>
      <c r="AQ704" s="795"/>
      <c r="AR704" s="795"/>
      <c r="AS704" s="795"/>
      <c r="AT704" s="795"/>
      <c r="AU704" s="795"/>
      <c r="AV704" s="795"/>
      <c r="AW704" s="795"/>
      <c r="AX704" s="797"/>
      <c r="AY704" s="159"/>
    </row>
    <row r="705" spans="1:51" s="3" customFormat="1" ht="30" customHeight="1" thickBot="1" x14ac:dyDescent="0.3">
      <c r="A705" s="815"/>
      <c r="B705" s="1043"/>
      <c r="C705" s="818"/>
      <c r="D705" s="140" t="s">
        <v>45</v>
      </c>
      <c r="E705" s="258">
        <f>+[6]INVERSIÓN!H57</f>
        <v>159600000</v>
      </c>
      <c r="F705" s="258">
        <f>+[6]INVERSIÓN!I57</f>
        <v>159600000</v>
      </c>
      <c r="G705" s="207">
        <f>+[5]INVERSIÓN!V57</f>
        <v>297273400</v>
      </c>
      <c r="H705" s="207">
        <f>+[5]INVERSIÓN!X57</f>
        <v>297273400</v>
      </c>
      <c r="I705" s="207">
        <v>297273400</v>
      </c>
      <c r="J705" s="208">
        <v>268939400</v>
      </c>
      <c r="K705" s="300">
        <f>+INVERSIÓN!AB64</f>
        <v>1.4</v>
      </c>
      <c r="L705" s="186"/>
      <c r="M705" s="208">
        <f t="shared" si="83"/>
        <v>159600000</v>
      </c>
      <c r="N705" s="138">
        <f>+[6]INVERSIÓN!K57</f>
        <v>152972000</v>
      </c>
      <c r="O705" s="138">
        <f>+[6]INVERSIÓN!M57</f>
        <v>152972000</v>
      </c>
      <c r="P705" s="138">
        <f>+[5]INVERSIÓN!O57</f>
        <v>136314000</v>
      </c>
      <c r="Q705" s="138">
        <f>+[5]INVERSIÓN!Q57</f>
        <v>156172000</v>
      </c>
      <c r="R705" s="147">
        <f>+[5]INVERSIÓN!S57</f>
        <v>156172000</v>
      </c>
      <c r="S705" s="1050"/>
      <c r="T705" s="174">
        <f>+[5]INVERSIÓN!W57</f>
        <v>5648300</v>
      </c>
      <c r="U705" s="174">
        <f>+[5]INVERSIÓN!DR57</f>
        <v>133079933</v>
      </c>
      <c r="V705" s="174">
        <v>249285000</v>
      </c>
      <c r="W705" s="175">
        <v>266922000</v>
      </c>
      <c r="X705" s="217">
        <f>+INVERSIÓN!BA64</f>
        <v>1.4000000000000004</v>
      </c>
      <c r="Y705" s="217"/>
      <c r="Z705" s="217">
        <f>+[6]INVERSIÓN!J57</f>
        <v>0</v>
      </c>
      <c r="AA705" s="176">
        <f>+[6]INVERSIÓN!DX57</f>
        <v>101484000</v>
      </c>
      <c r="AB705" s="218">
        <f>+[6]INVERSIÓN!DY57</f>
        <v>116067000</v>
      </c>
      <c r="AC705" s="260">
        <f>+[5]INVERSIÓN!P57</f>
        <v>116067000</v>
      </c>
      <c r="AD705" s="145">
        <f>+[5]INVERSIÓN!R57</f>
        <v>116067000</v>
      </c>
      <c r="AE705" s="219" t="e">
        <f>+[5]INVERSIÓN!EB57</f>
        <v>#REF!</v>
      </c>
      <c r="AF705" s="1053"/>
      <c r="AG705" s="817"/>
      <c r="AH705" s="827"/>
      <c r="AI705" s="827"/>
      <c r="AJ705" s="827"/>
      <c r="AK705" s="818"/>
      <c r="AL705" s="827"/>
      <c r="AM705" s="827"/>
      <c r="AN705" s="808"/>
      <c r="AO705" s="798"/>
      <c r="AP705" s="798"/>
      <c r="AQ705" s="795"/>
      <c r="AR705" s="795"/>
      <c r="AS705" s="795"/>
      <c r="AT705" s="795"/>
      <c r="AU705" s="795"/>
      <c r="AV705" s="795"/>
      <c r="AW705" s="795"/>
      <c r="AX705" s="798"/>
      <c r="AY705" s="159"/>
    </row>
    <row r="706" spans="1:51" ht="18" hidden="1" customHeight="1" x14ac:dyDescent="0.25">
      <c r="A706" s="815"/>
      <c r="B706" s="1043"/>
      <c r="C706" s="827" t="s">
        <v>352</v>
      </c>
      <c r="D706" s="141" t="s">
        <v>41</v>
      </c>
      <c r="E706" s="258"/>
      <c r="F706" s="258"/>
      <c r="G706" s="207"/>
      <c r="H706" s="207"/>
      <c r="I706" s="207"/>
      <c r="J706" s="208"/>
      <c r="K706" s="300">
        <f>+INVERSIÓN!AB65</f>
        <v>297273400</v>
      </c>
      <c r="L706" s="208"/>
      <c r="M706" s="208"/>
      <c r="N706" s="138"/>
      <c r="O706" s="138"/>
      <c r="P706" s="138"/>
      <c r="Q706" s="138"/>
      <c r="R706" s="147"/>
      <c r="S706" s="1050"/>
      <c r="T706" s="174">
        <f>+[5]INVERSIÓN!W58</f>
        <v>0</v>
      </c>
      <c r="U706" s="174"/>
      <c r="V706" s="174"/>
      <c r="W706" s="175"/>
      <c r="X706" s="217"/>
      <c r="Y706" s="217"/>
      <c r="Z706" s="217"/>
      <c r="AA706" s="176"/>
      <c r="AB706" s="218"/>
      <c r="AC706" s="260"/>
      <c r="AD706" s="145"/>
      <c r="AE706" s="219"/>
      <c r="AF706" s="1053"/>
      <c r="AG706" s="828" t="str">
        <f>+C706</f>
        <v>TUNJUELITO</v>
      </c>
      <c r="AH706" s="774" t="s">
        <v>350</v>
      </c>
      <c r="AI706" s="774" t="s">
        <v>350</v>
      </c>
      <c r="AJ706" s="774" t="s">
        <v>350</v>
      </c>
      <c r="AK706" s="775" t="s">
        <v>315</v>
      </c>
      <c r="AL706" s="776"/>
      <c r="AM706" s="775" t="s">
        <v>547</v>
      </c>
      <c r="AN706" s="857">
        <v>7715777</v>
      </c>
      <c r="AO706" s="796">
        <v>3679381.9895200301</v>
      </c>
      <c r="AP706" s="796">
        <v>4036396.0104799699</v>
      </c>
      <c r="AQ706" s="795" t="s">
        <v>317</v>
      </c>
      <c r="AR706" s="795" t="s">
        <v>317</v>
      </c>
      <c r="AS706" s="795" t="s">
        <v>317</v>
      </c>
      <c r="AT706" s="795" t="s">
        <v>317</v>
      </c>
      <c r="AU706" s="795" t="s">
        <v>317</v>
      </c>
      <c r="AV706" s="795" t="s">
        <v>317</v>
      </c>
      <c r="AW706" s="795" t="s">
        <v>317</v>
      </c>
      <c r="AX706" s="796">
        <v>7715777</v>
      </c>
      <c r="AY706" s="159"/>
    </row>
    <row r="707" spans="1:51" ht="18" hidden="1" customHeight="1" x14ac:dyDescent="0.25">
      <c r="A707" s="815"/>
      <c r="B707" s="1043"/>
      <c r="C707" s="827"/>
      <c r="D707" s="132" t="s">
        <v>3</v>
      </c>
      <c r="E707" s="258"/>
      <c r="F707" s="258"/>
      <c r="G707" s="227"/>
      <c r="H707" s="227"/>
      <c r="I707" s="227"/>
      <c r="J707" s="183"/>
      <c r="K707" s="300">
        <f>+INVERSIÓN!AB66</f>
        <v>0</v>
      </c>
      <c r="L707" s="183"/>
      <c r="M707" s="208"/>
      <c r="N707" s="138"/>
      <c r="O707" s="183"/>
      <c r="P707" s="183"/>
      <c r="Q707" s="183"/>
      <c r="R707" s="232"/>
      <c r="S707" s="1050"/>
      <c r="T707" s="174">
        <f>+[5]INVERSIÓN!W59</f>
        <v>0</v>
      </c>
      <c r="U707" s="193"/>
      <c r="V707" s="193"/>
      <c r="W707" s="229"/>
      <c r="X707" s="221"/>
      <c r="Y707" s="221"/>
      <c r="Z707" s="221"/>
      <c r="AA707" s="265"/>
      <c r="AB707" s="266"/>
      <c r="AC707" s="267"/>
      <c r="AD707" s="268"/>
      <c r="AE707" s="269"/>
      <c r="AF707" s="1053"/>
      <c r="AG707" s="828"/>
      <c r="AH707" s="775"/>
      <c r="AI707" s="775"/>
      <c r="AJ707" s="775"/>
      <c r="AK707" s="775"/>
      <c r="AL707" s="827"/>
      <c r="AM707" s="775"/>
      <c r="AN707" s="857"/>
      <c r="AO707" s="797"/>
      <c r="AP707" s="797"/>
      <c r="AQ707" s="795"/>
      <c r="AR707" s="795"/>
      <c r="AS707" s="795"/>
      <c r="AT707" s="795"/>
      <c r="AU707" s="795"/>
      <c r="AV707" s="795"/>
      <c r="AW707" s="795"/>
      <c r="AX707" s="797"/>
      <c r="AY707" s="159"/>
    </row>
    <row r="708" spans="1:51" ht="27" hidden="1" customHeight="1" x14ac:dyDescent="0.25">
      <c r="A708" s="815"/>
      <c r="B708" s="1043"/>
      <c r="C708" s="827"/>
      <c r="D708" s="136" t="s">
        <v>42</v>
      </c>
      <c r="E708" s="258"/>
      <c r="F708" s="258"/>
      <c r="G708" s="227"/>
      <c r="H708" s="227"/>
      <c r="I708" s="227"/>
      <c r="J708" s="183"/>
      <c r="K708" s="300">
        <f>+INVERSIÓN!AB67</f>
        <v>0</v>
      </c>
      <c r="L708" s="183"/>
      <c r="M708" s="208"/>
      <c r="N708" s="138"/>
      <c r="O708" s="183"/>
      <c r="P708" s="183"/>
      <c r="Q708" s="183"/>
      <c r="R708" s="232"/>
      <c r="S708" s="1050"/>
      <c r="T708" s="174">
        <f>+[5]INVERSIÓN!W60</f>
        <v>0.05</v>
      </c>
      <c r="U708" s="193"/>
      <c r="V708" s="193"/>
      <c r="W708" s="229"/>
      <c r="X708" s="221"/>
      <c r="Y708" s="221"/>
      <c r="Z708" s="221"/>
      <c r="AA708" s="265"/>
      <c r="AB708" s="266"/>
      <c r="AC708" s="267"/>
      <c r="AD708" s="268"/>
      <c r="AE708" s="269"/>
      <c r="AF708" s="1053"/>
      <c r="AG708" s="828"/>
      <c r="AH708" s="775"/>
      <c r="AI708" s="775"/>
      <c r="AJ708" s="775"/>
      <c r="AK708" s="775"/>
      <c r="AL708" s="827"/>
      <c r="AM708" s="775"/>
      <c r="AN708" s="857"/>
      <c r="AO708" s="797"/>
      <c r="AP708" s="797"/>
      <c r="AQ708" s="795"/>
      <c r="AR708" s="795"/>
      <c r="AS708" s="795"/>
      <c r="AT708" s="795"/>
      <c r="AU708" s="795"/>
      <c r="AV708" s="795"/>
      <c r="AW708" s="795"/>
      <c r="AX708" s="797"/>
      <c r="AY708" s="159"/>
    </row>
    <row r="709" spans="1:51" ht="27" hidden="1" customHeight="1" x14ac:dyDescent="0.25">
      <c r="A709" s="815"/>
      <c r="B709" s="1043"/>
      <c r="C709" s="827"/>
      <c r="D709" s="132" t="s">
        <v>4</v>
      </c>
      <c r="E709" s="258"/>
      <c r="F709" s="258"/>
      <c r="G709" s="227"/>
      <c r="H709" s="227"/>
      <c r="I709" s="227"/>
      <c r="J709" s="183"/>
      <c r="K709" s="300">
        <f>+INVERSIÓN!AB68</f>
        <v>0</v>
      </c>
      <c r="L709" s="183"/>
      <c r="M709" s="208"/>
      <c r="N709" s="138"/>
      <c r="O709" s="183"/>
      <c r="P709" s="183"/>
      <c r="Q709" s="183"/>
      <c r="R709" s="232"/>
      <c r="S709" s="1050"/>
      <c r="T709" s="174">
        <f>+[5]INVERSIÓN!W61</f>
        <v>33914000</v>
      </c>
      <c r="U709" s="193"/>
      <c r="V709" s="193"/>
      <c r="W709" s="229"/>
      <c r="X709" s="221"/>
      <c r="Y709" s="221"/>
      <c r="Z709" s="221"/>
      <c r="AA709" s="265"/>
      <c r="AB709" s="266"/>
      <c r="AC709" s="267"/>
      <c r="AD709" s="268"/>
      <c r="AE709" s="269"/>
      <c r="AF709" s="1053"/>
      <c r="AG709" s="828"/>
      <c r="AH709" s="775"/>
      <c r="AI709" s="775"/>
      <c r="AJ709" s="775"/>
      <c r="AK709" s="775"/>
      <c r="AL709" s="827"/>
      <c r="AM709" s="775"/>
      <c r="AN709" s="857"/>
      <c r="AO709" s="797"/>
      <c r="AP709" s="797"/>
      <c r="AQ709" s="795"/>
      <c r="AR709" s="795"/>
      <c r="AS709" s="795"/>
      <c r="AT709" s="795"/>
      <c r="AU709" s="795"/>
      <c r="AV709" s="795"/>
      <c r="AW709" s="795"/>
      <c r="AX709" s="797"/>
      <c r="AY709" s="159"/>
    </row>
    <row r="710" spans="1:51" ht="27" hidden="1" customHeight="1" x14ac:dyDescent="0.25">
      <c r="A710" s="815"/>
      <c r="B710" s="1043"/>
      <c r="C710" s="827"/>
      <c r="D710" s="136" t="s">
        <v>43</v>
      </c>
      <c r="E710" s="258"/>
      <c r="F710" s="258"/>
      <c r="G710" s="207"/>
      <c r="H710" s="207"/>
      <c r="I710" s="207"/>
      <c r="J710" s="208"/>
      <c r="K710" s="300">
        <f>+INVERSIÓN!AB69</f>
        <v>0.1</v>
      </c>
      <c r="L710" s="208"/>
      <c r="M710" s="208"/>
      <c r="N710" s="138"/>
      <c r="O710" s="138"/>
      <c r="P710" s="138"/>
      <c r="Q710" s="138"/>
      <c r="R710" s="147"/>
      <c r="S710" s="1050"/>
      <c r="T710" s="174">
        <f>+[5]INVERSIÓN!W62</f>
        <v>0.05</v>
      </c>
      <c r="U710" s="234"/>
      <c r="V710" s="234"/>
      <c r="W710" s="147"/>
      <c r="X710" s="222"/>
      <c r="Y710" s="222"/>
      <c r="Z710" s="222"/>
      <c r="AA710" s="222"/>
      <c r="AB710" s="263"/>
      <c r="AC710" s="260"/>
      <c r="AD710" s="145"/>
      <c r="AE710" s="260"/>
      <c r="AF710" s="1053"/>
      <c r="AG710" s="828"/>
      <c r="AH710" s="775"/>
      <c r="AI710" s="775"/>
      <c r="AJ710" s="775"/>
      <c r="AK710" s="775"/>
      <c r="AL710" s="827"/>
      <c r="AM710" s="775"/>
      <c r="AN710" s="857"/>
      <c r="AO710" s="797"/>
      <c r="AP710" s="797"/>
      <c r="AQ710" s="795"/>
      <c r="AR710" s="795"/>
      <c r="AS710" s="795"/>
      <c r="AT710" s="795"/>
      <c r="AU710" s="795"/>
      <c r="AV710" s="795"/>
      <c r="AW710" s="795"/>
      <c r="AX710" s="797"/>
      <c r="AY710" s="159"/>
    </row>
    <row r="711" spans="1:51" ht="27.75" hidden="1" customHeight="1" x14ac:dyDescent="0.25">
      <c r="A711" s="815"/>
      <c r="B711" s="1043"/>
      <c r="C711" s="827"/>
      <c r="D711" s="140" t="s">
        <v>45</v>
      </c>
      <c r="E711" s="258"/>
      <c r="F711" s="258"/>
      <c r="G711" s="237"/>
      <c r="H711" s="237"/>
      <c r="I711" s="237"/>
      <c r="J711" s="186"/>
      <c r="K711" s="300">
        <f>+INVERSIÓN!AB70</f>
        <v>160059853</v>
      </c>
      <c r="L711" s="186"/>
      <c r="M711" s="208"/>
      <c r="N711" s="138"/>
      <c r="O711" s="186"/>
      <c r="P711" s="186"/>
      <c r="Q711" s="186"/>
      <c r="R711" s="175"/>
      <c r="S711" s="1050"/>
      <c r="T711" s="174">
        <f>+[5]INVERSIÓN!W63</f>
        <v>33914000</v>
      </c>
      <c r="U711" s="174"/>
      <c r="V711" s="174"/>
      <c r="W711" s="175"/>
      <c r="X711" s="217"/>
      <c r="Y711" s="217"/>
      <c r="Z711" s="217"/>
      <c r="AA711" s="176"/>
      <c r="AB711" s="218"/>
      <c r="AC711" s="267"/>
      <c r="AD711" s="270"/>
      <c r="AE711" s="219"/>
      <c r="AF711" s="1053"/>
      <c r="AG711" s="828"/>
      <c r="AH711" s="776"/>
      <c r="AI711" s="776"/>
      <c r="AJ711" s="776"/>
      <c r="AK711" s="776"/>
      <c r="AL711" s="774"/>
      <c r="AM711" s="775"/>
      <c r="AN711" s="857"/>
      <c r="AO711" s="798"/>
      <c r="AP711" s="798"/>
      <c r="AQ711" s="795"/>
      <c r="AR711" s="795"/>
      <c r="AS711" s="795"/>
      <c r="AT711" s="795"/>
      <c r="AU711" s="795"/>
      <c r="AV711" s="795"/>
      <c r="AW711" s="795"/>
      <c r="AX711" s="798"/>
      <c r="AY711" s="159"/>
    </row>
    <row r="712" spans="1:51" ht="18" hidden="1" customHeight="1" x14ac:dyDescent="0.25">
      <c r="A712" s="815"/>
      <c r="B712" s="1043"/>
      <c r="C712" s="811" t="s">
        <v>324</v>
      </c>
      <c r="D712" s="141" t="s">
        <v>41</v>
      </c>
      <c r="E712" s="271"/>
      <c r="F712" s="144"/>
      <c r="G712" s="144"/>
      <c r="H712" s="144"/>
      <c r="I712" s="144"/>
      <c r="J712" s="138"/>
      <c r="K712" s="300">
        <f>+INVERSIÓN!AB71</f>
        <v>0.1</v>
      </c>
      <c r="L712" s="138"/>
      <c r="M712" s="138"/>
      <c r="N712" s="138"/>
      <c r="O712" s="138"/>
      <c r="P712" s="138"/>
      <c r="Q712" s="138"/>
      <c r="R712" s="147"/>
      <c r="S712" s="1050"/>
      <c r="T712" s="174">
        <f>+[5]INVERSIÓN!W64</f>
        <v>1.25</v>
      </c>
      <c r="U712" s="174"/>
      <c r="V712" s="174"/>
      <c r="W712" s="175"/>
      <c r="X712" s="217"/>
      <c r="Y712" s="217"/>
      <c r="Z712" s="217"/>
      <c r="AA712" s="176"/>
      <c r="AB712" s="218"/>
      <c r="AC712" s="260"/>
      <c r="AD712" s="145"/>
      <c r="AE712" s="219"/>
      <c r="AF712" s="1053"/>
      <c r="AG712" s="828" t="str">
        <f>+C712</f>
        <v>USME</v>
      </c>
      <c r="AH712" s="774" t="s">
        <v>350</v>
      </c>
      <c r="AI712" s="774" t="s">
        <v>350</v>
      </c>
      <c r="AJ712" s="774" t="s">
        <v>350</v>
      </c>
      <c r="AK712" s="774" t="s">
        <v>315</v>
      </c>
      <c r="AL712" s="827"/>
      <c r="AM712" s="827" t="s">
        <v>547</v>
      </c>
      <c r="AN712" s="857">
        <v>7715777</v>
      </c>
      <c r="AO712" s="796">
        <v>3679381.9895200301</v>
      </c>
      <c r="AP712" s="796">
        <v>4036396.0104799699</v>
      </c>
      <c r="AQ712" s="795" t="s">
        <v>317</v>
      </c>
      <c r="AR712" s="795" t="s">
        <v>317</v>
      </c>
      <c r="AS712" s="795" t="s">
        <v>317</v>
      </c>
      <c r="AT712" s="795" t="s">
        <v>317</v>
      </c>
      <c r="AU712" s="795" t="s">
        <v>317</v>
      </c>
      <c r="AV712" s="795" t="s">
        <v>317</v>
      </c>
      <c r="AW712" s="795" t="s">
        <v>317</v>
      </c>
      <c r="AX712" s="796">
        <v>7715777</v>
      </c>
      <c r="AY712" s="159"/>
    </row>
    <row r="713" spans="1:51" ht="18" hidden="1" customHeight="1" x14ac:dyDescent="0.25">
      <c r="A713" s="815"/>
      <c r="B713" s="1043"/>
      <c r="C713" s="812"/>
      <c r="D713" s="132" t="s">
        <v>3</v>
      </c>
      <c r="E713" s="272"/>
      <c r="F713" s="227"/>
      <c r="G713" s="227"/>
      <c r="H713" s="227"/>
      <c r="I713" s="227"/>
      <c r="J713" s="183"/>
      <c r="K713" s="300">
        <f>+INVERSIÓN!AB72</f>
        <v>160059853</v>
      </c>
      <c r="L713" s="183"/>
      <c r="M713" s="183"/>
      <c r="N713" s="138"/>
      <c r="O713" s="183"/>
      <c r="P713" s="183"/>
      <c r="Q713" s="183"/>
      <c r="R713" s="232"/>
      <c r="S713" s="1050"/>
      <c r="T713" s="174">
        <f>+[5]INVERSIÓN!W65</f>
        <v>0</v>
      </c>
      <c r="U713" s="193"/>
      <c r="V713" s="193"/>
      <c r="W713" s="229"/>
      <c r="X713" s="221"/>
      <c r="Y713" s="221"/>
      <c r="Z713" s="221"/>
      <c r="AA713" s="265"/>
      <c r="AB713" s="266"/>
      <c r="AC713" s="267"/>
      <c r="AD713" s="268"/>
      <c r="AE713" s="269"/>
      <c r="AF713" s="1053"/>
      <c r="AG713" s="828"/>
      <c r="AH713" s="775"/>
      <c r="AI713" s="775"/>
      <c r="AJ713" s="775"/>
      <c r="AK713" s="775"/>
      <c r="AL713" s="827"/>
      <c r="AM713" s="827"/>
      <c r="AN713" s="857"/>
      <c r="AO713" s="797"/>
      <c r="AP713" s="797"/>
      <c r="AQ713" s="795"/>
      <c r="AR713" s="795"/>
      <c r="AS713" s="795"/>
      <c r="AT713" s="795"/>
      <c r="AU713" s="795"/>
      <c r="AV713" s="795"/>
      <c r="AW713" s="795"/>
      <c r="AX713" s="797"/>
      <c r="AY713" s="159"/>
    </row>
    <row r="714" spans="1:51" ht="27" hidden="1" customHeight="1" x14ac:dyDescent="0.25">
      <c r="A714" s="815"/>
      <c r="B714" s="1043"/>
      <c r="C714" s="812"/>
      <c r="D714" s="136" t="s">
        <v>42</v>
      </c>
      <c r="E714" s="272"/>
      <c r="F714" s="227"/>
      <c r="G714" s="227"/>
      <c r="H714" s="227"/>
      <c r="I714" s="227"/>
      <c r="J714" s="183"/>
      <c r="K714" s="300">
        <f>+INVERSIÓN!AB73</f>
        <v>15</v>
      </c>
      <c r="L714" s="183"/>
      <c r="M714" s="183"/>
      <c r="N714" s="138"/>
      <c r="O714" s="183"/>
      <c r="P714" s="183"/>
      <c r="Q714" s="183"/>
      <c r="R714" s="232"/>
      <c r="S714" s="1050"/>
      <c r="T714" s="174" t="e">
        <f>+[5]INVERSIÓN!W66</f>
        <v>#REF!</v>
      </c>
      <c r="U714" s="193"/>
      <c r="V714" s="193"/>
      <c r="W714" s="229"/>
      <c r="X714" s="221"/>
      <c r="Y714" s="221"/>
      <c r="Z714" s="221"/>
      <c r="AA714" s="265"/>
      <c r="AB714" s="266"/>
      <c r="AC714" s="267"/>
      <c r="AD714" s="268"/>
      <c r="AE714" s="269"/>
      <c r="AF714" s="1053"/>
      <c r="AG714" s="828"/>
      <c r="AH714" s="775"/>
      <c r="AI714" s="775"/>
      <c r="AJ714" s="775"/>
      <c r="AK714" s="775"/>
      <c r="AL714" s="827"/>
      <c r="AM714" s="827"/>
      <c r="AN714" s="857"/>
      <c r="AO714" s="797"/>
      <c r="AP714" s="797"/>
      <c r="AQ714" s="795"/>
      <c r="AR714" s="795"/>
      <c r="AS714" s="795"/>
      <c r="AT714" s="795"/>
      <c r="AU714" s="795"/>
      <c r="AV714" s="795"/>
      <c r="AW714" s="795"/>
      <c r="AX714" s="797"/>
      <c r="AY714" s="159"/>
    </row>
    <row r="715" spans="1:51" ht="27" hidden="1" customHeight="1" x14ac:dyDescent="0.25">
      <c r="A715" s="815"/>
      <c r="B715" s="1043"/>
      <c r="C715" s="812"/>
      <c r="D715" s="132" t="s">
        <v>4</v>
      </c>
      <c r="E715" s="272"/>
      <c r="F715" s="227"/>
      <c r="G715" s="227"/>
      <c r="H715" s="227"/>
      <c r="I715" s="227"/>
      <c r="J715" s="183"/>
      <c r="K715" s="300">
        <f>+INVERSIÓN!AB74</f>
        <v>801561000</v>
      </c>
      <c r="L715" s="183"/>
      <c r="M715" s="183"/>
      <c r="N715" s="138"/>
      <c r="O715" s="183"/>
      <c r="P715" s="183"/>
      <c r="Q715" s="183"/>
      <c r="R715" s="232"/>
      <c r="S715" s="1050"/>
      <c r="T715" s="174">
        <f>+[5]INVERSIÓN!W67</f>
        <v>11357200</v>
      </c>
      <c r="U715" s="193"/>
      <c r="V715" s="193"/>
      <c r="W715" s="229"/>
      <c r="X715" s="221"/>
      <c r="Y715" s="221"/>
      <c r="Z715" s="221"/>
      <c r="AA715" s="265"/>
      <c r="AB715" s="266"/>
      <c r="AC715" s="267"/>
      <c r="AD715" s="268"/>
      <c r="AE715" s="269"/>
      <c r="AF715" s="1053"/>
      <c r="AG715" s="828"/>
      <c r="AH715" s="775"/>
      <c r="AI715" s="775"/>
      <c r="AJ715" s="775"/>
      <c r="AK715" s="775"/>
      <c r="AL715" s="827"/>
      <c r="AM715" s="827"/>
      <c r="AN715" s="857"/>
      <c r="AO715" s="797"/>
      <c r="AP715" s="797"/>
      <c r="AQ715" s="795"/>
      <c r="AR715" s="795"/>
      <c r="AS715" s="795"/>
      <c r="AT715" s="795"/>
      <c r="AU715" s="795"/>
      <c r="AV715" s="795"/>
      <c r="AW715" s="795"/>
      <c r="AX715" s="797"/>
      <c r="AY715" s="159"/>
    </row>
    <row r="716" spans="1:51" ht="27" hidden="1" customHeight="1" x14ac:dyDescent="0.25">
      <c r="A716" s="815"/>
      <c r="B716" s="1043"/>
      <c r="C716" s="812"/>
      <c r="D716" s="136" t="s">
        <v>43</v>
      </c>
      <c r="E716" s="271"/>
      <c r="F716" s="144"/>
      <c r="G716" s="144"/>
      <c r="H716" s="144"/>
      <c r="I716" s="144"/>
      <c r="J716" s="138"/>
      <c r="K716" s="300">
        <f>+INVERSIÓN!AB75</f>
        <v>0</v>
      </c>
      <c r="L716" s="138"/>
      <c r="M716" s="138"/>
      <c r="N716" s="138"/>
      <c r="O716" s="138"/>
      <c r="P716" s="138"/>
      <c r="Q716" s="138"/>
      <c r="R716" s="147"/>
      <c r="S716" s="1050"/>
      <c r="T716" s="174">
        <f>+[5]INVERSIÓN!W68</f>
        <v>1.25</v>
      </c>
      <c r="U716" s="234"/>
      <c r="V716" s="234"/>
      <c r="W716" s="147"/>
      <c r="X716" s="222"/>
      <c r="Y716" s="222"/>
      <c r="Z716" s="222"/>
      <c r="AA716" s="222"/>
      <c r="AB716" s="263"/>
      <c r="AC716" s="260"/>
      <c r="AD716" s="145"/>
      <c r="AE716" s="260"/>
      <c r="AF716" s="1053"/>
      <c r="AG716" s="828"/>
      <c r="AH716" s="775"/>
      <c r="AI716" s="775"/>
      <c r="AJ716" s="775"/>
      <c r="AK716" s="775"/>
      <c r="AL716" s="827"/>
      <c r="AM716" s="827"/>
      <c r="AN716" s="857"/>
      <c r="AO716" s="797"/>
      <c r="AP716" s="797"/>
      <c r="AQ716" s="795"/>
      <c r="AR716" s="795"/>
      <c r="AS716" s="795"/>
      <c r="AT716" s="795"/>
      <c r="AU716" s="795"/>
      <c r="AV716" s="795"/>
      <c r="AW716" s="795"/>
      <c r="AX716" s="797"/>
      <c r="AY716" s="159"/>
    </row>
    <row r="717" spans="1:51" ht="27.75" hidden="1" customHeight="1" x14ac:dyDescent="0.25">
      <c r="A717" s="815"/>
      <c r="B717" s="1043"/>
      <c r="C717" s="813"/>
      <c r="D717" s="140" t="s">
        <v>45</v>
      </c>
      <c r="E717" s="273"/>
      <c r="F717" s="237"/>
      <c r="G717" s="237"/>
      <c r="H717" s="237"/>
      <c r="I717" s="237"/>
      <c r="J717" s="186"/>
      <c r="K717" s="300">
        <f>+INVERSIÓN!AB76</f>
        <v>0</v>
      </c>
      <c r="L717" s="186"/>
      <c r="M717" s="186"/>
      <c r="N717" s="138"/>
      <c r="O717" s="186"/>
      <c r="P717" s="186"/>
      <c r="Q717" s="186"/>
      <c r="R717" s="175"/>
      <c r="S717" s="1050"/>
      <c r="T717" s="174">
        <f>+[5]INVERSIÓN!W69</f>
        <v>11357200</v>
      </c>
      <c r="U717" s="174"/>
      <c r="V717" s="174"/>
      <c r="W717" s="175"/>
      <c r="X717" s="217"/>
      <c r="Y717" s="217"/>
      <c r="Z717" s="217"/>
      <c r="AA717" s="176"/>
      <c r="AB717" s="218"/>
      <c r="AC717" s="267"/>
      <c r="AD717" s="270"/>
      <c r="AE717" s="219"/>
      <c r="AF717" s="1053"/>
      <c r="AG717" s="828"/>
      <c r="AH717" s="776"/>
      <c r="AI717" s="776"/>
      <c r="AJ717" s="776"/>
      <c r="AK717" s="776"/>
      <c r="AL717" s="827"/>
      <c r="AM717" s="827"/>
      <c r="AN717" s="857"/>
      <c r="AO717" s="798"/>
      <c r="AP717" s="798"/>
      <c r="AQ717" s="795"/>
      <c r="AR717" s="795"/>
      <c r="AS717" s="795"/>
      <c r="AT717" s="795"/>
      <c r="AU717" s="795"/>
      <c r="AV717" s="795"/>
      <c r="AW717" s="795"/>
      <c r="AX717" s="798"/>
      <c r="AY717" s="159"/>
    </row>
    <row r="718" spans="1:51" ht="18" hidden="1" customHeight="1" x14ac:dyDescent="0.25">
      <c r="A718" s="815"/>
      <c r="B718" s="1043"/>
      <c r="C718" s="827" t="s">
        <v>404</v>
      </c>
      <c r="D718" s="141" t="s">
        <v>41</v>
      </c>
      <c r="E718" s="271"/>
      <c r="F718" s="144"/>
      <c r="G718" s="144"/>
      <c r="H718" s="144"/>
      <c r="I718" s="144"/>
      <c r="J718" s="138"/>
      <c r="K718" s="300">
        <f>+INVERSIÓN!AB77</f>
        <v>81973233</v>
      </c>
      <c r="L718" s="138"/>
      <c r="M718" s="138"/>
      <c r="N718" s="138"/>
      <c r="O718" s="138"/>
      <c r="P718" s="138"/>
      <c r="Q718" s="138"/>
      <c r="R718" s="147"/>
      <c r="S718" s="1050"/>
      <c r="T718" s="174">
        <f>+[5]INVERSIÓN!W70</f>
        <v>0</v>
      </c>
      <c r="U718" s="174"/>
      <c r="V718" s="174"/>
      <c r="W718" s="175"/>
      <c r="X718" s="217"/>
      <c r="Y718" s="217"/>
      <c r="Z718" s="217"/>
      <c r="AA718" s="176"/>
      <c r="AB718" s="218"/>
      <c r="AC718" s="260"/>
      <c r="AD718" s="145"/>
      <c r="AE718" s="219"/>
      <c r="AF718" s="1053"/>
      <c r="AG718" s="828" t="str">
        <f>+C718</f>
        <v>CIUDAD BOLIVAR</v>
      </c>
      <c r="AH718" s="774" t="s">
        <v>350</v>
      </c>
      <c r="AI718" s="774" t="s">
        <v>350</v>
      </c>
      <c r="AJ718" s="774" t="s">
        <v>350</v>
      </c>
      <c r="AK718" s="774" t="s">
        <v>315</v>
      </c>
      <c r="AL718" s="827"/>
      <c r="AM718" s="827" t="s">
        <v>547</v>
      </c>
      <c r="AN718" s="857">
        <v>7715777</v>
      </c>
      <c r="AO718" s="796">
        <v>3679381.9895200301</v>
      </c>
      <c r="AP718" s="796">
        <v>4036396.0104799699</v>
      </c>
      <c r="AQ718" s="795" t="s">
        <v>317</v>
      </c>
      <c r="AR718" s="795" t="s">
        <v>317</v>
      </c>
      <c r="AS718" s="795" t="s">
        <v>317</v>
      </c>
      <c r="AT718" s="795" t="s">
        <v>317</v>
      </c>
      <c r="AU718" s="795" t="s">
        <v>317</v>
      </c>
      <c r="AV718" s="795" t="s">
        <v>317</v>
      </c>
      <c r="AW718" s="795" t="s">
        <v>317</v>
      </c>
      <c r="AX718" s="796">
        <v>7715777</v>
      </c>
      <c r="AY718" s="159"/>
    </row>
    <row r="719" spans="1:51" ht="18" hidden="1" customHeight="1" x14ac:dyDescent="0.25">
      <c r="A719" s="815"/>
      <c r="B719" s="1043"/>
      <c r="C719" s="827"/>
      <c r="D719" s="132" t="s">
        <v>3</v>
      </c>
      <c r="E719" s="272"/>
      <c r="F719" s="227"/>
      <c r="G719" s="227"/>
      <c r="H719" s="227"/>
      <c r="I719" s="227"/>
      <c r="J719" s="183"/>
      <c r="K719" s="300">
        <f>+INVERSIÓN!AB78</f>
        <v>15</v>
      </c>
      <c r="L719" s="183"/>
      <c r="M719" s="183"/>
      <c r="N719" s="138"/>
      <c r="O719" s="183"/>
      <c r="P719" s="183"/>
      <c r="Q719" s="183"/>
      <c r="R719" s="232"/>
      <c r="S719" s="1050"/>
      <c r="T719" s="174">
        <f>+[5]INVERSIÓN!W71</f>
        <v>135468608</v>
      </c>
      <c r="U719" s="193"/>
      <c r="V719" s="193"/>
      <c r="W719" s="229"/>
      <c r="X719" s="221"/>
      <c r="Y719" s="221"/>
      <c r="Z719" s="221"/>
      <c r="AA719" s="265"/>
      <c r="AB719" s="266"/>
      <c r="AC719" s="267"/>
      <c r="AD719" s="268"/>
      <c r="AE719" s="269"/>
      <c r="AF719" s="1053"/>
      <c r="AG719" s="828"/>
      <c r="AH719" s="775"/>
      <c r="AI719" s="775"/>
      <c r="AJ719" s="775"/>
      <c r="AK719" s="775"/>
      <c r="AL719" s="827"/>
      <c r="AM719" s="827"/>
      <c r="AN719" s="857"/>
      <c r="AO719" s="797"/>
      <c r="AP719" s="797"/>
      <c r="AQ719" s="795"/>
      <c r="AR719" s="795"/>
      <c r="AS719" s="795"/>
      <c r="AT719" s="795"/>
      <c r="AU719" s="795"/>
      <c r="AV719" s="795"/>
      <c r="AW719" s="795"/>
      <c r="AX719" s="797"/>
      <c r="AY719" s="159"/>
    </row>
    <row r="720" spans="1:51" ht="27" hidden="1" customHeight="1" x14ac:dyDescent="0.25">
      <c r="A720" s="815"/>
      <c r="B720" s="1043"/>
      <c r="C720" s="827"/>
      <c r="D720" s="136" t="s">
        <v>42</v>
      </c>
      <c r="E720" s="272"/>
      <c r="F720" s="227"/>
      <c r="G720" s="227"/>
      <c r="H720" s="227"/>
      <c r="I720" s="227"/>
      <c r="J720" s="183"/>
      <c r="K720" s="300">
        <f>+INVERSIÓN!AB79</f>
        <v>883534233</v>
      </c>
      <c r="L720" s="183"/>
      <c r="M720" s="183"/>
      <c r="N720" s="138"/>
      <c r="O720" s="183"/>
      <c r="P720" s="183"/>
      <c r="Q720" s="183"/>
      <c r="R720" s="232"/>
      <c r="S720" s="1050"/>
      <c r="T720" s="174">
        <f>+[5]INVERSIÓN!W72</f>
        <v>135468608</v>
      </c>
      <c r="U720" s="193"/>
      <c r="V720" s="193"/>
      <c r="W720" s="229"/>
      <c r="X720" s="221"/>
      <c r="Y720" s="221"/>
      <c r="Z720" s="221"/>
      <c r="AA720" s="265"/>
      <c r="AB720" s="266"/>
      <c r="AC720" s="267"/>
      <c r="AD720" s="268"/>
      <c r="AE720" s="269"/>
      <c r="AF720" s="1053"/>
      <c r="AG720" s="828"/>
      <c r="AH720" s="775"/>
      <c r="AI720" s="775"/>
      <c r="AJ720" s="775"/>
      <c r="AK720" s="775"/>
      <c r="AL720" s="827"/>
      <c r="AM720" s="827"/>
      <c r="AN720" s="857"/>
      <c r="AO720" s="797"/>
      <c r="AP720" s="797"/>
      <c r="AQ720" s="795"/>
      <c r="AR720" s="795"/>
      <c r="AS720" s="795"/>
      <c r="AT720" s="795"/>
      <c r="AU720" s="795"/>
      <c r="AV720" s="795"/>
      <c r="AW720" s="795"/>
      <c r="AX720" s="797"/>
      <c r="AY720" s="159"/>
    </row>
    <row r="721" spans="1:51" ht="27" hidden="1" customHeight="1" x14ac:dyDescent="0.25">
      <c r="A721" s="815"/>
      <c r="B721" s="1043"/>
      <c r="C721" s="827"/>
      <c r="D721" s="132" t="s">
        <v>4</v>
      </c>
      <c r="E721" s="272"/>
      <c r="F721" s="227"/>
      <c r="G721" s="227"/>
      <c r="H721" s="227"/>
      <c r="I721" s="227"/>
      <c r="J721" s="183"/>
      <c r="K721" s="300">
        <f>+INVERSIÓN!AB80</f>
        <v>3459505000</v>
      </c>
      <c r="L721" s="183"/>
      <c r="M721" s="183"/>
      <c r="N721" s="138"/>
      <c r="O721" s="183"/>
      <c r="P721" s="183"/>
      <c r="Q721" s="183"/>
      <c r="R721" s="232"/>
      <c r="S721" s="1050"/>
      <c r="T721" s="174" t="e">
        <f>+[5]INVERSIÓN!W73</f>
        <v>#REF!</v>
      </c>
      <c r="U721" s="193"/>
      <c r="V721" s="193"/>
      <c r="W721" s="229"/>
      <c r="X721" s="221"/>
      <c r="Y721" s="221"/>
      <c r="Z721" s="221"/>
      <c r="AA721" s="265"/>
      <c r="AB721" s="266"/>
      <c r="AC721" s="267"/>
      <c r="AD721" s="268"/>
      <c r="AE721" s="269"/>
      <c r="AF721" s="1053"/>
      <c r="AG721" s="828"/>
      <c r="AH721" s="775"/>
      <c r="AI721" s="775"/>
      <c r="AJ721" s="775"/>
      <c r="AK721" s="775"/>
      <c r="AL721" s="827"/>
      <c r="AM721" s="827"/>
      <c r="AN721" s="857"/>
      <c r="AO721" s="797"/>
      <c r="AP721" s="797"/>
      <c r="AQ721" s="795"/>
      <c r="AR721" s="795"/>
      <c r="AS721" s="795"/>
      <c r="AT721" s="795"/>
      <c r="AU721" s="795"/>
      <c r="AV721" s="795"/>
      <c r="AW721" s="795"/>
      <c r="AX721" s="797"/>
      <c r="AY721" s="159"/>
    </row>
    <row r="722" spans="1:51" ht="27" hidden="1" customHeight="1" x14ac:dyDescent="0.25">
      <c r="A722" s="815"/>
      <c r="B722" s="1043"/>
      <c r="C722" s="827"/>
      <c r="D722" s="136" t="s">
        <v>43</v>
      </c>
      <c r="E722" s="271"/>
      <c r="F722" s="144"/>
      <c r="G722" s="144"/>
      <c r="H722" s="144"/>
      <c r="I722" s="144"/>
      <c r="J722" s="138"/>
      <c r="K722" s="300">
        <f>+INVERSIÓN!AB81</f>
        <v>793552573</v>
      </c>
      <c r="L722" s="138"/>
      <c r="M722" s="138"/>
      <c r="N722" s="138"/>
      <c r="O722" s="138"/>
      <c r="P722" s="138"/>
      <c r="Q722" s="138"/>
      <c r="R722" s="147"/>
      <c r="S722" s="1050"/>
      <c r="T722" s="174" t="e">
        <f>+[5]INVERSIÓN!W74</f>
        <v>#REF!</v>
      </c>
      <c r="U722" s="234"/>
      <c r="V722" s="234"/>
      <c r="W722" s="147"/>
      <c r="X722" s="222"/>
      <c r="Y722" s="222"/>
      <c r="Z722" s="222"/>
      <c r="AA722" s="222"/>
      <c r="AB722" s="263"/>
      <c r="AC722" s="260"/>
      <c r="AD722" s="145"/>
      <c r="AE722" s="260"/>
      <c r="AF722" s="1053"/>
      <c r="AG722" s="828"/>
      <c r="AH722" s="775"/>
      <c r="AI722" s="775"/>
      <c r="AJ722" s="775"/>
      <c r="AK722" s="775"/>
      <c r="AL722" s="827"/>
      <c r="AM722" s="827"/>
      <c r="AN722" s="857"/>
      <c r="AO722" s="797"/>
      <c r="AP722" s="797"/>
      <c r="AQ722" s="795"/>
      <c r="AR722" s="795"/>
      <c r="AS722" s="795"/>
      <c r="AT722" s="795"/>
      <c r="AU722" s="795"/>
      <c r="AV722" s="795"/>
      <c r="AW722" s="795"/>
      <c r="AX722" s="797"/>
      <c r="AY722" s="159"/>
    </row>
    <row r="723" spans="1:51" ht="27.75" hidden="1" customHeight="1" x14ac:dyDescent="0.25">
      <c r="A723" s="815"/>
      <c r="B723" s="1043"/>
      <c r="C723" s="827"/>
      <c r="D723" s="140" t="s">
        <v>45</v>
      </c>
      <c r="E723" s="273"/>
      <c r="F723" s="237"/>
      <c r="G723" s="237"/>
      <c r="H723" s="237"/>
      <c r="I723" s="237"/>
      <c r="J723" s="186"/>
      <c r="K723" s="300">
        <f>+INVERSIÓN!AB82</f>
        <v>4253057573</v>
      </c>
      <c r="L723" s="186"/>
      <c r="M723" s="186"/>
      <c r="N723" s="138"/>
      <c r="O723" s="186"/>
      <c r="P723" s="186"/>
      <c r="Q723" s="186"/>
      <c r="R723" s="175"/>
      <c r="S723" s="1050"/>
      <c r="T723" s="174" t="e">
        <f>+[5]INVERSIÓN!W75</f>
        <v>#REF!</v>
      </c>
      <c r="U723" s="174"/>
      <c r="V723" s="174"/>
      <c r="W723" s="175"/>
      <c r="X723" s="217"/>
      <c r="Y723" s="217"/>
      <c r="Z723" s="217"/>
      <c r="AA723" s="176"/>
      <c r="AB723" s="218"/>
      <c r="AC723" s="267"/>
      <c r="AD723" s="270"/>
      <c r="AE723" s="219"/>
      <c r="AF723" s="1053"/>
      <c r="AG723" s="828"/>
      <c r="AH723" s="776"/>
      <c r="AI723" s="776"/>
      <c r="AJ723" s="776"/>
      <c r="AK723" s="776"/>
      <c r="AL723" s="827"/>
      <c r="AM723" s="827"/>
      <c r="AN723" s="857"/>
      <c r="AO723" s="798"/>
      <c r="AP723" s="798"/>
      <c r="AQ723" s="795"/>
      <c r="AR723" s="795"/>
      <c r="AS723" s="795"/>
      <c r="AT723" s="795"/>
      <c r="AU723" s="795"/>
      <c r="AV723" s="795"/>
      <c r="AW723" s="795"/>
      <c r="AX723" s="798"/>
      <c r="AY723" s="159"/>
    </row>
    <row r="724" spans="1:51" ht="18" hidden="1" customHeight="1" x14ac:dyDescent="0.25">
      <c r="A724" s="815"/>
      <c r="B724" s="1043"/>
      <c r="C724" s="827" t="s">
        <v>394</v>
      </c>
      <c r="D724" s="141" t="s">
        <v>41</v>
      </c>
      <c r="E724" s="271"/>
      <c r="F724" s="144"/>
      <c r="G724" s="144"/>
      <c r="H724" s="144"/>
      <c r="I724" s="144"/>
      <c r="J724" s="138"/>
      <c r="K724" s="300">
        <f>+INVERSIÓN!AB84</f>
        <v>0</v>
      </c>
      <c r="L724" s="138"/>
      <c r="M724" s="138"/>
      <c r="N724" s="138"/>
      <c r="O724" s="138"/>
      <c r="P724" s="138"/>
      <c r="Q724" s="138"/>
      <c r="R724" s="147"/>
      <c r="S724" s="1050"/>
      <c r="T724" s="174" t="e">
        <f>+[5]INVERSIÓN!W76</f>
        <v>#REF!</v>
      </c>
      <c r="U724" s="174"/>
      <c r="V724" s="174"/>
      <c r="W724" s="175"/>
      <c r="X724" s="217"/>
      <c r="Y724" s="217"/>
      <c r="Z724" s="217"/>
      <c r="AA724" s="176"/>
      <c r="AB724" s="218"/>
      <c r="AC724" s="260"/>
      <c r="AD724" s="145"/>
      <c r="AE724" s="219"/>
      <c r="AF724" s="1053"/>
      <c r="AG724" s="828" t="str">
        <f>+C724</f>
        <v>PUENTE ARANDA</v>
      </c>
      <c r="AH724" s="774" t="s">
        <v>350</v>
      </c>
      <c r="AI724" s="774" t="s">
        <v>350</v>
      </c>
      <c r="AJ724" s="774" t="s">
        <v>350</v>
      </c>
      <c r="AK724" s="774" t="s">
        <v>315</v>
      </c>
      <c r="AL724" s="827"/>
      <c r="AM724" s="827" t="s">
        <v>547</v>
      </c>
      <c r="AN724" s="857">
        <v>7715777</v>
      </c>
      <c r="AO724" s="796">
        <v>3679381.9895200301</v>
      </c>
      <c r="AP724" s="796">
        <v>4036396.0104799699</v>
      </c>
      <c r="AQ724" s="795" t="s">
        <v>317</v>
      </c>
      <c r="AR724" s="795" t="s">
        <v>317</v>
      </c>
      <c r="AS724" s="795" t="s">
        <v>317</v>
      </c>
      <c r="AT724" s="795" t="s">
        <v>317</v>
      </c>
      <c r="AU724" s="795" t="s">
        <v>317</v>
      </c>
      <c r="AV724" s="795" t="s">
        <v>317</v>
      </c>
      <c r="AW724" s="795" t="s">
        <v>317</v>
      </c>
      <c r="AX724" s="796">
        <v>7715777</v>
      </c>
      <c r="AY724" s="159"/>
    </row>
    <row r="725" spans="1:51" ht="18" hidden="1" customHeight="1" x14ac:dyDescent="0.25">
      <c r="A725" s="815"/>
      <c r="B725" s="1043"/>
      <c r="C725" s="827"/>
      <c r="D725" s="132" t="s">
        <v>3</v>
      </c>
      <c r="E725" s="272"/>
      <c r="F725" s="227"/>
      <c r="G725" s="227"/>
      <c r="H725" s="227"/>
      <c r="I725" s="227"/>
      <c r="J725" s="183"/>
      <c r="K725" s="300">
        <f>+INVERSIÓN!AB85</f>
        <v>0</v>
      </c>
      <c r="L725" s="183"/>
      <c r="M725" s="183"/>
      <c r="N725" s="138"/>
      <c r="O725" s="183"/>
      <c r="P725" s="183"/>
      <c r="Q725" s="183"/>
      <c r="R725" s="232"/>
      <c r="S725" s="1050"/>
      <c r="T725" s="174" t="e">
        <f>+[5]INVERSIÓN!W77</f>
        <v>#REF!</v>
      </c>
      <c r="U725" s="193"/>
      <c r="V725" s="193"/>
      <c r="W725" s="229"/>
      <c r="X725" s="221"/>
      <c r="Y725" s="221"/>
      <c r="Z725" s="221"/>
      <c r="AA725" s="265"/>
      <c r="AB725" s="266"/>
      <c r="AC725" s="267"/>
      <c r="AD725" s="268"/>
      <c r="AE725" s="269"/>
      <c r="AF725" s="1053"/>
      <c r="AG725" s="828"/>
      <c r="AH725" s="775"/>
      <c r="AI725" s="775"/>
      <c r="AJ725" s="775"/>
      <c r="AK725" s="775"/>
      <c r="AL725" s="827"/>
      <c r="AM725" s="827"/>
      <c r="AN725" s="857"/>
      <c r="AO725" s="797"/>
      <c r="AP725" s="797"/>
      <c r="AQ725" s="795"/>
      <c r="AR725" s="795"/>
      <c r="AS725" s="795"/>
      <c r="AT725" s="795"/>
      <c r="AU725" s="795"/>
      <c r="AV725" s="795"/>
      <c r="AW725" s="795"/>
      <c r="AX725" s="797"/>
      <c r="AY725" s="159"/>
    </row>
    <row r="726" spans="1:51" ht="27" hidden="1" customHeight="1" x14ac:dyDescent="0.25">
      <c r="A726" s="815"/>
      <c r="B726" s="1043"/>
      <c r="C726" s="827"/>
      <c r="D726" s="136" t="s">
        <v>42</v>
      </c>
      <c r="E726" s="272"/>
      <c r="F726" s="227"/>
      <c r="G726" s="227"/>
      <c r="H726" s="227"/>
      <c r="I726" s="227"/>
      <c r="J726" s="183"/>
      <c r="K726" s="300">
        <f>+INVERSIÓN!AB86</f>
        <v>0</v>
      </c>
      <c r="L726" s="183"/>
      <c r="M726" s="183"/>
      <c r="N726" s="138"/>
      <c r="O726" s="183"/>
      <c r="P726" s="183"/>
      <c r="Q726" s="183"/>
      <c r="R726" s="232"/>
      <c r="S726" s="1050"/>
      <c r="T726" s="174" t="e">
        <f>+[5]INVERSIÓN!W78</f>
        <v>#REF!</v>
      </c>
      <c r="U726" s="193"/>
      <c r="V726" s="193"/>
      <c r="W726" s="229"/>
      <c r="X726" s="221"/>
      <c r="Y726" s="221"/>
      <c r="Z726" s="221"/>
      <c r="AA726" s="265"/>
      <c r="AB726" s="266"/>
      <c r="AC726" s="267"/>
      <c r="AD726" s="268"/>
      <c r="AE726" s="269"/>
      <c r="AF726" s="1053"/>
      <c r="AG726" s="828"/>
      <c r="AH726" s="775"/>
      <c r="AI726" s="775"/>
      <c r="AJ726" s="775"/>
      <c r="AK726" s="775"/>
      <c r="AL726" s="827"/>
      <c r="AM726" s="827"/>
      <c r="AN726" s="857"/>
      <c r="AO726" s="797"/>
      <c r="AP726" s="797"/>
      <c r="AQ726" s="795"/>
      <c r="AR726" s="795"/>
      <c r="AS726" s="795"/>
      <c r="AT726" s="795"/>
      <c r="AU726" s="795"/>
      <c r="AV726" s="795"/>
      <c r="AW726" s="795"/>
      <c r="AX726" s="797"/>
      <c r="AY726" s="159"/>
    </row>
    <row r="727" spans="1:51" ht="27" hidden="1" customHeight="1" x14ac:dyDescent="0.25">
      <c r="A727" s="815"/>
      <c r="B727" s="1043"/>
      <c r="C727" s="827"/>
      <c r="D727" s="132" t="s">
        <v>4</v>
      </c>
      <c r="E727" s="272"/>
      <c r="F727" s="227"/>
      <c r="G727" s="227"/>
      <c r="H727" s="227"/>
      <c r="I727" s="227"/>
      <c r="J727" s="183"/>
      <c r="K727" s="300">
        <f>+INVERSIÓN!AB87</f>
        <v>0</v>
      </c>
      <c r="L727" s="183"/>
      <c r="M727" s="183"/>
      <c r="N727" s="138"/>
      <c r="O727" s="183"/>
      <c r="P727" s="183"/>
      <c r="Q727" s="183"/>
      <c r="R727" s="232"/>
      <c r="S727" s="1050"/>
      <c r="T727" s="174" t="e">
        <f>+[5]INVERSIÓN!W79</f>
        <v>#REF!</v>
      </c>
      <c r="U727" s="193"/>
      <c r="V727" s="193"/>
      <c r="W727" s="229"/>
      <c r="X727" s="221"/>
      <c r="Y727" s="221"/>
      <c r="Z727" s="221"/>
      <c r="AA727" s="265"/>
      <c r="AB727" s="266"/>
      <c r="AC727" s="267"/>
      <c r="AD727" s="268"/>
      <c r="AE727" s="269"/>
      <c r="AF727" s="1053"/>
      <c r="AG727" s="828"/>
      <c r="AH727" s="775"/>
      <c r="AI727" s="775"/>
      <c r="AJ727" s="775"/>
      <c r="AK727" s="775"/>
      <c r="AL727" s="827"/>
      <c r="AM727" s="827"/>
      <c r="AN727" s="857"/>
      <c r="AO727" s="797"/>
      <c r="AP727" s="797"/>
      <c r="AQ727" s="795"/>
      <c r="AR727" s="795"/>
      <c r="AS727" s="795"/>
      <c r="AT727" s="795"/>
      <c r="AU727" s="795"/>
      <c r="AV727" s="795"/>
      <c r="AW727" s="795"/>
      <c r="AX727" s="797"/>
      <c r="AY727" s="159"/>
    </row>
    <row r="728" spans="1:51" ht="27" hidden="1" customHeight="1" x14ac:dyDescent="0.25">
      <c r="A728" s="815"/>
      <c r="B728" s="1043"/>
      <c r="C728" s="827"/>
      <c r="D728" s="136" t="s">
        <v>43</v>
      </c>
      <c r="E728" s="271"/>
      <c r="F728" s="144"/>
      <c r="G728" s="144"/>
      <c r="H728" s="144"/>
      <c r="I728" s="144"/>
      <c r="J728" s="138"/>
      <c r="K728" s="300">
        <f>+INVERSIÓN!AB88</f>
        <v>0</v>
      </c>
      <c r="L728" s="138"/>
      <c r="M728" s="138"/>
      <c r="N728" s="138"/>
      <c r="O728" s="138"/>
      <c r="P728" s="138"/>
      <c r="Q728" s="138"/>
      <c r="R728" s="147"/>
      <c r="S728" s="1050"/>
      <c r="T728" s="174" t="e">
        <f>+[5]INVERSIÓN!W80</f>
        <v>#REF!</v>
      </c>
      <c r="U728" s="234"/>
      <c r="V728" s="234"/>
      <c r="W728" s="147"/>
      <c r="X728" s="222"/>
      <c r="Y728" s="222"/>
      <c r="Z728" s="222"/>
      <c r="AA728" s="222"/>
      <c r="AB728" s="263"/>
      <c r="AC728" s="260"/>
      <c r="AD728" s="145"/>
      <c r="AE728" s="260"/>
      <c r="AF728" s="1053"/>
      <c r="AG728" s="828"/>
      <c r="AH728" s="775"/>
      <c r="AI728" s="775"/>
      <c r="AJ728" s="775"/>
      <c r="AK728" s="775"/>
      <c r="AL728" s="827"/>
      <c r="AM728" s="827"/>
      <c r="AN728" s="857"/>
      <c r="AO728" s="797"/>
      <c r="AP728" s="797"/>
      <c r="AQ728" s="795"/>
      <c r="AR728" s="795"/>
      <c r="AS728" s="795"/>
      <c r="AT728" s="795"/>
      <c r="AU728" s="795"/>
      <c r="AV728" s="795"/>
      <c r="AW728" s="795"/>
      <c r="AX728" s="797"/>
      <c r="AY728" s="159"/>
    </row>
    <row r="729" spans="1:51" ht="27.75" hidden="1" customHeight="1" x14ac:dyDescent="0.25">
      <c r="A729" s="815"/>
      <c r="B729" s="1043"/>
      <c r="C729" s="827"/>
      <c r="D729" s="140" t="s">
        <v>45</v>
      </c>
      <c r="E729" s="273"/>
      <c r="F729" s="237"/>
      <c r="G729" s="237"/>
      <c r="H729" s="237"/>
      <c r="I729" s="237"/>
      <c r="J729" s="186"/>
      <c r="K729" s="300">
        <f>+INVERSIÓN!AB89</f>
        <v>0</v>
      </c>
      <c r="L729" s="186"/>
      <c r="M729" s="186"/>
      <c r="N729" s="138"/>
      <c r="O729" s="186"/>
      <c r="P729" s="186"/>
      <c r="Q729" s="186"/>
      <c r="R729" s="175"/>
      <c r="S729" s="1050"/>
      <c r="T729" s="174" t="e">
        <f>+[5]INVERSIÓN!W81</f>
        <v>#REF!</v>
      </c>
      <c r="U729" s="174"/>
      <c r="V729" s="174"/>
      <c r="W729" s="175"/>
      <c r="X729" s="217"/>
      <c r="Y729" s="217"/>
      <c r="Z729" s="217"/>
      <c r="AA729" s="176"/>
      <c r="AB729" s="218"/>
      <c r="AC729" s="267"/>
      <c r="AD729" s="270"/>
      <c r="AE729" s="219"/>
      <c r="AF729" s="1053"/>
      <c r="AG729" s="828"/>
      <c r="AH729" s="776"/>
      <c r="AI729" s="776"/>
      <c r="AJ729" s="776"/>
      <c r="AK729" s="776"/>
      <c r="AL729" s="827"/>
      <c r="AM729" s="827"/>
      <c r="AN729" s="857"/>
      <c r="AO729" s="798"/>
      <c r="AP729" s="798"/>
      <c r="AQ729" s="795"/>
      <c r="AR729" s="795"/>
      <c r="AS729" s="795"/>
      <c r="AT729" s="795"/>
      <c r="AU729" s="795"/>
      <c r="AV729" s="795"/>
      <c r="AW729" s="795"/>
      <c r="AX729" s="798"/>
      <c r="AY729" s="159"/>
    </row>
    <row r="730" spans="1:51" ht="18" hidden="1" customHeight="1" x14ac:dyDescent="0.25">
      <c r="A730" s="815"/>
      <c r="B730" s="1043"/>
      <c r="C730" s="827" t="s">
        <v>361</v>
      </c>
      <c r="D730" s="141" t="s">
        <v>41</v>
      </c>
      <c r="E730" s="271"/>
      <c r="F730" s="144"/>
      <c r="G730" s="144"/>
      <c r="H730" s="144"/>
      <c r="I730" s="144"/>
      <c r="J730" s="138"/>
      <c r="K730" s="300">
        <f>+INVERSIÓN!AB90</f>
        <v>0</v>
      </c>
      <c r="L730" s="138"/>
      <c r="M730" s="138"/>
      <c r="N730" s="138"/>
      <c r="O730" s="138"/>
      <c r="P730" s="138"/>
      <c r="Q730" s="138"/>
      <c r="R730" s="147"/>
      <c r="S730" s="1050"/>
      <c r="T730" s="174" t="e">
        <f>+[5]INVERSIÓN!W82</f>
        <v>#REF!</v>
      </c>
      <c r="U730" s="174"/>
      <c r="V730" s="174"/>
      <c r="W730" s="175"/>
      <c r="X730" s="217"/>
      <c r="Y730" s="217"/>
      <c r="Z730" s="217"/>
      <c r="AA730" s="176"/>
      <c r="AB730" s="218"/>
      <c r="AC730" s="260"/>
      <c r="AD730" s="145"/>
      <c r="AE730" s="219"/>
      <c r="AF730" s="1053"/>
      <c r="AG730" s="828" t="str">
        <f>+C730</f>
        <v>KENNEDY</v>
      </c>
      <c r="AH730" s="774" t="s">
        <v>350</v>
      </c>
      <c r="AI730" s="774" t="s">
        <v>350</v>
      </c>
      <c r="AJ730" s="774" t="s">
        <v>350</v>
      </c>
      <c r="AK730" s="774" t="s">
        <v>315</v>
      </c>
      <c r="AL730" s="827"/>
      <c r="AM730" s="827" t="s">
        <v>547</v>
      </c>
      <c r="AN730" s="857">
        <v>7715777</v>
      </c>
      <c r="AO730" s="796">
        <v>3679381.9895200301</v>
      </c>
      <c r="AP730" s="796">
        <v>4036396.0104799699</v>
      </c>
      <c r="AQ730" s="795" t="s">
        <v>317</v>
      </c>
      <c r="AR730" s="795" t="s">
        <v>317</v>
      </c>
      <c r="AS730" s="795" t="s">
        <v>317</v>
      </c>
      <c r="AT730" s="795" t="s">
        <v>317</v>
      </c>
      <c r="AU730" s="795" t="s">
        <v>317</v>
      </c>
      <c r="AV730" s="795" t="s">
        <v>317</v>
      </c>
      <c r="AW730" s="795" t="s">
        <v>317</v>
      </c>
      <c r="AX730" s="796">
        <v>7715777</v>
      </c>
      <c r="AY730" s="159"/>
    </row>
    <row r="731" spans="1:51" ht="18" hidden="1" customHeight="1" x14ac:dyDescent="0.25">
      <c r="A731" s="815"/>
      <c r="B731" s="1043"/>
      <c r="C731" s="827"/>
      <c r="D731" s="132" t="s">
        <v>3</v>
      </c>
      <c r="E731" s="272"/>
      <c r="F731" s="227"/>
      <c r="G731" s="227"/>
      <c r="H731" s="227"/>
      <c r="I731" s="227"/>
      <c r="J731" s="183"/>
      <c r="K731" s="300">
        <f>+INVERSIÓN!AB91</f>
        <v>0</v>
      </c>
      <c r="L731" s="183"/>
      <c r="M731" s="183"/>
      <c r="N731" s="138"/>
      <c r="O731" s="183"/>
      <c r="P731" s="183"/>
      <c r="Q731" s="183"/>
      <c r="R731" s="232"/>
      <c r="S731" s="1050"/>
      <c r="T731" s="174" t="e">
        <f>+[5]INVERSIÓN!W83</f>
        <v>#REF!</v>
      </c>
      <c r="U731" s="193"/>
      <c r="V731" s="193"/>
      <c r="W731" s="229"/>
      <c r="X731" s="221"/>
      <c r="Y731" s="221"/>
      <c r="Z731" s="221"/>
      <c r="AA731" s="265"/>
      <c r="AB731" s="266"/>
      <c r="AC731" s="267"/>
      <c r="AD731" s="268"/>
      <c r="AE731" s="269"/>
      <c r="AF731" s="1053"/>
      <c r="AG731" s="828"/>
      <c r="AH731" s="775"/>
      <c r="AI731" s="775"/>
      <c r="AJ731" s="775"/>
      <c r="AK731" s="775"/>
      <c r="AL731" s="827"/>
      <c r="AM731" s="827"/>
      <c r="AN731" s="857"/>
      <c r="AO731" s="797"/>
      <c r="AP731" s="797"/>
      <c r="AQ731" s="795"/>
      <c r="AR731" s="795"/>
      <c r="AS731" s="795"/>
      <c r="AT731" s="795"/>
      <c r="AU731" s="795"/>
      <c r="AV731" s="795"/>
      <c r="AW731" s="795"/>
      <c r="AX731" s="797"/>
      <c r="AY731" s="159"/>
    </row>
    <row r="732" spans="1:51" ht="27" hidden="1" customHeight="1" x14ac:dyDescent="0.25">
      <c r="A732" s="815"/>
      <c r="B732" s="1043"/>
      <c r="C732" s="827"/>
      <c r="D732" s="136" t="s">
        <v>42</v>
      </c>
      <c r="E732" s="272"/>
      <c r="F732" s="227"/>
      <c r="G732" s="227"/>
      <c r="H732" s="227"/>
      <c r="I732" s="227"/>
      <c r="J732" s="183"/>
      <c r="K732" s="300">
        <f>+INVERSIÓN!AB92</f>
        <v>0</v>
      </c>
      <c r="L732" s="183"/>
      <c r="M732" s="183"/>
      <c r="N732" s="138"/>
      <c r="O732" s="183"/>
      <c r="P732" s="183"/>
      <c r="Q732" s="183"/>
      <c r="R732" s="232"/>
      <c r="S732" s="1050"/>
      <c r="T732" s="174" t="e">
        <f>+[5]INVERSIÓN!W84</f>
        <v>#REF!</v>
      </c>
      <c r="U732" s="193"/>
      <c r="V732" s="193"/>
      <c r="W732" s="229"/>
      <c r="X732" s="221"/>
      <c r="Y732" s="221"/>
      <c r="Z732" s="221"/>
      <c r="AA732" s="265"/>
      <c r="AB732" s="266"/>
      <c r="AC732" s="267"/>
      <c r="AD732" s="268"/>
      <c r="AE732" s="269"/>
      <c r="AF732" s="1053"/>
      <c r="AG732" s="828"/>
      <c r="AH732" s="775"/>
      <c r="AI732" s="775"/>
      <c r="AJ732" s="775"/>
      <c r="AK732" s="775"/>
      <c r="AL732" s="827"/>
      <c r="AM732" s="827"/>
      <c r="AN732" s="857"/>
      <c r="AO732" s="797"/>
      <c r="AP732" s="797"/>
      <c r="AQ732" s="795"/>
      <c r="AR732" s="795"/>
      <c r="AS732" s="795"/>
      <c r="AT732" s="795"/>
      <c r="AU732" s="795"/>
      <c r="AV732" s="795"/>
      <c r="AW732" s="795"/>
      <c r="AX732" s="797"/>
      <c r="AY732" s="159"/>
    </row>
    <row r="733" spans="1:51" ht="27" hidden="1" customHeight="1" x14ac:dyDescent="0.25">
      <c r="A733" s="815"/>
      <c r="B733" s="1043"/>
      <c r="C733" s="827"/>
      <c r="D733" s="132" t="s">
        <v>4</v>
      </c>
      <c r="E733" s="272"/>
      <c r="F733" s="227"/>
      <c r="G733" s="227"/>
      <c r="H733" s="227"/>
      <c r="I733" s="227"/>
      <c r="J733" s="183"/>
      <c r="K733" s="300">
        <f>+INVERSIÓN!AB93</f>
        <v>0</v>
      </c>
      <c r="L733" s="183"/>
      <c r="M733" s="183"/>
      <c r="N733" s="138"/>
      <c r="O733" s="183"/>
      <c r="P733" s="183"/>
      <c r="Q733" s="183"/>
      <c r="R733" s="232"/>
      <c r="S733" s="1050"/>
      <c r="T733" s="174" t="e">
        <f>+[5]INVERSIÓN!W85</f>
        <v>#REF!</v>
      </c>
      <c r="U733" s="193"/>
      <c r="V733" s="193"/>
      <c r="W733" s="229"/>
      <c r="X733" s="221"/>
      <c r="Y733" s="221"/>
      <c r="Z733" s="221"/>
      <c r="AA733" s="265"/>
      <c r="AB733" s="266"/>
      <c r="AC733" s="267"/>
      <c r="AD733" s="268"/>
      <c r="AE733" s="269"/>
      <c r="AF733" s="1053"/>
      <c r="AG733" s="828"/>
      <c r="AH733" s="775"/>
      <c r="AI733" s="775"/>
      <c r="AJ733" s="775"/>
      <c r="AK733" s="775"/>
      <c r="AL733" s="827"/>
      <c r="AM733" s="827"/>
      <c r="AN733" s="857"/>
      <c r="AO733" s="797"/>
      <c r="AP733" s="797"/>
      <c r="AQ733" s="795"/>
      <c r="AR733" s="795"/>
      <c r="AS733" s="795"/>
      <c r="AT733" s="795"/>
      <c r="AU733" s="795"/>
      <c r="AV733" s="795"/>
      <c r="AW733" s="795"/>
      <c r="AX733" s="797"/>
      <c r="AY733" s="159"/>
    </row>
    <row r="734" spans="1:51" ht="27" hidden="1" customHeight="1" x14ac:dyDescent="0.25">
      <c r="A734" s="815"/>
      <c r="B734" s="1043"/>
      <c r="C734" s="827"/>
      <c r="D734" s="136" t="s">
        <v>43</v>
      </c>
      <c r="E734" s="271"/>
      <c r="F734" s="144"/>
      <c r="G734" s="144"/>
      <c r="H734" s="144"/>
      <c r="I734" s="144"/>
      <c r="J734" s="138"/>
      <c r="K734" s="300">
        <f>+INVERSIÓN!AB94</f>
        <v>0</v>
      </c>
      <c r="L734" s="138"/>
      <c r="M734" s="138"/>
      <c r="N734" s="138"/>
      <c r="O734" s="138"/>
      <c r="P734" s="138"/>
      <c r="Q734" s="138"/>
      <c r="R734" s="147"/>
      <c r="S734" s="1050"/>
      <c r="T734" s="174" t="e">
        <f>+[5]INVERSIÓN!W86</f>
        <v>#REF!</v>
      </c>
      <c r="U734" s="234"/>
      <c r="V734" s="234"/>
      <c r="W734" s="147"/>
      <c r="X734" s="222"/>
      <c r="Y734" s="222"/>
      <c r="Z734" s="222"/>
      <c r="AA734" s="222"/>
      <c r="AB734" s="263"/>
      <c r="AC734" s="260"/>
      <c r="AD734" s="145"/>
      <c r="AE734" s="260"/>
      <c r="AF734" s="1053"/>
      <c r="AG734" s="828"/>
      <c r="AH734" s="775"/>
      <c r="AI734" s="775"/>
      <c r="AJ734" s="775"/>
      <c r="AK734" s="775"/>
      <c r="AL734" s="827"/>
      <c r="AM734" s="827"/>
      <c r="AN734" s="857"/>
      <c r="AO734" s="797"/>
      <c r="AP734" s="797"/>
      <c r="AQ734" s="795"/>
      <c r="AR734" s="795"/>
      <c r="AS734" s="795"/>
      <c r="AT734" s="795"/>
      <c r="AU734" s="795"/>
      <c r="AV734" s="795"/>
      <c r="AW734" s="795"/>
      <c r="AX734" s="797"/>
      <c r="AY734" s="159"/>
    </row>
    <row r="735" spans="1:51" ht="27.75" hidden="1" customHeight="1" x14ac:dyDescent="0.25">
      <c r="A735" s="815"/>
      <c r="B735" s="1043"/>
      <c r="C735" s="827"/>
      <c r="D735" s="140" t="s">
        <v>45</v>
      </c>
      <c r="E735" s="273"/>
      <c r="F735" s="237"/>
      <c r="G735" s="237"/>
      <c r="H735" s="237"/>
      <c r="I735" s="237"/>
      <c r="J735" s="186"/>
      <c r="K735" s="300">
        <f>+INVERSIÓN!AB95</f>
        <v>0</v>
      </c>
      <c r="L735" s="186"/>
      <c r="M735" s="186"/>
      <c r="N735" s="138"/>
      <c r="O735" s="186"/>
      <c r="P735" s="186"/>
      <c r="Q735" s="186"/>
      <c r="R735" s="175"/>
      <c r="S735" s="1050"/>
      <c r="T735" s="174" t="e">
        <f>+[5]INVERSIÓN!W87</f>
        <v>#REF!</v>
      </c>
      <c r="U735" s="174"/>
      <c r="V735" s="174"/>
      <c r="W735" s="175"/>
      <c r="X735" s="217"/>
      <c r="Y735" s="217"/>
      <c r="Z735" s="217"/>
      <c r="AA735" s="176"/>
      <c r="AB735" s="218"/>
      <c r="AC735" s="267"/>
      <c r="AD735" s="270"/>
      <c r="AE735" s="219"/>
      <c r="AF735" s="1053"/>
      <c r="AG735" s="828"/>
      <c r="AH735" s="776"/>
      <c r="AI735" s="776"/>
      <c r="AJ735" s="776"/>
      <c r="AK735" s="776"/>
      <c r="AL735" s="827"/>
      <c r="AM735" s="827"/>
      <c r="AN735" s="857"/>
      <c r="AO735" s="798"/>
      <c r="AP735" s="798"/>
      <c r="AQ735" s="795"/>
      <c r="AR735" s="795"/>
      <c r="AS735" s="795"/>
      <c r="AT735" s="795"/>
      <c r="AU735" s="795"/>
      <c r="AV735" s="795"/>
      <c r="AW735" s="795"/>
      <c r="AX735" s="798"/>
      <c r="AY735" s="159"/>
    </row>
    <row r="736" spans="1:51" ht="18" hidden="1" customHeight="1" x14ac:dyDescent="0.25">
      <c r="A736" s="815"/>
      <c r="B736" s="1043"/>
      <c r="C736" s="827" t="s">
        <v>433</v>
      </c>
      <c r="D736" s="141" t="s">
        <v>41</v>
      </c>
      <c r="E736" s="271"/>
      <c r="F736" s="144"/>
      <c r="G736" s="144"/>
      <c r="H736" s="144"/>
      <c r="I736" s="144"/>
      <c r="J736" s="138"/>
      <c r="K736" s="300">
        <f>+INVERSIÓN!AB96</f>
        <v>0</v>
      </c>
      <c r="L736" s="138"/>
      <c r="M736" s="138"/>
      <c r="N736" s="138"/>
      <c r="O736" s="138"/>
      <c r="P736" s="138"/>
      <c r="Q736" s="138"/>
      <c r="R736" s="147"/>
      <c r="S736" s="1050"/>
      <c r="T736" s="174" t="e">
        <f>+[5]INVERSIÓN!W88</f>
        <v>#REF!</v>
      </c>
      <c r="U736" s="174"/>
      <c r="V736" s="174"/>
      <c r="W736" s="175"/>
      <c r="X736" s="217"/>
      <c r="Y736" s="217"/>
      <c r="Z736" s="217"/>
      <c r="AA736" s="176"/>
      <c r="AB736" s="218"/>
      <c r="AC736" s="260"/>
      <c r="AD736" s="145"/>
      <c r="AE736" s="219"/>
      <c r="AF736" s="1053"/>
      <c r="AG736" s="828" t="str">
        <f>+C736</f>
        <v>FONTIBON</v>
      </c>
      <c r="AH736" s="774" t="s">
        <v>350</v>
      </c>
      <c r="AI736" s="774" t="s">
        <v>350</v>
      </c>
      <c r="AJ736" s="774" t="s">
        <v>350</v>
      </c>
      <c r="AK736" s="774" t="s">
        <v>315</v>
      </c>
      <c r="AL736" s="827"/>
      <c r="AM736" s="827" t="s">
        <v>547</v>
      </c>
      <c r="AN736" s="857">
        <v>7715777</v>
      </c>
      <c r="AO736" s="796">
        <v>3679381.9895200301</v>
      </c>
      <c r="AP736" s="796">
        <v>4036396.0104799699</v>
      </c>
      <c r="AQ736" s="795" t="s">
        <v>317</v>
      </c>
      <c r="AR736" s="795" t="s">
        <v>317</v>
      </c>
      <c r="AS736" s="795" t="s">
        <v>317</v>
      </c>
      <c r="AT736" s="795" t="s">
        <v>317</v>
      </c>
      <c r="AU736" s="795" t="s">
        <v>317</v>
      </c>
      <c r="AV736" s="795" t="s">
        <v>317</v>
      </c>
      <c r="AW736" s="795" t="s">
        <v>317</v>
      </c>
      <c r="AX736" s="796">
        <v>7715777</v>
      </c>
      <c r="AY736" s="159"/>
    </row>
    <row r="737" spans="1:51" ht="18" hidden="1" customHeight="1" x14ac:dyDescent="0.25">
      <c r="A737" s="815"/>
      <c r="B737" s="1043"/>
      <c r="C737" s="827"/>
      <c r="D737" s="132" t="s">
        <v>3</v>
      </c>
      <c r="E737" s="272"/>
      <c r="F737" s="227"/>
      <c r="G737" s="227"/>
      <c r="H737" s="227"/>
      <c r="I737" s="227"/>
      <c r="J737" s="183"/>
      <c r="K737" s="300">
        <f>+INVERSIÓN!AB97</f>
        <v>0</v>
      </c>
      <c r="L737" s="183"/>
      <c r="M737" s="183"/>
      <c r="N737" s="138"/>
      <c r="O737" s="183"/>
      <c r="P737" s="183"/>
      <c r="Q737" s="183"/>
      <c r="R737" s="232"/>
      <c r="S737" s="1050"/>
      <c r="T737" s="174" t="e">
        <f>+[5]INVERSIÓN!W89</f>
        <v>#REF!</v>
      </c>
      <c r="U737" s="193"/>
      <c r="V737" s="193"/>
      <c r="W737" s="229"/>
      <c r="X737" s="221"/>
      <c r="Y737" s="221"/>
      <c r="Z737" s="221"/>
      <c r="AA737" s="265"/>
      <c r="AB737" s="266"/>
      <c r="AC737" s="267"/>
      <c r="AD737" s="268"/>
      <c r="AE737" s="269"/>
      <c r="AF737" s="1053"/>
      <c r="AG737" s="828"/>
      <c r="AH737" s="775"/>
      <c r="AI737" s="775"/>
      <c r="AJ737" s="775"/>
      <c r="AK737" s="775"/>
      <c r="AL737" s="827"/>
      <c r="AM737" s="827"/>
      <c r="AN737" s="857"/>
      <c r="AO737" s="797"/>
      <c r="AP737" s="797"/>
      <c r="AQ737" s="795"/>
      <c r="AR737" s="795"/>
      <c r="AS737" s="795"/>
      <c r="AT737" s="795"/>
      <c r="AU737" s="795"/>
      <c r="AV737" s="795"/>
      <c r="AW737" s="795"/>
      <c r="AX737" s="797"/>
      <c r="AY737" s="159"/>
    </row>
    <row r="738" spans="1:51" ht="27" hidden="1" customHeight="1" x14ac:dyDescent="0.25">
      <c r="A738" s="815"/>
      <c r="B738" s="1043"/>
      <c r="C738" s="827"/>
      <c r="D738" s="136" t="s">
        <v>42</v>
      </c>
      <c r="E738" s="272"/>
      <c r="F738" s="227"/>
      <c r="G738" s="227"/>
      <c r="H738" s="227"/>
      <c r="I738" s="227"/>
      <c r="J738" s="183"/>
      <c r="K738" s="300">
        <f>+INVERSIÓN!AB98</f>
        <v>0</v>
      </c>
      <c r="L738" s="183"/>
      <c r="M738" s="183"/>
      <c r="N738" s="138"/>
      <c r="O738" s="183"/>
      <c r="P738" s="183"/>
      <c r="Q738" s="183"/>
      <c r="R738" s="232"/>
      <c r="S738" s="1050"/>
      <c r="T738" s="174" t="e">
        <f>+[5]INVERSIÓN!W90</f>
        <v>#REF!</v>
      </c>
      <c r="U738" s="193"/>
      <c r="V738" s="193"/>
      <c r="W738" s="229"/>
      <c r="X738" s="221"/>
      <c r="Y738" s="221"/>
      <c r="Z738" s="221"/>
      <c r="AA738" s="265"/>
      <c r="AB738" s="266"/>
      <c r="AC738" s="267"/>
      <c r="AD738" s="268"/>
      <c r="AE738" s="269"/>
      <c r="AF738" s="1053"/>
      <c r="AG738" s="828"/>
      <c r="AH738" s="775"/>
      <c r="AI738" s="775"/>
      <c r="AJ738" s="775"/>
      <c r="AK738" s="775"/>
      <c r="AL738" s="827"/>
      <c r="AM738" s="827"/>
      <c r="AN738" s="857"/>
      <c r="AO738" s="797"/>
      <c r="AP738" s="797"/>
      <c r="AQ738" s="795"/>
      <c r="AR738" s="795"/>
      <c r="AS738" s="795"/>
      <c r="AT738" s="795"/>
      <c r="AU738" s="795"/>
      <c r="AV738" s="795"/>
      <c r="AW738" s="795"/>
      <c r="AX738" s="797"/>
      <c r="AY738" s="159"/>
    </row>
    <row r="739" spans="1:51" ht="27" hidden="1" customHeight="1" x14ac:dyDescent="0.25">
      <c r="A739" s="815"/>
      <c r="B739" s="1043"/>
      <c r="C739" s="827"/>
      <c r="D739" s="132" t="s">
        <v>4</v>
      </c>
      <c r="E739" s="272"/>
      <c r="F739" s="227"/>
      <c r="G739" s="227"/>
      <c r="H739" s="227"/>
      <c r="I739" s="227"/>
      <c r="J739" s="183"/>
      <c r="K739" s="300">
        <f>+INVERSIÓN!AB99</f>
        <v>0</v>
      </c>
      <c r="L739" s="183"/>
      <c r="M739" s="183"/>
      <c r="N739" s="138"/>
      <c r="O739" s="183"/>
      <c r="P739" s="183"/>
      <c r="Q739" s="183"/>
      <c r="R739" s="232"/>
      <c r="S739" s="1050"/>
      <c r="T739" s="174" t="e">
        <f>+[5]INVERSIÓN!W91</f>
        <v>#REF!</v>
      </c>
      <c r="U739" s="193"/>
      <c r="V739" s="193"/>
      <c r="W739" s="229"/>
      <c r="X739" s="221"/>
      <c r="Y739" s="221"/>
      <c r="Z739" s="221"/>
      <c r="AA739" s="265"/>
      <c r="AB739" s="266"/>
      <c r="AC739" s="267"/>
      <c r="AD739" s="268"/>
      <c r="AE739" s="269"/>
      <c r="AF739" s="1053"/>
      <c r="AG739" s="828"/>
      <c r="AH739" s="775"/>
      <c r="AI739" s="775"/>
      <c r="AJ739" s="775"/>
      <c r="AK739" s="775"/>
      <c r="AL739" s="827"/>
      <c r="AM739" s="827"/>
      <c r="AN739" s="857"/>
      <c r="AO739" s="797"/>
      <c r="AP739" s="797"/>
      <c r="AQ739" s="795"/>
      <c r="AR739" s="795"/>
      <c r="AS739" s="795"/>
      <c r="AT739" s="795"/>
      <c r="AU739" s="795"/>
      <c r="AV739" s="795"/>
      <c r="AW739" s="795"/>
      <c r="AX739" s="797"/>
      <c r="AY739" s="159"/>
    </row>
    <row r="740" spans="1:51" ht="27" hidden="1" customHeight="1" x14ac:dyDescent="0.25">
      <c r="A740" s="815"/>
      <c r="B740" s="1043"/>
      <c r="C740" s="827"/>
      <c r="D740" s="136" t="s">
        <v>43</v>
      </c>
      <c r="E740" s="271"/>
      <c r="F740" s="144"/>
      <c r="G740" s="144"/>
      <c r="H740" s="144"/>
      <c r="I740" s="144"/>
      <c r="J740" s="138"/>
      <c r="K740" s="300">
        <f>+INVERSIÓN!AB100</f>
        <v>0</v>
      </c>
      <c r="L740" s="138"/>
      <c r="M740" s="138"/>
      <c r="N740" s="138"/>
      <c r="O740" s="138"/>
      <c r="P740" s="138"/>
      <c r="Q740" s="138"/>
      <c r="R740" s="147"/>
      <c r="S740" s="1050"/>
      <c r="T740" s="174" t="e">
        <f>+[5]INVERSIÓN!W92</f>
        <v>#REF!</v>
      </c>
      <c r="U740" s="234"/>
      <c r="V740" s="234"/>
      <c r="W740" s="147"/>
      <c r="X740" s="222"/>
      <c r="Y740" s="222"/>
      <c r="Z740" s="222"/>
      <c r="AA740" s="222"/>
      <c r="AB740" s="263"/>
      <c r="AC740" s="260"/>
      <c r="AD740" s="145"/>
      <c r="AE740" s="260"/>
      <c r="AF740" s="1053"/>
      <c r="AG740" s="828"/>
      <c r="AH740" s="775"/>
      <c r="AI740" s="775"/>
      <c r="AJ740" s="775"/>
      <c r="AK740" s="775"/>
      <c r="AL740" s="827"/>
      <c r="AM740" s="827"/>
      <c r="AN740" s="857"/>
      <c r="AO740" s="797"/>
      <c r="AP740" s="797"/>
      <c r="AQ740" s="795"/>
      <c r="AR740" s="795"/>
      <c r="AS740" s="795"/>
      <c r="AT740" s="795"/>
      <c r="AU740" s="795"/>
      <c r="AV740" s="795"/>
      <c r="AW740" s="795"/>
      <c r="AX740" s="797"/>
      <c r="AY740" s="159"/>
    </row>
    <row r="741" spans="1:51" ht="27.75" hidden="1" customHeight="1" x14ac:dyDescent="0.25">
      <c r="A741" s="815"/>
      <c r="B741" s="1043"/>
      <c r="C741" s="827"/>
      <c r="D741" s="140" t="s">
        <v>45</v>
      </c>
      <c r="E741" s="273"/>
      <c r="F741" s="237"/>
      <c r="G741" s="237"/>
      <c r="H741" s="237"/>
      <c r="I741" s="237"/>
      <c r="J741" s="186"/>
      <c r="K741" s="300">
        <f>+INVERSIÓN!AB101</f>
        <v>0</v>
      </c>
      <c r="L741" s="186"/>
      <c r="M741" s="186"/>
      <c r="N741" s="138"/>
      <c r="O741" s="186"/>
      <c r="P741" s="186"/>
      <c r="Q741" s="186"/>
      <c r="R741" s="175"/>
      <c r="S741" s="1050"/>
      <c r="T741" s="174" t="e">
        <f>+[5]INVERSIÓN!W93</f>
        <v>#REF!</v>
      </c>
      <c r="U741" s="174"/>
      <c r="V741" s="174"/>
      <c r="W741" s="175"/>
      <c r="X741" s="217"/>
      <c r="Y741" s="217"/>
      <c r="Z741" s="217"/>
      <c r="AA741" s="176"/>
      <c r="AB741" s="218"/>
      <c r="AC741" s="267"/>
      <c r="AD741" s="270"/>
      <c r="AE741" s="219"/>
      <c r="AF741" s="1053"/>
      <c r="AG741" s="828"/>
      <c r="AH741" s="776"/>
      <c r="AI741" s="776"/>
      <c r="AJ741" s="776"/>
      <c r="AK741" s="776"/>
      <c r="AL741" s="827"/>
      <c r="AM741" s="827"/>
      <c r="AN741" s="857"/>
      <c r="AO741" s="798"/>
      <c r="AP741" s="798"/>
      <c r="AQ741" s="795"/>
      <c r="AR741" s="795"/>
      <c r="AS741" s="795"/>
      <c r="AT741" s="795"/>
      <c r="AU741" s="795"/>
      <c r="AV741" s="795"/>
      <c r="AW741" s="795"/>
      <c r="AX741" s="798"/>
      <c r="AY741" s="159"/>
    </row>
    <row r="742" spans="1:51" ht="18" hidden="1" customHeight="1" x14ac:dyDescent="0.25">
      <c r="A742" s="815"/>
      <c r="B742" s="1043"/>
      <c r="C742" s="827" t="s">
        <v>389</v>
      </c>
      <c r="D742" s="141" t="s">
        <v>41</v>
      </c>
      <c r="E742" s="271"/>
      <c r="F742" s="144"/>
      <c r="G742" s="144"/>
      <c r="H742" s="144"/>
      <c r="I742" s="144"/>
      <c r="J742" s="138"/>
      <c r="K742" s="300">
        <f>+INVERSIÓN!AB102</f>
        <v>0</v>
      </c>
      <c r="L742" s="138"/>
      <c r="M742" s="138"/>
      <c r="N742" s="138"/>
      <c r="O742" s="138"/>
      <c r="P742" s="138"/>
      <c r="Q742" s="138"/>
      <c r="R742" s="147"/>
      <c r="S742" s="1050"/>
      <c r="T742" s="174" t="e">
        <f>+[5]INVERSIÓN!W94</f>
        <v>#REF!</v>
      </c>
      <c r="U742" s="174"/>
      <c r="V742" s="174"/>
      <c r="W742" s="175"/>
      <c r="X742" s="217"/>
      <c r="Y742" s="217"/>
      <c r="Z742" s="217"/>
      <c r="AA742" s="176"/>
      <c r="AB742" s="218"/>
      <c r="AC742" s="260"/>
      <c r="AD742" s="145"/>
      <c r="AE742" s="219"/>
      <c r="AF742" s="1053"/>
      <c r="AG742" s="828" t="str">
        <f>+C742</f>
        <v>LOS MARTIRES</v>
      </c>
      <c r="AH742" s="774" t="s">
        <v>350</v>
      </c>
      <c r="AI742" s="774" t="s">
        <v>350</v>
      </c>
      <c r="AJ742" s="774" t="s">
        <v>350</v>
      </c>
      <c r="AK742" s="774" t="s">
        <v>315</v>
      </c>
      <c r="AL742" s="827"/>
      <c r="AM742" s="827" t="s">
        <v>547</v>
      </c>
      <c r="AN742" s="857">
        <v>7715777</v>
      </c>
      <c r="AO742" s="796">
        <v>3679381.9895200301</v>
      </c>
      <c r="AP742" s="796">
        <v>4036396.0104799699</v>
      </c>
      <c r="AQ742" s="795" t="s">
        <v>317</v>
      </c>
      <c r="AR742" s="795" t="s">
        <v>317</v>
      </c>
      <c r="AS742" s="795" t="s">
        <v>317</v>
      </c>
      <c r="AT742" s="795" t="s">
        <v>317</v>
      </c>
      <c r="AU742" s="795" t="s">
        <v>317</v>
      </c>
      <c r="AV742" s="795" t="s">
        <v>317</v>
      </c>
      <c r="AW742" s="795" t="s">
        <v>317</v>
      </c>
      <c r="AX742" s="796">
        <v>7715777</v>
      </c>
      <c r="AY742" s="159"/>
    </row>
    <row r="743" spans="1:51" ht="18" hidden="1" customHeight="1" x14ac:dyDescent="0.25">
      <c r="A743" s="815"/>
      <c r="B743" s="1043"/>
      <c r="C743" s="827"/>
      <c r="D743" s="132" t="s">
        <v>3</v>
      </c>
      <c r="E743" s="272"/>
      <c r="F743" s="227"/>
      <c r="G743" s="227"/>
      <c r="H743" s="227"/>
      <c r="I743" s="227"/>
      <c r="J743" s="183"/>
      <c r="K743" s="300">
        <f>+INVERSIÓN!AB103</f>
        <v>0</v>
      </c>
      <c r="L743" s="183"/>
      <c r="M743" s="183"/>
      <c r="N743" s="138"/>
      <c r="O743" s="183"/>
      <c r="P743" s="183"/>
      <c r="Q743" s="183"/>
      <c r="R743" s="232"/>
      <c r="S743" s="1050"/>
      <c r="T743" s="174" t="e">
        <f>+[5]INVERSIÓN!W95</f>
        <v>#REF!</v>
      </c>
      <c r="U743" s="193"/>
      <c r="V743" s="193"/>
      <c r="W743" s="229"/>
      <c r="X743" s="221"/>
      <c r="Y743" s="221"/>
      <c r="Z743" s="221"/>
      <c r="AA743" s="265"/>
      <c r="AB743" s="266"/>
      <c r="AC743" s="267"/>
      <c r="AD743" s="268"/>
      <c r="AE743" s="269"/>
      <c r="AF743" s="1053"/>
      <c r="AG743" s="828"/>
      <c r="AH743" s="775"/>
      <c r="AI743" s="775"/>
      <c r="AJ743" s="775"/>
      <c r="AK743" s="775"/>
      <c r="AL743" s="827"/>
      <c r="AM743" s="827"/>
      <c r="AN743" s="857"/>
      <c r="AO743" s="797"/>
      <c r="AP743" s="797"/>
      <c r="AQ743" s="795"/>
      <c r="AR743" s="795"/>
      <c r="AS743" s="795"/>
      <c r="AT743" s="795"/>
      <c r="AU743" s="795"/>
      <c r="AV743" s="795"/>
      <c r="AW743" s="795"/>
      <c r="AX743" s="797"/>
      <c r="AY743" s="159"/>
    </row>
    <row r="744" spans="1:51" ht="27" hidden="1" customHeight="1" x14ac:dyDescent="0.25">
      <c r="A744" s="815"/>
      <c r="B744" s="1043"/>
      <c r="C744" s="827"/>
      <c r="D744" s="136" t="s">
        <v>42</v>
      </c>
      <c r="E744" s="272"/>
      <c r="F744" s="227"/>
      <c r="G744" s="227"/>
      <c r="H744" s="227"/>
      <c r="I744" s="227"/>
      <c r="J744" s="183"/>
      <c r="K744" s="300">
        <f>+INVERSIÓN!AB104</f>
        <v>0</v>
      </c>
      <c r="L744" s="183"/>
      <c r="M744" s="183"/>
      <c r="N744" s="138"/>
      <c r="O744" s="183"/>
      <c r="P744" s="183"/>
      <c r="Q744" s="183"/>
      <c r="R744" s="232"/>
      <c r="S744" s="1050"/>
      <c r="T744" s="174" t="e">
        <f>+[5]INVERSIÓN!W96</f>
        <v>#REF!</v>
      </c>
      <c r="U744" s="193"/>
      <c r="V744" s="193"/>
      <c r="W744" s="229"/>
      <c r="X744" s="221"/>
      <c r="Y744" s="221"/>
      <c r="Z744" s="221"/>
      <c r="AA744" s="265"/>
      <c r="AB744" s="266"/>
      <c r="AC744" s="267"/>
      <c r="AD744" s="268"/>
      <c r="AE744" s="269"/>
      <c r="AF744" s="1053"/>
      <c r="AG744" s="828"/>
      <c r="AH744" s="775"/>
      <c r="AI744" s="775"/>
      <c r="AJ744" s="775"/>
      <c r="AK744" s="775"/>
      <c r="AL744" s="827"/>
      <c r="AM744" s="827"/>
      <c r="AN744" s="857"/>
      <c r="AO744" s="797"/>
      <c r="AP744" s="797"/>
      <c r="AQ744" s="795"/>
      <c r="AR744" s="795"/>
      <c r="AS744" s="795"/>
      <c r="AT744" s="795"/>
      <c r="AU744" s="795"/>
      <c r="AV744" s="795"/>
      <c r="AW744" s="795"/>
      <c r="AX744" s="797"/>
      <c r="AY744" s="159"/>
    </row>
    <row r="745" spans="1:51" ht="27" hidden="1" customHeight="1" x14ac:dyDescent="0.25">
      <c r="A745" s="815"/>
      <c r="B745" s="1043"/>
      <c r="C745" s="827"/>
      <c r="D745" s="132" t="s">
        <v>4</v>
      </c>
      <c r="E745" s="272"/>
      <c r="F745" s="227"/>
      <c r="G745" s="227"/>
      <c r="H745" s="227"/>
      <c r="I745" s="227"/>
      <c r="J745" s="183"/>
      <c r="K745" s="300">
        <f>+INVERSIÓN!AB105</f>
        <v>0</v>
      </c>
      <c r="L745" s="183"/>
      <c r="M745" s="183"/>
      <c r="N745" s="138"/>
      <c r="O745" s="183"/>
      <c r="P745" s="183"/>
      <c r="Q745" s="183"/>
      <c r="R745" s="232"/>
      <c r="S745" s="1050"/>
      <c r="T745" s="174" t="e">
        <f>+[5]INVERSIÓN!W97</f>
        <v>#REF!</v>
      </c>
      <c r="U745" s="193"/>
      <c r="V745" s="193"/>
      <c r="W745" s="229"/>
      <c r="X745" s="221"/>
      <c r="Y745" s="221"/>
      <c r="Z745" s="221"/>
      <c r="AA745" s="265"/>
      <c r="AB745" s="266"/>
      <c r="AC745" s="267"/>
      <c r="AD745" s="268"/>
      <c r="AE745" s="269"/>
      <c r="AF745" s="1053"/>
      <c r="AG745" s="828"/>
      <c r="AH745" s="775"/>
      <c r="AI745" s="775"/>
      <c r="AJ745" s="775"/>
      <c r="AK745" s="775"/>
      <c r="AL745" s="827"/>
      <c r="AM745" s="827"/>
      <c r="AN745" s="857"/>
      <c r="AO745" s="797"/>
      <c r="AP745" s="797"/>
      <c r="AQ745" s="795"/>
      <c r="AR745" s="795"/>
      <c r="AS745" s="795"/>
      <c r="AT745" s="795"/>
      <c r="AU745" s="795"/>
      <c r="AV745" s="795"/>
      <c r="AW745" s="795"/>
      <c r="AX745" s="797"/>
      <c r="AY745" s="159"/>
    </row>
    <row r="746" spans="1:51" ht="27" hidden="1" customHeight="1" x14ac:dyDescent="0.25">
      <c r="A746" s="815"/>
      <c r="B746" s="1043"/>
      <c r="C746" s="827"/>
      <c r="D746" s="136" t="s">
        <v>43</v>
      </c>
      <c r="E746" s="271"/>
      <c r="F746" s="144"/>
      <c r="G746" s="144"/>
      <c r="H746" s="144"/>
      <c r="I746" s="144"/>
      <c r="J746" s="138"/>
      <c r="K746" s="300">
        <f>+INVERSIÓN!AB106</f>
        <v>0</v>
      </c>
      <c r="L746" s="138"/>
      <c r="M746" s="138"/>
      <c r="N746" s="138"/>
      <c r="O746" s="138"/>
      <c r="P746" s="138"/>
      <c r="Q746" s="138"/>
      <c r="R746" s="147"/>
      <c r="S746" s="1050"/>
      <c r="T746" s="174" t="e">
        <f>+[5]INVERSIÓN!W98</f>
        <v>#REF!</v>
      </c>
      <c r="U746" s="234"/>
      <c r="V746" s="234"/>
      <c r="W746" s="147"/>
      <c r="X746" s="222"/>
      <c r="Y746" s="222"/>
      <c r="Z746" s="222"/>
      <c r="AA746" s="222"/>
      <c r="AB746" s="263"/>
      <c r="AC746" s="260"/>
      <c r="AD746" s="145"/>
      <c r="AE746" s="260"/>
      <c r="AF746" s="1053"/>
      <c r="AG746" s="828"/>
      <c r="AH746" s="775"/>
      <c r="AI746" s="775"/>
      <c r="AJ746" s="775"/>
      <c r="AK746" s="775"/>
      <c r="AL746" s="827"/>
      <c r="AM746" s="827"/>
      <c r="AN746" s="857"/>
      <c r="AO746" s="797"/>
      <c r="AP746" s="797"/>
      <c r="AQ746" s="795"/>
      <c r="AR746" s="795"/>
      <c r="AS746" s="795"/>
      <c r="AT746" s="795"/>
      <c r="AU746" s="795"/>
      <c r="AV746" s="795"/>
      <c r="AW746" s="795"/>
      <c r="AX746" s="797"/>
      <c r="AY746" s="159"/>
    </row>
    <row r="747" spans="1:51" ht="27.75" hidden="1" customHeight="1" x14ac:dyDescent="0.25">
      <c r="A747" s="815"/>
      <c r="B747" s="1043"/>
      <c r="C747" s="827"/>
      <c r="D747" s="140" t="s">
        <v>45</v>
      </c>
      <c r="E747" s="273"/>
      <c r="F747" s="237"/>
      <c r="G747" s="237"/>
      <c r="H747" s="237"/>
      <c r="I747" s="237"/>
      <c r="J747" s="186"/>
      <c r="K747" s="300">
        <f>+INVERSIÓN!AB107</f>
        <v>0</v>
      </c>
      <c r="L747" s="186"/>
      <c r="M747" s="186"/>
      <c r="N747" s="138"/>
      <c r="O747" s="186"/>
      <c r="P747" s="186"/>
      <c r="Q747" s="186"/>
      <c r="R747" s="175"/>
      <c r="S747" s="1050"/>
      <c r="T747" s="174" t="e">
        <f>+[5]INVERSIÓN!W99</f>
        <v>#REF!</v>
      </c>
      <c r="U747" s="174"/>
      <c r="V747" s="174"/>
      <c r="W747" s="175"/>
      <c r="X747" s="217"/>
      <c r="Y747" s="217"/>
      <c r="Z747" s="217"/>
      <c r="AA747" s="176"/>
      <c r="AB747" s="218"/>
      <c r="AC747" s="267"/>
      <c r="AD747" s="270"/>
      <c r="AE747" s="219"/>
      <c r="AF747" s="1053"/>
      <c r="AG747" s="828"/>
      <c r="AH747" s="776"/>
      <c r="AI747" s="776"/>
      <c r="AJ747" s="776"/>
      <c r="AK747" s="776"/>
      <c r="AL747" s="827"/>
      <c r="AM747" s="827"/>
      <c r="AN747" s="857"/>
      <c r="AO747" s="798"/>
      <c r="AP747" s="798"/>
      <c r="AQ747" s="795"/>
      <c r="AR747" s="795"/>
      <c r="AS747" s="795"/>
      <c r="AT747" s="795"/>
      <c r="AU747" s="795"/>
      <c r="AV747" s="795"/>
      <c r="AW747" s="795"/>
      <c r="AX747" s="798"/>
      <c r="AY747" s="159"/>
    </row>
    <row r="748" spans="1:51" ht="18" hidden="1" customHeight="1" x14ac:dyDescent="0.25">
      <c r="A748" s="815"/>
      <c r="B748" s="1043"/>
      <c r="C748" s="827" t="s">
        <v>373</v>
      </c>
      <c r="D748" s="141" t="s">
        <v>41</v>
      </c>
      <c r="E748" s="271"/>
      <c r="F748" s="144"/>
      <c r="G748" s="144"/>
      <c r="H748" s="144"/>
      <c r="I748" s="144"/>
      <c r="J748" s="138"/>
      <c r="K748" s="300">
        <f>+INVERSIÓN!AB108</f>
        <v>0</v>
      </c>
      <c r="L748" s="138"/>
      <c r="M748" s="138"/>
      <c r="N748" s="138"/>
      <c r="O748" s="138"/>
      <c r="P748" s="138"/>
      <c r="Q748" s="138"/>
      <c r="R748" s="147"/>
      <c r="S748" s="1050"/>
      <c r="T748" s="174" t="e">
        <f>+[5]INVERSIÓN!W100</f>
        <v>#REF!</v>
      </c>
      <c r="U748" s="174"/>
      <c r="V748" s="174"/>
      <c r="W748" s="175"/>
      <c r="X748" s="217"/>
      <c r="Y748" s="217"/>
      <c r="Z748" s="217"/>
      <c r="AA748" s="176"/>
      <c r="AB748" s="218"/>
      <c r="AC748" s="260"/>
      <c r="AD748" s="145"/>
      <c r="AE748" s="219"/>
      <c r="AF748" s="1053"/>
      <c r="AG748" s="828" t="str">
        <f>+C748</f>
        <v>ENGATIVA</v>
      </c>
      <c r="AH748" s="774" t="s">
        <v>350</v>
      </c>
      <c r="AI748" s="774" t="s">
        <v>350</v>
      </c>
      <c r="AJ748" s="774" t="s">
        <v>350</v>
      </c>
      <c r="AK748" s="774" t="s">
        <v>315</v>
      </c>
      <c r="AL748" s="827"/>
      <c r="AM748" s="827" t="s">
        <v>547</v>
      </c>
      <c r="AN748" s="857">
        <v>7715777</v>
      </c>
      <c r="AO748" s="796">
        <v>3679381.9895200301</v>
      </c>
      <c r="AP748" s="796">
        <v>4036396.0104799699</v>
      </c>
      <c r="AQ748" s="795" t="s">
        <v>317</v>
      </c>
      <c r="AR748" s="795" t="s">
        <v>317</v>
      </c>
      <c r="AS748" s="795" t="s">
        <v>317</v>
      </c>
      <c r="AT748" s="795" t="s">
        <v>317</v>
      </c>
      <c r="AU748" s="795" t="s">
        <v>317</v>
      </c>
      <c r="AV748" s="795" t="s">
        <v>317</v>
      </c>
      <c r="AW748" s="795" t="s">
        <v>317</v>
      </c>
      <c r="AX748" s="796">
        <v>7715777</v>
      </c>
      <c r="AY748" s="159"/>
    </row>
    <row r="749" spans="1:51" ht="18" hidden="1" customHeight="1" x14ac:dyDescent="0.25">
      <c r="A749" s="815"/>
      <c r="B749" s="1043"/>
      <c r="C749" s="827"/>
      <c r="D749" s="132" t="s">
        <v>3</v>
      </c>
      <c r="E749" s="272"/>
      <c r="F749" s="227"/>
      <c r="G749" s="227"/>
      <c r="H749" s="227"/>
      <c r="I749" s="227"/>
      <c r="J749" s="183"/>
      <c r="K749" s="300">
        <f>+INVERSIÓN!AB109</f>
        <v>0</v>
      </c>
      <c r="L749" s="183"/>
      <c r="M749" s="183"/>
      <c r="N749" s="138"/>
      <c r="O749" s="183"/>
      <c r="P749" s="183"/>
      <c r="Q749" s="183"/>
      <c r="R749" s="232"/>
      <c r="S749" s="1050"/>
      <c r="T749" s="174" t="e">
        <f>+[5]INVERSIÓN!W101</f>
        <v>#REF!</v>
      </c>
      <c r="U749" s="193"/>
      <c r="V749" s="193"/>
      <c r="W749" s="229"/>
      <c r="X749" s="221"/>
      <c r="Y749" s="221"/>
      <c r="Z749" s="221"/>
      <c r="AA749" s="265"/>
      <c r="AB749" s="266"/>
      <c r="AC749" s="267"/>
      <c r="AD749" s="268"/>
      <c r="AE749" s="269"/>
      <c r="AF749" s="1053"/>
      <c r="AG749" s="828"/>
      <c r="AH749" s="775"/>
      <c r="AI749" s="775"/>
      <c r="AJ749" s="775"/>
      <c r="AK749" s="775"/>
      <c r="AL749" s="827"/>
      <c r="AM749" s="827"/>
      <c r="AN749" s="857"/>
      <c r="AO749" s="797"/>
      <c r="AP749" s="797"/>
      <c r="AQ749" s="795"/>
      <c r="AR749" s="795"/>
      <c r="AS749" s="795"/>
      <c r="AT749" s="795"/>
      <c r="AU749" s="795"/>
      <c r="AV749" s="795"/>
      <c r="AW749" s="795"/>
      <c r="AX749" s="797"/>
      <c r="AY749" s="159"/>
    </row>
    <row r="750" spans="1:51" ht="27" hidden="1" customHeight="1" x14ac:dyDescent="0.25">
      <c r="A750" s="815"/>
      <c r="B750" s="1043"/>
      <c r="C750" s="827"/>
      <c r="D750" s="136" t="s">
        <v>42</v>
      </c>
      <c r="E750" s="272"/>
      <c r="F750" s="227"/>
      <c r="G750" s="227"/>
      <c r="H750" s="227"/>
      <c r="I750" s="227"/>
      <c r="J750" s="183"/>
      <c r="K750" s="300">
        <f>+INVERSIÓN!AB110</f>
        <v>0</v>
      </c>
      <c r="L750" s="183"/>
      <c r="M750" s="183"/>
      <c r="N750" s="138"/>
      <c r="O750" s="183"/>
      <c r="P750" s="183"/>
      <c r="Q750" s="183"/>
      <c r="R750" s="232"/>
      <c r="S750" s="1050"/>
      <c r="T750" s="174" t="e">
        <f>+[5]INVERSIÓN!W102</f>
        <v>#REF!</v>
      </c>
      <c r="U750" s="193"/>
      <c r="V750" s="193"/>
      <c r="W750" s="229"/>
      <c r="X750" s="221"/>
      <c r="Y750" s="221"/>
      <c r="Z750" s="221"/>
      <c r="AA750" s="265"/>
      <c r="AB750" s="266"/>
      <c r="AC750" s="267"/>
      <c r="AD750" s="268"/>
      <c r="AE750" s="269"/>
      <c r="AF750" s="1053"/>
      <c r="AG750" s="828"/>
      <c r="AH750" s="775"/>
      <c r="AI750" s="775"/>
      <c r="AJ750" s="775"/>
      <c r="AK750" s="775"/>
      <c r="AL750" s="827"/>
      <c r="AM750" s="827"/>
      <c r="AN750" s="857"/>
      <c r="AO750" s="797"/>
      <c r="AP750" s="797"/>
      <c r="AQ750" s="795"/>
      <c r="AR750" s="795"/>
      <c r="AS750" s="795"/>
      <c r="AT750" s="795"/>
      <c r="AU750" s="795"/>
      <c r="AV750" s="795"/>
      <c r="AW750" s="795"/>
      <c r="AX750" s="797"/>
      <c r="AY750" s="159"/>
    </row>
    <row r="751" spans="1:51" ht="27" hidden="1" customHeight="1" x14ac:dyDescent="0.25">
      <c r="A751" s="815"/>
      <c r="B751" s="1043"/>
      <c r="C751" s="827"/>
      <c r="D751" s="132" t="s">
        <v>4</v>
      </c>
      <c r="E751" s="272"/>
      <c r="F751" s="227"/>
      <c r="G751" s="227"/>
      <c r="H751" s="227"/>
      <c r="I751" s="227"/>
      <c r="J751" s="183"/>
      <c r="K751" s="300">
        <f>+INVERSIÓN!AB111</f>
        <v>0</v>
      </c>
      <c r="L751" s="183"/>
      <c r="M751" s="183"/>
      <c r="N751" s="138"/>
      <c r="O751" s="183"/>
      <c r="P751" s="183"/>
      <c r="Q751" s="183"/>
      <c r="R751" s="232"/>
      <c r="S751" s="1050"/>
      <c r="T751" s="174" t="e">
        <f>+[5]INVERSIÓN!W103</f>
        <v>#REF!</v>
      </c>
      <c r="U751" s="193"/>
      <c r="V751" s="193"/>
      <c r="W751" s="229"/>
      <c r="X751" s="221"/>
      <c r="Y751" s="221"/>
      <c r="Z751" s="221"/>
      <c r="AA751" s="265"/>
      <c r="AB751" s="266"/>
      <c r="AC751" s="267"/>
      <c r="AD751" s="268"/>
      <c r="AE751" s="269"/>
      <c r="AF751" s="1053"/>
      <c r="AG751" s="828"/>
      <c r="AH751" s="775"/>
      <c r="AI751" s="775"/>
      <c r="AJ751" s="775"/>
      <c r="AK751" s="775"/>
      <c r="AL751" s="827"/>
      <c r="AM751" s="827"/>
      <c r="AN751" s="857"/>
      <c r="AO751" s="797"/>
      <c r="AP751" s="797"/>
      <c r="AQ751" s="795"/>
      <c r="AR751" s="795"/>
      <c r="AS751" s="795"/>
      <c r="AT751" s="795"/>
      <c r="AU751" s="795"/>
      <c r="AV751" s="795"/>
      <c r="AW751" s="795"/>
      <c r="AX751" s="797"/>
      <c r="AY751" s="159"/>
    </row>
    <row r="752" spans="1:51" ht="27" hidden="1" customHeight="1" x14ac:dyDescent="0.25">
      <c r="A752" s="815"/>
      <c r="B752" s="1043"/>
      <c r="C752" s="827"/>
      <c r="D752" s="136" t="s">
        <v>43</v>
      </c>
      <c r="E752" s="271"/>
      <c r="F752" s="144"/>
      <c r="G752" s="144"/>
      <c r="H752" s="144"/>
      <c r="I752" s="144"/>
      <c r="J752" s="138"/>
      <c r="K752" s="300">
        <f>+INVERSIÓN!AB112</f>
        <v>0</v>
      </c>
      <c r="L752" s="138"/>
      <c r="M752" s="138"/>
      <c r="N752" s="138"/>
      <c r="O752" s="138"/>
      <c r="P752" s="138"/>
      <c r="Q752" s="138"/>
      <c r="R752" s="147"/>
      <c r="S752" s="1050"/>
      <c r="T752" s="174" t="e">
        <f>+[5]INVERSIÓN!W104</f>
        <v>#REF!</v>
      </c>
      <c r="U752" s="234"/>
      <c r="V752" s="234"/>
      <c r="W752" s="147"/>
      <c r="X752" s="222"/>
      <c r="Y752" s="222"/>
      <c r="Z752" s="222"/>
      <c r="AA752" s="222"/>
      <c r="AB752" s="263"/>
      <c r="AC752" s="260"/>
      <c r="AD752" s="145"/>
      <c r="AE752" s="260"/>
      <c r="AF752" s="1053"/>
      <c r="AG752" s="828"/>
      <c r="AH752" s="775"/>
      <c r="AI752" s="775"/>
      <c r="AJ752" s="775"/>
      <c r="AK752" s="775"/>
      <c r="AL752" s="827"/>
      <c r="AM752" s="827"/>
      <c r="AN752" s="857"/>
      <c r="AO752" s="797"/>
      <c r="AP752" s="797"/>
      <c r="AQ752" s="795"/>
      <c r="AR752" s="795"/>
      <c r="AS752" s="795"/>
      <c r="AT752" s="795"/>
      <c r="AU752" s="795"/>
      <c r="AV752" s="795"/>
      <c r="AW752" s="795"/>
      <c r="AX752" s="797"/>
      <c r="AY752" s="159"/>
    </row>
    <row r="753" spans="1:51" ht="27.75" hidden="1" customHeight="1" x14ac:dyDescent="0.25">
      <c r="A753" s="815"/>
      <c r="B753" s="1043"/>
      <c r="C753" s="827"/>
      <c r="D753" s="140" t="s">
        <v>45</v>
      </c>
      <c r="E753" s="273"/>
      <c r="F753" s="237"/>
      <c r="G753" s="237"/>
      <c r="H753" s="237"/>
      <c r="I753" s="237"/>
      <c r="J753" s="186"/>
      <c r="K753" s="300">
        <f>+INVERSIÓN!AB113</f>
        <v>0</v>
      </c>
      <c r="L753" s="186"/>
      <c r="M753" s="186"/>
      <c r="N753" s="138"/>
      <c r="O753" s="186"/>
      <c r="P753" s="186"/>
      <c r="Q753" s="186"/>
      <c r="R753" s="175"/>
      <c r="S753" s="1050"/>
      <c r="T753" s="174" t="e">
        <f>+[5]INVERSIÓN!W105</f>
        <v>#REF!</v>
      </c>
      <c r="U753" s="174"/>
      <c r="V753" s="174"/>
      <c r="W753" s="175"/>
      <c r="X753" s="217"/>
      <c r="Y753" s="217"/>
      <c r="Z753" s="217"/>
      <c r="AA753" s="176"/>
      <c r="AB753" s="218"/>
      <c r="AC753" s="267"/>
      <c r="AD753" s="270"/>
      <c r="AE753" s="219"/>
      <c r="AF753" s="1053"/>
      <c r="AG753" s="828"/>
      <c r="AH753" s="776"/>
      <c r="AI753" s="776"/>
      <c r="AJ753" s="776"/>
      <c r="AK753" s="776"/>
      <c r="AL753" s="827"/>
      <c r="AM753" s="827"/>
      <c r="AN753" s="857"/>
      <c r="AO753" s="798"/>
      <c r="AP753" s="798"/>
      <c r="AQ753" s="795"/>
      <c r="AR753" s="795"/>
      <c r="AS753" s="795"/>
      <c r="AT753" s="795"/>
      <c r="AU753" s="795"/>
      <c r="AV753" s="795"/>
      <c r="AW753" s="795"/>
      <c r="AX753" s="798"/>
      <c r="AY753" s="159"/>
    </row>
    <row r="754" spans="1:51" ht="18" hidden="1" customHeight="1" x14ac:dyDescent="0.25">
      <c r="A754" s="815"/>
      <c r="B754" s="1043"/>
      <c r="C754" s="827" t="s">
        <v>585</v>
      </c>
      <c r="D754" s="141" t="s">
        <v>41</v>
      </c>
      <c r="E754" s="271"/>
      <c r="F754" s="144"/>
      <c r="G754" s="144"/>
      <c r="H754" s="144"/>
      <c r="I754" s="144"/>
      <c r="J754" s="138"/>
      <c r="K754" s="300">
        <f>+INVERSIÓN!AB114</f>
        <v>0</v>
      </c>
      <c r="L754" s="138"/>
      <c r="M754" s="138"/>
      <c r="N754" s="138"/>
      <c r="O754" s="138"/>
      <c r="P754" s="138"/>
      <c r="Q754" s="138"/>
      <c r="R754" s="147"/>
      <c r="S754" s="1050"/>
      <c r="T754" s="174" t="e">
        <f>+[5]INVERSIÓN!W106</f>
        <v>#REF!</v>
      </c>
      <c r="U754" s="174"/>
      <c r="V754" s="174"/>
      <c r="W754" s="175"/>
      <c r="X754" s="217"/>
      <c r="Y754" s="217"/>
      <c r="Z754" s="217"/>
      <c r="AA754" s="176"/>
      <c r="AB754" s="218"/>
      <c r="AC754" s="260"/>
      <c r="AD754" s="145"/>
      <c r="AE754" s="219"/>
      <c r="AF754" s="1053"/>
      <c r="AG754" s="828" t="str">
        <f>+C754</f>
        <v>RAFAEL URIBE</v>
      </c>
      <c r="AH754" s="774" t="s">
        <v>350</v>
      </c>
      <c r="AI754" s="774" t="s">
        <v>350</v>
      </c>
      <c r="AJ754" s="774" t="s">
        <v>350</v>
      </c>
      <c r="AK754" s="774" t="s">
        <v>315</v>
      </c>
      <c r="AL754" s="827"/>
      <c r="AM754" s="827" t="s">
        <v>547</v>
      </c>
      <c r="AN754" s="857">
        <v>7715777</v>
      </c>
      <c r="AO754" s="796">
        <v>3679381.9895200301</v>
      </c>
      <c r="AP754" s="796">
        <v>4036396.0104799699</v>
      </c>
      <c r="AQ754" s="795" t="s">
        <v>317</v>
      </c>
      <c r="AR754" s="795" t="s">
        <v>317</v>
      </c>
      <c r="AS754" s="795" t="s">
        <v>317</v>
      </c>
      <c r="AT754" s="795" t="s">
        <v>317</v>
      </c>
      <c r="AU754" s="795" t="s">
        <v>317</v>
      </c>
      <c r="AV754" s="795" t="s">
        <v>317</v>
      </c>
      <c r="AW754" s="795" t="s">
        <v>317</v>
      </c>
      <c r="AX754" s="796">
        <v>7715777</v>
      </c>
      <c r="AY754" s="159"/>
    </row>
    <row r="755" spans="1:51" ht="18" hidden="1" customHeight="1" x14ac:dyDescent="0.25">
      <c r="A755" s="815"/>
      <c r="B755" s="1043"/>
      <c r="C755" s="827"/>
      <c r="D755" s="132" t="s">
        <v>3</v>
      </c>
      <c r="E755" s="272"/>
      <c r="F755" s="227"/>
      <c r="G755" s="227"/>
      <c r="H755" s="227"/>
      <c r="I755" s="227"/>
      <c r="J755" s="183"/>
      <c r="K755" s="300">
        <f>+INVERSIÓN!AB115</f>
        <v>0</v>
      </c>
      <c r="L755" s="183"/>
      <c r="M755" s="183"/>
      <c r="N755" s="138"/>
      <c r="O755" s="183"/>
      <c r="P755" s="183"/>
      <c r="Q755" s="183"/>
      <c r="R755" s="232"/>
      <c r="S755" s="1050"/>
      <c r="T755" s="174" t="e">
        <f>+[5]INVERSIÓN!W107</f>
        <v>#REF!</v>
      </c>
      <c r="U755" s="193"/>
      <c r="V755" s="193"/>
      <c r="W755" s="229"/>
      <c r="X755" s="221"/>
      <c r="Y755" s="221"/>
      <c r="Z755" s="221"/>
      <c r="AA755" s="265"/>
      <c r="AB755" s="266"/>
      <c r="AC755" s="267"/>
      <c r="AD755" s="268"/>
      <c r="AE755" s="269"/>
      <c r="AF755" s="1053"/>
      <c r="AG755" s="828"/>
      <c r="AH755" s="775"/>
      <c r="AI755" s="775"/>
      <c r="AJ755" s="775"/>
      <c r="AK755" s="775"/>
      <c r="AL755" s="827"/>
      <c r="AM755" s="827"/>
      <c r="AN755" s="857"/>
      <c r="AO755" s="797"/>
      <c r="AP755" s="797"/>
      <c r="AQ755" s="795"/>
      <c r="AR755" s="795"/>
      <c r="AS755" s="795"/>
      <c r="AT755" s="795"/>
      <c r="AU755" s="795"/>
      <c r="AV755" s="795"/>
      <c r="AW755" s="795"/>
      <c r="AX755" s="797"/>
      <c r="AY755" s="159"/>
    </row>
    <row r="756" spans="1:51" ht="27" hidden="1" customHeight="1" x14ac:dyDescent="0.25">
      <c r="A756" s="815"/>
      <c r="B756" s="1043"/>
      <c r="C756" s="827"/>
      <c r="D756" s="136" t="s">
        <v>42</v>
      </c>
      <c r="E756" s="272"/>
      <c r="F756" s="227"/>
      <c r="G756" s="227"/>
      <c r="H756" s="227"/>
      <c r="I756" s="227"/>
      <c r="J756" s="183"/>
      <c r="K756" s="300">
        <f>+INVERSIÓN!AB116</f>
        <v>0</v>
      </c>
      <c r="L756" s="183"/>
      <c r="M756" s="183"/>
      <c r="N756" s="138"/>
      <c r="O756" s="183"/>
      <c r="P756" s="183"/>
      <c r="Q756" s="183"/>
      <c r="R756" s="232"/>
      <c r="S756" s="1050"/>
      <c r="T756" s="174" t="e">
        <f>+[5]INVERSIÓN!W108</f>
        <v>#REF!</v>
      </c>
      <c r="U756" s="193"/>
      <c r="V756" s="193"/>
      <c r="W756" s="229"/>
      <c r="X756" s="221"/>
      <c r="Y756" s="221"/>
      <c r="Z756" s="221"/>
      <c r="AA756" s="265"/>
      <c r="AB756" s="266"/>
      <c r="AC756" s="267"/>
      <c r="AD756" s="268"/>
      <c r="AE756" s="269"/>
      <c r="AF756" s="1053"/>
      <c r="AG756" s="828"/>
      <c r="AH756" s="775"/>
      <c r="AI756" s="775"/>
      <c r="AJ756" s="775"/>
      <c r="AK756" s="775"/>
      <c r="AL756" s="827"/>
      <c r="AM756" s="827"/>
      <c r="AN756" s="857"/>
      <c r="AO756" s="797"/>
      <c r="AP756" s="797"/>
      <c r="AQ756" s="795"/>
      <c r="AR756" s="795"/>
      <c r="AS756" s="795"/>
      <c r="AT756" s="795"/>
      <c r="AU756" s="795"/>
      <c r="AV756" s="795"/>
      <c r="AW756" s="795"/>
      <c r="AX756" s="797"/>
      <c r="AY756" s="159"/>
    </row>
    <row r="757" spans="1:51" ht="27" hidden="1" customHeight="1" x14ac:dyDescent="0.25">
      <c r="A757" s="815"/>
      <c r="B757" s="1043"/>
      <c r="C757" s="827"/>
      <c r="D757" s="132" t="s">
        <v>4</v>
      </c>
      <c r="E757" s="272"/>
      <c r="F757" s="227"/>
      <c r="G757" s="227"/>
      <c r="H757" s="227"/>
      <c r="I757" s="227"/>
      <c r="J757" s="183"/>
      <c r="K757" s="300">
        <f>+INVERSIÓN!AB117</f>
        <v>0</v>
      </c>
      <c r="L757" s="183"/>
      <c r="M757" s="183"/>
      <c r="N757" s="138"/>
      <c r="O757" s="183"/>
      <c r="P757" s="183"/>
      <c r="Q757" s="183"/>
      <c r="R757" s="232"/>
      <c r="S757" s="1050"/>
      <c r="T757" s="174" t="e">
        <f>+[5]INVERSIÓN!W109</f>
        <v>#REF!</v>
      </c>
      <c r="U757" s="193"/>
      <c r="V757" s="193"/>
      <c r="W757" s="229"/>
      <c r="X757" s="221"/>
      <c r="Y757" s="221"/>
      <c r="Z757" s="221"/>
      <c r="AA757" s="265"/>
      <c r="AB757" s="266"/>
      <c r="AC757" s="267"/>
      <c r="AD757" s="268"/>
      <c r="AE757" s="269"/>
      <c r="AF757" s="1053"/>
      <c r="AG757" s="828"/>
      <c r="AH757" s="775"/>
      <c r="AI757" s="775"/>
      <c r="AJ757" s="775"/>
      <c r="AK757" s="775"/>
      <c r="AL757" s="827"/>
      <c r="AM757" s="827"/>
      <c r="AN757" s="857"/>
      <c r="AO757" s="797"/>
      <c r="AP757" s="797"/>
      <c r="AQ757" s="795"/>
      <c r="AR757" s="795"/>
      <c r="AS757" s="795"/>
      <c r="AT757" s="795"/>
      <c r="AU757" s="795"/>
      <c r="AV757" s="795"/>
      <c r="AW757" s="795"/>
      <c r="AX757" s="797"/>
      <c r="AY757" s="159"/>
    </row>
    <row r="758" spans="1:51" ht="27" hidden="1" customHeight="1" x14ac:dyDescent="0.25">
      <c r="A758" s="815"/>
      <c r="B758" s="1043"/>
      <c r="C758" s="827"/>
      <c r="D758" s="136" t="s">
        <v>43</v>
      </c>
      <c r="E758" s="271"/>
      <c r="F758" s="144"/>
      <c r="G758" s="144"/>
      <c r="H758" s="144"/>
      <c r="I758" s="144"/>
      <c r="J758" s="138"/>
      <c r="K758" s="300">
        <f>+INVERSIÓN!AB118</f>
        <v>0</v>
      </c>
      <c r="L758" s="138"/>
      <c r="M758" s="138"/>
      <c r="N758" s="138"/>
      <c r="O758" s="138"/>
      <c r="P758" s="138"/>
      <c r="Q758" s="138"/>
      <c r="R758" s="147"/>
      <c r="S758" s="1050"/>
      <c r="T758" s="174" t="e">
        <f>+[5]INVERSIÓN!W110</f>
        <v>#REF!</v>
      </c>
      <c r="U758" s="234"/>
      <c r="V758" s="234"/>
      <c r="W758" s="147"/>
      <c r="X758" s="222"/>
      <c r="Y758" s="222"/>
      <c r="Z758" s="222"/>
      <c r="AA758" s="222"/>
      <c r="AB758" s="263"/>
      <c r="AC758" s="260"/>
      <c r="AD758" s="145"/>
      <c r="AE758" s="260"/>
      <c r="AF758" s="1053"/>
      <c r="AG758" s="828"/>
      <c r="AH758" s="775"/>
      <c r="AI758" s="775"/>
      <c r="AJ758" s="775"/>
      <c r="AK758" s="775"/>
      <c r="AL758" s="827"/>
      <c r="AM758" s="827"/>
      <c r="AN758" s="857"/>
      <c r="AO758" s="797"/>
      <c r="AP758" s="797"/>
      <c r="AQ758" s="795"/>
      <c r="AR758" s="795"/>
      <c r="AS758" s="795"/>
      <c r="AT758" s="795"/>
      <c r="AU758" s="795"/>
      <c r="AV758" s="795"/>
      <c r="AW758" s="795"/>
      <c r="AX758" s="797"/>
      <c r="AY758" s="159"/>
    </row>
    <row r="759" spans="1:51" ht="27.75" hidden="1" customHeight="1" x14ac:dyDescent="0.25">
      <c r="A759" s="815"/>
      <c r="B759" s="1043"/>
      <c r="C759" s="827"/>
      <c r="D759" s="140" t="s">
        <v>45</v>
      </c>
      <c r="E759" s="273"/>
      <c r="F759" s="237"/>
      <c r="G759" s="237"/>
      <c r="H759" s="237"/>
      <c r="I759" s="237"/>
      <c r="J759" s="186"/>
      <c r="K759" s="300">
        <f>+INVERSIÓN!AB119</f>
        <v>0</v>
      </c>
      <c r="L759" s="186"/>
      <c r="M759" s="186"/>
      <c r="N759" s="138"/>
      <c r="O759" s="186"/>
      <c r="P759" s="186"/>
      <c r="Q759" s="186"/>
      <c r="R759" s="175"/>
      <c r="S759" s="1050"/>
      <c r="T759" s="174" t="e">
        <f>+[5]INVERSIÓN!W111</f>
        <v>#REF!</v>
      </c>
      <c r="U759" s="174"/>
      <c r="V759" s="174"/>
      <c r="W759" s="175"/>
      <c r="X759" s="217"/>
      <c r="Y759" s="217"/>
      <c r="Z759" s="217"/>
      <c r="AA759" s="176"/>
      <c r="AB759" s="218"/>
      <c r="AC759" s="267"/>
      <c r="AD759" s="270"/>
      <c r="AE759" s="219"/>
      <c r="AF759" s="1053"/>
      <c r="AG759" s="828"/>
      <c r="AH759" s="776"/>
      <c r="AI759" s="776"/>
      <c r="AJ759" s="776"/>
      <c r="AK759" s="776"/>
      <c r="AL759" s="827"/>
      <c r="AM759" s="827"/>
      <c r="AN759" s="857"/>
      <c r="AO759" s="798"/>
      <c r="AP759" s="798"/>
      <c r="AQ759" s="795"/>
      <c r="AR759" s="795"/>
      <c r="AS759" s="795"/>
      <c r="AT759" s="795"/>
      <c r="AU759" s="795"/>
      <c r="AV759" s="795"/>
      <c r="AW759" s="795"/>
      <c r="AX759" s="798"/>
      <c r="AY759" s="159"/>
    </row>
    <row r="760" spans="1:51" ht="18" hidden="1" customHeight="1" x14ac:dyDescent="0.25">
      <c r="A760" s="815"/>
      <c r="B760" s="1043"/>
      <c r="C760" s="818" t="s">
        <v>409</v>
      </c>
      <c r="D760" s="141" t="s">
        <v>41</v>
      </c>
      <c r="E760" s="271"/>
      <c r="F760" s="144"/>
      <c r="G760" s="144"/>
      <c r="H760" s="144"/>
      <c r="I760" s="144"/>
      <c r="J760" s="138"/>
      <c r="K760" s="300">
        <f>+INVERSIÓN!AB120</f>
        <v>0</v>
      </c>
      <c r="L760" s="138"/>
      <c r="M760" s="138"/>
      <c r="N760" s="138"/>
      <c r="O760" s="138"/>
      <c r="P760" s="138"/>
      <c r="Q760" s="138"/>
      <c r="R760" s="147"/>
      <c r="S760" s="1050"/>
      <c r="T760" s="174" t="e">
        <f>+[5]INVERSIÓN!W112</f>
        <v>#REF!</v>
      </c>
      <c r="U760" s="148"/>
      <c r="V760" s="148"/>
      <c r="W760" s="146"/>
      <c r="X760" s="150"/>
      <c r="Y760" s="150"/>
      <c r="Z760" s="150"/>
      <c r="AA760" s="190"/>
      <c r="AB760" s="274"/>
      <c r="AC760" s="260"/>
      <c r="AD760" s="145"/>
      <c r="AE760" s="150"/>
      <c r="AF760" s="1053"/>
      <c r="AG760" s="824" t="s">
        <v>591</v>
      </c>
      <c r="AH760" s="774" t="s">
        <v>350</v>
      </c>
      <c r="AI760" s="774" t="s">
        <v>350</v>
      </c>
      <c r="AJ760" s="774" t="s">
        <v>350</v>
      </c>
      <c r="AK760" s="774" t="s">
        <v>315</v>
      </c>
      <c r="AL760" s="827"/>
      <c r="AM760" s="827" t="s">
        <v>547</v>
      </c>
      <c r="AN760" s="857">
        <v>7715777</v>
      </c>
      <c r="AO760" s="796">
        <v>3679381.9895200301</v>
      </c>
      <c r="AP760" s="796">
        <v>4036396.0104799699</v>
      </c>
      <c r="AQ760" s="806" t="s">
        <v>317</v>
      </c>
      <c r="AR760" s="806" t="s">
        <v>317</v>
      </c>
      <c r="AS760" s="806" t="s">
        <v>317</v>
      </c>
      <c r="AT760" s="806" t="s">
        <v>317</v>
      </c>
      <c r="AU760" s="795" t="s">
        <v>317</v>
      </c>
      <c r="AV760" s="795" t="s">
        <v>317</v>
      </c>
      <c r="AW760" s="795" t="s">
        <v>317</v>
      </c>
      <c r="AX760" s="796">
        <v>7715777</v>
      </c>
      <c r="AY760" s="159"/>
    </row>
    <row r="761" spans="1:51" ht="18" hidden="1" customHeight="1" x14ac:dyDescent="0.25">
      <c r="A761" s="815"/>
      <c r="B761" s="1043"/>
      <c r="C761" s="818"/>
      <c r="D761" s="132" t="s">
        <v>3</v>
      </c>
      <c r="E761" s="271"/>
      <c r="F761" s="144"/>
      <c r="G761" s="144"/>
      <c r="H761" s="144"/>
      <c r="I761" s="144"/>
      <c r="J761" s="138"/>
      <c r="K761" s="300">
        <f>+INVERSIÓN!AB121</f>
        <v>0</v>
      </c>
      <c r="L761" s="138"/>
      <c r="M761" s="138"/>
      <c r="N761" s="138"/>
      <c r="O761" s="138"/>
      <c r="P761" s="138"/>
      <c r="Q761" s="138"/>
      <c r="R761" s="147"/>
      <c r="S761" s="1050"/>
      <c r="T761" s="174" t="e">
        <f>+[5]INVERSIÓN!W113</f>
        <v>#REF!</v>
      </c>
      <c r="U761" s="148"/>
      <c r="V761" s="148"/>
      <c r="W761" s="146"/>
      <c r="X761" s="150"/>
      <c r="Y761" s="150"/>
      <c r="Z761" s="150"/>
      <c r="AA761" s="190"/>
      <c r="AB761" s="274"/>
      <c r="AC761" s="260"/>
      <c r="AD761" s="145"/>
      <c r="AE761" s="150"/>
      <c r="AF761" s="1053"/>
      <c r="AG761" s="825"/>
      <c r="AH761" s="775"/>
      <c r="AI761" s="775"/>
      <c r="AJ761" s="775"/>
      <c r="AK761" s="775"/>
      <c r="AL761" s="827"/>
      <c r="AM761" s="827"/>
      <c r="AN761" s="857"/>
      <c r="AO761" s="797"/>
      <c r="AP761" s="797"/>
      <c r="AQ761" s="806"/>
      <c r="AR761" s="806"/>
      <c r="AS761" s="806"/>
      <c r="AT761" s="806"/>
      <c r="AU761" s="795"/>
      <c r="AV761" s="795"/>
      <c r="AW761" s="795"/>
      <c r="AX761" s="797"/>
      <c r="AY761" s="159"/>
    </row>
    <row r="762" spans="1:51" ht="27" hidden="1" customHeight="1" x14ac:dyDescent="0.25">
      <c r="A762" s="815"/>
      <c r="B762" s="1043"/>
      <c r="C762" s="818"/>
      <c r="D762" s="136" t="s">
        <v>42</v>
      </c>
      <c r="E762" s="271"/>
      <c r="F762" s="144"/>
      <c r="G762" s="144"/>
      <c r="H762" s="144"/>
      <c r="I762" s="144"/>
      <c r="J762" s="138"/>
      <c r="K762" s="300">
        <f>+INVERSIÓN!AB122</f>
        <v>0</v>
      </c>
      <c r="L762" s="138"/>
      <c r="M762" s="138"/>
      <c r="N762" s="138"/>
      <c r="O762" s="138"/>
      <c r="P762" s="138"/>
      <c r="Q762" s="138"/>
      <c r="R762" s="147"/>
      <c r="S762" s="1050"/>
      <c r="T762" s="174" t="e">
        <f>+[5]INVERSIÓN!W114</f>
        <v>#REF!</v>
      </c>
      <c r="U762" s="148"/>
      <c r="V762" s="148"/>
      <c r="W762" s="146"/>
      <c r="X762" s="150"/>
      <c r="Y762" s="150"/>
      <c r="Z762" s="150"/>
      <c r="AA762" s="190"/>
      <c r="AB762" s="274"/>
      <c r="AC762" s="260"/>
      <c r="AD762" s="145"/>
      <c r="AE762" s="150"/>
      <c r="AF762" s="1053"/>
      <c r="AG762" s="825"/>
      <c r="AH762" s="775"/>
      <c r="AI762" s="775"/>
      <c r="AJ762" s="775"/>
      <c r="AK762" s="775"/>
      <c r="AL762" s="827"/>
      <c r="AM762" s="827"/>
      <c r="AN762" s="857"/>
      <c r="AO762" s="797"/>
      <c r="AP762" s="797"/>
      <c r="AQ762" s="806"/>
      <c r="AR762" s="806"/>
      <c r="AS762" s="806"/>
      <c r="AT762" s="806"/>
      <c r="AU762" s="795"/>
      <c r="AV762" s="795"/>
      <c r="AW762" s="795"/>
      <c r="AX762" s="797"/>
      <c r="AY762" s="159"/>
    </row>
    <row r="763" spans="1:51" ht="27" hidden="1" customHeight="1" x14ac:dyDescent="0.25">
      <c r="A763" s="815"/>
      <c r="B763" s="1043"/>
      <c r="C763" s="818"/>
      <c r="D763" s="132" t="s">
        <v>4</v>
      </c>
      <c r="E763" s="271"/>
      <c r="F763" s="144"/>
      <c r="G763" s="144"/>
      <c r="H763" s="144"/>
      <c r="I763" s="144"/>
      <c r="J763" s="138"/>
      <c r="K763" s="300">
        <f>+INVERSIÓN!AB123</f>
        <v>0</v>
      </c>
      <c r="L763" s="138"/>
      <c r="M763" s="138"/>
      <c r="N763" s="138"/>
      <c r="O763" s="138"/>
      <c r="P763" s="138"/>
      <c r="Q763" s="138"/>
      <c r="R763" s="147"/>
      <c r="S763" s="1050"/>
      <c r="T763" s="174" t="e">
        <f>+[5]INVERSIÓN!W115</f>
        <v>#REF!</v>
      </c>
      <c r="U763" s="148"/>
      <c r="V763" s="148"/>
      <c r="W763" s="146"/>
      <c r="X763" s="150"/>
      <c r="Y763" s="150"/>
      <c r="Z763" s="150"/>
      <c r="AA763" s="190"/>
      <c r="AB763" s="274"/>
      <c r="AC763" s="260"/>
      <c r="AD763" s="145"/>
      <c r="AE763" s="150"/>
      <c r="AF763" s="1053"/>
      <c r="AG763" s="825"/>
      <c r="AH763" s="775"/>
      <c r="AI763" s="775"/>
      <c r="AJ763" s="775"/>
      <c r="AK763" s="775"/>
      <c r="AL763" s="827"/>
      <c r="AM763" s="827"/>
      <c r="AN763" s="857"/>
      <c r="AO763" s="797"/>
      <c r="AP763" s="797"/>
      <c r="AQ763" s="806"/>
      <c r="AR763" s="806"/>
      <c r="AS763" s="806"/>
      <c r="AT763" s="806"/>
      <c r="AU763" s="795"/>
      <c r="AV763" s="795"/>
      <c r="AW763" s="795"/>
      <c r="AX763" s="797"/>
      <c r="AY763" s="159"/>
    </row>
    <row r="764" spans="1:51" ht="27" hidden="1" customHeight="1" x14ac:dyDescent="0.25">
      <c r="A764" s="815"/>
      <c r="B764" s="1043"/>
      <c r="C764" s="818"/>
      <c r="D764" s="136" t="s">
        <v>43</v>
      </c>
      <c r="E764" s="271"/>
      <c r="F764" s="144"/>
      <c r="G764" s="144"/>
      <c r="H764" s="144"/>
      <c r="I764" s="144"/>
      <c r="J764" s="138"/>
      <c r="K764" s="300">
        <f>+INVERSIÓN!AB124</f>
        <v>0</v>
      </c>
      <c r="L764" s="138"/>
      <c r="M764" s="138"/>
      <c r="N764" s="138"/>
      <c r="O764" s="138"/>
      <c r="P764" s="138"/>
      <c r="Q764" s="138"/>
      <c r="R764" s="147"/>
      <c r="S764" s="1050"/>
      <c r="T764" s="174" t="e">
        <f>+[5]INVERSIÓN!W116</f>
        <v>#REF!</v>
      </c>
      <c r="U764" s="148"/>
      <c r="V764" s="148"/>
      <c r="W764" s="146"/>
      <c r="X764" s="150"/>
      <c r="Y764" s="150"/>
      <c r="Z764" s="150"/>
      <c r="AA764" s="190"/>
      <c r="AB764" s="274"/>
      <c r="AC764" s="260"/>
      <c r="AD764" s="145"/>
      <c r="AE764" s="150"/>
      <c r="AF764" s="1053"/>
      <c r="AG764" s="825"/>
      <c r="AH764" s="775"/>
      <c r="AI764" s="775"/>
      <c r="AJ764" s="775"/>
      <c r="AK764" s="775"/>
      <c r="AL764" s="827"/>
      <c r="AM764" s="827"/>
      <c r="AN764" s="857"/>
      <c r="AO764" s="797"/>
      <c r="AP764" s="797"/>
      <c r="AQ764" s="806"/>
      <c r="AR764" s="806"/>
      <c r="AS764" s="806"/>
      <c r="AT764" s="806"/>
      <c r="AU764" s="795"/>
      <c r="AV764" s="795"/>
      <c r="AW764" s="795"/>
      <c r="AX764" s="797"/>
      <c r="AY764" s="159"/>
    </row>
    <row r="765" spans="1:51" ht="27.75" hidden="1" customHeight="1" x14ac:dyDescent="0.25">
      <c r="A765" s="815"/>
      <c r="B765" s="1043"/>
      <c r="C765" s="818"/>
      <c r="D765" s="140" t="s">
        <v>45</v>
      </c>
      <c r="E765" s="271"/>
      <c r="F765" s="144"/>
      <c r="G765" s="144"/>
      <c r="H765" s="144"/>
      <c r="I765" s="144"/>
      <c r="J765" s="138"/>
      <c r="K765" s="300">
        <f>+INVERSIÓN!AB125</f>
        <v>0</v>
      </c>
      <c r="L765" s="138"/>
      <c r="M765" s="138"/>
      <c r="N765" s="138"/>
      <c r="O765" s="138"/>
      <c r="P765" s="138"/>
      <c r="Q765" s="138"/>
      <c r="R765" s="147"/>
      <c r="S765" s="1050"/>
      <c r="T765" s="174" t="e">
        <f>+[5]INVERSIÓN!W117</f>
        <v>#REF!</v>
      </c>
      <c r="U765" s="148"/>
      <c r="V765" s="148"/>
      <c r="W765" s="146"/>
      <c r="X765" s="150"/>
      <c r="Y765" s="150"/>
      <c r="Z765" s="150"/>
      <c r="AA765" s="190"/>
      <c r="AB765" s="274"/>
      <c r="AC765" s="260"/>
      <c r="AD765" s="145"/>
      <c r="AE765" s="150"/>
      <c r="AF765" s="1053"/>
      <c r="AG765" s="826"/>
      <c r="AH765" s="776"/>
      <c r="AI765" s="776"/>
      <c r="AJ765" s="776"/>
      <c r="AK765" s="776"/>
      <c r="AL765" s="827"/>
      <c r="AM765" s="827"/>
      <c r="AN765" s="857"/>
      <c r="AO765" s="798"/>
      <c r="AP765" s="798"/>
      <c r="AQ765" s="806"/>
      <c r="AR765" s="806"/>
      <c r="AS765" s="806"/>
      <c r="AT765" s="806"/>
      <c r="AU765" s="795"/>
      <c r="AV765" s="795"/>
      <c r="AW765" s="795"/>
      <c r="AX765" s="798"/>
      <c r="AY765" s="159"/>
    </row>
    <row r="766" spans="1:51" ht="22.5" customHeight="1" x14ac:dyDescent="0.25">
      <c r="A766" s="815"/>
      <c r="B766" s="1043"/>
      <c r="C766" s="818" t="s">
        <v>410</v>
      </c>
      <c r="D766" s="141" t="s">
        <v>41</v>
      </c>
      <c r="E766" s="271">
        <f>+E700</f>
        <v>1.4</v>
      </c>
      <c r="F766" s="144">
        <f>+[5]INVERSIÓN!V52</f>
        <v>1.4</v>
      </c>
      <c r="G766" s="144">
        <f>+G700</f>
        <v>1.4</v>
      </c>
      <c r="H766" s="144">
        <f>+H700</f>
        <v>1.4</v>
      </c>
      <c r="I766" s="144">
        <v>1.4</v>
      </c>
      <c r="J766" s="138">
        <v>1.4</v>
      </c>
      <c r="K766" s="145">
        <f>+K700</f>
        <v>1.4</v>
      </c>
      <c r="L766" s="138"/>
      <c r="M766" s="138"/>
      <c r="N766" s="138">
        <f>+N700</f>
        <v>0.5</v>
      </c>
      <c r="O766" s="138">
        <f>+O700</f>
        <v>0.5</v>
      </c>
      <c r="P766" s="138">
        <f>+P700</f>
        <v>0.5</v>
      </c>
      <c r="Q766" s="138">
        <f>+Q700</f>
        <v>0.5</v>
      </c>
      <c r="R766" s="147">
        <f>+R700</f>
        <v>0.5</v>
      </c>
      <c r="S766" s="1050"/>
      <c r="T766" s="163">
        <f>+T700</f>
        <v>7.0000000000000007E-2</v>
      </c>
      <c r="U766" s="275">
        <f>+U700</f>
        <v>0.19600000000000001</v>
      </c>
      <c r="V766" s="163">
        <v>0.32</v>
      </c>
      <c r="W766" s="164">
        <v>0.44800000000000001</v>
      </c>
      <c r="X766" s="261">
        <f>+X700</f>
        <v>1.4000000000000004</v>
      </c>
      <c r="Y766" s="150"/>
      <c r="Z766" s="150"/>
      <c r="AA766" s="222">
        <f>+AA700</f>
        <v>0</v>
      </c>
      <c r="AB766" s="262">
        <f>+AB700</f>
        <v>0</v>
      </c>
      <c r="AC766" s="260">
        <f>+AC700</f>
        <v>0.17</v>
      </c>
      <c r="AD766" s="145">
        <f>+AD700</f>
        <v>0.34</v>
      </c>
      <c r="AE766" s="261" t="e">
        <f>+AE700</f>
        <v>#REF!</v>
      </c>
      <c r="AF766" s="1053"/>
      <c r="AG766" s="817" t="s">
        <v>541</v>
      </c>
      <c r="AH766" s="827" t="s">
        <v>70</v>
      </c>
      <c r="AI766" s="827" t="s">
        <v>70</v>
      </c>
      <c r="AJ766" s="827" t="s">
        <v>70</v>
      </c>
      <c r="AK766" s="818" t="s">
        <v>315</v>
      </c>
      <c r="AL766" s="827"/>
      <c r="AM766" s="827" t="s">
        <v>547</v>
      </c>
      <c r="AN766" s="808">
        <v>7804660</v>
      </c>
      <c r="AO766" s="796">
        <v>3721767</v>
      </c>
      <c r="AP766" s="796">
        <v>4082893</v>
      </c>
      <c r="AQ766" s="795" t="s">
        <v>317</v>
      </c>
      <c r="AR766" s="795" t="s">
        <v>317</v>
      </c>
      <c r="AS766" s="795" t="s">
        <v>317</v>
      </c>
      <c r="AT766" s="795" t="s">
        <v>317</v>
      </c>
      <c r="AU766" s="795" t="s">
        <v>317</v>
      </c>
      <c r="AV766" s="795" t="s">
        <v>317</v>
      </c>
      <c r="AW766" s="795" t="s">
        <v>317</v>
      </c>
      <c r="AX766" s="796">
        <v>7804660</v>
      </c>
      <c r="AY766" s="159"/>
    </row>
    <row r="767" spans="1:51" ht="26.25" customHeight="1" x14ac:dyDescent="0.25">
      <c r="A767" s="815"/>
      <c r="B767" s="1043"/>
      <c r="C767" s="818"/>
      <c r="D767" s="132" t="s">
        <v>3</v>
      </c>
      <c r="E767" s="271">
        <f t="shared" ref="E767:E771" si="84">+E701</f>
        <v>159600000</v>
      </c>
      <c r="F767" s="144">
        <f>+[5]INVERSIÓN!V53</f>
        <v>250350000</v>
      </c>
      <c r="G767" s="144">
        <f t="shared" ref="G767:H771" si="85">+G701</f>
        <v>250350000</v>
      </c>
      <c r="H767" s="144">
        <f t="shared" si="85"/>
        <v>250350000</v>
      </c>
      <c r="I767" s="144">
        <v>250350000</v>
      </c>
      <c r="J767" s="138">
        <v>222016000</v>
      </c>
      <c r="K767" s="145">
        <f t="shared" ref="K767:K771" si="86">+K701</f>
        <v>250350000</v>
      </c>
      <c r="L767" s="138"/>
      <c r="M767" s="138"/>
      <c r="N767" s="138">
        <f t="shared" ref="N767:R771" si="87">+N701</f>
        <v>152972000</v>
      </c>
      <c r="O767" s="138">
        <f t="shared" si="87"/>
        <v>152972000</v>
      </c>
      <c r="P767" s="138">
        <f t="shared" si="87"/>
        <v>136314000</v>
      </c>
      <c r="Q767" s="138">
        <f t="shared" si="87"/>
        <v>156172000</v>
      </c>
      <c r="R767" s="147">
        <f t="shared" si="87"/>
        <v>156172000</v>
      </c>
      <c r="S767" s="1050"/>
      <c r="T767" s="163">
        <f t="shared" ref="T767:U771" si="88">+T701</f>
        <v>0</v>
      </c>
      <c r="U767" s="275">
        <f t="shared" si="88"/>
        <v>99990000</v>
      </c>
      <c r="V767" s="163">
        <v>207261000</v>
      </c>
      <c r="W767" s="164">
        <v>222016000</v>
      </c>
      <c r="X767" s="261">
        <f t="shared" ref="X767:X771" si="89">+X701</f>
        <v>277709000</v>
      </c>
      <c r="Y767" s="150"/>
      <c r="Z767" s="150"/>
      <c r="AA767" s="222">
        <f t="shared" ref="AA767:AE771" si="90">+AA701</f>
        <v>101484000</v>
      </c>
      <c r="AB767" s="262">
        <f t="shared" si="90"/>
        <v>116067000</v>
      </c>
      <c r="AC767" s="260">
        <f t="shared" si="90"/>
        <v>116067000</v>
      </c>
      <c r="AD767" s="145">
        <f t="shared" si="90"/>
        <v>116067000</v>
      </c>
      <c r="AE767" s="261" t="e">
        <f t="shared" si="90"/>
        <v>#REF!</v>
      </c>
      <c r="AF767" s="1053"/>
      <c r="AG767" s="817"/>
      <c r="AH767" s="827"/>
      <c r="AI767" s="827"/>
      <c r="AJ767" s="827"/>
      <c r="AK767" s="818"/>
      <c r="AL767" s="827"/>
      <c r="AM767" s="827"/>
      <c r="AN767" s="808"/>
      <c r="AO767" s="797"/>
      <c r="AP767" s="797"/>
      <c r="AQ767" s="795"/>
      <c r="AR767" s="795"/>
      <c r="AS767" s="795"/>
      <c r="AT767" s="795"/>
      <c r="AU767" s="795"/>
      <c r="AV767" s="795"/>
      <c r="AW767" s="795"/>
      <c r="AX767" s="797"/>
      <c r="AY767" s="159"/>
    </row>
    <row r="768" spans="1:51" ht="27" x14ac:dyDescent="0.25">
      <c r="A768" s="815"/>
      <c r="B768" s="1043"/>
      <c r="C768" s="818"/>
      <c r="D768" s="136" t="s">
        <v>42</v>
      </c>
      <c r="E768" s="271">
        <f t="shared" si="84"/>
        <v>0</v>
      </c>
      <c r="F768" s="144" t="e">
        <f>+[5]INVERSIÓN!V54</f>
        <v>#REF!</v>
      </c>
      <c r="G768" s="144">
        <f t="shared" si="85"/>
        <v>0</v>
      </c>
      <c r="H768" s="144">
        <f t="shared" si="85"/>
        <v>0</v>
      </c>
      <c r="I768" s="144">
        <v>0</v>
      </c>
      <c r="J768" s="138">
        <v>0</v>
      </c>
      <c r="K768" s="145">
        <f t="shared" si="86"/>
        <v>0</v>
      </c>
      <c r="L768" s="138"/>
      <c r="M768" s="138"/>
      <c r="N768" s="138">
        <f t="shared" si="87"/>
        <v>0</v>
      </c>
      <c r="O768" s="138">
        <f t="shared" si="87"/>
        <v>0</v>
      </c>
      <c r="P768" s="138" t="e">
        <f t="shared" si="87"/>
        <v>#REF!</v>
      </c>
      <c r="Q768" s="138" t="e">
        <f t="shared" si="87"/>
        <v>#REF!</v>
      </c>
      <c r="R768" s="147" t="e">
        <f t="shared" si="87"/>
        <v>#REF!</v>
      </c>
      <c r="S768" s="1050"/>
      <c r="T768" s="163">
        <f t="shared" si="88"/>
        <v>0</v>
      </c>
      <c r="U768" s="275">
        <f t="shared" si="88"/>
        <v>0</v>
      </c>
      <c r="V768" s="163">
        <v>0</v>
      </c>
      <c r="W768" s="164">
        <v>0</v>
      </c>
      <c r="X768" s="261">
        <f t="shared" si="89"/>
        <v>243612895</v>
      </c>
      <c r="Y768" s="150"/>
      <c r="Z768" s="150"/>
      <c r="AA768" s="222">
        <f t="shared" si="90"/>
        <v>0</v>
      </c>
      <c r="AB768" s="262">
        <f t="shared" si="90"/>
        <v>0</v>
      </c>
      <c r="AC768" s="260" t="e">
        <f t="shared" si="90"/>
        <v>#REF!</v>
      </c>
      <c r="AD768" s="145" t="e">
        <f t="shared" si="90"/>
        <v>#REF!</v>
      </c>
      <c r="AE768" s="261" t="e">
        <f t="shared" si="90"/>
        <v>#REF!</v>
      </c>
      <c r="AF768" s="1053"/>
      <c r="AG768" s="817"/>
      <c r="AH768" s="827"/>
      <c r="AI768" s="827"/>
      <c r="AJ768" s="827"/>
      <c r="AK768" s="818"/>
      <c r="AL768" s="827"/>
      <c r="AM768" s="827"/>
      <c r="AN768" s="808"/>
      <c r="AO768" s="797"/>
      <c r="AP768" s="797"/>
      <c r="AQ768" s="795"/>
      <c r="AR768" s="795"/>
      <c r="AS768" s="795"/>
      <c r="AT768" s="795"/>
      <c r="AU768" s="795"/>
      <c r="AV768" s="795"/>
      <c r="AW768" s="795"/>
      <c r="AX768" s="797"/>
      <c r="AY768" s="159"/>
    </row>
    <row r="769" spans="1:51" ht="19.149999999999999" customHeight="1" x14ac:dyDescent="0.25">
      <c r="A769" s="815"/>
      <c r="B769" s="1043"/>
      <c r="C769" s="818"/>
      <c r="D769" s="132" t="s">
        <v>4</v>
      </c>
      <c r="E769" s="271">
        <f t="shared" si="84"/>
        <v>0</v>
      </c>
      <c r="F769" s="144">
        <f>+[5]INVERSIÓN!V55</f>
        <v>46923400</v>
      </c>
      <c r="G769" s="144">
        <f t="shared" si="85"/>
        <v>46923400</v>
      </c>
      <c r="H769" s="144">
        <f t="shared" si="85"/>
        <v>46923400</v>
      </c>
      <c r="I769" s="144">
        <v>46923400</v>
      </c>
      <c r="J769" s="138">
        <v>46923400</v>
      </c>
      <c r="K769" s="145">
        <f t="shared" si="86"/>
        <v>0</v>
      </c>
      <c r="L769" s="138"/>
      <c r="M769" s="138"/>
      <c r="N769" s="138">
        <f t="shared" si="87"/>
        <v>0</v>
      </c>
      <c r="O769" s="138">
        <f t="shared" si="87"/>
        <v>0</v>
      </c>
      <c r="P769" s="138" t="e">
        <f t="shared" si="87"/>
        <v>#REF!</v>
      </c>
      <c r="Q769" s="138" t="e">
        <f t="shared" si="87"/>
        <v>#REF!</v>
      </c>
      <c r="R769" s="147" t="e">
        <f t="shared" si="87"/>
        <v>#REF!</v>
      </c>
      <c r="S769" s="1050"/>
      <c r="T769" s="163">
        <f t="shared" si="88"/>
        <v>5648300</v>
      </c>
      <c r="U769" s="275">
        <f t="shared" si="88"/>
        <v>33089933</v>
      </c>
      <c r="V769" s="163">
        <v>42024000</v>
      </c>
      <c r="W769" s="164">
        <v>44906000</v>
      </c>
      <c r="X769" s="261">
        <f t="shared" si="89"/>
        <v>0</v>
      </c>
      <c r="Y769" s="150"/>
      <c r="Z769" s="150"/>
      <c r="AA769" s="222">
        <f t="shared" si="90"/>
        <v>0</v>
      </c>
      <c r="AB769" s="262">
        <f t="shared" si="90"/>
        <v>0</v>
      </c>
      <c r="AC769" s="260" t="e">
        <f t="shared" si="90"/>
        <v>#REF!</v>
      </c>
      <c r="AD769" s="145" t="e">
        <f t="shared" si="90"/>
        <v>#REF!</v>
      </c>
      <c r="AE769" s="261" t="e">
        <f t="shared" si="90"/>
        <v>#REF!</v>
      </c>
      <c r="AF769" s="1053"/>
      <c r="AG769" s="817"/>
      <c r="AH769" s="827"/>
      <c r="AI769" s="827"/>
      <c r="AJ769" s="827"/>
      <c r="AK769" s="818"/>
      <c r="AL769" s="827"/>
      <c r="AM769" s="827"/>
      <c r="AN769" s="808"/>
      <c r="AO769" s="797"/>
      <c r="AP769" s="797"/>
      <c r="AQ769" s="795"/>
      <c r="AR769" s="795"/>
      <c r="AS769" s="795"/>
      <c r="AT769" s="795"/>
      <c r="AU769" s="795"/>
      <c r="AV769" s="795"/>
      <c r="AW769" s="795"/>
      <c r="AX769" s="797"/>
      <c r="AY769" s="159"/>
    </row>
    <row r="770" spans="1:51" ht="27" x14ac:dyDescent="0.25">
      <c r="A770" s="815"/>
      <c r="B770" s="1043"/>
      <c r="C770" s="818"/>
      <c r="D770" s="136" t="s">
        <v>43</v>
      </c>
      <c r="E770" s="271">
        <f t="shared" si="84"/>
        <v>0.5</v>
      </c>
      <c r="F770" s="144">
        <f>+[5]INVERSIÓN!V56</f>
        <v>1.4</v>
      </c>
      <c r="G770" s="144">
        <f t="shared" si="85"/>
        <v>1.4</v>
      </c>
      <c r="H770" s="144">
        <f t="shared" si="85"/>
        <v>1.4</v>
      </c>
      <c r="I770" s="144">
        <v>0</v>
      </c>
      <c r="J770" s="138">
        <v>0</v>
      </c>
      <c r="K770" s="145">
        <f t="shared" si="86"/>
        <v>46923400</v>
      </c>
      <c r="L770" s="138"/>
      <c r="M770" s="138"/>
      <c r="N770" s="138">
        <f t="shared" si="87"/>
        <v>0.5</v>
      </c>
      <c r="O770" s="138">
        <f t="shared" si="87"/>
        <v>0.5</v>
      </c>
      <c r="P770" s="138">
        <f t="shared" si="87"/>
        <v>0.5</v>
      </c>
      <c r="Q770" s="138">
        <f t="shared" si="87"/>
        <v>0.5</v>
      </c>
      <c r="R770" s="147">
        <f t="shared" si="87"/>
        <v>0.5</v>
      </c>
      <c r="S770" s="1050"/>
      <c r="T770" s="163">
        <f t="shared" si="88"/>
        <v>7.0000000000000007E-2</v>
      </c>
      <c r="U770" s="275">
        <f t="shared" si="88"/>
        <v>0.19600000000000001</v>
      </c>
      <c r="V770" s="163">
        <v>0.32</v>
      </c>
      <c r="W770" s="164">
        <v>0.44800000000000001</v>
      </c>
      <c r="X770" s="261">
        <f t="shared" si="89"/>
        <v>46923400</v>
      </c>
      <c r="Y770" s="150"/>
      <c r="Z770" s="150"/>
      <c r="AA770" s="222">
        <f t="shared" si="90"/>
        <v>0</v>
      </c>
      <c r="AB770" s="262">
        <f t="shared" si="90"/>
        <v>0</v>
      </c>
      <c r="AC770" s="260">
        <f t="shared" si="90"/>
        <v>0.17</v>
      </c>
      <c r="AD770" s="145">
        <f t="shared" si="90"/>
        <v>0.34</v>
      </c>
      <c r="AE770" s="261" t="e">
        <f t="shared" si="90"/>
        <v>#REF!</v>
      </c>
      <c r="AF770" s="1053"/>
      <c r="AG770" s="817"/>
      <c r="AH770" s="827"/>
      <c r="AI770" s="827"/>
      <c r="AJ770" s="827"/>
      <c r="AK770" s="818"/>
      <c r="AL770" s="827"/>
      <c r="AM770" s="827"/>
      <c r="AN770" s="808"/>
      <c r="AO770" s="797"/>
      <c r="AP770" s="797"/>
      <c r="AQ770" s="795"/>
      <c r="AR770" s="795"/>
      <c r="AS770" s="795"/>
      <c r="AT770" s="795"/>
      <c r="AU770" s="795"/>
      <c r="AV770" s="795"/>
      <c r="AW770" s="795"/>
      <c r="AX770" s="797"/>
      <c r="AY770" s="159"/>
    </row>
    <row r="771" spans="1:51" ht="27.75" thickBot="1" x14ac:dyDescent="0.3">
      <c r="A771" s="816"/>
      <c r="B771" s="1048"/>
      <c r="C771" s="818"/>
      <c r="D771" s="140" t="s">
        <v>45</v>
      </c>
      <c r="E771" s="271">
        <f t="shared" si="84"/>
        <v>159600000</v>
      </c>
      <c r="F771" s="144">
        <f>+[5]INVERSIÓN!V57</f>
        <v>297273400</v>
      </c>
      <c r="G771" s="144">
        <f t="shared" si="85"/>
        <v>297273400</v>
      </c>
      <c r="H771" s="144">
        <f t="shared" si="85"/>
        <v>297273400</v>
      </c>
      <c r="I771" s="144">
        <v>0</v>
      </c>
      <c r="J771" s="138">
        <v>0</v>
      </c>
      <c r="K771" s="145">
        <f t="shared" si="86"/>
        <v>1.4</v>
      </c>
      <c r="L771" s="138"/>
      <c r="M771" s="138"/>
      <c r="N771" s="138">
        <f t="shared" si="87"/>
        <v>152972000</v>
      </c>
      <c r="O771" s="138">
        <f t="shared" si="87"/>
        <v>152972000</v>
      </c>
      <c r="P771" s="138">
        <f t="shared" si="87"/>
        <v>136314000</v>
      </c>
      <c r="Q771" s="138">
        <f t="shared" si="87"/>
        <v>156172000</v>
      </c>
      <c r="R771" s="147">
        <f t="shared" si="87"/>
        <v>156172000</v>
      </c>
      <c r="S771" s="1051"/>
      <c r="T771" s="163">
        <f t="shared" si="88"/>
        <v>5648300</v>
      </c>
      <c r="U771" s="275">
        <f t="shared" si="88"/>
        <v>133079933</v>
      </c>
      <c r="V771" s="163">
        <v>249285000</v>
      </c>
      <c r="W771" s="164">
        <v>266922000</v>
      </c>
      <c r="X771" s="261">
        <f t="shared" si="89"/>
        <v>1.4000000000000004</v>
      </c>
      <c r="Y771" s="150"/>
      <c r="Z771" s="150"/>
      <c r="AA771" s="222">
        <f t="shared" si="90"/>
        <v>101484000</v>
      </c>
      <c r="AB771" s="262">
        <f t="shared" si="90"/>
        <v>116067000</v>
      </c>
      <c r="AC771" s="260">
        <f t="shared" si="90"/>
        <v>116067000</v>
      </c>
      <c r="AD771" s="145">
        <f t="shared" si="90"/>
        <v>116067000</v>
      </c>
      <c r="AE771" s="261" t="e">
        <f t="shared" si="90"/>
        <v>#REF!</v>
      </c>
      <c r="AF771" s="1054"/>
      <c r="AG771" s="817"/>
      <c r="AH771" s="827"/>
      <c r="AI771" s="827"/>
      <c r="AJ771" s="827"/>
      <c r="AK771" s="818"/>
      <c r="AL771" s="827"/>
      <c r="AM771" s="827"/>
      <c r="AN771" s="808"/>
      <c r="AO771" s="798"/>
      <c r="AP771" s="798"/>
      <c r="AQ771" s="795"/>
      <c r="AR771" s="795"/>
      <c r="AS771" s="795"/>
      <c r="AT771" s="795"/>
      <c r="AU771" s="795"/>
      <c r="AV771" s="795"/>
      <c r="AW771" s="795"/>
      <c r="AX771" s="798"/>
      <c r="AY771" s="159"/>
    </row>
    <row r="772" spans="1:51" ht="33" customHeight="1" x14ac:dyDescent="0.25">
      <c r="A772" s="814">
        <v>9</v>
      </c>
      <c r="B772" s="1042" t="s">
        <v>613</v>
      </c>
      <c r="C772" s="818" t="s">
        <v>614</v>
      </c>
      <c r="D772" s="141" t="s">
        <v>41</v>
      </c>
      <c r="E772" s="142">
        <f>+[5]INVERSIÓN!U58</f>
        <v>0</v>
      </c>
      <c r="F772" s="142">
        <f>+[5]INVERSIÓN!V58</f>
        <v>0</v>
      </c>
      <c r="G772" s="144">
        <f>+[5]INVERSIÓN!V58</f>
        <v>0</v>
      </c>
      <c r="H772" s="144">
        <f>+[5]INVERSIÓN!X58</f>
        <v>0</v>
      </c>
      <c r="I772" s="144">
        <v>0.1</v>
      </c>
      <c r="J772" s="138">
        <v>0.1</v>
      </c>
      <c r="K772" s="137"/>
      <c r="L772" s="138"/>
      <c r="M772" s="138">
        <f t="shared" ref="M772:M789" si="91">+F772</f>
        <v>0</v>
      </c>
      <c r="N772" s="138">
        <f>+[6]INVERSIÓN!K58</f>
        <v>1</v>
      </c>
      <c r="O772" s="138">
        <f>+[6]INVERSIÓN!M58</f>
        <v>1</v>
      </c>
      <c r="P772" s="138">
        <f>+[5]INVERSIÓN!O58</f>
        <v>1</v>
      </c>
      <c r="Q772" s="138">
        <f>+[5]INVERSIÓN!Q58</f>
        <v>1</v>
      </c>
      <c r="R772" s="147">
        <f>+[5]INVERSIÓN!S58</f>
        <v>1</v>
      </c>
      <c r="S772" s="177"/>
      <c r="T772" s="174">
        <f>+[5]INVERSIÓN!W58</f>
        <v>0</v>
      </c>
      <c r="U772" s="174">
        <f>+[5]INVERSIÓN!DR58</f>
        <v>0</v>
      </c>
      <c r="V772" s="174">
        <v>0</v>
      </c>
      <c r="W772" s="175">
        <v>0</v>
      </c>
      <c r="X772" s="177"/>
      <c r="Y772" s="177"/>
      <c r="Z772" s="177">
        <f>+[6]INVERSIÓN!J58</f>
        <v>0</v>
      </c>
      <c r="AA772" s="178">
        <f>+[6]INVERSIÓN!DX58</f>
        <v>0</v>
      </c>
      <c r="AB772" s="209">
        <f>+[6]INVERSIÓN!DY58</f>
        <v>0</v>
      </c>
      <c r="AC772" s="129">
        <f>+[5]INVERSIÓN!P58</f>
        <v>0.5</v>
      </c>
      <c r="AD772" s="243">
        <f>+[5]INVERSIÓN!R58</f>
        <v>0.7</v>
      </c>
      <c r="AE772" s="180" t="e">
        <f>+[5]INVERSIÓN!EB58</f>
        <v>#REF!</v>
      </c>
      <c r="AF772" s="1045" t="s">
        <v>615</v>
      </c>
      <c r="AG772" s="817" t="s">
        <v>541</v>
      </c>
      <c r="AH772" s="827" t="s">
        <v>70</v>
      </c>
      <c r="AI772" s="827" t="s">
        <v>70</v>
      </c>
      <c r="AJ772" s="827" t="s">
        <v>70</v>
      </c>
      <c r="AK772" s="818" t="s">
        <v>315</v>
      </c>
      <c r="AL772" s="827"/>
      <c r="AM772" s="776" t="s">
        <v>616</v>
      </c>
      <c r="AN772" s="808">
        <v>7804660</v>
      </c>
      <c r="AO772" s="796">
        <v>3721767</v>
      </c>
      <c r="AP772" s="796">
        <v>4082893</v>
      </c>
      <c r="AQ772" s="795" t="s">
        <v>317</v>
      </c>
      <c r="AR772" s="795" t="s">
        <v>317</v>
      </c>
      <c r="AS772" s="795" t="s">
        <v>317</v>
      </c>
      <c r="AT772" s="795" t="s">
        <v>317</v>
      </c>
      <c r="AU772" s="795" t="s">
        <v>317</v>
      </c>
      <c r="AV772" s="795" t="s">
        <v>317</v>
      </c>
      <c r="AW772" s="795" t="s">
        <v>317</v>
      </c>
      <c r="AX772" s="796">
        <v>7804660</v>
      </c>
      <c r="AY772" s="159"/>
    </row>
    <row r="773" spans="1:51" ht="33" customHeight="1" x14ac:dyDescent="0.25">
      <c r="A773" s="815"/>
      <c r="B773" s="1043"/>
      <c r="C773" s="818"/>
      <c r="D773" s="132" t="s">
        <v>3</v>
      </c>
      <c r="E773" s="142">
        <f>+[5]INVERSIÓN!U59</f>
        <v>0</v>
      </c>
      <c r="F773" s="142">
        <f>+[5]INVERSIÓN!V59</f>
        <v>0</v>
      </c>
      <c r="G773" s="144">
        <f>+[5]INVERSIÓN!V59</f>
        <v>0</v>
      </c>
      <c r="H773" s="144">
        <f>+[5]INVERSIÓN!X59</f>
        <v>0</v>
      </c>
      <c r="I773" s="144">
        <v>160059853</v>
      </c>
      <c r="J773" s="138">
        <v>160059853</v>
      </c>
      <c r="K773" s="182"/>
      <c r="L773" s="183"/>
      <c r="M773" s="138">
        <f t="shared" si="91"/>
        <v>0</v>
      </c>
      <c r="N773" s="138">
        <f>+[6]INVERSIÓN!K59</f>
        <v>400424000</v>
      </c>
      <c r="O773" s="138">
        <f>+[6]INVERSIÓN!M59</f>
        <v>478424000</v>
      </c>
      <c r="P773" s="138">
        <f>+[5]INVERSIÓN!O59</f>
        <v>491805000</v>
      </c>
      <c r="Q773" s="138">
        <f>+[5]INVERSIÓN!Q59</f>
        <v>463576000</v>
      </c>
      <c r="R773" s="147">
        <f>+[5]INVERSIÓN!S59</f>
        <v>463576000</v>
      </c>
      <c r="S773" s="177"/>
      <c r="T773" s="174">
        <f>+[5]INVERSIÓN!W59</f>
        <v>0</v>
      </c>
      <c r="U773" s="174">
        <f>+[5]INVERSIÓN!DR59</f>
        <v>0</v>
      </c>
      <c r="V773" s="174">
        <v>0</v>
      </c>
      <c r="W773" s="175">
        <v>0</v>
      </c>
      <c r="X773" s="184"/>
      <c r="Y773" s="184"/>
      <c r="Z773" s="177">
        <f>+[6]INVERSIÓN!J59</f>
        <v>40000000</v>
      </c>
      <c r="AA773" s="178">
        <f>+[6]INVERSIÓN!DX59</f>
        <v>318184000</v>
      </c>
      <c r="AB773" s="209">
        <f>+[6]INVERSIÓN!DY59</f>
        <v>318184000</v>
      </c>
      <c r="AC773" s="129">
        <f>+[5]INVERSIÓN!P59</f>
        <v>318184000</v>
      </c>
      <c r="AD773" s="243">
        <f>+[5]INVERSIÓN!R59</f>
        <v>318184000</v>
      </c>
      <c r="AE773" s="180" t="e">
        <f>+[5]INVERSIÓN!EB59</f>
        <v>#REF!</v>
      </c>
      <c r="AF773" s="1046"/>
      <c r="AG773" s="817"/>
      <c r="AH773" s="827"/>
      <c r="AI773" s="827"/>
      <c r="AJ773" s="827"/>
      <c r="AK773" s="818"/>
      <c r="AL773" s="827"/>
      <c r="AM773" s="827"/>
      <c r="AN773" s="808"/>
      <c r="AO773" s="797"/>
      <c r="AP773" s="797"/>
      <c r="AQ773" s="795"/>
      <c r="AR773" s="795"/>
      <c r="AS773" s="795"/>
      <c r="AT773" s="795"/>
      <c r="AU773" s="795"/>
      <c r="AV773" s="795"/>
      <c r="AW773" s="795"/>
      <c r="AX773" s="797"/>
      <c r="AY773" s="159"/>
    </row>
    <row r="774" spans="1:51" ht="33" customHeight="1" x14ac:dyDescent="0.25">
      <c r="A774" s="815"/>
      <c r="B774" s="1043"/>
      <c r="C774" s="818"/>
      <c r="D774" s="136" t="s">
        <v>42</v>
      </c>
      <c r="E774" s="142">
        <f>+[5]INVERSIÓN!U60</f>
        <v>0.1</v>
      </c>
      <c r="F774" s="142">
        <f>+[5]INVERSIÓN!V60</f>
        <v>0.1</v>
      </c>
      <c r="G774" s="144">
        <f>+[5]INVERSIÓN!V60</f>
        <v>0.1</v>
      </c>
      <c r="H774" s="144">
        <f>+[5]INVERSIÓN!X60</f>
        <v>0.1</v>
      </c>
      <c r="I774" s="144">
        <v>0.1</v>
      </c>
      <c r="J774" s="138">
        <v>0.1</v>
      </c>
      <c r="K774" s="182"/>
      <c r="L774" s="183"/>
      <c r="M774" s="138">
        <f t="shared" si="91"/>
        <v>0.1</v>
      </c>
      <c r="N774" s="138">
        <f>+[6]INVERSIÓN!K60</f>
        <v>0</v>
      </c>
      <c r="O774" s="138">
        <f>+[6]INVERSIÓN!M60</f>
        <v>0</v>
      </c>
      <c r="P774" s="138" t="e">
        <f>+[5]INVERSIÓN!O60</f>
        <v>#REF!</v>
      </c>
      <c r="Q774" s="138" t="e">
        <f>+[5]INVERSIÓN!Q60</f>
        <v>#REF!</v>
      </c>
      <c r="R774" s="147" t="e">
        <f>+[5]INVERSIÓN!S60</f>
        <v>#REF!</v>
      </c>
      <c r="S774" s="177"/>
      <c r="T774" s="174">
        <f>+[5]INVERSIÓN!W60</f>
        <v>0.05</v>
      </c>
      <c r="U774" s="174">
        <f>+[5]INVERSIÓN!DR60</f>
        <v>0.1</v>
      </c>
      <c r="V774" s="174">
        <v>0</v>
      </c>
      <c r="W774" s="175">
        <v>0</v>
      </c>
      <c r="X774" s="184"/>
      <c r="Y774" s="184"/>
      <c r="Z774" s="177">
        <f>+[6]INVERSIÓN!J60</f>
        <v>0</v>
      </c>
      <c r="AA774" s="178">
        <f>+[6]INVERSIÓN!DX60</f>
        <v>0</v>
      </c>
      <c r="AB774" s="209">
        <f>+[6]INVERSIÓN!DY60</f>
        <v>0</v>
      </c>
      <c r="AC774" s="129" t="e">
        <f>+[5]INVERSIÓN!P60</f>
        <v>#REF!</v>
      </c>
      <c r="AD774" s="243" t="e">
        <f>+[5]INVERSIÓN!R60</f>
        <v>#REF!</v>
      </c>
      <c r="AE774" s="180" t="e">
        <f>+[5]INVERSIÓN!EB60</f>
        <v>#REF!</v>
      </c>
      <c r="AF774" s="1046"/>
      <c r="AG774" s="817"/>
      <c r="AH774" s="827"/>
      <c r="AI774" s="827"/>
      <c r="AJ774" s="827"/>
      <c r="AK774" s="818"/>
      <c r="AL774" s="827"/>
      <c r="AM774" s="827"/>
      <c r="AN774" s="808"/>
      <c r="AO774" s="797"/>
      <c r="AP774" s="797"/>
      <c r="AQ774" s="795"/>
      <c r="AR774" s="795"/>
      <c r="AS774" s="795"/>
      <c r="AT774" s="795"/>
      <c r="AU774" s="795"/>
      <c r="AV774" s="795"/>
      <c r="AW774" s="795"/>
      <c r="AX774" s="797"/>
      <c r="AY774" s="159"/>
    </row>
    <row r="775" spans="1:51" ht="33" customHeight="1" x14ac:dyDescent="0.25">
      <c r="A775" s="815"/>
      <c r="B775" s="1043"/>
      <c r="C775" s="818"/>
      <c r="D775" s="132" t="s">
        <v>4</v>
      </c>
      <c r="E775" s="142">
        <f>+[5]INVERSIÓN!U61</f>
        <v>160059853</v>
      </c>
      <c r="F775" s="142">
        <f>+[5]INVERSIÓN!V61</f>
        <v>160059853</v>
      </c>
      <c r="G775" s="144">
        <f>+[5]INVERSIÓN!V61</f>
        <v>160059853</v>
      </c>
      <c r="H775" s="144">
        <f>+[5]INVERSIÓN!X61</f>
        <v>160059853</v>
      </c>
      <c r="I775" s="144">
        <v>160059853</v>
      </c>
      <c r="J775" s="138">
        <v>160059853</v>
      </c>
      <c r="K775" s="182"/>
      <c r="L775" s="183"/>
      <c r="M775" s="138">
        <f t="shared" si="91"/>
        <v>160059853</v>
      </c>
      <c r="N775" s="138">
        <f>+[6]INVERSIÓN!K61</f>
        <v>0</v>
      </c>
      <c r="O775" s="138">
        <f>+[6]INVERSIÓN!M61</f>
        <v>0</v>
      </c>
      <c r="P775" s="138" t="e">
        <f>+[5]INVERSIÓN!O61</f>
        <v>#REF!</v>
      </c>
      <c r="Q775" s="138" t="e">
        <f>+[5]INVERSIÓN!Q61</f>
        <v>#REF!</v>
      </c>
      <c r="R775" s="147" t="e">
        <f>+[5]INVERSIÓN!S61</f>
        <v>#REF!</v>
      </c>
      <c r="S775" s="177"/>
      <c r="T775" s="174">
        <f>+[5]INVERSIÓN!W61</f>
        <v>33914000</v>
      </c>
      <c r="U775" s="174">
        <f>+[5]INVERSIÓN!DR61</f>
        <v>97735000</v>
      </c>
      <c r="V775" s="174">
        <v>126122834</v>
      </c>
      <c r="W775" s="175">
        <v>126122834</v>
      </c>
      <c r="X775" s="184"/>
      <c r="Y775" s="184"/>
      <c r="Z775" s="177">
        <f>+[6]INVERSIÓN!J61</f>
        <v>0</v>
      </c>
      <c r="AA775" s="178">
        <f>+[6]INVERSIÓN!DX61</f>
        <v>0</v>
      </c>
      <c r="AB775" s="209">
        <f>+[6]INVERSIÓN!DY61</f>
        <v>0</v>
      </c>
      <c r="AC775" s="129" t="e">
        <f>+[5]INVERSIÓN!P61</f>
        <v>#REF!</v>
      </c>
      <c r="AD775" s="243" t="e">
        <f>+[5]INVERSIÓN!R61</f>
        <v>#REF!</v>
      </c>
      <c r="AE775" s="180" t="e">
        <f>+[5]INVERSIÓN!EB61</f>
        <v>#REF!</v>
      </c>
      <c r="AF775" s="1046"/>
      <c r="AG775" s="817"/>
      <c r="AH775" s="827"/>
      <c r="AI775" s="827"/>
      <c r="AJ775" s="827"/>
      <c r="AK775" s="818"/>
      <c r="AL775" s="827"/>
      <c r="AM775" s="827"/>
      <c r="AN775" s="808"/>
      <c r="AO775" s="797"/>
      <c r="AP775" s="797"/>
      <c r="AQ775" s="795"/>
      <c r="AR775" s="795"/>
      <c r="AS775" s="795"/>
      <c r="AT775" s="795"/>
      <c r="AU775" s="795"/>
      <c r="AV775" s="795"/>
      <c r="AW775" s="795"/>
      <c r="AX775" s="797"/>
      <c r="AY775" s="159"/>
    </row>
    <row r="776" spans="1:51" ht="33" customHeight="1" x14ac:dyDescent="0.25">
      <c r="A776" s="815"/>
      <c r="B776" s="1043"/>
      <c r="C776" s="818"/>
      <c r="D776" s="136" t="s">
        <v>43</v>
      </c>
      <c r="E776" s="142">
        <f>+[5]INVERSIÓN!U62</f>
        <v>0.1</v>
      </c>
      <c r="F776" s="142">
        <f>+[5]INVERSIÓN!V62</f>
        <v>0.1</v>
      </c>
      <c r="G776" s="144">
        <f>+[5]INVERSIÓN!V62</f>
        <v>0.1</v>
      </c>
      <c r="H776" s="144">
        <f>+[5]INVERSIÓN!X62</f>
        <v>0.1</v>
      </c>
      <c r="I776" s="144">
        <v>0</v>
      </c>
      <c r="J776" s="138">
        <v>0</v>
      </c>
      <c r="K776" s="137"/>
      <c r="L776" s="138"/>
      <c r="M776" s="138">
        <f t="shared" si="91"/>
        <v>0.1</v>
      </c>
      <c r="N776" s="138">
        <f>+[6]INVERSIÓN!K62</f>
        <v>1</v>
      </c>
      <c r="O776" s="138">
        <f>+[6]INVERSIÓN!M62</f>
        <v>1</v>
      </c>
      <c r="P776" s="138">
        <f>+[5]INVERSIÓN!O62</f>
        <v>1</v>
      </c>
      <c r="Q776" s="138">
        <f>+[5]INVERSIÓN!Q62</f>
        <v>1</v>
      </c>
      <c r="R776" s="147">
        <f>+[5]INVERSIÓN!S62</f>
        <v>1</v>
      </c>
      <c r="S776" s="177"/>
      <c r="T776" s="174">
        <f>+[5]INVERSIÓN!W62</f>
        <v>0.05</v>
      </c>
      <c r="U776" s="174">
        <f>+[5]INVERSIÓN!DR62</f>
        <v>0.1</v>
      </c>
      <c r="V776" s="174">
        <v>0</v>
      </c>
      <c r="W776" s="175">
        <v>0</v>
      </c>
      <c r="X776" s="152"/>
      <c r="Y776" s="152"/>
      <c r="Z776" s="177">
        <f>+[6]INVERSIÓN!J62</f>
        <v>0</v>
      </c>
      <c r="AA776" s="178">
        <f>+[6]INVERSIÓN!DX62</f>
        <v>0</v>
      </c>
      <c r="AB776" s="209">
        <f>+[6]INVERSIÓN!DY62</f>
        <v>0</v>
      </c>
      <c r="AC776" s="129">
        <f>+[5]INVERSIÓN!P62</f>
        <v>0.5</v>
      </c>
      <c r="AD776" s="243">
        <f>+[5]INVERSIÓN!R62</f>
        <v>0.7</v>
      </c>
      <c r="AE776" s="180" t="e">
        <f>+[5]INVERSIÓN!EB62</f>
        <v>#REF!</v>
      </c>
      <c r="AF776" s="1046"/>
      <c r="AG776" s="817"/>
      <c r="AH776" s="827"/>
      <c r="AI776" s="827"/>
      <c r="AJ776" s="827"/>
      <c r="AK776" s="818"/>
      <c r="AL776" s="827"/>
      <c r="AM776" s="827"/>
      <c r="AN776" s="808"/>
      <c r="AO776" s="797"/>
      <c r="AP776" s="797"/>
      <c r="AQ776" s="795"/>
      <c r="AR776" s="795"/>
      <c r="AS776" s="795"/>
      <c r="AT776" s="795"/>
      <c r="AU776" s="795"/>
      <c r="AV776" s="795"/>
      <c r="AW776" s="795"/>
      <c r="AX776" s="797"/>
      <c r="AY776" s="159"/>
    </row>
    <row r="777" spans="1:51" ht="33" customHeight="1" thickBot="1" x14ac:dyDescent="0.3">
      <c r="A777" s="815"/>
      <c r="B777" s="1043"/>
      <c r="C777" s="818"/>
      <c r="D777" s="140" t="s">
        <v>45</v>
      </c>
      <c r="E777" s="142">
        <f>+[5]INVERSIÓN!U63</f>
        <v>160059853</v>
      </c>
      <c r="F777" s="142">
        <f>+[5]INVERSIÓN!V63</f>
        <v>160059853</v>
      </c>
      <c r="G777" s="144">
        <f>+[5]INVERSIÓN!V63</f>
        <v>160059853</v>
      </c>
      <c r="H777" s="144">
        <f>+[5]INVERSIÓN!X63</f>
        <v>160059853</v>
      </c>
      <c r="I777" s="144">
        <v>0</v>
      </c>
      <c r="J777" s="138">
        <v>0</v>
      </c>
      <c r="K777" s="185"/>
      <c r="L777" s="186"/>
      <c r="M777" s="138">
        <f t="shared" si="91"/>
        <v>160059853</v>
      </c>
      <c r="N777" s="138">
        <f>+[6]INVERSIÓN!K63</f>
        <v>400424000</v>
      </c>
      <c r="O777" s="138">
        <f>+[6]INVERSIÓN!M63</f>
        <v>400424000</v>
      </c>
      <c r="P777" s="138">
        <f>+[5]INVERSIÓN!O63</f>
        <v>491805000</v>
      </c>
      <c r="Q777" s="138">
        <f>+[5]INVERSIÓN!Q63</f>
        <v>463576000</v>
      </c>
      <c r="R777" s="147">
        <f>+[5]INVERSIÓN!S63</f>
        <v>463576000</v>
      </c>
      <c r="S777" s="177"/>
      <c r="T777" s="174">
        <f>+[5]INVERSIÓN!W63</f>
        <v>33914000</v>
      </c>
      <c r="U777" s="174">
        <f>+[5]INVERSIÓN!DR63</f>
        <v>97735000</v>
      </c>
      <c r="V777" s="174">
        <v>203360834</v>
      </c>
      <c r="W777" s="175">
        <v>126122834</v>
      </c>
      <c r="X777" s="177"/>
      <c r="Y777" s="177"/>
      <c r="Z777" s="177">
        <f>+[6]INVERSIÓN!J63</f>
        <v>40000000</v>
      </c>
      <c r="AA777" s="178">
        <f>+[6]INVERSIÓN!DX63</f>
        <v>318184000</v>
      </c>
      <c r="AB777" s="209">
        <f>+[6]INVERSIÓN!DY63</f>
        <v>318184000</v>
      </c>
      <c r="AC777" s="129">
        <f>+[5]INVERSIÓN!P63</f>
        <v>318184000</v>
      </c>
      <c r="AD777" s="243">
        <f>+[5]INVERSIÓN!R63</f>
        <v>318184000</v>
      </c>
      <c r="AE777" s="180" t="e">
        <f>+[5]INVERSIÓN!EB63</f>
        <v>#REF!</v>
      </c>
      <c r="AF777" s="1047"/>
      <c r="AG777" s="817"/>
      <c r="AH777" s="827"/>
      <c r="AI777" s="827"/>
      <c r="AJ777" s="827"/>
      <c r="AK777" s="818"/>
      <c r="AL777" s="827"/>
      <c r="AM777" s="827"/>
      <c r="AN777" s="808"/>
      <c r="AO777" s="798"/>
      <c r="AP777" s="798"/>
      <c r="AQ777" s="795"/>
      <c r="AR777" s="795"/>
      <c r="AS777" s="795"/>
      <c r="AT777" s="795"/>
      <c r="AU777" s="795"/>
      <c r="AV777" s="795"/>
      <c r="AW777" s="795"/>
      <c r="AX777" s="798"/>
      <c r="AY777" s="159"/>
    </row>
    <row r="778" spans="1:51" ht="18" customHeight="1" x14ac:dyDescent="0.25">
      <c r="A778" s="815"/>
      <c r="B778" s="1043"/>
      <c r="C778" s="818" t="s">
        <v>410</v>
      </c>
      <c r="D778" s="141" t="s">
        <v>41</v>
      </c>
      <c r="E778" s="142">
        <f>+E712</f>
        <v>0</v>
      </c>
      <c r="F778" s="143">
        <f>+F712</f>
        <v>0</v>
      </c>
      <c r="G778" s="144">
        <f>+G772</f>
        <v>0</v>
      </c>
      <c r="H778" s="144">
        <f>+H772</f>
        <v>0</v>
      </c>
      <c r="I778" s="144">
        <v>0.1</v>
      </c>
      <c r="J778" s="138">
        <v>0.1</v>
      </c>
      <c r="K778" s="137"/>
      <c r="L778" s="138"/>
      <c r="M778" s="138">
        <f>+M772</f>
        <v>0</v>
      </c>
      <c r="N778" s="138">
        <f t="shared" ref="N778:R778" si="92">+N772</f>
        <v>1</v>
      </c>
      <c r="O778" s="138">
        <f t="shared" si="92"/>
        <v>1</v>
      </c>
      <c r="P778" s="138">
        <f t="shared" si="92"/>
        <v>1</v>
      </c>
      <c r="Q778" s="138">
        <f t="shared" si="92"/>
        <v>1</v>
      </c>
      <c r="R778" s="138">
        <f t="shared" si="92"/>
        <v>1</v>
      </c>
      <c r="S778" s="137"/>
      <c r="T778" s="163">
        <f>+T772</f>
        <v>0</v>
      </c>
      <c r="U778" s="163">
        <f>+U772</f>
        <v>0</v>
      </c>
      <c r="V778" s="163">
        <v>0</v>
      </c>
      <c r="W778" s="164">
        <v>0</v>
      </c>
      <c r="X778" s="139"/>
      <c r="Y778" s="139"/>
      <c r="Z778" s="139"/>
      <c r="AA778" s="152">
        <f>+AA772</f>
        <v>0</v>
      </c>
      <c r="AB778" s="152">
        <f t="shared" ref="AB778:AD778" si="93">+AB772</f>
        <v>0</v>
      </c>
      <c r="AC778" s="152">
        <f t="shared" si="93"/>
        <v>0.5</v>
      </c>
      <c r="AD778" s="152">
        <f t="shared" si="93"/>
        <v>0.7</v>
      </c>
      <c r="AE778" s="203" t="e">
        <f>+AE772</f>
        <v>#REF!</v>
      </c>
      <c r="AF778" s="257"/>
      <c r="AG778" s="817" t="s">
        <v>541</v>
      </c>
      <c r="AH778" s="827" t="s">
        <v>70</v>
      </c>
      <c r="AI778" s="827" t="s">
        <v>70</v>
      </c>
      <c r="AJ778" s="827" t="s">
        <v>70</v>
      </c>
      <c r="AK778" s="818" t="s">
        <v>315</v>
      </c>
      <c r="AL778" s="827"/>
      <c r="AM778" s="776" t="s">
        <v>616</v>
      </c>
      <c r="AN778" s="808">
        <v>7804660</v>
      </c>
      <c r="AO778" s="796">
        <v>3721767</v>
      </c>
      <c r="AP778" s="796">
        <v>4082893</v>
      </c>
      <c r="AQ778" s="795" t="s">
        <v>317</v>
      </c>
      <c r="AR778" s="795" t="s">
        <v>317</v>
      </c>
      <c r="AS778" s="795" t="s">
        <v>317</v>
      </c>
      <c r="AT778" s="795" t="s">
        <v>317</v>
      </c>
      <c r="AU778" s="795" t="s">
        <v>317</v>
      </c>
      <c r="AV778" s="795" t="s">
        <v>317</v>
      </c>
      <c r="AW778" s="795" t="s">
        <v>317</v>
      </c>
      <c r="AX778" s="796">
        <v>7804660</v>
      </c>
      <c r="AY778" s="159"/>
    </row>
    <row r="779" spans="1:51" ht="18" x14ac:dyDescent="0.25">
      <c r="A779" s="815"/>
      <c r="B779" s="1043"/>
      <c r="C779" s="818"/>
      <c r="D779" s="132" t="s">
        <v>3</v>
      </c>
      <c r="E779" s="142">
        <f t="shared" ref="E779:F783" si="94">+E713</f>
        <v>0</v>
      </c>
      <c r="F779" s="143">
        <f t="shared" si="94"/>
        <v>0</v>
      </c>
      <c r="G779" s="144">
        <f t="shared" ref="G779:H783" si="95">+G773</f>
        <v>0</v>
      </c>
      <c r="H779" s="144">
        <f t="shared" si="95"/>
        <v>0</v>
      </c>
      <c r="I779" s="144">
        <v>160059853</v>
      </c>
      <c r="J779" s="138">
        <v>160059853</v>
      </c>
      <c r="K779" s="137"/>
      <c r="L779" s="138"/>
      <c r="M779" s="138">
        <f t="shared" ref="M779:R783" si="96">+M773</f>
        <v>0</v>
      </c>
      <c r="N779" s="138">
        <f t="shared" si="96"/>
        <v>400424000</v>
      </c>
      <c r="O779" s="138">
        <f t="shared" si="96"/>
        <v>478424000</v>
      </c>
      <c r="P779" s="138">
        <f t="shared" si="96"/>
        <v>491805000</v>
      </c>
      <c r="Q779" s="138">
        <f t="shared" si="96"/>
        <v>463576000</v>
      </c>
      <c r="R779" s="138">
        <f t="shared" si="96"/>
        <v>463576000</v>
      </c>
      <c r="S779" s="137"/>
      <c r="T779" s="163">
        <f t="shared" ref="T779:U783" si="97">+T773</f>
        <v>0</v>
      </c>
      <c r="U779" s="163">
        <f t="shared" si="97"/>
        <v>0</v>
      </c>
      <c r="V779" s="163">
        <v>0</v>
      </c>
      <c r="W779" s="164">
        <v>0</v>
      </c>
      <c r="X779" s="139"/>
      <c r="Y779" s="139"/>
      <c r="Z779" s="139"/>
      <c r="AA779" s="152">
        <f t="shared" ref="AA779:AE783" si="98">+AA773</f>
        <v>318184000</v>
      </c>
      <c r="AB779" s="152">
        <f t="shared" si="98"/>
        <v>318184000</v>
      </c>
      <c r="AC779" s="152">
        <f t="shared" si="98"/>
        <v>318184000</v>
      </c>
      <c r="AD779" s="152">
        <f t="shared" si="98"/>
        <v>318184000</v>
      </c>
      <c r="AE779" s="203" t="e">
        <f t="shared" si="98"/>
        <v>#REF!</v>
      </c>
      <c r="AF779" s="257"/>
      <c r="AG779" s="817"/>
      <c r="AH779" s="827"/>
      <c r="AI779" s="827"/>
      <c r="AJ779" s="827"/>
      <c r="AK779" s="818"/>
      <c r="AL779" s="827"/>
      <c r="AM779" s="827"/>
      <c r="AN779" s="808"/>
      <c r="AO779" s="797"/>
      <c r="AP779" s="797"/>
      <c r="AQ779" s="795"/>
      <c r="AR779" s="795"/>
      <c r="AS779" s="795"/>
      <c r="AT779" s="795"/>
      <c r="AU779" s="795"/>
      <c r="AV779" s="795"/>
      <c r="AW779" s="795"/>
      <c r="AX779" s="797"/>
      <c r="AY779" s="159"/>
    </row>
    <row r="780" spans="1:51" ht="27" x14ac:dyDescent="0.25">
      <c r="A780" s="815"/>
      <c r="B780" s="1043"/>
      <c r="C780" s="818"/>
      <c r="D780" s="136" t="s">
        <v>42</v>
      </c>
      <c r="E780" s="142">
        <f t="shared" si="94"/>
        <v>0</v>
      </c>
      <c r="F780" s="143">
        <f t="shared" si="94"/>
        <v>0</v>
      </c>
      <c r="G780" s="144">
        <f t="shared" si="95"/>
        <v>0.1</v>
      </c>
      <c r="H780" s="144">
        <f t="shared" si="95"/>
        <v>0.1</v>
      </c>
      <c r="I780" s="144">
        <v>0.1</v>
      </c>
      <c r="J780" s="138">
        <v>0.1</v>
      </c>
      <c r="K780" s="137"/>
      <c r="L780" s="138"/>
      <c r="M780" s="138">
        <f t="shared" si="96"/>
        <v>0.1</v>
      </c>
      <c r="N780" s="138">
        <f t="shared" si="96"/>
        <v>0</v>
      </c>
      <c r="O780" s="138">
        <f t="shared" si="96"/>
        <v>0</v>
      </c>
      <c r="P780" s="138" t="e">
        <f t="shared" si="96"/>
        <v>#REF!</v>
      </c>
      <c r="Q780" s="138" t="e">
        <f t="shared" si="96"/>
        <v>#REF!</v>
      </c>
      <c r="R780" s="138" t="e">
        <f t="shared" si="96"/>
        <v>#REF!</v>
      </c>
      <c r="S780" s="137"/>
      <c r="T780" s="163">
        <f t="shared" si="97"/>
        <v>0.05</v>
      </c>
      <c r="U780" s="163">
        <f t="shared" si="97"/>
        <v>0.1</v>
      </c>
      <c r="V780" s="163">
        <v>0</v>
      </c>
      <c r="W780" s="164">
        <v>0</v>
      </c>
      <c r="X780" s="139"/>
      <c r="Y780" s="139"/>
      <c r="Z780" s="139"/>
      <c r="AA780" s="152">
        <f t="shared" si="98"/>
        <v>0</v>
      </c>
      <c r="AB780" s="152">
        <f t="shared" si="98"/>
        <v>0</v>
      </c>
      <c r="AC780" s="152" t="e">
        <f t="shared" si="98"/>
        <v>#REF!</v>
      </c>
      <c r="AD780" s="152" t="e">
        <f t="shared" si="98"/>
        <v>#REF!</v>
      </c>
      <c r="AE780" s="203" t="e">
        <f t="shared" si="98"/>
        <v>#REF!</v>
      </c>
      <c r="AF780" s="257"/>
      <c r="AG780" s="817"/>
      <c r="AH780" s="827"/>
      <c r="AI780" s="827"/>
      <c r="AJ780" s="827"/>
      <c r="AK780" s="818"/>
      <c r="AL780" s="827"/>
      <c r="AM780" s="827"/>
      <c r="AN780" s="808"/>
      <c r="AO780" s="797"/>
      <c r="AP780" s="797"/>
      <c r="AQ780" s="795"/>
      <c r="AR780" s="795"/>
      <c r="AS780" s="795"/>
      <c r="AT780" s="795"/>
      <c r="AU780" s="795"/>
      <c r="AV780" s="795"/>
      <c r="AW780" s="795"/>
      <c r="AX780" s="797"/>
      <c r="AY780" s="159"/>
    </row>
    <row r="781" spans="1:51" ht="27" x14ac:dyDescent="0.25">
      <c r="A781" s="815"/>
      <c r="B781" s="1043"/>
      <c r="C781" s="818"/>
      <c r="D781" s="132" t="s">
        <v>4</v>
      </c>
      <c r="E781" s="142">
        <f t="shared" si="94"/>
        <v>0</v>
      </c>
      <c r="F781" s="143">
        <f t="shared" si="94"/>
        <v>0</v>
      </c>
      <c r="G781" s="144">
        <f t="shared" si="95"/>
        <v>160059853</v>
      </c>
      <c r="H781" s="144">
        <f t="shared" si="95"/>
        <v>160059853</v>
      </c>
      <c r="I781" s="144">
        <v>160059853</v>
      </c>
      <c r="J781" s="138">
        <v>160059853</v>
      </c>
      <c r="K781" s="137"/>
      <c r="L781" s="138"/>
      <c r="M781" s="138">
        <f t="shared" si="96"/>
        <v>160059853</v>
      </c>
      <c r="N781" s="138">
        <f t="shared" si="96"/>
        <v>0</v>
      </c>
      <c r="O781" s="138">
        <f t="shared" si="96"/>
        <v>0</v>
      </c>
      <c r="P781" s="138" t="e">
        <f t="shared" si="96"/>
        <v>#REF!</v>
      </c>
      <c r="Q781" s="138" t="e">
        <f t="shared" si="96"/>
        <v>#REF!</v>
      </c>
      <c r="R781" s="138" t="e">
        <f t="shared" si="96"/>
        <v>#REF!</v>
      </c>
      <c r="S781" s="137"/>
      <c r="T781" s="163">
        <f t="shared" si="97"/>
        <v>33914000</v>
      </c>
      <c r="U781" s="163">
        <f t="shared" si="97"/>
        <v>97735000</v>
      </c>
      <c r="V781" s="163">
        <v>126122834</v>
      </c>
      <c r="W781" s="164">
        <v>126122834</v>
      </c>
      <c r="X781" s="139"/>
      <c r="Y781" s="139"/>
      <c r="Z781" s="139"/>
      <c r="AA781" s="152">
        <f t="shared" si="98"/>
        <v>0</v>
      </c>
      <c r="AB781" s="152">
        <f t="shared" si="98"/>
        <v>0</v>
      </c>
      <c r="AC781" s="152" t="e">
        <f t="shared" si="98"/>
        <v>#REF!</v>
      </c>
      <c r="AD781" s="152" t="e">
        <f t="shared" si="98"/>
        <v>#REF!</v>
      </c>
      <c r="AE781" s="203" t="e">
        <f t="shared" si="98"/>
        <v>#REF!</v>
      </c>
      <c r="AF781" s="257"/>
      <c r="AG781" s="817"/>
      <c r="AH781" s="827"/>
      <c r="AI781" s="827"/>
      <c r="AJ781" s="827"/>
      <c r="AK781" s="818"/>
      <c r="AL781" s="827"/>
      <c r="AM781" s="827"/>
      <c r="AN781" s="808"/>
      <c r="AO781" s="797"/>
      <c r="AP781" s="797"/>
      <c r="AQ781" s="795"/>
      <c r="AR781" s="795"/>
      <c r="AS781" s="795"/>
      <c r="AT781" s="795"/>
      <c r="AU781" s="795"/>
      <c r="AV781" s="795"/>
      <c r="AW781" s="795"/>
      <c r="AX781" s="797"/>
      <c r="AY781" s="159"/>
    </row>
    <row r="782" spans="1:51" ht="27" x14ac:dyDescent="0.25">
      <c r="A782" s="815"/>
      <c r="B782" s="1043"/>
      <c r="C782" s="818"/>
      <c r="D782" s="136" t="s">
        <v>43</v>
      </c>
      <c r="E782" s="142">
        <f t="shared" si="94"/>
        <v>0</v>
      </c>
      <c r="F782" s="143">
        <f t="shared" si="94"/>
        <v>0</v>
      </c>
      <c r="G782" s="144">
        <f t="shared" si="95"/>
        <v>0.1</v>
      </c>
      <c r="H782" s="144">
        <f t="shared" si="95"/>
        <v>0.1</v>
      </c>
      <c r="I782" s="144">
        <v>15</v>
      </c>
      <c r="J782" s="138">
        <v>15</v>
      </c>
      <c r="K782" s="137"/>
      <c r="L782" s="138"/>
      <c r="M782" s="138">
        <f t="shared" si="96"/>
        <v>0.1</v>
      </c>
      <c r="N782" s="138">
        <f t="shared" si="96"/>
        <v>1</v>
      </c>
      <c r="O782" s="138">
        <f t="shared" si="96"/>
        <v>1</v>
      </c>
      <c r="P782" s="138">
        <f t="shared" si="96"/>
        <v>1</v>
      </c>
      <c r="Q782" s="138">
        <f t="shared" si="96"/>
        <v>1</v>
      </c>
      <c r="R782" s="138">
        <f t="shared" si="96"/>
        <v>1</v>
      </c>
      <c r="S782" s="137"/>
      <c r="T782" s="163">
        <f t="shared" si="97"/>
        <v>0.05</v>
      </c>
      <c r="U782" s="163">
        <f t="shared" si="97"/>
        <v>0.1</v>
      </c>
      <c r="V782" s="163">
        <v>0</v>
      </c>
      <c r="W782" s="164">
        <v>0</v>
      </c>
      <c r="X782" s="139"/>
      <c r="Y782" s="139"/>
      <c r="Z782" s="139"/>
      <c r="AA782" s="152">
        <f t="shared" si="98"/>
        <v>0</v>
      </c>
      <c r="AB782" s="152">
        <f t="shared" si="98"/>
        <v>0</v>
      </c>
      <c r="AC782" s="152">
        <f t="shared" si="98"/>
        <v>0.5</v>
      </c>
      <c r="AD782" s="152">
        <f t="shared" si="98"/>
        <v>0.7</v>
      </c>
      <c r="AE782" s="203" t="e">
        <f t="shared" si="98"/>
        <v>#REF!</v>
      </c>
      <c r="AF782" s="257"/>
      <c r="AG782" s="817"/>
      <c r="AH782" s="827"/>
      <c r="AI782" s="827"/>
      <c r="AJ782" s="827"/>
      <c r="AK782" s="818"/>
      <c r="AL782" s="827"/>
      <c r="AM782" s="827"/>
      <c r="AN782" s="808"/>
      <c r="AO782" s="797"/>
      <c r="AP782" s="797"/>
      <c r="AQ782" s="795"/>
      <c r="AR782" s="795"/>
      <c r="AS782" s="795"/>
      <c r="AT782" s="795"/>
      <c r="AU782" s="795"/>
      <c r="AV782" s="795"/>
      <c r="AW782" s="795"/>
      <c r="AX782" s="797"/>
      <c r="AY782" s="159"/>
    </row>
    <row r="783" spans="1:51" ht="27.75" thickBot="1" x14ac:dyDescent="0.3">
      <c r="A783" s="816"/>
      <c r="B783" s="1048"/>
      <c r="C783" s="818"/>
      <c r="D783" s="140" t="s">
        <v>45</v>
      </c>
      <c r="E783" s="142">
        <f t="shared" si="94"/>
        <v>0</v>
      </c>
      <c r="F783" s="143">
        <f t="shared" si="94"/>
        <v>0</v>
      </c>
      <c r="G783" s="144">
        <f t="shared" si="95"/>
        <v>160059853</v>
      </c>
      <c r="H783" s="144">
        <f t="shared" si="95"/>
        <v>160059853</v>
      </c>
      <c r="I783" s="144">
        <v>801561000</v>
      </c>
      <c r="J783" s="138">
        <v>754641627</v>
      </c>
      <c r="K783" s="137"/>
      <c r="L783" s="138"/>
      <c r="M783" s="138">
        <f t="shared" si="96"/>
        <v>160059853</v>
      </c>
      <c r="N783" s="138">
        <f t="shared" si="96"/>
        <v>400424000</v>
      </c>
      <c r="O783" s="138">
        <f t="shared" si="96"/>
        <v>400424000</v>
      </c>
      <c r="P783" s="138">
        <f t="shared" si="96"/>
        <v>491805000</v>
      </c>
      <c r="Q783" s="138">
        <f t="shared" si="96"/>
        <v>463576000</v>
      </c>
      <c r="R783" s="138">
        <f t="shared" si="96"/>
        <v>463576000</v>
      </c>
      <c r="S783" s="137"/>
      <c r="T783" s="163">
        <f t="shared" si="97"/>
        <v>33914000</v>
      </c>
      <c r="U783" s="163">
        <f t="shared" si="97"/>
        <v>97735000</v>
      </c>
      <c r="V783" s="163">
        <v>203360834</v>
      </c>
      <c r="W783" s="164">
        <v>126122834</v>
      </c>
      <c r="X783" s="139"/>
      <c r="Y783" s="139"/>
      <c r="Z783" s="139"/>
      <c r="AA783" s="152">
        <f t="shared" si="98"/>
        <v>318184000</v>
      </c>
      <c r="AB783" s="152">
        <f t="shared" si="98"/>
        <v>318184000</v>
      </c>
      <c r="AC783" s="152">
        <f t="shared" si="98"/>
        <v>318184000</v>
      </c>
      <c r="AD783" s="152">
        <f t="shared" si="98"/>
        <v>318184000</v>
      </c>
      <c r="AE783" s="203" t="e">
        <f t="shared" si="98"/>
        <v>#REF!</v>
      </c>
      <c r="AF783" s="257"/>
      <c r="AG783" s="817"/>
      <c r="AH783" s="827"/>
      <c r="AI783" s="827"/>
      <c r="AJ783" s="827"/>
      <c r="AK783" s="818"/>
      <c r="AL783" s="827"/>
      <c r="AM783" s="827"/>
      <c r="AN783" s="808"/>
      <c r="AO783" s="798"/>
      <c r="AP783" s="798"/>
      <c r="AQ783" s="795"/>
      <c r="AR783" s="795"/>
      <c r="AS783" s="795"/>
      <c r="AT783" s="795"/>
      <c r="AU783" s="795"/>
      <c r="AV783" s="795"/>
      <c r="AW783" s="795"/>
      <c r="AX783" s="798"/>
      <c r="AY783" s="159"/>
    </row>
    <row r="784" spans="1:51" ht="24.75" customHeight="1" x14ac:dyDescent="0.25">
      <c r="A784" s="814">
        <v>10</v>
      </c>
      <c r="B784" s="1042" t="s">
        <v>299</v>
      </c>
      <c r="C784" s="818" t="s">
        <v>617</v>
      </c>
      <c r="D784" s="141" t="s">
        <v>41</v>
      </c>
      <c r="E784" s="142">
        <f>+[5]INVERSIÓN!U64</f>
        <v>15</v>
      </c>
      <c r="F784" s="142">
        <f>+[5]INVERSIÓN!V64</f>
        <v>15</v>
      </c>
      <c r="G784" s="144">
        <f>+[5]INVERSIÓN!V64</f>
        <v>15</v>
      </c>
      <c r="H784" s="144">
        <f>+[5]INVERSIÓN!X64</f>
        <v>15</v>
      </c>
      <c r="I784" s="144">
        <v>0</v>
      </c>
      <c r="J784" s="138">
        <v>0</v>
      </c>
      <c r="K784" s="137"/>
      <c r="L784" s="138"/>
      <c r="M784" s="138">
        <f t="shared" si="91"/>
        <v>15</v>
      </c>
      <c r="N784" s="138">
        <f>+[6]INVERSIÓN!K64</f>
        <v>12.5</v>
      </c>
      <c r="O784" s="138">
        <f>+[6]INVERSIÓN!M64</f>
        <v>12.5</v>
      </c>
      <c r="P784" s="138">
        <f>+[5]INVERSIÓN!O64</f>
        <v>12.5</v>
      </c>
      <c r="Q784" s="138">
        <f>+[5]INVERSIÓN!Q64</f>
        <v>12.5</v>
      </c>
      <c r="R784" s="147">
        <f>+[5]INVERSIÓN!S64</f>
        <v>12.5</v>
      </c>
      <c r="S784" s="177"/>
      <c r="T784" s="174">
        <f>+[5]INVERSIÓN!W64</f>
        <v>1.25</v>
      </c>
      <c r="U784" s="174">
        <f>+[5]INVERSIÓN!DR64</f>
        <v>2.5</v>
      </c>
      <c r="V784" s="174">
        <v>3.75</v>
      </c>
      <c r="W784" s="175">
        <v>5</v>
      </c>
      <c r="X784" s="177"/>
      <c r="Y784" s="177"/>
      <c r="Z784" s="177">
        <f>+[6]INVERSIÓN!J64</f>
        <v>2</v>
      </c>
      <c r="AA784" s="178">
        <f>+[6]INVERSIÓN!DX64</f>
        <v>4.0999999999999996</v>
      </c>
      <c r="AB784" s="209">
        <f>+[6]INVERSIÓN!DY64</f>
        <v>6.2</v>
      </c>
      <c r="AC784" s="129">
        <f>+[5]INVERSIÓN!P64</f>
        <v>8.3000000000000007</v>
      </c>
      <c r="AD784" s="152">
        <f>+[5]INVERSIÓN!R64</f>
        <v>10.4</v>
      </c>
      <c r="AE784" s="180" t="e">
        <f>+[5]INVERSIÓN!EB64</f>
        <v>#REF!</v>
      </c>
      <c r="AF784" s="1045" t="s">
        <v>618</v>
      </c>
      <c r="AG784" s="817" t="s">
        <v>541</v>
      </c>
      <c r="AH784" s="827" t="s">
        <v>70</v>
      </c>
      <c r="AI784" s="827" t="s">
        <v>70</v>
      </c>
      <c r="AJ784" s="827" t="s">
        <v>70</v>
      </c>
      <c r="AK784" s="818" t="s">
        <v>315</v>
      </c>
      <c r="AL784" s="776"/>
      <c r="AM784" s="776" t="s">
        <v>616</v>
      </c>
      <c r="AN784" s="808">
        <v>7804660</v>
      </c>
      <c r="AO784" s="796">
        <v>3721767</v>
      </c>
      <c r="AP784" s="796">
        <v>4082893</v>
      </c>
      <c r="AQ784" s="795" t="s">
        <v>317</v>
      </c>
      <c r="AR784" s="795" t="s">
        <v>317</v>
      </c>
      <c r="AS784" s="795" t="s">
        <v>317</v>
      </c>
      <c r="AT784" s="795" t="s">
        <v>317</v>
      </c>
      <c r="AU784" s="795" t="s">
        <v>317</v>
      </c>
      <c r="AV784" s="795" t="s">
        <v>317</v>
      </c>
      <c r="AW784" s="795" t="s">
        <v>317</v>
      </c>
      <c r="AX784" s="796">
        <v>7804660</v>
      </c>
      <c r="AY784" s="159"/>
    </row>
    <row r="785" spans="1:51" ht="24.75" customHeight="1" x14ac:dyDescent="0.25">
      <c r="A785" s="815"/>
      <c r="B785" s="1043"/>
      <c r="C785" s="818"/>
      <c r="D785" s="132" t="s">
        <v>3</v>
      </c>
      <c r="E785" s="142">
        <f>+[5]INVERSIÓN!U65</f>
        <v>801561000</v>
      </c>
      <c r="F785" s="142">
        <f>+[5]INVERSIÓN!V65</f>
        <v>801561000</v>
      </c>
      <c r="G785" s="144">
        <f>+[5]INVERSIÓN!V65</f>
        <v>801561000</v>
      </c>
      <c r="H785" s="144">
        <f>+[5]INVERSIÓN!X65</f>
        <v>801561000</v>
      </c>
      <c r="I785" s="144">
        <v>81973233</v>
      </c>
      <c r="J785" s="138">
        <v>81973233</v>
      </c>
      <c r="K785" s="182"/>
      <c r="L785" s="183"/>
      <c r="M785" s="138">
        <f t="shared" si="91"/>
        <v>801561000</v>
      </c>
      <c r="N785" s="138">
        <f>+[6]INVERSIÓN!K65</f>
        <v>381900000</v>
      </c>
      <c r="O785" s="138">
        <f>+[6]INVERSIÓN!M65</f>
        <v>303900000</v>
      </c>
      <c r="P785" s="138">
        <f>+[5]INVERSIÓN!O65</f>
        <v>225075000</v>
      </c>
      <c r="Q785" s="138">
        <f>+[5]INVERSIÓN!Q65</f>
        <v>225075000</v>
      </c>
      <c r="R785" s="147">
        <f>+[5]INVERSIÓN!S65</f>
        <v>225075000</v>
      </c>
      <c r="S785" s="177"/>
      <c r="T785" s="174">
        <f>+[5]INVERSIÓN!W65</f>
        <v>0</v>
      </c>
      <c r="U785" s="174">
        <f>+[5]INVERSIÓN!DR65</f>
        <v>101350694</v>
      </c>
      <c r="V785" s="174">
        <v>426196694</v>
      </c>
      <c r="W785" s="175">
        <v>619322694</v>
      </c>
      <c r="X785" s="184"/>
      <c r="Y785" s="184"/>
      <c r="Z785" s="177">
        <f>+[6]INVERSIÓN!J65</f>
        <v>27401143</v>
      </c>
      <c r="AA785" s="178">
        <f>+[6]INVERSIÓN!DX65</f>
        <v>102981143</v>
      </c>
      <c r="AB785" s="209">
        <f>+[6]INVERSIÓN!DY65</f>
        <v>119147442</v>
      </c>
      <c r="AC785" s="129">
        <f>+[5]INVERSIÓN!P65</f>
        <v>121576922</v>
      </c>
      <c r="AD785" s="152">
        <f>+[5]INVERSIÓN!R65</f>
        <v>168075108</v>
      </c>
      <c r="AE785" s="180" t="e">
        <f>+[5]INVERSIÓN!EB65</f>
        <v>#REF!</v>
      </c>
      <c r="AF785" s="1046"/>
      <c r="AG785" s="817"/>
      <c r="AH785" s="827"/>
      <c r="AI785" s="827"/>
      <c r="AJ785" s="827"/>
      <c r="AK785" s="818"/>
      <c r="AL785" s="827"/>
      <c r="AM785" s="827"/>
      <c r="AN785" s="808"/>
      <c r="AO785" s="797"/>
      <c r="AP785" s="797"/>
      <c r="AQ785" s="795"/>
      <c r="AR785" s="795"/>
      <c r="AS785" s="795"/>
      <c r="AT785" s="795"/>
      <c r="AU785" s="795"/>
      <c r="AV785" s="795"/>
      <c r="AW785" s="795"/>
      <c r="AX785" s="797"/>
      <c r="AY785" s="159"/>
    </row>
    <row r="786" spans="1:51" ht="24.75" customHeight="1" x14ac:dyDescent="0.25">
      <c r="A786" s="815"/>
      <c r="B786" s="1043"/>
      <c r="C786" s="818"/>
      <c r="D786" s="136" t="s">
        <v>42</v>
      </c>
      <c r="E786" s="142" t="e">
        <f>+[5]INVERSIÓN!U66</f>
        <v>#REF!</v>
      </c>
      <c r="F786" s="142" t="e">
        <f>+[5]INVERSIÓN!V66</f>
        <v>#REF!</v>
      </c>
      <c r="G786" s="144">
        <v>0</v>
      </c>
      <c r="H786" s="144">
        <v>0</v>
      </c>
      <c r="I786" s="144">
        <v>15</v>
      </c>
      <c r="J786" s="138">
        <v>15</v>
      </c>
      <c r="K786" s="182"/>
      <c r="L786" s="183"/>
      <c r="M786" s="138" t="e">
        <f t="shared" si="91"/>
        <v>#REF!</v>
      </c>
      <c r="N786" s="138">
        <f>+[6]INVERSIÓN!K66</f>
        <v>0</v>
      </c>
      <c r="O786" s="138">
        <f>+[6]INVERSIÓN!M66</f>
        <v>0</v>
      </c>
      <c r="P786" s="138" t="e">
        <f>+[5]INVERSIÓN!O66</f>
        <v>#REF!</v>
      </c>
      <c r="Q786" s="138" t="e">
        <f>+[5]INVERSIÓN!Q66</f>
        <v>#REF!</v>
      </c>
      <c r="R786" s="147" t="e">
        <f>+[5]INVERSIÓN!S66</f>
        <v>#REF!</v>
      </c>
      <c r="S786" s="177"/>
      <c r="T786" s="174">
        <v>0</v>
      </c>
      <c r="U786" s="174">
        <v>0</v>
      </c>
      <c r="V786" s="174">
        <v>0</v>
      </c>
      <c r="W786" s="175">
        <v>0</v>
      </c>
      <c r="X786" s="184"/>
      <c r="Y786" s="184"/>
      <c r="Z786" s="177">
        <f>+[6]INVERSIÓN!J66</f>
        <v>0</v>
      </c>
      <c r="AA786" s="178">
        <f>+[6]INVERSIÓN!DX66</f>
        <v>0</v>
      </c>
      <c r="AB786" s="209">
        <f>+[6]INVERSIÓN!DY66</f>
        <v>0</v>
      </c>
      <c r="AC786" s="129" t="e">
        <f>+[5]INVERSIÓN!P66</f>
        <v>#REF!</v>
      </c>
      <c r="AD786" s="152" t="e">
        <f>+[5]INVERSIÓN!R66</f>
        <v>#REF!</v>
      </c>
      <c r="AE786" s="180" t="e">
        <f>+[5]INVERSIÓN!EB66</f>
        <v>#REF!</v>
      </c>
      <c r="AF786" s="1046"/>
      <c r="AG786" s="817"/>
      <c r="AH786" s="827"/>
      <c r="AI786" s="827"/>
      <c r="AJ786" s="827"/>
      <c r="AK786" s="818"/>
      <c r="AL786" s="827"/>
      <c r="AM786" s="827"/>
      <c r="AN786" s="808"/>
      <c r="AO786" s="797"/>
      <c r="AP786" s="797"/>
      <c r="AQ786" s="795"/>
      <c r="AR786" s="795"/>
      <c r="AS786" s="795"/>
      <c r="AT786" s="795"/>
      <c r="AU786" s="795"/>
      <c r="AV786" s="795"/>
      <c r="AW786" s="795"/>
      <c r="AX786" s="797"/>
      <c r="AY786" s="159"/>
    </row>
    <row r="787" spans="1:51" ht="24.75" customHeight="1" x14ac:dyDescent="0.25">
      <c r="A787" s="815"/>
      <c r="B787" s="1043"/>
      <c r="C787" s="818"/>
      <c r="D787" s="132" t="s">
        <v>4</v>
      </c>
      <c r="E787" s="142">
        <f>+[5]INVERSIÓN!U67</f>
        <v>81973233</v>
      </c>
      <c r="F787" s="142">
        <f>+[5]INVERSIÓN!V67</f>
        <v>81973233</v>
      </c>
      <c r="G787" s="144">
        <f>+[5]INVERSIÓN!V67</f>
        <v>81973233</v>
      </c>
      <c r="H787" s="144">
        <f>+[5]INVERSIÓN!X67</f>
        <v>81973233</v>
      </c>
      <c r="I787" s="144">
        <v>883534233</v>
      </c>
      <c r="J787" s="138">
        <v>836614860</v>
      </c>
      <c r="K787" s="182"/>
      <c r="L787" s="183"/>
      <c r="M787" s="138">
        <f t="shared" si="91"/>
        <v>81973233</v>
      </c>
      <c r="N787" s="138">
        <f>+[6]INVERSIÓN!K67</f>
        <v>0</v>
      </c>
      <c r="O787" s="138">
        <f>+[6]INVERSIÓN!M67</f>
        <v>0</v>
      </c>
      <c r="P787" s="138" t="e">
        <f>+[5]INVERSIÓN!O67</f>
        <v>#REF!</v>
      </c>
      <c r="Q787" s="138" t="e">
        <f>+[5]INVERSIÓN!Q67</f>
        <v>#REF!</v>
      </c>
      <c r="R787" s="147" t="e">
        <f>+[5]INVERSIÓN!S67</f>
        <v>#REF!</v>
      </c>
      <c r="S787" s="177"/>
      <c r="T787" s="174">
        <f>+[5]INVERSIÓN!W67</f>
        <v>11357200</v>
      </c>
      <c r="U787" s="174">
        <f>+[5]INVERSIÓN!DR67</f>
        <v>38726571</v>
      </c>
      <c r="V787" s="174">
        <v>78539901</v>
      </c>
      <c r="W787" s="175">
        <v>80858628</v>
      </c>
      <c r="X787" s="184"/>
      <c r="Y787" s="184"/>
      <c r="Z787" s="177">
        <f>+[6]INVERSIÓN!J67</f>
        <v>0</v>
      </c>
      <c r="AA787" s="178">
        <f>+[6]INVERSIÓN!DX67</f>
        <v>0</v>
      </c>
      <c r="AB787" s="209">
        <f>+[6]INVERSIÓN!DY67</f>
        <v>0</v>
      </c>
      <c r="AC787" s="129" t="e">
        <f>+[5]INVERSIÓN!P67</f>
        <v>#REF!</v>
      </c>
      <c r="AD787" s="152" t="e">
        <f>+[5]INVERSIÓN!R67</f>
        <v>#REF!</v>
      </c>
      <c r="AE787" s="180" t="e">
        <f>+[5]INVERSIÓN!EB67</f>
        <v>#REF!</v>
      </c>
      <c r="AF787" s="1046"/>
      <c r="AG787" s="817"/>
      <c r="AH787" s="827"/>
      <c r="AI787" s="827"/>
      <c r="AJ787" s="827"/>
      <c r="AK787" s="818"/>
      <c r="AL787" s="827"/>
      <c r="AM787" s="827"/>
      <c r="AN787" s="808"/>
      <c r="AO787" s="797"/>
      <c r="AP787" s="797"/>
      <c r="AQ787" s="795"/>
      <c r="AR787" s="795"/>
      <c r="AS787" s="795"/>
      <c r="AT787" s="795"/>
      <c r="AU787" s="795"/>
      <c r="AV787" s="795"/>
      <c r="AW787" s="795"/>
      <c r="AX787" s="797"/>
      <c r="AY787" s="159"/>
    </row>
    <row r="788" spans="1:51" ht="24.75" customHeight="1" x14ac:dyDescent="0.25">
      <c r="A788" s="815"/>
      <c r="B788" s="1043"/>
      <c r="C788" s="818"/>
      <c r="D788" s="136" t="s">
        <v>43</v>
      </c>
      <c r="E788" s="142">
        <f>+[5]INVERSIÓN!U68</f>
        <v>15</v>
      </c>
      <c r="F788" s="142">
        <f>+[5]INVERSIÓN!V68</f>
        <v>15</v>
      </c>
      <c r="G788" s="144">
        <f>+[5]INVERSIÓN!V68</f>
        <v>15</v>
      </c>
      <c r="H788" s="144">
        <f>+[5]INVERSIÓN!X68</f>
        <v>15</v>
      </c>
      <c r="I788" s="144">
        <v>15</v>
      </c>
      <c r="J788" s="138">
        <v>15</v>
      </c>
      <c r="K788" s="137"/>
      <c r="L788" s="138"/>
      <c r="M788" s="138">
        <f t="shared" si="91"/>
        <v>15</v>
      </c>
      <c r="N788" s="138">
        <f>+[6]INVERSIÓN!K68</f>
        <v>12.5</v>
      </c>
      <c r="O788" s="138">
        <f>+[6]INVERSIÓN!M68</f>
        <v>12.5</v>
      </c>
      <c r="P788" s="138">
        <f>+[5]INVERSIÓN!O68</f>
        <v>12.5</v>
      </c>
      <c r="Q788" s="138">
        <f>+[5]INVERSIÓN!Q68</f>
        <v>12.5</v>
      </c>
      <c r="R788" s="147">
        <f>+[5]INVERSIÓN!S68</f>
        <v>12.5</v>
      </c>
      <c r="S788" s="177"/>
      <c r="T788" s="174">
        <f>+[5]INVERSIÓN!W68</f>
        <v>1.25</v>
      </c>
      <c r="U788" s="174">
        <f>+[5]INVERSIÓN!DR68</f>
        <v>2.5</v>
      </c>
      <c r="V788" s="174">
        <v>3.75</v>
      </c>
      <c r="W788" s="175">
        <v>5</v>
      </c>
      <c r="X788" s="152"/>
      <c r="Y788" s="152"/>
      <c r="Z788" s="177">
        <f>+[6]INVERSIÓN!J68</f>
        <v>2</v>
      </c>
      <c r="AA788" s="178">
        <f>+[6]INVERSIÓN!DX68</f>
        <v>4.0999999999999996</v>
      </c>
      <c r="AB788" s="209">
        <f>+[6]INVERSIÓN!DY68</f>
        <v>6.2</v>
      </c>
      <c r="AC788" s="129">
        <f>+[5]INVERSIÓN!P68</f>
        <v>8.3000000000000007</v>
      </c>
      <c r="AD788" s="152">
        <f>+[5]INVERSIÓN!R68</f>
        <v>10.4</v>
      </c>
      <c r="AE788" s="180" t="e">
        <f>+[5]INVERSIÓN!EB68</f>
        <v>#REF!</v>
      </c>
      <c r="AF788" s="1046"/>
      <c r="AG788" s="817"/>
      <c r="AH788" s="827"/>
      <c r="AI788" s="827"/>
      <c r="AJ788" s="827"/>
      <c r="AK788" s="818"/>
      <c r="AL788" s="827"/>
      <c r="AM788" s="827"/>
      <c r="AN788" s="808"/>
      <c r="AO788" s="797"/>
      <c r="AP788" s="797"/>
      <c r="AQ788" s="795"/>
      <c r="AR788" s="795"/>
      <c r="AS788" s="795"/>
      <c r="AT788" s="795"/>
      <c r="AU788" s="795"/>
      <c r="AV788" s="795"/>
      <c r="AW788" s="795"/>
      <c r="AX788" s="797"/>
      <c r="AY788" s="159"/>
    </row>
    <row r="789" spans="1:51" ht="24.75" customHeight="1" thickBot="1" x14ac:dyDescent="0.3">
      <c r="A789" s="815"/>
      <c r="B789" s="1043"/>
      <c r="C789" s="818"/>
      <c r="D789" s="140" t="s">
        <v>45</v>
      </c>
      <c r="E789" s="142">
        <f>+[5]INVERSIÓN!U69</f>
        <v>883534233</v>
      </c>
      <c r="F789" s="142">
        <f>+[5]INVERSIÓN!V69</f>
        <v>883534233</v>
      </c>
      <c r="G789" s="144">
        <f>+[5]INVERSIÓN!V69</f>
        <v>883534233</v>
      </c>
      <c r="H789" s="144">
        <f>+[5]INVERSIÓN!X69</f>
        <v>883534233</v>
      </c>
      <c r="I789" s="144">
        <v>801561000</v>
      </c>
      <c r="J789" s="138">
        <v>754641627</v>
      </c>
      <c r="K789" s="185"/>
      <c r="L789" s="186"/>
      <c r="M789" s="138">
        <f t="shared" si="91"/>
        <v>883534233</v>
      </c>
      <c r="N789" s="138">
        <f>+[6]INVERSIÓN!K69</f>
        <v>381900000</v>
      </c>
      <c r="O789" s="138">
        <f>+[6]INVERSIÓN!M69</f>
        <v>381900000</v>
      </c>
      <c r="P789" s="138">
        <f>+[5]INVERSIÓN!O69</f>
        <v>225075000</v>
      </c>
      <c r="Q789" s="138">
        <f>+[5]INVERSIÓN!Q69</f>
        <v>225075000</v>
      </c>
      <c r="R789" s="147">
        <f>+[5]INVERSIÓN!S69</f>
        <v>225075000</v>
      </c>
      <c r="S789" s="177"/>
      <c r="T789" s="174">
        <f>+[5]INVERSIÓN!W69</f>
        <v>11357200</v>
      </c>
      <c r="U789" s="174">
        <f>+[5]INVERSIÓN!DR69</f>
        <v>140077265</v>
      </c>
      <c r="V789" s="174">
        <v>427498595</v>
      </c>
      <c r="W789" s="175">
        <v>700181322</v>
      </c>
      <c r="X789" s="177"/>
      <c r="Y789" s="177"/>
      <c r="Z789" s="177">
        <f>+[6]INVERSIÓN!J69</f>
        <v>27401143</v>
      </c>
      <c r="AA789" s="178">
        <f>+[6]INVERSIÓN!DX69</f>
        <v>102981143</v>
      </c>
      <c r="AB789" s="209">
        <f>+[6]INVERSIÓN!DY69</f>
        <v>119147442</v>
      </c>
      <c r="AC789" s="129">
        <f>+[5]INVERSIÓN!P69</f>
        <v>121576922</v>
      </c>
      <c r="AD789" s="152">
        <f>+[5]INVERSIÓN!R69</f>
        <v>168075108</v>
      </c>
      <c r="AE789" s="180" t="e">
        <f>+[5]INVERSIÓN!EB69</f>
        <v>#REF!</v>
      </c>
      <c r="AF789" s="1047"/>
      <c r="AG789" s="817"/>
      <c r="AH789" s="827"/>
      <c r="AI789" s="827"/>
      <c r="AJ789" s="827"/>
      <c r="AK789" s="818"/>
      <c r="AL789" s="827"/>
      <c r="AM789" s="827"/>
      <c r="AN789" s="808"/>
      <c r="AO789" s="798"/>
      <c r="AP789" s="798"/>
      <c r="AQ789" s="795"/>
      <c r="AR789" s="795"/>
      <c r="AS789" s="795"/>
      <c r="AT789" s="795"/>
      <c r="AU789" s="795"/>
      <c r="AV789" s="795"/>
      <c r="AW789" s="795"/>
      <c r="AX789" s="798"/>
      <c r="AY789" s="159"/>
    </row>
    <row r="790" spans="1:51" ht="18" customHeight="1" x14ac:dyDescent="0.25">
      <c r="A790" s="815"/>
      <c r="B790" s="1043"/>
      <c r="C790" s="818" t="s">
        <v>410</v>
      </c>
      <c r="D790" s="141" t="s">
        <v>41</v>
      </c>
      <c r="E790" s="142">
        <f t="shared" ref="E790:H795" si="99">+E784</f>
        <v>15</v>
      </c>
      <c r="F790" s="143">
        <f t="shared" si="99"/>
        <v>15</v>
      </c>
      <c r="G790" s="144">
        <f t="shared" si="99"/>
        <v>15</v>
      </c>
      <c r="H790" s="144">
        <f t="shared" si="99"/>
        <v>15</v>
      </c>
      <c r="I790" s="144">
        <v>0</v>
      </c>
      <c r="J790" s="138">
        <v>0</v>
      </c>
      <c r="K790" s="137"/>
      <c r="L790" s="138"/>
      <c r="M790" s="138">
        <f>+M784</f>
        <v>15</v>
      </c>
      <c r="N790" s="138">
        <f t="shared" ref="N790:R790" si="100">+N784</f>
        <v>12.5</v>
      </c>
      <c r="O790" s="138">
        <f t="shared" si="100"/>
        <v>12.5</v>
      </c>
      <c r="P790" s="138">
        <f t="shared" si="100"/>
        <v>12.5</v>
      </c>
      <c r="Q790" s="138">
        <f t="shared" si="100"/>
        <v>12.5</v>
      </c>
      <c r="R790" s="138">
        <f t="shared" si="100"/>
        <v>12.5</v>
      </c>
      <c r="S790" s="137"/>
      <c r="T790" s="163">
        <f>+T784</f>
        <v>1.25</v>
      </c>
      <c r="U790" s="163">
        <f>+U784</f>
        <v>2.5</v>
      </c>
      <c r="V790" s="163">
        <v>3.75</v>
      </c>
      <c r="W790" s="164">
        <v>5</v>
      </c>
      <c r="X790" s="139"/>
      <c r="Y790" s="139"/>
      <c r="Z790" s="139"/>
      <c r="AA790" s="152">
        <f>+AA784</f>
        <v>4.0999999999999996</v>
      </c>
      <c r="AB790" s="152">
        <f t="shared" ref="AB790:AD790" si="101">+AB784</f>
        <v>6.2</v>
      </c>
      <c r="AC790" s="152">
        <f t="shared" si="101"/>
        <v>8.3000000000000007</v>
      </c>
      <c r="AD790" s="152">
        <f t="shared" si="101"/>
        <v>10.4</v>
      </c>
      <c r="AE790" s="203" t="e">
        <f>+AE784</f>
        <v>#REF!</v>
      </c>
      <c r="AF790" s="257"/>
      <c r="AG790" s="817" t="s">
        <v>541</v>
      </c>
      <c r="AH790" s="827" t="s">
        <v>70</v>
      </c>
      <c r="AI790" s="827" t="s">
        <v>70</v>
      </c>
      <c r="AJ790" s="827" t="s">
        <v>70</v>
      </c>
      <c r="AK790" s="818" t="s">
        <v>315</v>
      </c>
      <c r="AL790" s="827"/>
      <c r="AM790" s="776" t="s">
        <v>616</v>
      </c>
      <c r="AN790" s="808">
        <v>7804660</v>
      </c>
      <c r="AO790" s="796">
        <v>3721767</v>
      </c>
      <c r="AP790" s="796">
        <v>4082893</v>
      </c>
      <c r="AQ790" s="795" t="s">
        <v>317</v>
      </c>
      <c r="AR790" s="795" t="s">
        <v>317</v>
      </c>
      <c r="AS790" s="795" t="s">
        <v>317</v>
      </c>
      <c r="AT790" s="795" t="s">
        <v>317</v>
      </c>
      <c r="AU790" s="795" t="s">
        <v>317</v>
      </c>
      <c r="AV790" s="795" t="s">
        <v>317</v>
      </c>
      <c r="AW790" s="795" t="s">
        <v>317</v>
      </c>
      <c r="AX790" s="796">
        <v>7804660</v>
      </c>
      <c r="AY790" s="159"/>
    </row>
    <row r="791" spans="1:51" ht="18" x14ac:dyDescent="0.25">
      <c r="A791" s="815"/>
      <c r="B791" s="1043"/>
      <c r="C791" s="818"/>
      <c r="D791" s="132" t="s">
        <v>3</v>
      </c>
      <c r="E791" s="142">
        <f t="shared" si="99"/>
        <v>801561000</v>
      </c>
      <c r="F791" s="143">
        <f t="shared" si="99"/>
        <v>801561000</v>
      </c>
      <c r="G791" s="144">
        <f t="shared" si="99"/>
        <v>801561000</v>
      </c>
      <c r="H791" s="144">
        <f t="shared" si="99"/>
        <v>801561000</v>
      </c>
      <c r="I791" s="144">
        <v>81973233</v>
      </c>
      <c r="J791" s="138">
        <v>81973233</v>
      </c>
      <c r="K791" s="137"/>
      <c r="L791" s="138"/>
      <c r="M791" s="138">
        <f t="shared" ref="M791:R795" si="102">+M785</f>
        <v>801561000</v>
      </c>
      <c r="N791" s="138">
        <f t="shared" si="102"/>
        <v>381900000</v>
      </c>
      <c r="O791" s="138">
        <f t="shared" si="102"/>
        <v>303900000</v>
      </c>
      <c r="P791" s="138">
        <f t="shared" si="102"/>
        <v>225075000</v>
      </c>
      <c r="Q791" s="138">
        <f t="shared" si="102"/>
        <v>225075000</v>
      </c>
      <c r="R791" s="138">
        <f t="shared" si="102"/>
        <v>225075000</v>
      </c>
      <c r="S791" s="137"/>
      <c r="T791" s="163">
        <f t="shared" ref="T791:U795" si="103">+T785</f>
        <v>0</v>
      </c>
      <c r="U791" s="163">
        <f t="shared" si="103"/>
        <v>101350694</v>
      </c>
      <c r="V791" s="163">
        <v>426196694</v>
      </c>
      <c r="W791" s="164">
        <v>619322694</v>
      </c>
      <c r="X791" s="139"/>
      <c r="Y791" s="139"/>
      <c r="Z791" s="139"/>
      <c r="AA791" s="152">
        <f t="shared" ref="AA791:AE795" si="104">+AA785</f>
        <v>102981143</v>
      </c>
      <c r="AB791" s="152">
        <f t="shared" si="104"/>
        <v>119147442</v>
      </c>
      <c r="AC791" s="152">
        <f t="shared" si="104"/>
        <v>121576922</v>
      </c>
      <c r="AD791" s="152">
        <f t="shared" si="104"/>
        <v>168075108</v>
      </c>
      <c r="AE791" s="203" t="e">
        <f t="shared" si="104"/>
        <v>#REF!</v>
      </c>
      <c r="AF791" s="257"/>
      <c r="AG791" s="817"/>
      <c r="AH791" s="827"/>
      <c r="AI791" s="827"/>
      <c r="AJ791" s="827"/>
      <c r="AK791" s="818"/>
      <c r="AL791" s="827"/>
      <c r="AM791" s="827"/>
      <c r="AN791" s="808"/>
      <c r="AO791" s="797"/>
      <c r="AP791" s="797"/>
      <c r="AQ791" s="795"/>
      <c r="AR791" s="795"/>
      <c r="AS791" s="795"/>
      <c r="AT791" s="795"/>
      <c r="AU791" s="795"/>
      <c r="AV791" s="795"/>
      <c r="AW791" s="795"/>
      <c r="AX791" s="797"/>
      <c r="AY791" s="159"/>
    </row>
    <row r="792" spans="1:51" ht="27" x14ac:dyDescent="0.25">
      <c r="A792" s="815"/>
      <c r="B792" s="1043"/>
      <c r="C792" s="818"/>
      <c r="D792" s="136" t="s">
        <v>42</v>
      </c>
      <c r="E792" s="142" t="e">
        <f t="shared" si="99"/>
        <v>#REF!</v>
      </c>
      <c r="F792" s="143" t="e">
        <f t="shared" si="99"/>
        <v>#REF!</v>
      </c>
      <c r="G792" s="144">
        <f t="shared" si="99"/>
        <v>0</v>
      </c>
      <c r="H792" s="144">
        <f t="shared" si="99"/>
        <v>0</v>
      </c>
      <c r="I792" s="144">
        <v>15</v>
      </c>
      <c r="J792" s="138">
        <v>15</v>
      </c>
      <c r="K792" s="137"/>
      <c r="L792" s="138"/>
      <c r="M792" s="138" t="e">
        <f t="shared" si="102"/>
        <v>#REF!</v>
      </c>
      <c r="N792" s="138">
        <f t="shared" si="102"/>
        <v>0</v>
      </c>
      <c r="O792" s="138">
        <f t="shared" si="102"/>
        <v>0</v>
      </c>
      <c r="P792" s="138" t="e">
        <f t="shared" si="102"/>
        <v>#REF!</v>
      </c>
      <c r="Q792" s="138" t="e">
        <f t="shared" si="102"/>
        <v>#REF!</v>
      </c>
      <c r="R792" s="138" t="e">
        <f t="shared" si="102"/>
        <v>#REF!</v>
      </c>
      <c r="S792" s="137"/>
      <c r="T792" s="163">
        <v>0</v>
      </c>
      <c r="U792" s="163">
        <v>0</v>
      </c>
      <c r="V792" s="163">
        <v>0</v>
      </c>
      <c r="W792" s="164">
        <v>0</v>
      </c>
      <c r="X792" s="139"/>
      <c r="Y792" s="139"/>
      <c r="Z792" s="139"/>
      <c r="AA792" s="152">
        <f t="shared" si="104"/>
        <v>0</v>
      </c>
      <c r="AB792" s="152">
        <f t="shared" si="104"/>
        <v>0</v>
      </c>
      <c r="AC792" s="152" t="e">
        <f t="shared" si="104"/>
        <v>#REF!</v>
      </c>
      <c r="AD792" s="152" t="e">
        <f t="shared" si="104"/>
        <v>#REF!</v>
      </c>
      <c r="AE792" s="203" t="e">
        <f t="shared" si="104"/>
        <v>#REF!</v>
      </c>
      <c r="AF792" s="257"/>
      <c r="AG792" s="817"/>
      <c r="AH792" s="827"/>
      <c r="AI792" s="827"/>
      <c r="AJ792" s="827"/>
      <c r="AK792" s="818"/>
      <c r="AL792" s="827"/>
      <c r="AM792" s="827"/>
      <c r="AN792" s="808"/>
      <c r="AO792" s="797"/>
      <c r="AP792" s="797"/>
      <c r="AQ792" s="795"/>
      <c r="AR792" s="795"/>
      <c r="AS792" s="795"/>
      <c r="AT792" s="795"/>
      <c r="AU792" s="795"/>
      <c r="AV792" s="795"/>
      <c r="AW792" s="795"/>
      <c r="AX792" s="797"/>
      <c r="AY792" s="159"/>
    </row>
    <row r="793" spans="1:51" ht="27" x14ac:dyDescent="0.25">
      <c r="A793" s="815"/>
      <c r="B793" s="1043"/>
      <c r="C793" s="818"/>
      <c r="D793" s="132" t="s">
        <v>4</v>
      </c>
      <c r="E793" s="142">
        <f t="shared" si="99"/>
        <v>81973233</v>
      </c>
      <c r="F793" s="143">
        <f t="shared" si="99"/>
        <v>81973233</v>
      </c>
      <c r="G793" s="144">
        <f t="shared" si="99"/>
        <v>81973233</v>
      </c>
      <c r="H793" s="144">
        <f t="shared" si="99"/>
        <v>81973233</v>
      </c>
      <c r="I793" s="144">
        <v>883534233</v>
      </c>
      <c r="J793" s="138">
        <v>836614860</v>
      </c>
      <c r="K793" s="137"/>
      <c r="L793" s="138"/>
      <c r="M793" s="138">
        <f t="shared" si="102"/>
        <v>81973233</v>
      </c>
      <c r="N793" s="138">
        <f t="shared" si="102"/>
        <v>0</v>
      </c>
      <c r="O793" s="138">
        <f t="shared" si="102"/>
        <v>0</v>
      </c>
      <c r="P793" s="138" t="e">
        <f t="shared" si="102"/>
        <v>#REF!</v>
      </c>
      <c r="Q793" s="138" t="e">
        <f t="shared" si="102"/>
        <v>#REF!</v>
      </c>
      <c r="R793" s="138" t="e">
        <f t="shared" si="102"/>
        <v>#REF!</v>
      </c>
      <c r="S793" s="137"/>
      <c r="T793" s="163">
        <f t="shared" si="103"/>
        <v>11357200</v>
      </c>
      <c r="U793" s="163">
        <f t="shared" si="103"/>
        <v>38726571</v>
      </c>
      <c r="V793" s="163">
        <v>78539901</v>
      </c>
      <c r="W793" s="164">
        <v>80858628</v>
      </c>
      <c r="X793" s="139"/>
      <c r="Y793" s="139"/>
      <c r="Z793" s="139"/>
      <c r="AA793" s="152">
        <f t="shared" si="104"/>
        <v>0</v>
      </c>
      <c r="AB793" s="152">
        <f t="shared" si="104"/>
        <v>0</v>
      </c>
      <c r="AC793" s="152" t="e">
        <f t="shared" si="104"/>
        <v>#REF!</v>
      </c>
      <c r="AD793" s="152" t="e">
        <f t="shared" si="104"/>
        <v>#REF!</v>
      </c>
      <c r="AE793" s="203" t="e">
        <f t="shared" si="104"/>
        <v>#REF!</v>
      </c>
      <c r="AF793" s="257"/>
      <c r="AG793" s="817"/>
      <c r="AH793" s="827"/>
      <c r="AI793" s="827"/>
      <c r="AJ793" s="827"/>
      <c r="AK793" s="818"/>
      <c r="AL793" s="827"/>
      <c r="AM793" s="827"/>
      <c r="AN793" s="808"/>
      <c r="AO793" s="797"/>
      <c r="AP793" s="797"/>
      <c r="AQ793" s="795"/>
      <c r="AR793" s="795"/>
      <c r="AS793" s="795"/>
      <c r="AT793" s="795"/>
      <c r="AU793" s="795"/>
      <c r="AV793" s="795"/>
      <c r="AW793" s="795"/>
      <c r="AX793" s="797"/>
      <c r="AY793" s="159"/>
    </row>
    <row r="794" spans="1:51" ht="27" x14ac:dyDescent="0.25">
      <c r="A794" s="815"/>
      <c r="B794" s="1043"/>
      <c r="C794" s="818"/>
      <c r="D794" s="136" t="s">
        <v>43</v>
      </c>
      <c r="E794" s="142">
        <f t="shared" si="99"/>
        <v>15</v>
      </c>
      <c r="F794" s="143">
        <f t="shared" si="99"/>
        <v>15</v>
      </c>
      <c r="G794" s="144">
        <f t="shared" si="99"/>
        <v>15</v>
      </c>
      <c r="H794" s="144">
        <f t="shared" si="99"/>
        <v>15</v>
      </c>
      <c r="I794" s="144">
        <v>0</v>
      </c>
      <c r="J794" s="138">
        <v>0</v>
      </c>
      <c r="K794" s="137"/>
      <c r="L794" s="138"/>
      <c r="M794" s="138">
        <f t="shared" si="102"/>
        <v>15</v>
      </c>
      <c r="N794" s="138">
        <f t="shared" si="102"/>
        <v>12.5</v>
      </c>
      <c r="O794" s="138">
        <f t="shared" si="102"/>
        <v>12.5</v>
      </c>
      <c r="P794" s="138">
        <f t="shared" si="102"/>
        <v>12.5</v>
      </c>
      <c r="Q794" s="138">
        <f t="shared" si="102"/>
        <v>12.5</v>
      </c>
      <c r="R794" s="138">
        <f t="shared" si="102"/>
        <v>12.5</v>
      </c>
      <c r="S794" s="137"/>
      <c r="T794" s="163">
        <f t="shared" si="103"/>
        <v>1.25</v>
      </c>
      <c r="U794" s="163">
        <f t="shared" si="103"/>
        <v>2.5</v>
      </c>
      <c r="V794" s="163">
        <v>3.75</v>
      </c>
      <c r="W794" s="164">
        <v>5</v>
      </c>
      <c r="X794" s="139"/>
      <c r="Y794" s="139"/>
      <c r="Z794" s="139"/>
      <c r="AA794" s="152">
        <f t="shared" si="104"/>
        <v>4.0999999999999996</v>
      </c>
      <c r="AB794" s="152">
        <f t="shared" si="104"/>
        <v>6.2</v>
      </c>
      <c r="AC794" s="152">
        <f t="shared" si="104"/>
        <v>8.3000000000000007</v>
      </c>
      <c r="AD794" s="152">
        <f t="shared" si="104"/>
        <v>10.4</v>
      </c>
      <c r="AE794" s="203" t="e">
        <f t="shared" si="104"/>
        <v>#REF!</v>
      </c>
      <c r="AF794" s="257"/>
      <c r="AG794" s="817"/>
      <c r="AH794" s="827"/>
      <c r="AI794" s="827"/>
      <c r="AJ794" s="827"/>
      <c r="AK794" s="818"/>
      <c r="AL794" s="827"/>
      <c r="AM794" s="827"/>
      <c r="AN794" s="808"/>
      <c r="AO794" s="797"/>
      <c r="AP794" s="797"/>
      <c r="AQ794" s="795"/>
      <c r="AR794" s="795"/>
      <c r="AS794" s="795"/>
      <c r="AT794" s="795"/>
      <c r="AU794" s="795"/>
      <c r="AV794" s="795"/>
      <c r="AW794" s="795"/>
      <c r="AX794" s="797"/>
      <c r="AY794" s="159"/>
    </row>
    <row r="795" spans="1:51" ht="27.75" thickBot="1" x14ac:dyDescent="0.3">
      <c r="A795" s="816"/>
      <c r="B795" s="1044"/>
      <c r="C795" s="818"/>
      <c r="D795" s="140" t="s">
        <v>45</v>
      </c>
      <c r="E795" s="142">
        <f t="shared" si="99"/>
        <v>883534233</v>
      </c>
      <c r="F795" s="143">
        <f t="shared" si="99"/>
        <v>883534233</v>
      </c>
      <c r="G795" s="144">
        <f t="shared" si="99"/>
        <v>883534233</v>
      </c>
      <c r="H795" s="144">
        <f t="shared" si="99"/>
        <v>883534233</v>
      </c>
      <c r="I795" s="144">
        <v>81973233</v>
      </c>
      <c r="J795" s="138">
        <v>81973233</v>
      </c>
      <c r="K795" s="137"/>
      <c r="L795" s="138"/>
      <c r="M795" s="138">
        <f t="shared" si="102"/>
        <v>883534233</v>
      </c>
      <c r="N795" s="138">
        <f t="shared" si="102"/>
        <v>381900000</v>
      </c>
      <c r="O795" s="138">
        <f t="shared" si="102"/>
        <v>381900000</v>
      </c>
      <c r="P795" s="138">
        <f t="shared" si="102"/>
        <v>225075000</v>
      </c>
      <c r="Q795" s="138">
        <f t="shared" si="102"/>
        <v>225075000</v>
      </c>
      <c r="R795" s="138">
        <f t="shared" si="102"/>
        <v>225075000</v>
      </c>
      <c r="S795" s="137"/>
      <c r="T795" s="163">
        <f t="shared" si="103"/>
        <v>11357200</v>
      </c>
      <c r="U795" s="163">
        <f t="shared" si="103"/>
        <v>140077265</v>
      </c>
      <c r="V795" s="163">
        <v>427498595</v>
      </c>
      <c r="W795" s="164">
        <v>700181322</v>
      </c>
      <c r="X795" s="139"/>
      <c r="Y795" s="139"/>
      <c r="Z795" s="139"/>
      <c r="AA795" s="152">
        <f t="shared" si="104"/>
        <v>102981143</v>
      </c>
      <c r="AB795" s="152">
        <f t="shared" si="104"/>
        <v>119147442</v>
      </c>
      <c r="AC795" s="152">
        <f t="shared" si="104"/>
        <v>121576922</v>
      </c>
      <c r="AD795" s="152">
        <f t="shared" si="104"/>
        <v>168075108</v>
      </c>
      <c r="AE795" s="203" t="e">
        <f t="shared" si="104"/>
        <v>#REF!</v>
      </c>
      <c r="AF795" s="257"/>
      <c r="AG795" s="817"/>
      <c r="AH795" s="827"/>
      <c r="AI795" s="827"/>
      <c r="AJ795" s="827"/>
      <c r="AK795" s="818"/>
      <c r="AL795" s="827"/>
      <c r="AM795" s="827"/>
      <c r="AN795" s="808"/>
      <c r="AO795" s="798"/>
      <c r="AP795" s="798"/>
      <c r="AQ795" s="795"/>
      <c r="AR795" s="795"/>
      <c r="AS795" s="795"/>
      <c r="AT795" s="795"/>
      <c r="AU795" s="795"/>
      <c r="AV795" s="795"/>
      <c r="AW795" s="795"/>
      <c r="AX795" s="798"/>
      <c r="AY795" s="159"/>
    </row>
    <row r="796" spans="1:51" s="29" customFormat="1" ht="36" x14ac:dyDescent="0.25">
      <c r="A796" s="1033" t="s">
        <v>22</v>
      </c>
      <c r="B796" s="1033"/>
      <c r="C796" s="1033"/>
      <c r="D796" s="93" t="s">
        <v>34</v>
      </c>
      <c r="E796" s="94">
        <v>2520913490</v>
      </c>
      <c r="F796" s="94">
        <v>2520913490</v>
      </c>
      <c r="G796" s="94">
        <f>+G11+G155+G299+G491+G503+G635+G689+G701+G773+G785</f>
        <v>3459505000</v>
      </c>
      <c r="H796" s="94">
        <f>+H11+H155+H299+H491+H503+H635+H689+H701+H773+H785</f>
        <v>3459505000</v>
      </c>
      <c r="I796" s="94">
        <v>15</v>
      </c>
      <c r="J796" s="94">
        <v>15</v>
      </c>
      <c r="K796" s="94">
        <v>162068000</v>
      </c>
      <c r="L796" s="94">
        <v>0</v>
      </c>
      <c r="M796" s="94">
        <v>2520913490</v>
      </c>
      <c r="N796" s="94">
        <v>2520913490</v>
      </c>
      <c r="O796" s="94">
        <v>2520913490</v>
      </c>
      <c r="P796" s="94">
        <v>2520913490</v>
      </c>
      <c r="Q796" s="94">
        <v>2520913490</v>
      </c>
      <c r="R796" s="94">
        <v>2520913490</v>
      </c>
      <c r="S796" s="94"/>
      <c r="T796" s="95">
        <f t="shared" ref="T796:AE796" si="105">+T11+T155+T299+T491+T503+T635+T689+T701+T773+T785</f>
        <v>0</v>
      </c>
      <c r="U796" s="94">
        <f t="shared" si="105"/>
        <v>1382696694</v>
      </c>
      <c r="V796" s="94">
        <v>427498595</v>
      </c>
      <c r="W796" s="94">
        <v>700181322</v>
      </c>
      <c r="X796" s="94">
        <f t="shared" si="105"/>
        <v>802427000</v>
      </c>
      <c r="Y796" s="94">
        <f t="shared" si="105"/>
        <v>0</v>
      </c>
      <c r="Z796" s="94">
        <f t="shared" si="105"/>
        <v>536091143</v>
      </c>
      <c r="AA796" s="94">
        <f t="shared" si="105"/>
        <v>1709433143</v>
      </c>
      <c r="AB796" s="94">
        <f t="shared" si="105"/>
        <v>1752848442</v>
      </c>
      <c r="AC796" s="94" t="e">
        <f t="shared" si="105"/>
        <v>#REF!</v>
      </c>
      <c r="AD796" s="94" t="e">
        <f t="shared" si="105"/>
        <v>#REF!</v>
      </c>
      <c r="AE796" s="94" t="e">
        <f t="shared" si="105"/>
        <v>#REF!</v>
      </c>
      <c r="AF796" s="94"/>
      <c r="AG796" s="96"/>
      <c r="AH796" s="96"/>
      <c r="AI796" s="96"/>
      <c r="AJ796" s="96"/>
      <c r="AK796" s="96"/>
      <c r="AL796" s="96"/>
      <c r="AM796" s="96"/>
      <c r="AN796" s="96"/>
      <c r="AO796" s="96"/>
      <c r="AP796" s="96"/>
      <c r="AQ796" s="96"/>
      <c r="AR796" s="96"/>
      <c r="AS796" s="96"/>
      <c r="AT796" s="96"/>
      <c r="AU796" s="96"/>
      <c r="AV796" s="96"/>
      <c r="AW796" s="96"/>
      <c r="AX796" s="96"/>
      <c r="AY796" s="96"/>
    </row>
    <row r="797" spans="1:51" ht="36" x14ac:dyDescent="0.25">
      <c r="A797" s="1033"/>
      <c r="B797" s="1033"/>
      <c r="C797" s="1033"/>
      <c r="D797" s="97" t="s">
        <v>33</v>
      </c>
      <c r="E797" s="98">
        <v>0</v>
      </c>
      <c r="F797" s="95">
        <v>0</v>
      </c>
      <c r="G797" s="95">
        <f t="shared" ref="G797:R797" si="106">+G13+G157+G301+G493+G505+G637+G691+G703+G775+G787</f>
        <v>793552573</v>
      </c>
      <c r="H797" s="95">
        <f t="shared" si="106"/>
        <v>793552573</v>
      </c>
      <c r="I797" s="95">
        <v>883534233</v>
      </c>
      <c r="J797" s="98">
        <v>836614860</v>
      </c>
      <c r="K797" s="98">
        <f t="shared" si="106"/>
        <v>0</v>
      </c>
      <c r="L797" s="98">
        <f t="shared" si="106"/>
        <v>0</v>
      </c>
      <c r="M797" s="98" t="e">
        <f t="shared" si="106"/>
        <v>#REF!</v>
      </c>
      <c r="N797" s="98">
        <f t="shared" si="106"/>
        <v>0</v>
      </c>
      <c r="O797" s="98">
        <f t="shared" si="106"/>
        <v>0</v>
      </c>
      <c r="P797" s="98" t="e">
        <f t="shared" si="106"/>
        <v>#REF!</v>
      </c>
      <c r="Q797" s="98" t="e">
        <f t="shared" si="106"/>
        <v>#REF!</v>
      </c>
      <c r="R797" s="98" t="e">
        <f t="shared" si="106"/>
        <v>#REF!</v>
      </c>
      <c r="S797" s="98"/>
      <c r="T797" s="95">
        <f>+T13+T157+T301+T493+T505+T637+T691+T703+T775+T787</f>
        <v>135468608</v>
      </c>
      <c r="U797" s="95">
        <f>+U13+U157+U301+U493+U505+U637+U691+U703+U775+U787</f>
        <v>433854516</v>
      </c>
      <c r="V797" s="95" t="e">
        <f>+V13+V157+V301+V493+V505+V637+V691+V703+V775+V787</f>
        <v>#REF!</v>
      </c>
      <c r="W797" s="98" t="e">
        <f>+W13+W157+W301+W493+W505+W637+W691+W703+W775+W787</f>
        <v>#REF!</v>
      </c>
      <c r="X797" s="98"/>
      <c r="Y797" s="98"/>
      <c r="Z797" s="98"/>
      <c r="AA797" s="98"/>
      <c r="AB797" s="98"/>
      <c r="AC797" s="98"/>
      <c r="AD797" s="98"/>
      <c r="AE797" s="98"/>
      <c r="AF797" s="98"/>
      <c r="AG797" s="99"/>
      <c r="AH797" s="99"/>
      <c r="AI797" s="99"/>
      <c r="AJ797" s="99"/>
      <c r="AK797" s="99"/>
      <c r="AL797" s="99"/>
      <c r="AM797" s="99"/>
      <c r="AN797" s="99"/>
      <c r="AO797" s="99"/>
      <c r="AP797" s="99"/>
      <c r="AQ797" s="99"/>
      <c r="AR797" s="99"/>
      <c r="AS797" s="99"/>
      <c r="AT797" s="99"/>
      <c r="AU797" s="99"/>
      <c r="AV797" s="99"/>
      <c r="AW797" s="99"/>
      <c r="AX797" s="99"/>
      <c r="AY797" s="99"/>
    </row>
    <row r="798" spans="1:51" s="29" customFormat="1" ht="36" x14ac:dyDescent="0.25">
      <c r="A798" s="1033"/>
      <c r="B798" s="1033"/>
      <c r="C798" s="1033"/>
      <c r="D798" s="93" t="s">
        <v>32</v>
      </c>
      <c r="E798" s="94">
        <v>2520913490</v>
      </c>
      <c r="F798" s="94">
        <v>2520913490</v>
      </c>
      <c r="G798" s="94">
        <f>+G796+G797</f>
        <v>4253057573</v>
      </c>
      <c r="H798" s="94">
        <f>+H796+H797</f>
        <v>4253057573</v>
      </c>
      <c r="I798" s="94">
        <f>+I796+I797</f>
        <v>883534248</v>
      </c>
      <c r="J798" s="94">
        <f t="shared" ref="J798:R798" si="107">+J796+J797</f>
        <v>836614875</v>
      </c>
      <c r="K798" s="94">
        <f t="shared" si="107"/>
        <v>162068000</v>
      </c>
      <c r="L798" s="94">
        <f t="shared" si="107"/>
        <v>0</v>
      </c>
      <c r="M798" s="94" t="e">
        <f t="shared" si="107"/>
        <v>#REF!</v>
      </c>
      <c r="N798" s="94">
        <f t="shared" si="107"/>
        <v>2520913490</v>
      </c>
      <c r="O798" s="94">
        <f t="shared" si="107"/>
        <v>2520913490</v>
      </c>
      <c r="P798" s="94" t="e">
        <f t="shared" si="107"/>
        <v>#REF!</v>
      </c>
      <c r="Q798" s="94" t="e">
        <f t="shared" si="107"/>
        <v>#REF!</v>
      </c>
      <c r="R798" s="94" t="e">
        <f t="shared" si="107"/>
        <v>#REF!</v>
      </c>
      <c r="S798" s="94"/>
      <c r="T798" s="95">
        <f>+T796+T797</f>
        <v>135468608</v>
      </c>
      <c r="U798" s="94">
        <f>+U796+U797</f>
        <v>1816551210</v>
      </c>
      <c r="V798" s="94" t="e">
        <f>+V796+V797</f>
        <v>#REF!</v>
      </c>
      <c r="W798" s="94" t="e">
        <f>+W796+W797</f>
        <v>#REF!</v>
      </c>
      <c r="X798" s="94">
        <v>0</v>
      </c>
      <c r="Y798" s="94">
        <v>0</v>
      </c>
      <c r="Z798" s="94">
        <v>536091143</v>
      </c>
      <c r="AA798" s="94">
        <v>1709433143</v>
      </c>
      <c r="AB798" s="94">
        <v>1752848442</v>
      </c>
      <c r="AC798" s="94" t="e">
        <f>+AC796</f>
        <v>#REF!</v>
      </c>
      <c r="AD798" s="94" t="e">
        <f>+AD796</f>
        <v>#REF!</v>
      </c>
      <c r="AE798" s="94" t="e">
        <f>+AE796+AE797</f>
        <v>#REF!</v>
      </c>
      <c r="AF798" s="94"/>
      <c r="AG798" s="96"/>
      <c r="AH798" s="96"/>
      <c r="AI798" s="96"/>
      <c r="AJ798" s="96"/>
      <c r="AK798" s="96"/>
      <c r="AL798" s="96"/>
      <c r="AM798" s="96"/>
      <c r="AN798" s="96"/>
      <c r="AO798" s="96"/>
      <c r="AP798" s="96"/>
      <c r="AQ798" s="96"/>
      <c r="AR798" s="96"/>
      <c r="AS798" s="96"/>
      <c r="AT798" s="96"/>
      <c r="AU798" s="96"/>
      <c r="AV798" s="96"/>
      <c r="AW798" s="96"/>
      <c r="AX798" s="96"/>
      <c r="AY798" s="96"/>
    </row>
    <row r="799" spans="1:51" x14ac:dyDescent="0.25">
      <c r="A799" s="20"/>
      <c r="B799" s="20"/>
      <c r="C799" s="276"/>
      <c r="D799" s="20"/>
      <c r="E799" s="21"/>
      <c r="F799" s="21"/>
      <c r="G799" s="277"/>
      <c r="H799" s="277"/>
      <c r="I799" s="277"/>
      <c r="J799" s="278"/>
      <c r="K799" s="279"/>
      <c r="L799" s="278"/>
      <c r="M799" s="278"/>
      <c r="N799" s="278"/>
      <c r="O799" s="278"/>
      <c r="P799" s="278"/>
      <c r="Q799" s="278"/>
      <c r="R799" s="278"/>
      <c r="S799" s="279"/>
      <c r="T799" s="277"/>
      <c r="U799" s="277"/>
      <c r="V799" s="277"/>
      <c r="W799" s="278"/>
      <c r="X799" s="279"/>
      <c r="Y799" s="279"/>
      <c r="Z799" s="279"/>
      <c r="AA799" s="279"/>
      <c r="AB799" s="279"/>
      <c r="AC799" s="279"/>
      <c r="AD799" s="280"/>
      <c r="AE799" s="280"/>
      <c r="AF799" s="280"/>
      <c r="AG799" s="276"/>
      <c r="AH799" s="276"/>
      <c r="AI799" s="276"/>
      <c r="AJ799" s="276"/>
      <c r="AK799" s="276"/>
      <c r="AL799" s="276"/>
      <c r="AM799" s="276"/>
      <c r="AN799" s="276"/>
      <c r="AO799" s="276"/>
      <c r="AP799" s="281"/>
      <c r="AQ799" s="281"/>
      <c r="AR799" s="276"/>
      <c r="AS799" s="276"/>
      <c r="AT799" s="276"/>
      <c r="AU799" s="276"/>
      <c r="AV799" s="276"/>
      <c r="AW799" s="276"/>
      <c r="AX799" s="281"/>
    </row>
    <row r="800" spans="1:51" ht="18" x14ac:dyDescent="0.25">
      <c r="A800" s="22" t="s">
        <v>35</v>
      </c>
      <c r="B800" s="20"/>
      <c r="C800" s="20"/>
      <c r="D800" s="20"/>
      <c r="E800" s="21"/>
      <c r="F800" s="66"/>
      <c r="G800" s="21"/>
      <c r="H800" s="21"/>
      <c r="I800" s="21"/>
      <c r="J800" s="21"/>
      <c r="K800" s="21"/>
      <c r="L800" s="21"/>
      <c r="M800" s="21"/>
      <c r="N800" s="21"/>
      <c r="O800" s="21"/>
      <c r="P800" s="21"/>
      <c r="Q800" s="21"/>
      <c r="R800" s="21"/>
      <c r="S800" s="21"/>
      <c r="T800" s="21"/>
      <c r="U800" s="21"/>
      <c r="V800" s="21"/>
      <c r="W800" s="21"/>
      <c r="X800" s="21"/>
      <c r="Y800" s="21"/>
      <c r="Z800" s="21"/>
      <c r="AA800" s="21"/>
      <c r="AB800" s="21"/>
      <c r="AC800" s="21"/>
      <c r="AD800" s="63"/>
      <c r="AE800" s="20"/>
      <c r="AF800" s="20"/>
      <c r="AG800" s="20"/>
      <c r="AH800" s="20"/>
      <c r="AI800" s="20"/>
      <c r="AJ800" s="23"/>
      <c r="AK800" s="23"/>
      <c r="AL800" s="23"/>
      <c r="AM800" s="23"/>
      <c r="AN800" s="23"/>
      <c r="AO800" s="23"/>
      <c r="AP800" s="37"/>
      <c r="AQ800" s="37"/>
      <c r="AR800" s="24"/>
      <c r="AS800" s="24"/>
      <c r="AT800" s="24"/>
      <c r="AU800" s="24"/>
      <c r="AV800" s="24"/>
      <c r="AW800" s="24"/>
      <c r="AX800" s="24"/>
      <c r="AY800"/>
    </row>
    <row r="801" spans="1:55" ht="18" x14ac:dyDescent="0.25">
      <c r="A801" s="25" t="s">
        <v>36</v>
      </c>
      <c r="B801" s="1034" t="s">
        <v>37</v>
      </c>
      <c r="C801" s="1035"/>
      <c r="D801" s="1036"/>
      <c r="E801" s="1037" t="s">
        <v>38</v>
      </c>
      <c r="F801" s="1037"/>
      <c r="G801" s="1037"/>
      <c r="H801" s="1037"/>
      <c r="I801" s="1037"/>
      <c r="J801" s="1037"/>
      <c r="K801" s="1037"/>
      <c r="L801" s="1037"/>
      <c r="M801" s="1037"/>
      <c r="N801" s="1037"/>
      <c r="O801" s="1037"/>
      <c r="P801" s="1037"/>
      <c r="Q801" s="1037"/>
      <c r="R801" s="1037"/>
      <c r="S801" s="20"/>
      <c r="T801" s="20"/>
      <c r="U801" s="20"/>
      <c r="V801" s="20"/>
      <c r="W801" s="20"/>
      <c r="X801" s="20"/>
      <c r="Y801" s="20"/>
      <c r="Z801" s="20"/>
      <c r="AA801" s="20"/>
      <c r="AB801" s="20"/>
      <c r="AC801" s="20"/>
      <c r="AD801" s="63"/>
      <c r="AE801" s="20"/>
      <c r="AF801" s="20"/>
      <c r="AG801" s="20"/>
      <c r="AH801" s="20"/>
      <c r="AI801" s="20"/>
      <c r="AJ801" s="23"/>
      <c r="AK801" s="23"/>
      <c r="AL801" s="23"/>
      <c r="AM801" s="23"/>
      <c r="AN801" s="23"/>
      <c r="AO801" s="23"/>
      <c r="AP801" s="37"/>
      <c r="AQ801" s="37"/>
      <c r="AR801" s="23"/>
      <c r="AS801" s="23"/>
      <c r="AT801" s="23"/>
      <c r="AU801" s="23"/>
      <c r="AV801" s="23"/>
      <c r="AW801" s="23"/>
      <c r="AX801" s="37"/>
      <c r="AY801"/>
    </row>
    <row r="802" spans="1:55" ht="37.5" customHeight="1" x14ac:dyDescent="0.25">
      <c r="A802" s="110">
        <v>13</v>
      </c>
      <c r="B802" s="1024" t="s">
        <v>92</v>
      </c>
      <c r="C802" s="1025"/>
      <c r="D802" s="1026"/>
      <c r="E802" s="1027" t="s">
        <v>83</v>
      </c>
      <c r="F802" s="1027"/>
      <c r="G802" s="1027"/>
      <c r="H802" s="1027"/>
      <c r="I802" s="1027"/>
      <c r="J802" s="1027"/>
      <c r="K802" s="1027"/>
      <c r="L802" s="1027"/>
      <c r="M802" s="1027"/>
      <c r="N802" s="1027"/>
      <c r="O802" s="1027"/>
      <c r="P802" s="1027"/>
      <c r="Q802" s="1027"/>
      <c r="R802" s="1027"/>
      <c r="S802" s="20"/>
      <c r="T802" s="20"/>
      <c r="U802" s="20"/>
      <c r="V802" s="20"/>
      <c r="W802" s="20"/>
      <c r="X802" s="20"/>
      <c r="Y802" s="20"/>
      <c r="Z802" s="20"/>
      <c r="AA802" s="20"/>
      <c r="AB802" s="20"/>
      <c r="AC802" s="20"/>
      <c r="AD802" s="63"/>
      <c r="AE802" s="20"/>
      <c r="AF802" s="20"/>
      <c r="AG802" s="20"/>
      <c r="AH802" s="20"/>
      <c r="AI802" s="20"/>
      <c r="AJ802" s="23"/>
      <c r="AK802" s="23"/>
      <c r="AL802" s="23"/>
      <c r="AM802" s="23"/>
      <c r="AN802" s="23"/>
      <c r="AO802" s="23"/>
      <c r="AP802" s="37"/>
      <c r="AQ802" s="37"/>
      <c r="AR802" s="23"/>
      <c r="AS802" s="23"/>
      <c r="AT802" s="23"/>
      <c r="AU802" s="23"/>
      <c r="AV802" s="23"/>
      <c r="AW802" s="23"/>
      <c r="AX802" s="37"/>
      <c r="AY802"/>
    </row>
    <row r="803" spans="1:55" ht="74.25" customHeight="1" x14ac:dyDescent="0.25">
      <c r="A803" s="110">
        <v>14</v>
      </c>
      <c r="B803" s="1024" t="s">
        <v>272</v>
      </c>
      <c r="C803" s="1025"/>
      <c r="D803" s="1026"/>
      <c r="E803" s="1027"/>
      <c r="F803" s="1027"/>
      <c r="G803" s="1027"/>
      <c r="H803" s="1027"/>
      <c r="I803" s="1027"/>
      <c r="J803" s="1027"/>
      <c r="K803" s="1027"/>
      <c r="L803" s="1027"/>
      <c r="M803" s="1027"/>
      <c r="N803" s="1027"/>
      <c r="O803" s="1027"/>
      <c r="P803" s="1027"/>
      <c r="Q803" s="1027"/>
      <c r="R803" s="1027"/>
      <c r="S803" s="20"/>
      <c r="T803" s="20"/>
      <c r="U803" s="20"/>
      <c r="V803" s="20"/>
      <c r="W803" s="20"/>
      <c r="X803" s="20"/>
      <c r="Y803" s="20"/>
      <c r="Z803" s="20"/>
      <c r="AA803" s="20"/>
      <c r="AB803" s="20"/>
      <c r="AC803" s="20"/>
      <c r="AD803" s="63"/>
      <c r="AE803" s="20"/>
      <c r="AF803" s="20"/>
      <c r="AG803" s="20"/>
      <c r="AH803" s="20"/>
      <c r="AI803" s="20"/>
      <c r="AJ803" s="20"/>
      <c r="AK803" s="20"/>
      <c r="AL803" s="20"/>
      <c r="AM803" s="20"/>
      <c r="AN803" s="20"/>
      <c r="AO803" s="20"/>
      <c r="AP803" s="36"/>
      <c r="AQ803" s="36"/>
      <c r="AR803" s="20"/>
      <c r="AS803" s="20"/>
      <c r="AT803" s="20"/>
      <c r="AU803" s="20"/>
      <c r="AV803" s="20"/>
      <c r="AW803" s="20"/>
      <c r="AX803" s="36"/>
      <c r="AY803"/>
    </row>
    <row r="804" spans="1:55" s="282" customFormat="1" x14ac:dyDescent="0.25">
      <c r="A804" s="26"/>
      <c r="B804" s="26"/>
      <c r="C804" s="276"/>
      <c r="D804" s="26"/>
      <c r="E804" s="26"/>
      <c r="F804" s="26"/>
      <c r="G804" s="276"/>
      <c r="H804" s="276"/>
      <c r="I804" s="276"/>
      <c r="J804" s="283"/>
      <c r="K804" s="280"/>
      <c r="L804" s="283"/>
      <c r="M804" s="283"/>
      <c r="N804" s="283"/>
      <c r="O804" s="283"/>
      <c r="P804" s="283"/>
      <c r="Q804" s="283"/>
      <c r="R804" s="283"/>
      <c r="S804" s="280"/>
      <c r="T804" s="276"/>
      <c r="U804" s="276"/>
      <c r="V804" s="276"/>
      <c r="W804" s="283"/>
      <c r="X804" s="280"/>
      <c r="Y804" s="280"/>
      <c r="Z804" s="280"/>
      <c r="AA804" s="280"/>
      <c r="AB804" s="280"/>
      <c r="AC804" s="280"/>
      <c r="AD804" s="280"/>
      <c r="AE804" s="280"/>
      <c r="AF804" s="280"/>
      <c r="AG804" s="276"/>
      <c r="AH804" s="276"/>
      <c r="AI804" s="276"/>
      <c r="AJ804" s="276"/>
      <c r="AK804" s="276"/>
      <c r="AL804" s="276"/>
      <c r="AM804" s="276"/>
      <c r="AN804" s="276"/>
      <c r="AO804" s="276"/>
      <c r="AP804" s="281"/>
      <c r="AQ804" s="281"/>
      <c r="AR804" s="276"/>
      <c r="AS804" s="276"/>
      <c r="AT804" s="276"/>
      <c r="AU804" s="276"/>
      <c r="AV804" s="276"/>
      <c r="AW804" s="276"/>
      <c r="AX804" s="281"/>
      <c r="AZ804"/>
      <c r="BA804"/>
      <c r="BB804"/>
      <c r="BC804"/>
    </row>
    <row r="805" spans="1:55" s="282" customFormat="1" x14ac:dyDescent="0.25">
      <c r="A805" s="26"/>
      <c r="B805" s="26"/>
      <c r="C805" s="276"/>
      <c r="D805" s="26"/>
      <c r="E805" s="26"/>
      <c r="F805" s="26"/>
      <c r="G805" s="276"/>
      <c r="H805" s="276"/>
      <c r="I805" s="276"/>
      <c r="J805" s="283"/>
      <c r="K805" s="280"/>
      <c r="L805" s="283"/>
      <c r="M805" s="283"/>
      <c r="N805" s="283"/>
      <c r="O805" s="283"/>
      <c r="P805" s="283"/>
      <c r="Q805" s="283"/>
      <c r="R805" s="283"/>
      <c r="S805" s="280"/>
      <c r="T805" s="276"/>
      <c r="U805" s="276"/>
      <c r="V805" s="276"/>
      <c r="W805" s="283"/>
      <c r="X805" s="280"/>
      <c r="Y805" s="280"/>
      <c r="Z805" s="280"/>
      <c r="AA805" s="280"/>
      <c r="AB805" s="280"/>
      <c r="AC805" s="280"/>
      <c r="AD805" s="280"/>
      <c r="AE805" s="280"/>
      <c r="AF805" s="280"/>
      <c r="AG805" s="276"/>
      <c r="AH805" s="276"/>
      <c r="AI805" s="276"/>
      <c r="AJ805" s="276"/>
      <c r="AK805" s="276"/>
      <c r="AL805" s="276"/>
      <c r="AM805" s="276"/>
      <c r="AN805" s="276"/>
      <c r="AO805" s="276"/>
      <c r="AP805" s="281"/>
      <c r="AQ805" s="281"/>
      <c r="AR805" s="276"/>
      <c r="AS805" s="276"/>
      <c r="AT805" s="276"/>
      <c r="AU805" s="276"/>
      <c r="AV805" s="276"/>
      <c r="AW805" s="276"/>
      <c r="AX805" s="281"/>
      <c r="AZ805"/>
      <c r="BA805"/>
      <c r="BB805"/>
      <c r="BC805"/>
    </row>
    <row r="806" spans="1:55" s="282" customFormat="1" x14ac:dyDescent="0.25">
      <c r="A806" s="26"/>
      <c r="B806" s="26"/>
      <c r="C806" s="276"/>
      <c r="D806" s="26"/>
      <c r="E806" s="27"/>
      <c r="F806" s="27"/>
      <c r="G806" s="277"/>
      <c r="H806" s="277"/>
      <c r="I806" s="277"/>
      <c r="J806" s="278"/>
      <c r="K806" s="279"/>
      <c r="L806" s="278"/>
      <c r="M806" s="278"/>
      <c r="N806" s="278"/>
      <c r="O806" s="278"/>
      <c r="P806" s="278"/>
      <c r="Q806" s="278"/>
      <c r="R806" s="278"/>
      <c r="S806" s="279"/>
      <c r="T806" s="277"/>
      <c r="U806" s="277"/>
      <c r="V806" s="277"/>
      <c r="W806" s="278"/>
      <c r="X806" s="279"/>
      <c r="Y806" s="279"/>
      <c r="Z806" s="279"/>
      <c r="AA806" s="279"/>
      <c r="AB806" s="279"/>
      <c r="AC806" s="279"/>
      <c r="AD806" s="280"/>
      <c r="AE806" s="280"/>
      <c r="AF806" s="280"/>
      <c r="AG806" s="276"/>
      <c r="AH806" s="276"/>
      <c r="AI806" s="276"/>
      <c r="AJ806" s="276"/>
      <c r="AK806" s="276"/>
      <c r="AL806" s="276"/>
      <c r="AM806" s="276"/>
      <c r="AN806" s="276"/>
      <c r="AO806" s="276"/>
      <c r="AP806" s="281"/>
      <c r="AQ806" s="281"/>
      <c r="AR806" s="276"/>
      <c r="AS806" s="276"/>
      <c r="AT806" s="276"/>
      <c r="AU806" s="276"/>
      <c r="AV806" s="276"/>
      <c r="AW806" s="276"/>
      <c r="AX806" s="281"/>
      <c r="AZ806"/>
      <c r="BA806"/>
      <c r="BB806"/>
      <c r="BC806"/>
    </row>
    <row r="807" spans="1:55" s="282" customFormat="1" ht="15.75" x14ac:dyDescent="0.25">
      <c r="A807" s="26"/>
      <c r="B807" s="26"/>
      <c r="C807" s="276"/>
      <c r="D807" s="26"/>
      <c r="E807" s="28"/>
      <c r="F807" s="28"/>
      <c r="G807" s="284"/>
      <c r="H807" s="284"/>
      <c r="I807" s="284"/>
      <c r="J807" s="285"/>
      <c r="K807" s="286"/>
      <c r="L807" s="285"/>
      <c r="M807" s="285"/>
      <c r="N807" s="285"/>
      <c r="O807" s="285"/>
      <c r="P807" s="285"/>
      <c r="Q807" s="285"/>
      <c r="R807" s="283"/>
      <c r="S807" s="280"/>
      <c r="T807" s="276"/>
      <c r="U807" s="276"/>
      <c r="V807" s="276"/>
      <c r="W807" s="283"/>
      <c r="X807" s="280"/>
      <c r="Y807" s="280"/>
      <c r="Z807" s="280"/>
      <c r="AA807" s="280"/>
      <c r="AB807" s="280"/>
      <c r="AC807" s="280"/>
      <c r="AD807" s="280"/>
      <c r="AE807" s="280"/>
      <c r="AF807" s="280"/>
      <c r="AG807" s="276"/>
      <c r="AH807" s="276"/>
      <c r="AI807" s="276"/>
      <c r="AJ807" s="276"/>
      <c r="AK807" s="276"/>
      <c r="AL807" s="276"/>
      <c r="AM807" s="276"/>
      <c r="AN807" s="276"/>
      <c r="AO807" s="276"/>
      <c r="AP807" s="281"/>
      <c r="AQ807" s="281"/>
      <c r="AR807" s="276"/>
      <c r="AS807" s="276"/>
      <c r="AT807" s="276"/>
      <c r="AU807" s="276"/>
      <c r="AV807" s="276"/>
      <c r="AW807" s="276"/>
      <c r="AX807" s="281"/>
      <c r="AZ807"/>
      <c r="BA807"/>
      <c r="BB807"/>
      <c r="BC807"/>
    </row>
    <row r="808" spans="1:55" s="282" customFormat="1" x14ac:dyDescent="0.25">
      <c r="A808" s="26"/>
      <c r="B808" s="26"/>
      <c r="C808" s="276"/>
      <c r="D808" s="26"/>
      <c r="E808" s="26"/>
      <c r="F808" s="26"/>
      <c r="G808" s="276"/>
      <c r="H808" s="276"/>
      <c r="I808" s="276"/>
      <c r="J808" s="283"/>
      <c r="K808" s="280"/>
      <c r="L808" s="283"/>
      <c r="M808" s="283"/>
      <c r="N808" s="283"/>
      <c r="O808" s="283"/>
      <c r="P808" s="283"/>
      <c r="Q808" s="283"/>
      <c r="R808" s="283"/>
      <c r="S808" s="280"/>
      <c r="T808" s="276"/>
      <c r="U808" s="276"/>
      <c r="V808" s="276"/>
      <c r="W808" s="283"/>
      <c r="X808" s="280"/>
      <c r="Y808" s="280"/>
      <c r="Z808" s="280"/>
      <c r="AA808" s="280"/>
      <c r="AB808" s="280"/>
      <c r="AC808" s="280"/>
      <c r="AD808" s="287"/>
      <c r="AE808" s="280"/>
      <c r="AF808" s="280"/>
      <c r="AG808" s="276"/>
      <c r="AH808" s="276"/>
      <c r="AI808" s="276"/>
      <c r="AJ808" s="276"/>
      <c r="AK808" s="276"/>
      <c r="AL808" s="276"/>
      <c r="AM808" s="276"/>
      <c r="AN808" s="276"/>
      <c r="AO808" s="276"/>
      <c r="AP808" s="281"/>
      <c r="AQ808" s="281"/>
      <c r="AR808" s="276"/>
      <c r="AS808" s="276"/>
      <c r="AT808" s="276"/>
      <c r="AU808" s="276"/>
      <c r="AV808" s="276"/>
      <c r="AW808" s="276"/>
      <c r="AX808" s="281"/>
      <c r="AZ808"/>
      <c r="BA808"/>
      <c r="BB808"/>
      <c r="BC808"/>
    </row>
    <row r="809" spans="1:55" s="282" customFormat="1" x14ac:dyDescent="0.25">
      <c r="A809" s="26"/>
      <c r="B809" s="26"/>
      <c r="C809" s="276"/>
      <c r="D809" s="26"/>
      <c r="E809" s="27"/>
      <c r="F809" s="27"/>
      <c r="G809" s="277"/>
      <c r="H809" s="277"/>
      <c r="I809" s="277"/>
      <c r="J809" s="278"/>
      <c r="K809" s="279"/>
      <c r="L809" s="278"/>
      <c r="M809" s="278"/>
      <c r="N809" s="278"/>
      <c r="O809" s="278"/>
      <c r="P809" s="278"/>
      <c r="Q809" s="278"/>
      <c r="R809" s="278"/>
      <c r="S809" s="279"/>
      <c r="T809" s="277"/>
      <c r="U809" s="277"/>
      <c r="V809" s="277"/>
      <c r="W809" s="278"/>
      <c r="X809" s="279"/>
      <c r="Y809" s="279"/>
      <c r="Z809" s="279"/>
      <c r="AA809" s="279"/>
      <c r="AB809" s="279"/>
      <c r="AC809" s="279"/>
      <c r="AD809" s="280"/>
      <c r="AE809" s="280"/>
      <c r="AF809" s="280"/>
      <c r="AG809" s="276"/>
      <c r="AH809" s="276"/>
      <c r="AI809" s="276"/>
      <c r="AJ809" s="276"/>
      <c r="AK809" s="276"/>
      <c r="AL809" s="276"/>
      <c r="AM809" s="276"/>
      <c r="AN809" s="276"/>
      <c r="AO809" s="276"/>
      <c r="AP809" s="281"/>
      <c r="AQ809" s="281"/>
      <c r="AR809" s="276"/>
      <c r="AS809" s="276"/>
      <c r="AT809" s="276"/>
      <c r="AU809" s="276"/>
      <c r="AV809" s="276"/>
      <c r="AW809" s="276"/>
      <c r="AX809" s="281"/>
      <c r="AZ809"/>
      <c r="BA809"/>
      <c r="BB809"/>
      <c r="BC809"/>
    </row>
    <row r="810" spans="1:55" s="282" customFormat="1" x14ac:dyDescent="0.25">
      <c r="A810" s="26"/>
      <c r="B810" s="26"/>
      <c r="C810" s="276"/>
      <c r="D810" s="26"/>
      <c r="E810" s="26"/>
      <c r="F810" s="26"/>
      <c r="G810" s="276"/>
      <c r="H810" s="276"/>
      <c r="I810" s="276"/>
      <c r="J810" s="283"/>
      <c r="K810" s="280"/>
      <c r="L810" s="283"/>
      <c r="M810" s="283"/>
      <c r="N810" s="283"/>
      <c r="O810" s="283"/>
      <c r="P810" s="283"/>
      <c r="Q810" s="283"/>
      <c r="R810" s="283"/>
      <c r="S810" s="280"/>
      <c r="T810" s="276"/>
      <c r="U810" s="276"/>
      <c r="V810" s="276"/>
      <c r="W810" s="283"/>
      <c r="X810" s="280"/>
      <c r="Y810" s="280"/>
      <c r="Z810" s="280"/>
      <c r="AA810" s="280"/>
      <c r="AB810" s="280"/>
      <c r="AC810" s="280"/>
      <c r="AD810" s="280"/>
      <c r="AE810" s="280"/>
      <c r="AF810" s="280"/>
      <c r="AG810" s="276"/>
      <c r="AH810" s="276"/>
      <c r="AI810" s="276"/>
      <c r="AJ810" s="276"/>
      <c r="AK810" s="276"/>
      <c r="AL810" s="276"/>
      <c r="AM810" s="276"/>
      <c r="AN810" s="276"/>
      <c r="AO810" s="276"/>
      <c r="AP810" s="281"/>
      <c r="AQ810" s="281"/>
      <c r="AR810" s="276"/>
      <c r="AS810" s="276"/>
      <c r="AT810" s="276"/>
      <c r="AU810" s="276"/>
      <c r="AV810" s="276"/>
      <c r="AW810" s="276"/>
      <c r="AX810" s="281"/>
      <c r="AZ810"/>
      <c r="BA810"/>
      <c r="BB810"/>
      <c r="BC810"/>
    </row>
    <row r="811" spans="1:55" s="282" customFormat="1" x14ac:dyDescent="0.25">
      <c r="A811" s="26"/>
      <c r="B811" s="26"/>
      <c r="C811" s="276"/>
      <c r="D811" s="26"/>
      <c r="E811" s="26"/>
      <c r="F811" s="26"/>
      <c r="G811" s="276"/>
      <c r="H811" s="276"/>
      <c r="I811" s="276"/>
      <c r="J811" s="283"/>
      <c r="K811" s="280"/>
      <c r="L811" s="283"/>
      <c r="M811" s="283"/>
      <c r="N811" s="283"/>
      <c r="O811" s="283"/>
      <c r="P811" s="283"/>
      <c r="Q811" s="283"/>
      <c r="R811" s="283"/>
      <c r="S811" s="280"/>
      <c r="T811" s="276"/>
      <c r="U811" s="276"/>
      <c r="V811" s="276"/>
      <c r="W811" s="283"/>
      <c r="X811" s="280"/>
      <c r="Y811" s="280"/>
      <c r="Z811" s="280"/>
      <c r="AA811" s="280"/>
      <c r="AB811" s="280"/>
      <c r="AC811" s="280"/>
      <c r="AD811" s="280"/>
      <c r="AE811" s="280"/>
      <c r="AF811" s="280"/>
      <c r="AG811" s="276"/>
      <c r="AH811" s="276"/>
      <c r="AI811" s="276"/>
      <c r="AJ811" s="276"/>
      <c r="AK811" s="276"/>
      <c r="AL811" s="276"/>
      <c r="AM811" s="276"/>
      <c r="AN811" s="276"/>
      <c r="AO811" s="276"/>
      <c r="AP811" s="281"/>
      <c r="AQ811" s="281"/>
      <c r="AR811" s="276"/>
      <c r="AS811" s="276"/>
      <c r="AT811" s="276"/>
      <c r="AU811" s="276"/>
      <c r="AV811" s="276"/>
      <c r="AW811" s="276"/>
      <c r="AX811" s="281"/>
      <c r="AZ811"/>
      <c r="BA811"/>
      <c r="BB811"/>
      <c r="BC811"/>
    </row>
    <row r="812" spans="1:55" s="282" customFormat="1" x14ac:dyDescent="0.25">
      <c r="A812" s="26"/>
      <c r="B812" s="26"/>
      <c r="C812" s="276"/>
      <c r="D812" s="26"/>
      <c r="E812" s="26"/>
      <c r="F812" s="26"/>
      <c r="G812" s="276"/>
      <c r="H812" s="276"/>
      <c r="I812" s="276"/>
      <c r="J812" s="283"/>
      <c r="K812" s="280"/>
      <c r="L812" s="283"/>
      <c r="M812" s="283"/>
      <c r="N812" s="283"/>
      <c r="O812" s="283"/>
      <c r="P812" s="283"/>
      <c r="Q812" s="283"/>
      <c r="R812" s="283"/>
      <c r="S812" s="280"/>
      <c r="T812" s="276"/>
      <c r="U812" s="276"/>
      <c r="V812" s="276"/>
      <c r="W812" s="283"/>
      <c r="X812" s="280"/>
      <c r="Y812" s="280"/>
      <c r="Z812" s="280"/>
      <c r="AA812" s="280"/>
      <c r="AB812" s="280"/>
      <c r="AC812" s="280"/>
      <c r="AD812" s="280"/>
      <c r="AE812" s="280"/>
      <c r="AF812" s="280"/>
      <c r="AG812" s="276"/>
      <c r="AH812" s="276"/>
      <c r="AI812" s="276"/>
      <c r="AJ812" s="276"/>
      <c r="AK812" s="276"/>
      <c r="AL812" s="276"/>
      <c r="AM812" s="276"/>
      <c r="AN812" s="276"/>
      <c r="AO812" s="276"/>
      <c r="AP812" s="281"/>
      <c r="AQ812" s="281"/>
      <c r="AR812" s="276"/>
      <c r="AS812" s="276"/>
      <c r="AT812" s="276"/>
      <c r="AU812" s="276"/>
      <c r="AV812" s="276"/>
      <c r="AW812" s="276"/>
      <c r="AX812" s="281"/>
      <c r="AZ812"/>
      <c r="BA812"/>
      <c r="BB812"/>
      <c r="BC812"/>
    </row>
    <row r="813" spans="1:55" s="282" customFormat="1" x14ac:dyDescent="0.25">
      <c r="A813" s="26"/>
      <c r="B813" s="26"/>
      <c r="C813" s="276"/>
      <c r="D813" s="26"/>
      <c r="E813" s="26"/>
      <c r="F813" s="26"/>
      <c r="G813" s="276"/>
      <c r="H813" s="276"/>
      <c r="I813" s="276"/>
      <c r="J813" s="283"/>
      <c r="K813" s="280"/>
      <c r="L813" s="283"/>
      <c r="M813" s="283"/>
      <c r="N813" s="283"/>
      <c r="O813" s="283"/>
      <c r="P813" s="283"/>
      <c r="Q813" s="283"/>
      <c r="R813" s="283"/>
      <c r="S813" s="280"/>
      <c r="T813" s="276"/>
      <c r="U813" s="276"/>
      <c r="V813" s="276"/>
      <c r="W813" s="283"/>
      <c r="X813" s="280"/>
      <c r="Y813" s="280"/>
      <c r="Z813" s="280"/>
      <c r="AA813" s="280"/>
      <c r="AB813" s="280"/>
      <c r="AC813" s="280"/>
      <c r="AD813" s="280"/>
      <c r="AE813" s="280"/>
      <c r="AF813" s="280"/>
      <c r="AG813" s="276"/>
      <c r="AH813" s="276"/>
      <c r="AI813" s="276"/>
      <c r="AJ813" s="276"/>
      <c r="AK813" s="276"/>
      <c r="AL813" s="276"/>
      <c r="AM813" s="276"/>
      <c r="AN813" s="276"/>
      <c r="AO813" s="276"/>
      <c r="AP813" s="281"/>
      <c r="AQ813" s="281"/>
      <c r="AR813" s="276"/>
      <c r="AS813" s="276"/>
      <c r="AT813" s="276"/>
      <c r="AU813" s="276"/>
      <c r="AV813" s="276"/>
      <c r="AW813" s="276"/>
      <c r="AX813" s="281"/>
      <c r="AZ813"/>
      <c r="BA813"/>
      <c r="BB813"/>
      <c r="BC813"/>
    </row>
    <row r="814" spans="1:55" s="282" customFormat="1" x14ac:dyDescent="0.25">
      <c r="A814" s="26"/>
      <c r="B814" s="26"/>
      <c r="C814" s="276"/>
      <c r="D814" s="26"/>
      <c r="E814" s="26"/>
      <c r="F814" s="26"/>
      <c r="G814" s="276"/>
      <c r="H814" s="276"/>
      <c r="I814" s="276"/>
      <c r="J814" s="283"/>
      <c r="K814" s="280"/>
      <c r="L814" s="283"/>
      <c r="M814" s="283"/>
      <c r="N814" s="283"/>
      <c r="O814" s="283"/>
      <c r="P814" s="283"/>
      <c r="Q814" s="283"/>
      <c r="R814" s="283"/>
      <c r="S814" s="280"/>
      <c r="T814" s="276"/>
      <c r="U814" s="276"/>
      <c r="V814" s="276"/>
      <c r="W814" s="283"/>
      <c r="X814" s="280"/>
      <c r="Y814" s="280"/>
      <c r="Z814" s="280"/>
      <c r="AA814" s="280"/>
      <c r="AB814" s="280"/>
      <c r="AC814" s="280"/>
      <c r="AD814" s="280"/>
      <c r="AE814" s="280"/>
      <c r="AF814" s="280"/>
      <c r="AG814" s="276"/>
      <c r="AH814" s="276"/>
      <c r="AI814" s="276"/>
      <c r="AJ814" s="276"/>
      <c r="AK814" s="276"/>
      <c r="AL814" s="276"/>
      <c r="AM814" s="276"/>
      <c r="AN814" s="276"/>
      <c r="AO814" s="276"/>
      <c r="AP814" s="281"/>
      <c r="AQ814" s="281"/>
      <c r="AR814" s="276"/>
      <c r="AS814" s="276"/>
      <c r="AT814" s="276"/>
      <c r="AU814" s="276"/>
      <c r="AV814" s="276"/>
      <c r="AW814" s="276"/>
      <c r="AX814" s="281"/>
      <c r="AZ814"/>
      <c r="BA814"/>
      <c r="BB814"/>
      <c r="BC814"/>
    </row>
    <row r="815" spans="1:55" s="282" customFormat="1" x14ac:dyDescent="0.25">
      <c r="A815" s="26"/>
      <c r="B815" s="26"/>
      <c r="C815" s="276"/>
      <c r="D815" s="26"/>
      <c r="E815" s="26"/>
      <c r="F815" s="26"/>
      <c r="G815" s="276"/>
      <c r="H815" s="276"/>
      <c r="I815" s="276"/>
      <c r="J815" s="283"/>
      <c r="K815" s="280"/>
      <c r="L815" s="283"/>
      <c r="M815" s="283"/>
      <c r="N815" s="283"/>
      <c r="O815" s="283"/>
      <c r="P815" s="283"/>
      <c r="Q815" s="283"/>
      <c r="R815" s="283"/>
      <c r="S815" s="280"/>
      <c r="T815" s="276"/>
      <c r="U815" s="276"/>
      <c r="V815" s="276"/>
      <c r="W815" s="283"/>
      <c r="X815" s="280"/>
      <c r="Y815" s="280"/>
      <c r="Z815" s="280"/>
      <c r="AA815" s="280"/>
      <c r="AB815" s="280"/>
      <c r="AC815" s="280"/>
      <c r="AD815" s="280"/>
      <c r="AE815" s="280"/>
      <c r="AF815" s="280"/>
      <c r="AG815" s="276"/>
      <c r="AH815" s="276"/>
      <c r="AI815" s="276"/>
      <c r="AJ815" s="276"/>
      <c r="AK815" s="276"/>
      <c r="AL815" s="276"/>
      <c r="AM815" s="276"/>
      <c r="AN815" s="276"/>
      <c r="AO815" s="276"/>
      <c r="AP815" s="281"/>
      <c r="AQ815" s="281"/>
      <c r="AR815" s="276"/>
      <c r="AS815" s="276"/>
      <c r="AT815" s="276"/>
      <c r="AU815" s="276"/>
      <c r="AV815" s="276"/>
      <c r="AW815" s="276"/>
      <c r="AX815" s="281"/>
      <c r="AZ815"/>
      <c r="BA815"/>
      <c r="BB815"/>
      <c r="BC815"/>
    </row>
    <row r="816" spans="1:55" s="282" customFormat="1" x14ac:dyDescent="0.25">
      <c r="A816" s="26"/>
      <c r="B816" s="26"/>
      <c r="C816" s="276"/>
      <c r="D816" s="26"/>
      <c r="E816" s="26"/>
      <c r="F816" s="26"/>
      <c r="G816" s="276"/>
      <c r="H816" s="276"/>
      <c r="I816" s="276"/>
      <c r="J816" s="283"/>
      <c r="K816" s="280"/>
      <c r="L816" s="283"/>
      <c r="M816" s="283"/>
      <c r="N816" s="283"/>
      <c r="O816" s="283"/>
      <c r="P816" s="283"/>
      <c r="Q816" s="283"/>
      <c r="R816" s="283"/>
      <c r="S816" s="280"/>
      <c r="T816" s="276"/>
      <c r="U816" s="276"/>
      <c r="V816" s="276"/>
      <c r="W816" s="283"/>
      <c r="X816" s="280"/>
      <c r="Y816" s="280"/>
      <c r="Z816" s="280"/>
      <c r="AA816" s="280"/>
      <c r="AB816" s="280"/>
      <c r="AC816" s="280"/>
      <c r="AD816" s="280"/>
      <c r="AE816" s="280"/>
      <c r="AF816" s="280"/>
      <c r="AG816" s="276"/>
      <c r="AH816" s="276"/>
      <c r="AI816" s="276"/>
      <c r="AJ816" s="276"/>
      <c r="AK816" s="276"/>
      <c r="AL816" s="276"/>
      <c r="AM816" s="276"/>
      <c r="AN816" s="276"/>
      <c r="AO816" s="276"/>
      <c r="AP816" s="281"/>
      <c r="AQ816" s="281"/>
      <c r="AR816" s="276"/>
      <c r="AS816" s="276"/>
      <c r="AT816" s="276"/>
      <c r="AU816" s="276"/>
      <c r="AV816" s="276"/>
      <c r="AW816" s="276"/>
      <c r="AX816" s="281"/>
      <c r="AZ816"/>
      <c r="BA816"/>
      <c r="BB816"/>
      <c r="BC816"/>
    </row>
    <row r="817" spans="1:55" s="282" customFormat="1" x14ac:dyDescent="0.25">
      <c r="A817"/>
      <c r="B817"/>
      <c r="C817" s="3"/>
      <c r="D817"/>
      <c r="E817"/>
      <c r="F817"/>
      <c r="G817" s="3"/>
      <c r="H817" s="3"/>
      <c r="I817" s="3"/>
      <c r="J817" s="288"/>
      <c r="L817" s="288"/>
      <c r="M817" s="288"/>
      <c r="N817" s="288"/>
      <c r="O817" s="288"/>
      <c r="P817" s="288"/>
      <c r="Q817" s="288"/>
      <c r="R817" s="283"/>
      <c r="S817" s="280"/>
      <c r="T817" s="276"/>
      <c r="U817" s="276"/>
      <c r="V817" s="276"/>
      <c r="W817" s="283"/>
      <c r="X817" s="280"/>
      <c r="Y817" s="280"/>
      <c r="Z817" s="280"/>
      <c r="AA817" s="280"/>
      <c r="AB817" s="280"/>
      <c r="AC817" s="280"/>
      <c r="AD817" s="280"/>
      <c r="AG817" s="3"/>
      <c r="AH817" s="3"/>
      <c r="AI817" s="3"/>
      <c r="AJ817" s="3"/>
      <c r="AK817" s="3"/>
      <c r="AL817" s="3"/>
      <c r="AM817" s="3"/>
      <c r="AN817" s="3"/>
      <c r="AO817" s="3"/>
      <c r="AP817" s="11"/>
      <c r="AQ817" s="11"/>
      <c r="AR817" s="3"/>
      <c r="AS817" s="3"/>
      <c r="AT817" s="3"/>
      <c r="AU817" s="3"/>
      <c r="AV817" s="3"/>
      <c r="AW817" s="3"/>
      <c r="AX817" s="11"/>
      <c r="AZ817"/>
      <c r="BA817"/>
      <c r="BB817"/>
      <c r="BC817"/>
    </row>
    <row r="818" spans="1:55" s="282" customFormat="1" x14ac:dyDescent="0.25">
      <c r="A818"/>
      <c r="B818"/>
      <c r="C818" s="3"/>
      <c r="D818"/>
      <c r="E818"/>
      <c r="F818"/>
      <c r="G818" s="3"/>
      <c r="H818" s="3"/>
      <c r="I818" s="3"/>
      <c r="J818" s="288"/>
      <c r="L818" s="288"/>
      <c r="M818" s="288"/>
      <c r="N818" s="288"/>
      <c r="O818" s="288"/>
      <c r="P818" s="288"/>
      <c r="Q818" s="288"/>
      <c r="R818" s="283"/>
      <c r="S818" s="280"/>
      <c r="T818" s="276"/>
      <c r="U818" s="276"/>
      <c r="V818" s="276"/>
      <c r="W818" s="283"/>
      <c r="X818" s="280"/>
      <c r="Y818" s="280"/>
      <c r="Z818" s="280"/>
      <c r="AA818" s="280"/>
      <c r="AB818" s="280"/>
      <c r="AC818" s="280"/>
      <c r="AD818" s="280"/>
      <c r="AG818" s="3"/>
      <c r="AH818" s="3"/>
      <c r="AI818" s="3"/>
      <c r="AJ818" s="3"/>
      <c r="AK818" s="3"/>
      <c r="AL818" s="3"/>
      <c r="AM818" s="3"/>
      <c r="AN818" s="3"/>
      <c r="AO818" s="3"/>
      <c r="AP818" s="11"/>
      <c r="AQ818" s="11"/>
      <c r="AR818" s="3"/>
      <c r="AS818" s="3"/>
      <c r="AT818" s="3"/>
      <c r="AU818" s="3"/>
      <c r="AV818" s="3"/>
      <c r="AW818" s="3"/>
      <c r="AX818" s="11"/>
      <c r="AZ818"/>
      <c r="BA818"/>
      <c r="BB818"/>
      <c r="BC818"/>
    </row>
    <row r="819" spans="1:55" s="282" customFormat="1" x14ac:dyDescent="0.25">
      <c r="A819"/>
      <c r="B819"/>
      <c r="C819" s="3"/>
      <c r="D819"/>
      <c r="E819"/>
      <c r="F819"/>
      <c r="G819" s="3"/>
      <c r="H819" s="3"/>
      <c r="I819" s="3"/>
      <c r="J819" s="288"/>
      <c r="L819" s="288"/>
      <c r="M819" s="288"/>
      <c r="N819" s="288"/>
      <c r="O819" s="288"/>
      <c r="P819" s="288"/>
      <c r="Q819" s="288"/>
      <c r="R819" s="283"/>
      <c r="S819" s="280"/>
      <c r="T819" s="276"/>
      <c r="U819" s="276"/>
      <c r="V819" s="276"/>
      <c r="W819" s="283"/>
      <c r="X819" s="280"/>
      <c r="Y819" s="280"/>
      <c r="Z819" s="280"/>
      <c r="AA819" s="280"/>
      <c r="AB819" s="280"/>
      <c r="AC819" s="280"/>
      <c r="AD819" s="280"/>
      <c r="AG819" s="3"/>
      <c r="AH819" s="3"/>
      <c r="AI819" s="3"/>
      <c r="AJ819" s="3"/>
      <c r="AK819" s="3"/>
      <c r="AL819" s="3"/>
      <c r="AM819" s="3"/>
      <c r="AN819" s="3"/>
      <c r="AO819" s="3"/>
      <c r="AP819" s="11"/>
      <c r="AQ819" s="11"/>
      <c r="AR819" s="3"/>
      <c r="AS819" s="3"/>
      <c r="AT819" s="3"/>
      <c r="AU819" s="3"/>
      <c r="AV819" s="3"/>
      <c r="AW819" s="3"/>
      <c r="AX819" s="11"/>
      <c r="AZ819"/>
      <c r="BA819"/>
      <c r="BB819"/>
      <c r="BC819"/>
    </row>
    <row r="820" spans="1:55" s="282" customFormat="1" x14ac:dyDescent="0.25">
      <c r="A820"/>
      <c r="B820"/>
      <c r="C820" s="3"/>
      <c r="D820"/>
      <c r="E820"/>
      <c r="F820"/>
      <c r="G820" s="3"/>
      <c r="H820" s="3"/>
      <c r="I820" s="3"/>
      <c r="J820" s="288"/>
      <c r="L820" s="288"/>
      <c r="M820" s="288"/>
      <c r="N820" s="288"/>
      <c r="O820" s="288"/>
      <c r="P820" s="288"/>
      <c r="Q820" s="288"/>
      <c r="R820" s="283"/>
      <c r="S820" s="280"/>
      <c r="T820" s="276"/>
      <c r="U820" s="276"/>
      <c r="V820" s="276"/>
      <c r="W820" s="283"/>
      <c r="X820" s="280"/>
      <c r="Y820" s="280"/>
      <c r="Z820" s="280"/>
      <c r="AA820" s="280"/>
      <c r="AB820" s="280"/>
      <c r="AC820" s="280"/>
      <c r="AD820" s="280"/>
      <c r="AG820" s="3"/>
      <c r="AH820" s="3"/>
      <c r="AI820" s="3"/>
      <c r="AJ820" s="3"/>
      <c r="AK820" s="3"/>
      <c r="AL820" s="3"/>
      <c r="AM820" s="3"/>
      <c r="AN820" s="3"/>
      <c r="AO820" s="3"/>
      <c r="AP820" s="11"/>
      <c r="AQ820" s="11"/>
      <c r="AR820" s="3"/>
      <c r="AS820" s="3"/>
      <c r="AT820" s="3"/>
      <c r="AU820" s="3"/>
      <c r="AV820" s="3"/>
      <c r="AW820" s="3"/>
      <c r="AX820" s="11"/>
      <c r="AZ820"/>
      <c r="BA820"/>
      <c r="BB820"/>
      <c r="BC820"/>
    </row>
    <row r="821" spans="1:55" s="282" customFormat="1" x14ac:dyDescent="0.25">
      <c r="A821"/>
      <c r="B821"/>
      <c r="C821" s="3"/>
      <c r="D821"/>
      <c r="E821"/>
      <c r="F821"/>
      <c r="G821" s="3"/>
      <c r="H821" s="3"/>
      <c r="I821" s="3"/>
      <c r="J821" s="288"/>
      <c r="L821" s="288"/>
      <c r="M821" s="288"/>
      <c r="N821" s="288"/>
      <c r="O821" s="288"/>
      <c r="P821" s="288"/>
      <c r="Q821" s="288"/>
      <c r="R821" s="283"/>
      <c r="S821" s="280"/>
      <c r="T821" s="276"/>
      <c r="U821" s="276"/>
      <c r="V821" s="276"/>
      <c r="W821" s="283"/>
      <c r="X821" s="280"/>
      <c r="Y821" s="280"/>
      <c r="Z821" s="280"/>
      <c r="AA821" s="280"/>
      <c r="AB821" s="280"/>
      <c r="AC821" s="280"/>
      <c r="AD821" s="280"/>
      <c r="AG821" s="3"/>
      <c r="AH821" s="3"/>
      <c r="AI821" s="3"/>
      <c r="AJ821" s="3"/>
      <c r="AK821" s="3"/>
      <c r="AL821" s="3"/>
      <c r="AM821" s="3"/>
      <c r="AN821" s="3"/>
      <c r="AO821" s="3"/>
      <c r="AP821" s="11"/>
      <c r="AQ821" s="11"/>
      <c r="AR821" s="3"/>
      <c r="AS821" s="3"/>
      <c r="AT821" s="3"/>
      <c r="AU821" s="3"/>
      <c r="AV821" s="3"/>
      <c r="AW821" s="3"/>
      <c r="AX821" s="11"/>
      <c r="AZ821"/>
      <c r="BA821"/>
      <c r="BB821"/>
      <c r="BC821"/>
    </row>
    <row r="822" spans="1:55" s="282" customFormat="1" x14ac:dyDescent="0.25">
      <c r="A822"/>
      <c r="B822"/>
      <c r="C822" s="3"/>
      <c r="D822"/>
      <c r="E822"/>
      <c r="F822"/>
      <c r="G822" s="3"/>
      <c r="H822" s="3"/>
      <c r="I822" s="3"/>
      <c r="J822" s="288"/>
      <c r="L822" s="288"/>
      <c r="M822" s="288"/>
      <c r="N822" s="288"/>
      <c r="O822" s="288"/>
      <c r="P822" s="288"/>
      <c r="Q822" s="288"/>
      <c r="R822" s="283"/>
      <c r="S822" s="280"/>
      <c r="T822" s="276"/>
      <c r="U822" s="276"/>
      <c r="V822" s="276"/>
      <c r="W822" s="283"/>
      <c r="X822" s="280"/>
      <c r="Y822" s="280"/>
      <c r="Z822" s="280"/>
      <c r="AA822" s="280"/>
      <c r="AB822" s="280"/>
      <c r="AC822" s="280"/>
      <c r="AD822" s="280"/>
      <c r="AG822" s="3"/>
      <c r="AH822" s="3"/>
      <c r="AI822" s="3"/>
      <c r="AJ822" s="3"/>
      <c r="AK822" s="3"/>
      <c r="AL822" s="3"/>
      <c r="AM822" s="3"/>
      <c r="AN822" s="3"/>
      <c r="AO822" s="3"/>
      <c r="AP822" s="11"/>
      <c r="AQ822" s="11"/>
      <c r="AR822" s="3"/>
      <c r="AS822" s="3"/>
      <c r="AT822" s="3"/>
      <c r="AU822" s="3"/>
      <c r="AV822" s="3"/>
      <c r="AW822" s="3"/>
      <c r="AX822" s="11"/>
      <c r="AZ822"/>
      <c r="BA822"/>
      <c r="BB822"/>
      <c r="BC822"/>
    </row>
    <row r="823" spans="1:55" s="282" customFormat="1" x14ac:dyDescent="0.25">
      <c r="A823"/>
      <c r="B823"/>
      <c r="C823" s="3"/>
      <c r="D823"/>
      <c r="E823"/>
      <c r="F823"/>
      <c r="G823" s="3"/>
      <c r="H823" s="3"/>
      <c r="I823" s="3"/>
      <c r="J823" s="288"/>
      <c r="L823" s="288"/>
      <c r="M823" s="288"/>
      <c r="N823" s="288"/>
      <c r="O823" s="288"/>
      <c r="P823" s="288"/>
      <c r="Q823" s="288"/>
      <c r="R823" s="283"/>
      <c r="S823" s="280"/>
      <c r="T823" s="276"/>
      <c r="U823" s="276"/>
      <c r="V823" s="276"/>
      <c r="W823" s="283"/>
      <c r="X823" s="280"/>
      <c r="Y823" s="280"/>
      <c r="Z823" s="280"/>
      <c r="AA823" s="280"/>
      <c r="AB823" s="280"/>
      <c r="AC823" s="280"/>
      <c r="AD823" s="280"/>
      <c r="AG823" s="3"/>
      <c r="AH823" s="3"/>
      <c r="AI823" s="3"/>
      <c r="AJ823" s="3"/>
      <c r="AK823" s="3"/>
      <c r="AL823" s="3"/>
      <c r="AM823" s="3"/>
      <c r="AN823" s="3"/>
      <c r="AO823" s="3"/>
      <c r="AP823" s="11"/>
      <c r="AQ823" s="11"/>
      <c r="AR823" s="3"/>
      <c r="AS823" s="3"/>
      <c r="AT823" s="3"/>
      <c r="AU823" s="3"/>
      <c r="AV823" s="3"/>
      <c r="AW823" s="3"/>
      <c r="AX823" s="11"/>
      <c r="AZ823"/>
      <c r="BA823"/>
      <c r="BB823"/>
      <c r="BC823"/>
    </row>
    <row r="824" spans="1:55" s="282" customFormat="1" x14ac:dyDescent="0.25">
      <c r="A824"/>
      <c r="B824"/>
      <c r="C824" s="3"/>
      <c r="D824"/>
      <c r="E824"/>
      <c r="F824"/>
      <c r="G824" s="3"/>
      <c r="H824" s="3"/>
      <c r="I824" s="3"/>
      <c r="J824" s="288"/>
      <c r="L824" s="288"/>
      <c r="M824" s="288"/>
      <c r="N824" s="288"/>
      <c r="O824" s="288"/>
      <c r="P824" s="288"/>
      <c r="Q824" s="288"/>
      <c r="R824" s="283"/>
      <c r="S824" s="280"/>
      <c r="T824" s="276"/>
      <c r="U824" s="276"/>
      <c r="V824" s="276"/>
      <c r="W824" s="283"/>
      <c r="X824" s="280"/>
      <c r="Y824" s="280"/>
      <c r="Z824" s="280"/>
      <c r="AA824" s="280"/>
      <c r="AB824" s="280"/>
      <c r="AC824" s="280"/>
      <c r="AD824" s="280"/>
      <c r="AG824" s="3"/>
      <c r="AH824" s="3"/>
      <c r="AI824" s="3"/>
      <c r="AJ824" s="3"/>
      <c r="AK824" s="3"/>
      <c r="AL824" s="3"/>
      <c r="AM824" s="3"/>
      <c r="AN824" s="3"/>
      <c r="AO824" s="3"/>
      <c r="AP824" s="11"/>
      <c r="AQ824" s="11"/>
      <c r="AR824" s="3"/>
      <c r="AS824" s="3"/>
      <c r="AT824" s="3"/>
      <c r="AU824" s="3"/>
      <c r="AV824" s="3"/>
      <c r="AW824" s="3"/>
      <c r="AX824" s="11"/>
      <c r="AZ824"/>
      <c r="BA824"/>
      <c r="BB824"/>
      <c r="BC824"/>
    </row>
    <row r="825" spans="1:55" s="282" customFormat="1" x14ac:dyDescent="0.25">
      <c r="A825"/>
      <c r="B825"/>
      <c r="C825" s="3"/>
      <c r="D825"/>
      <c r="E825"/>
      <c r="F825"/>
      <c r="G825" s="3"/>
      <c r="H825" s="3"/>
      <c r="I825" s="3"/>
      <c r="J825" s="288"/>
      <c r="L825" s="288"/>
      <c r="M825" s="288"/>
      <c r="N825" s="288"/>
      <c r="O825" s="288"/>
      <c r="P825" s="288"/>
      <c r="Q825" s="288"/>
      <c r="R825" s="283"/>
      <c r="S825" s="280"/>
      <c r="T825" s="276"/>
      <c r="U825" s="276"/>
      <c r="V825" s="276"/>
      <c r="W825" s="283"/>
      <c r="X825" s="280"/>
      <c r="Y825" s="280"/>
      <c r="Z825" s="280"/>
      <c r="AA825" s="280"/>
      <c r="AB825" s="280"/>
      <c r="AC825" s="280"/>
      <c r="AD825" s="280"/>
      <c r="AG825" s="3"/>
      <c r="AH825" s="3"/>
      <c r="AI825" s="3"/>
      <c r="AJ825" s="3"/>
      <c r="AK825" s="3"/>
      <c r="AL825" s="3"/>
      <c r="AM825" s="3"/>
      <c r="AN825" s="3"/>
      <c r="AO825" s="3"/>
      <c r="AP825" s="11"/>
      <c r="AQ825" s="11"/>
      <c r="AR825" s="3"/>
      <c r="AS825" s="3"/>
      <c r="AT825" s="3"/>
      <c r="AU825" s="3"/>
      <c r="AV825" s="3"/>
      <c r="AW825" s="3"/>
      <c r="AX825" s="11"/>
      <c r="AZ825"/>
      <c r="BA825"/>
      <c r="BB825"/>
      <c r="BC825"/>
    </row>
    <row r="826" spans="1:55" s="282" customFormat="1" x14ac:dyDescent="0.25">
      <c r="A826"/>
      <c r="B826"/>
      <c r="C826" s="3"/>
      <c r="D826"/>
      <c r="E826"/>
      <c r="F826"/>
      <c r="G826" s="3"/>
      <c r="H826" s="3"/>
      <c r="I826" s="3"/>
      <c r="J826" s="288"/>
      <c r="L826" s="288"/>
      <c r="M826" s="288"/>
      <c r="N826" s="288"/>
      <c r="O826" s="288"/>
      <c r="P826" s="288"/>
      <c r="Q826" s="288"/>
      <c r="R826" s="283"/>
      <c r="S826" s="280"/>
      <c r="T826" s="276"/>
      <c r="U826" s="276"/>
      <c r="V826" s="276"/>
      <c r="W826" s="283"/>
      <c r="X826" s="280"/>
      <c r="Y826" s="280"/>
      <c r="Z826" s="280"/>
      <c r="AA826" s="280"/>
      <c r="AB826" s="280"/>
      <c r="AC826" s="280"/>
      <c r="AD826" s="280"/>
      <c r="AG826" s="3"/>
      <c r="AH826" s="3"/>
      <c r="AI826" s="3"/>
      <c r="AJ826" s="3"/>
      <c r="AK826" s="3"/>
      <c r="AL826" s="3"/>
      <c r="AM826" s="3"/>
      <c r="AN826" s="3"/>
      <c r="AO826" s="3"/>
      <c r="AP826" s="11"/>
      <c r="AQ826" s="11"/>
      <c r="AR826" s="3"/>
      <c r="AS826" s="3"/>
      <c r="AT826" s="3"/>
      <c r="AU826" s="3"/>
      <c r="AV826" s="3"/>
      <c r="AW826" s="3"/>
      <c r="AX826" s="11"/>
      <c r="AZ826"/>
      <c r="BA826"/>
      <c r="BB826"/>
      <c r="BC826"/>
    </row>
    <row r="827" spans="1:55" s="282" customFormat="1" x14ac:dyDescent="0.25">
      <c r="A827"/>
      <c r="B827"/>
      <c r="C827" s="3"/>
      <c r="D827"/>
      <c r="E827"/>
      <c r="F827"/>
      <c r="G827" s="3"/>
      <c r="H827" s="3"/>
      <c r="I827" s="3"/>
      <c r="J827" s="288"/>
      <c r="L827" s="288"/>
      <c r="M827" s="288"/>
      <c r="N827" s="288"/>
      <c r="O827" s="288"/>
      <c r="P827" s="288"/>
      <c r="Q827" s="288"/>
      <c r="R827" s="283"/>
      <c r="S827" s="280"/>
      <c r="T827" s="276"/>
      <c r="U827" s="276"/>
      <c r="V827" s="276"/>
      <c r="W827" s="283"/>
      <c r="X827" s="280"/>
      <c r="Y827" s="280"/>
      <c r="Z827" s="280"/>
      <c r="AA827" s="280"/>
      <c r="AB827" s="280"/>
      <c r="AC827" s="280"/>
      <c r="AD827" s="280"/>
      <c r="AG827" s="3"/>
      <c r="AH827" s="3"/>
      <c r="AI827" s="3"/>
      <c r="AJ827" s="3"/>
      <c r="AK827" s="3"/>
      <c r="AL827" s="3"/>
      <c r="AM827" s="3"/>
      <c r="AN827" s="3"/>
      <c r="AO827" s="3"/>
      <c r="AP827" s="11"/>
      <c r="AQ827" s="11"/>
      <c r="AR827" s="3"/>
      <c r="AS827" s="3"/>
      <c r="AT827" s="3"/>
      <c r="AU827" s="3"/>
      <c r="AV827" s="3"/>
      <c r="AW827" s="3"/>
      <c r="AX827" s="11"/>
      <c r="AZ827"/>
      <c r="BA827"/>
      <c r="BB827"/>
      <c r="BC827"/>
    </row>
    <row r="828" spans="1:55" s="282" customFormat="1" x14ac:dyDescent="0.25">
      <c r="A828"/>
      <c r="B828"/>
      <c r="C828" s="3"/>
      <c r="D828"/>
      <c r="E828"/>
      <c r="F828"/>
      <c r="G828" s="3"/>
      <c r="H828" s="3"/>
      <c r="I828" s="3"/>
      <c r="J828" s="288"/>
      <c r="L828" s="288"/>
      <c r="M828" s="288"/>
      <c r="N828" s="288"/>
      <c r="O828" s="288"/>
      <c r="P828" s="288"/>
      <c r="Q828" s="288"/>
      <c r="R828" s="283"/>
      <c r="S828" s="280"/>
      <c r="T828" s="276"/>
      <c r="U828" s="276"/>
      <c r="V828" s="276"/>
      <c r="W828" s="283"/>
      <c r="X828" s="280"/>
      <c r="Y828" s="280"/>
      <c r="Z828" s="280"/>
      <c r="AA828" s="280"/>
      <c r="AB828" s="280"/>
      <c r="AC828" s="280"/>
      <c r="AD828" s="280"/>
      <c r="AG828" s="3"/>
      <c r="AH828" s="3"/>
      <c r="AI828" s="3"/>
      <c r="AJ828" s="3"/>
      <c r="AK828" s="3"/>
      <c r="AL828" s="3"/>
      <c r="AM828" s="3"/>
      <c r="AN828" s="3"/>
      <c r="AO828" s="3"/>
      <c r="AP828" s="11"/>
      <c r="AQ828" s="11"/>
      <c r="AR828" s="3"/>
      <c r="AS828" s="3"/>
      <c r="AT828" s="3"/>
      <c r="AU828" s="3"/>
      <c r="AV828" s="3"/>
      <c r="AW828" s="3"/>
      <c r="AX828" s="11"/>
      <c r="AZ828"/>
      <c r="BA828"/>
      <c r="BB828"/>
      <c r="BC828"/>
    </row>
    <row r="829" spans="1:55" s="282" customFormat="1" x14ac:dyDescent="0.25">
      <c r="A829"/>
      <c r="B829"/>
      <c r="C829" s="3"/>
      <c r="D829"/>
      <c r="E829"/>
      <c r="F829"/>
      <c r="G829" s="3"/>
      <c r="H829" s="3"/>
      <c r="I829" s="3"/>
      <c r="J829" s="288"/>
      <c r="L829" s="288"/>
      <c r="M829" s="288"/>
      <c r="N829" s="288"/>
      <c r="O829" s="288"/>
      <c r="P829" s="288"/>
      <c r="Q829" s="288"/>
      <c r="R829" s="283"/>
      <c r="S829" s="280"/>
      <c r="T829" s="276"/>
      <c r="U829" s="276"/>
      <c r="V829" s="276"/>
      <c r="W829" s="283"/>
      <c r="X829" s="280"/>
      <c r="Y829" s="280"/>
      <c r="Z829" s="280"/>
      <c r="AA829" s="280"/>
      <c r="AB829" s="280"/>
      <c r="AC829" s="280"/>
      <c r="AD829" s="280"/>
      <c r="AG829" s="3"/>
      <c r="AH829" s="3"/>
      <c r="AI829" s="3"/>
      <c r="AJ829" s="3"/>
      <c r="AK829" s="3"/>
      <c r="AL829" s="3"/>
      <c r="AM829" s="3"/>
      <c r="AN829" s="3"/>
      <c r="AO829" s="3"/>
      <c r="AP829" s="11"/>
      <c r="AQ829" s="11"/>
      <c r="AR829" s="3"/>
      <c r="AS829" s="3"/>
      <c r="AT829" s="3"/>
      <c r="AU829" s="3"/>
      <c r="AV829" s="3"/>
      <c r="AW829" s="3"/>
      <c r="AX829" s="11"/>
      <c r="AZ829"/>
      <c r="BA829"/>
      <c r="BB829"/>
      <c r="BC829"/>
    </row>
    <row r="830" spans="1:55" s="282" customFormat="1" x14ac:dyDescent="0.25">
      <c r="A830"/>
      <c r="B830"/>
      <c r="C830" s="3"/>
      <c r="D830"/>
      <c r="E830"/>
      <c r="F830"/>
      <c r="G830" s="3"/>
      <c r="H830" s="3"/>
      <c r="I830" s="3"/>
      <c r="J830" s="288"/>
      <c r="L830" s="288"/>
      <c r="M830" s="288"/>
      <c r="N830" s="288"/>
      <c r="O830" s="288"/>
      <c r="P830" s="288"/>
      <c r="Q830" s="288"/>
      <c r="R830" s="283"/>
      <c r="S830" s="280"/>
      <c r="T830" s="276"/>
      <c r="U830" s="276"/>
      <c r="V830" s="276"/>
      <c r="W830" s="283"/>
      <c r="X830" s="280"/>
      <c r="Y830" s="280"/>
      <c r="Z830" s="280"/>
      <c r="AA830" s="280"/>
      <c r="AB830" s="280"/>
      <c r="AC830" s="280"/>
      <c r="AD830" s="280"/>
      <c r="AG830" s="3"/>
      <c r="AH830" s="3"/>
      <c r="AI830" s="3"/>
      <c r="AJ830" s="3"/>
      <c r="AK830" s="3"/>
      <c r="AL830" s="3"/>
      <c r="AM830" s="3"/>
      <c r="AN830" s="3"/>
      <c r="AO830" s="3"/>
      <c r="AP830" s="11"/>
      <c r="AQ830" s="11"/>
      <c r="AR830" s="3"/>
      <c r="AS830" s="3"/>
      <c r="AT830" s="3"/>
      <c r="AU830" s="3"/>
      <c r="AV830" s="3"/>
      <c r="AW830" s="3"/>
      <c r="AX830" s="11"/>
      <c r="AZ830"/>
      <c r="BA830"/>
      <c r="BB830"/>
      <c r="BC830"/>
    </row>
    <row r="831" spans="1:55" s="282" customFormat="1" x14ac:dyDescent="0.25">
      <c r="A831"/>
      <c r="B831"/>
      <c r="C831" s="3"/>
      <c r="D831"/>
      <c r="E831"/>
      <c r="F831"/>
      <c r="G831" s="3"/>
      <c r="H831" s="3"/>
      <c r="I831" s="3"/>
      <c r="J831" s="288"/>
      <c r="L831" s="288"/>
      <c r="M831" s="288"/>
      <c r="N831" s="288"/>
      <c r="O831" s="288"/>
      <c r="P831" s="288"/>
      <c r="Q831" s="288"/>
      <c r="R831" s="283"/>
      <c r="S831" s="280"/>
      <c r="T831" s="276"/>
      <c r="U831" s="276"/>
      <c r="V831" s="276"/>
      <c r="W831" s="283"/>
      <c r="X831" s="280"/>
      <c r="Y831" s="280"/>
      <c r="Z831" s="280"/>
      <c r="AA831" s="280"/>
      <c r="AB831" s="280"/>
      <c r="AC831" s="280"/>
      <c r="AD831" s="280"/>
      <c r="AG831" s="3"/>
      <c r="AH831" s="3"/>
      <c r="AI831" s="3"/>
      <c r="AJ831" s="3"/>
      <c r="AK831" s="3"/>
      <c r="AL831" s="3"/>
      <c r="AM831" s="3"/>
      <c r="AN831" s="3"/>
      <c r="AO831" s="3"/>
      <c r="AP831" s="11"/>
      <c r="AQ831" s="11"/>
      <c r="AR831" s="3"/>
      <c r="AS831" s="3"/>
      <c r="AT831" s="3"/>
      <c r="AU831" s="3"/>
      <c r="AV831" s="3"/>
      <c r="AW831" s="3"/>
      <c r="AX831" s="11"/>
      <c r="AZ831"/>
      <c r="BA831"/>
      <c r="BB831"/>
      <c r="BC831"/>
    </row>
    <row r="832" spans="1:55" s="282" customFormat="1" x14ac:dyDescent="0.25">
      <c r="A832"/>
      <c r="B832"/>
      <c r="C832" s="3"/>
      <c r="D832"/>
      <c r="E832"/>
      <c r="F832"/>
      <c r="G832" s="3"/>
      <c r="H832" s="3"/>
      <c r="I832" s="3"/>
      <c r="J832" s="288"/>
      <c r="L832" s="288"/>
      <c r="M832" s="288"/>
      <c r="N832" s="288"/>
      <c r="O832" s="288"/>
      <c r="P832" s="288"/>
      <c r="Q832" s="288"/>
      <c r="R832" s="283"/>
      <c r="S832" s="280"/>
      <c r="T832" s="276"/>
      <c r="U832" s="276"/>
      <c r="V832" s="276"/>
      <c r="W832" s="283"/>
      <c r="X832" s="280"/>
      <c r="Y832" s="280"/>
      <c r="Z832" s="280"/>
      <c r="AA832" s="280"/>
      <c r="AB832" s="280"/>
      <c r="AC832" s="280"/>
      <c r="AD832" s="280"/>
      <c r="AG832" s="3"/>
      <c r="AH832" s="3"/>
      <c r="AI832" s="3"/>
      <c r="AJ832" s="3"/>
      <c r="AK832" s="3"/>
      <c r="AL832" s="3"/>
      <c r="AM832" s="3"/>
      <c r="AN832" s="3"/>
      <c r="AO832" s="3"/>
      <c r="AP832" s="11"/>
      <c r="AQ832" s="11"/>
      <c r="AR832" s="3"/>
      <c r="AS832" s="3"/>
      <c r="AT832" s="3"/>
      <c r="AU832" s="3"/>
      <c r="AV832" s="3"/>
      <c r="AW832" s="3"/>
      <c r="AX832" s="11"/>
      <c r="AZ832"/>
      <c r="BA832"/>
      <c r="BB832"/>
      <c r="BC832"/>
    </row>
    <row r="833" spans="1:55" s="282" customFormat="1" x14ac:dyDescent="0.25">
      <c r="A833"/>
      <c r="B833"/>
      <c r="C833" s="3"/>
      <c r="D833"/>
      <c r="E833"/>
      <c r="F833"/>
      <c r="G833" s="3"/>
      <c r="H833" s="3"/>
      <c r="I833" s="3"/>
      <c r="J833" s="288"/>
      <c r="L833" s="288"/>
      <c r="M833" s="288"/>
      <c r="N833" s="288"/>
      <c r="O833" s="288"/>
      <c r="P833" s="288"/>
      <c r="Q833" s="288"/>
      <c r="R833" s="283"/>
      <c r="S833" s="280"/>
      <c r="T833" s="276"/>
      <c r="U833" s="276"/>
      <c r="V833" s="276"/>
      <c r="W833" s="283"/>
      <c r="X833" s="280"/>
      <c r="Y833" s="280"/>
      <c r="Z833" s="280"/>
      <c r="AA833" s="280"/>
      <c r="AB833" s="280"/>
      <c r="AC833" s="280"/>
      <c r="AD833" s="280"/>
      <c r="AG833" s="3"/>
      <c r="AH833" s="3"/>
      <c r="AI833" s="3"/>
      <c r="AJ833" s="3"/>
      <c r="AK833" s="3"/>
      <c r="AL833" s="3"/>
      <c r="AM833" s="3"/>
      <c r="AN833" s="3"/>
      <c r="AO833" s="3"/>
      <c r="AP833" s="11"/>
      <c r="AQ833" s="11"/>
      <c r="AR833" s="3"/>
      <c r="AS833" s="3"/>
      <c r="AT833" s="3"/>
      <c r="AU833" s="3"/>
      <c r="AV833" s="3"/>
      <c r="AW833" s="3"/>
      <c r="AX833" s="11"/>
      <c r="AZ833"/>
      <c r="BA833"/>
      <c r="BB833"/>
      <c r="BC833"/>
    </row>
    <row r="834" spans="1:55" s="282" customFormat="1" x14ac:dyDescent="0.25">
      <c r="A834"/>
      <c r="B834"/>
      <c r="C834" s="3"/>
      <c r="D834"/>
      <c r="E834"/>
      <c r="F834"/>
      <c r="G834" s="3"/>
      <c r="H834" s="3"/>
      <c r="I834" s="3"/>
      <c r="J834" s="288"/>
      <c r="L834" s="288"/>
      <c r="M834" s="288"/>
      <c r="N834" s="288"/>
      <c r="O834" s="288"/>
      <c r="P834" s="288"/>
      <c r="Q834" s="288"/>
      <c r="R834" s="283"/>
      <c r="S834" s="280"/>
      <c r="T834" s="276"/>
      <c r="U834" s="276"/>
      <c r="V834" s="276"/>
      <c r="W834" s="283"/>
      <c r="X834" s="280"/>
      <c r="Y834" s="280"/>
      <c r="Z834" s="280"/>
      <c r="AA834" s="280"/>
      <c r="AB834" s="280"/>
      <c r="AC834" s="280"/>
      <c r="AD834" s="280"/>
      <c r="AG834" s="3"/>
      <c r="AH834" s="3"/>
      <c r="AI834" s="3"/>
      <c r="AJ834" s="3"/>
      <c r="AK834" s="3"/>
      <c r="AL834" s="3"/>
      <c r="AM834" s="3"/>
      <c r="AN834" s="3"/>
      <c r="AO834" s="3"/>
      <c r="AP834" s="11"/>
      <c r="AQ834" s="11"/>
      <c r="AR834" s="3"/>
      <c r="AS834" s="3"/>
      <c r="AT834" s="3"/>
      <c r="AU834" s="3"/>
      <c r="AV834" s="3"/>
      <c r="AW834" s="3"/>
      <c r="AX834" s="11"/>
      <c r="AZ834"/>
      <c r="BA834"/>
      <c r="BB834"/>
      <c r="BC834"/>
    </row>
    <row r="835" spans="1:55" s="282" customFormat="1" x14ac:dyDescent="0.25">
      <c r="A835"/>
      <c r="B835"/>
      <c r="C835" s="3"/>
      <c r="D835"/>
      <c r="E835"/>
      <c r="F835"/>
      <c r="G835" s="3"/>
      <c r="H835" s="3"/>
      <c r="I835" s="3"/>
      <c r="J835" s="288"/>
      <c r="L835" s="288"/>
      <c r="M835" s="288"/>
      <c r="N835" s="288"/>
      <c r="O835" s="288"/>
      <c r="P835" s="288"/>
      <c r="Q835" s="288"/>
      <c r="R835" s="283"/>
      <c r="S835" s="280"/>
      <c r="T835" s="276"/>
      <c r="U835" s="276"/>
      <c r="V835" s="276"/>
      <c r="W835" s="283"/>
      <c r="X835" s="280"/>
      <c r="Y835" s="280"/>
      <c r="Z835" s="280"/>
      <c r="AA835" s="280"/>
      <c r="AB835" s="280"/>
      <c r="AC835" s="280"/>
      <c r="AD835" s="280"/>
      <c r="AG835" s="3"/>
      <c r="AH835" s="3"/>
      <c r="AI835" s="3"/>
      <c r="AJ835" s="3"/>
      <c r="AK835" s="3"/>
      <c r="AL835" s="3"/>
      <c r="AM835" s="3"/>
      <c r="AN835" s="3"/>
      <c r="AO835" s="3"/>
      <c r="AP835" s="11"/>
      <c r="AQ835" s="11"/>
      <c r="AR835" s="3"/>
      <c r="AS835" s="3"/>
      <c r="AT835" s="3"/>
      <c r="AU835" s="3"/>
      <c r="AV835" s="3"/>
      <c r="AW835" s="3"/>
      <c r="AX835" s="11"/>
      <c r="AZ835"/>
      <c r="BA835"/>
      <c r="BB835"/>
      <c r="BC835"/>
    </row>
    <row r="836" spans="1:55" s="282" customFormat="1" x14ac:dyDescent="0.25">
      <c r="A836"/>
      <c r="B836"/>
      <c r="C836" s="3"/>
      <c r="D836"/>
      <c r="E836"/>
      <c r="F836"/>
      <c r="G836" s="3"/>
      <c r="H836" s="3"/>
      <c r="I836" s="3"/>
      <c r="J836" s="288"/>
      <c r="L836" s="288"/>
      <c r="M836" s="288"/>
      <c r="N836" s="288"/>
      <c r="O836" s="288"/>
      <c r="P836" s="288"/>
      <c r="Q836" s="288"/>
      <c r="R836" s="283"/>
      <c r="S836" s="280"/>
      <c r="T836" s="276"/>
      <c r="U836" s="276"/>
      <c r="V836" s="276"/>
      <c r="W836" s="283"/>
      <c r="X836" s="280"/>
      <c r="Y836" s="280"/>
      <c r="Z836" s="280"/>
      <c r="AA836" s="280"/>
      <c r="AB836" s="280"/>
      <c r="AC836" s="280"/>
      <c r="AD836" s="280"/>
      <c r="AG836" s="3"/>
      <c r="AH836" s="3"/>
      <c r="AI836" s="3"/>
      <c r="AJ836" s="3"/>
      <c r="AK836" s="3"/>
      <c r="AL836" s="3"/>
      <c r="AM836" s="3"/>
      <c r="AN836" s="3"/>
      <c r="AO836" s="3"/>
      <c r="AP836" s="11"/>
      <c r="AQ836" s="11"/>
      <c r="AR836" s="3"/>
      <c r="AS836" s="3"/>
      <c r="AT836" s="3"/>
      <c r="AU836" s="3"/>
      <c r="AV836" s="3"/>
      <c r="AW836" s="3"/>
      <c r="AX836" s="11"/>
      <c r="AZ836"/>
      <c r="BA836"/>
      <c r="BB836"/>
      <c r="BC836"/>
    </row>
    <row r="837" spans="1:55" s="282" customFormat="1" x14ac:dyDescent="0.25">
      <c r="A837"/>
      <c r="B837"/>
      <c r="C837" s="3"/>
      <c r="D837"/>
      <c r="E837"/>
      <c r="F837"/>
      <c r="G837" s="3"/>
      <c r="H837" s="3"/>
      <c r="I837" s="3"/>
      <c r="J837" s="288"/>
      <c r="L837" s="288"/>
      <c r="M837" s="288"/>
      <c r="N837" s="288"/>
      <c r="O837" s="288"/>
      <c r="P837" s="288"/>
      <c r="Q837" s="288"/>
      <c r="R837" s="283"/>
      <c r="S837" s="280"/>
      <c r="T837" s="276"/>
      <c r="U837" s="276"/>
      <c r="V837" s="276"/>
      <c r="W837" s="283"/>
      <c r="X837" s="280"/>
      <c r="Y837" s="280"/>
      <c r="Z837" s="280"/>
      <c r="AA837" s="280"/>
      <c r="AB837" s="280"/>
      <c r="AC837" s="280"/>
      <c r="AD837" s="280"/>
      <c r="AG837" s="3"/>
      <c r="AH837" s="3"/>
      <c r="AI837" s="3"/>
      <c r="AJ837" s="3"/>
      <c r="AK837" s="3"/>
      <c r="AL837" s="3"/>
      <c r="AM837" s="3"/>
      <c r="AN837" s="3"/>
      <c r="AO837" s="3"/>
      <c r="AP837" s="11"/>
      <c r="AQ837" s="11"/>
      <c r="AR837" s="3"/>
      <c r="AS837" s="3"/>
      <c r="AT837" s="3"/>
      <c r="AU837" s="3"/>
      <c r="AV837" s="3"/>
      <c r="AW837" s="3"/>
      <c r="AX837" s="11"/>
      <c r="AZ837"/>
      <c r="BA837"/>
      <c r="BB837"/>
      <c r="BC837"/>
    </row>
    <row r="838" spans="1:55" s="282" customFormat="1" x14ac:dyDescent="0.25">
      <c r="A838"/>
      <c r="B838"/>
      <c r="C838" s="3"/>
      <c r="D838"/>
      <c r="E838"/>
      <c r="F838"/>
      <c r="G838" s="3"/>
      <c r="H838" s="3"/>
      <c r="I838" s="3"/>
      <c r="J838" s="288"/>
      <c r="L838" s="288"/>
      <c r="M838" s="288"/>
      <c r="N838" s="288"/>
      <c r="O838" s="288"/>
      <c r="P838" s="288"/>
      <c r="Q838" s="288"/>
      <c r="R838" s="283"/>
      <c r="S838" s="280"/>
      <c r="T838" s="276"/>
      <c r="U838" s="276"/>
      <c r="V838" s="276"/>
      <c r="W838" s="283"/>
      <c r="X838" s="280"/>
      <c r="Y838" s="280"/>
      <c r="Z838" s="280"/>
      <c r="AA838" s="280"/>
      <c r="AB838" s="280"/>
      <c r="AC838" s="280"/>
      <c r="AD838" s="280"/>
      <c r="AG838" s="3"/>
      <c r="AH838" s="3"/>
      <c r="AI838" s="3"/>
      <c r="AJ838" s="3"/>
      <c r="AK838" s="3"/>
      <c r="AL838" s="3"/>
      <c r="AM838" s="3"/>
      <c r="AN838" s="3"/>
      <c r="AO838" s="3"/>
      <c r="AP838" s="11"/>
      <c r="AQ838" s="11"/>
      <c r="AR838" s="3"/>
      <c r="AS838" s="3"/>
      <c r="AT838" s="3"/>
      <c r="AU838" s="3"/>
      <c r="AV838" s="3"/>
      <c r="AW838" s="3"/>
      <c r="AX838" s="11"/>
      <c r="AZ838"/>
      <c r="BA838"/>
      <c r="BB838"/>
      <c r="BC838"/>
    </row>
    <row r="839" spans="1:55" s="282" customFormat="1" x14ac:dyDescent="0.25">
      <c r="A839"/>
      <c r="B839"/>
      <c r="C839" s="3"/>
      <c r="D839"/>
      <c r="E839"/>
      <c r="F839"/>
      <c r="G839" s="3"/>
      <c r="H839" s="3"/>
      <c r="I839" s="3"/>
      <c r="J839" s="288"/>
      <c r="L839" s="288"/>
      <c r="M839" s="288"/>
      <c r="N839" s="288"/>
      <c r="O839" s="288"/>
      <c r="P839" s="288"/>
      <c r="Q839" s="288"/>
      <c r="R839" s="283"/>
      <c r="S839" s="280"/>
      <c r="T839" s="276"/>
      <c r="U839" s="276"/>
      <c r="V839" s="276"/>
      <c r="W839" s="283"/>
      <c r="X839" s="280"/>
      <c r="Y839" s="280"/>
      <c r="Z839" s="280"/>
      <c r="AA839" s="280"/>
      <c r="AB839" s="280"/>
      <c r="AC839" s="280"/>
      <c r="AD839" s="280"/>
      <c r="AG839" s="3"/>
      <c r="AH839" s="3"/>
      <c r="AI839" s="3"/>
      <c r="AJ839" s="3"/>
      <c r="AK839" s="3"/>
      <c r="AL839" s="3"/>
      <c r="AM839" s="3"/>
      <c r="AN839" s="3"/>
      <c r="AO839" s="3"/>
      <c r="AP839" s="11"/>
      <c r="AQ839" s="11"/>
      <c r="AR839" s="3"/>
      <c r="AS839" s="3"/>
      <c r="AT839" s="3"/>
      <c r="AU839" s="3"/>
      <c r="AV839" s="3"/>
      <c r="AW839" s="3"/>
      <c r="AX839" s="11"/>
      <c r="AZ839"/>
      <c r="BA839"/>
      <c r="BB839"/>
      <c r="BC839"/>
    </row>
    <row r="840" spans="1:55" s="282" customFormat="1" x14ac:dyDescent="0.25">
      <c r="A840"/>
      <c r="B840"/>
      <c r="C840" s="3"/>
      <c r="D840"/>
      <c r="E840"/>
      <c r="F840"/>
      <c r="G840" s="3"/>
      <c r="H840" s="3"/>
      <c r="I840" s="3"/>
      <c r="J840" s="288"/>
      <c r="L840" s="288"/>
      <c r="M840" s="288"/>
      <c r="N840" s="288"/>
      <c r="O840" s="288"/>
      <c r="P840" s="288"/>
      <c r="Q840" s="288"/>
      <c r="R840" s="283"/>
      <c r="S840" s="280"/>
      <c r="T840" s="276"/>
      <c r="U840" s="276"/>
      <c r="V840" s="276"/>
      <c r="W840" s="283"/>
      <c r="X840" s="280"/>
      <c r="Y840" s="280"/>
      <c r="Z840" s="280"/>
      <c r="AA840" s="280"/>
      <c r="AB840" s="280"/>
      <c r="AC840" s="280"/>
      <c r="AD840" s="280"/>
      <c r="AG840" s="3"/>
      <c r="AH840" s="3"/>
      <c r="AI840" s="3"/>
      <c r="AJ840" s="3"/>
      <c r="AK840" s="3"/>
      <c r="AL840" s="3"/>
      <c r="AM840" s="3"/>
      <c r="AN840" s="3"/>
      <c r="AO840" s="3"/>
      <c r="AP840" s="11"/>
      <c r="AQ840" s="11"/>
      <c r="AR840" s="3"/>
      <c r="AS840" s="3"/>
      <c r="AT840" s="3"/>
      <c r="AU840" s="3"/>
      <c r="AV840" s="3"/>
      <c r="AW840" s="3"/>
      <c r="AX840" s="11"/>
      <c r="AZ840"/>
      <c r="BA840"/>
      <c r="BB840"/>
      <c r="BC840"/>
    </row>
    <row r="841" spans="1:55" s="282" customFormat="1" x14ac:dyDescent="0.25">
      <c r="A841"/>
      <c r="B841"/>
      <c r="C841" s="3"/>
      <c r="D841"/>
      <c r="E841"/>
      <c r="F841"/>
      <c r="G841" s="3"/>
      <c r="H841" s="3"/>
      <c r="I841" s="3"/>
      <c r="J841" s="288"/>
      <c r="L841" s="288"/>
      <c r="M841" s="288"/>
      <c r="N841" s="288"/>
      <c r="O841" s="288"/>
      <c r="P841" s="288"/>
      <c r="Q841" s="288"/>
      <c r="R841" s="283"/>
      <c r="S841" s="280"/>
      <c r="T841" s="276"/>
      <c r="U841" s="276"/>
      <c r="V841" s="276"/>
      <c r="W841" s="283"/>
      <c r="X841" s="280"/>
      <c r="Y841" s="280"/>
      <c r="Z841" s="280"/>
      <c r="AA841" s="280"/>
      <c r="AB841" s="280"/>
      <c r="AC841" s="280"/>
      <c r="AD841" s="280"/>
      <c r="AG841" s="3"/>
      <c r="AH841" s="3"/>
      <c r="AI841" s="3"/>
      <c r="AJ841" s="3"/>
      <c r="AK841" s="3"/>
      <c r="AL841" s="3"/>
      <c r="AM841" s="3"/>
      <c r="AN841" s="3"/>
      <c r="AO841" s="3"/>
      <c r="AP841" s="11"/>
      <c r="AQ841" s="11"/>
      <c r="AR841" s="3"/>
      <c r="AS841" s="3"/>
      <c r="AT841" s="3"/>
      <c r="AU841" s="3"/>
      <c r="AV841" s="3"/>
      <c r="AW841" s="3"/>
      <c r="AX841" s="11"/>
      <c r="AZ841"/>
      <c r="BA841"/>
      <c r="BB841"/>
      <c r="BC841"/>
    </row>
    <row r="842" spans="1:55" s="282" customFormat="1" x14ac:dyDescent="0.25">
      <c r="A842"/>
      <c r="B842"/>
      <c r="C842" s="3"/>
      <c r="D842"/>
      <c r="E842"/>
      <c r="F842"/>
      <c r="G842" s="3"/>
      <c r="H842" s="3"/>
      <c r="I842" s="3"/>
      <c r="J842" s="288"/>
      <c r="L842" s="288"/>
      <c r="M842" s="288"/>
      <c r="N842" s="288"/>
      <c r="O842" s="288"/>
      <c r="P842" s="288"/>
      <c r="Q842" s="288"/>
      <c r="R842" s="283"/>
      <c r="S842" s="280"/>
      <c r="T842" s="276"/>
      <c r="U842" s="276"/>
      <c r="V842" s="276"/>
      <c r="W842" s="283"/>
      <c r="X842" s="280"/>
      <c r="Y842" s="280"/>
      <c r="Z842" s="280"/>
      <c r="AA842" s="280"/>
      <c r="AB842" s="280"/>
      <c r="AC842" s="280"/>
      <c r="AD842" s="280"/>
      <c r="AG842" s="3"/>
      <c r="AH842" s="3"/>
      <c r="AI842" s="3"/>
      <c r="AJ842" s="3"/>
      <c r="AK842" s="3"/>
      <c r="AL842" s="3"/>
      <c r="AM842" s="3"/>
      <c r="AN842" s="3"/>
      <c r="AO842" s="3"/>
      <c r="AP842" s="11"/>
      <c r="AQ842" s="11"/>
      <c r="AR842" s="3"/>
      <c r="AS842" s="3"/>
      <c r="AT842" s="3"/>
      <c r="AU842" s="3"/>
      <c r="AV842" s="3"/>
      <c r="AW842" s="3"/>
      <c r="AX842" s="11"/>
      <c r="AZ842"/>
      <c r="BA842"/>
      <c r="BB842"/>
      <c r="BC842"/>
    </row>
    <row r="843" spans="1:55" s="282" customFormat="1" x14ac:dyDescent="0.25">
      <c r="A843"/>
      <c r="B843"/>
      <c r="C843" s="3"/>
      <c r="D843"/>
      <c r="E843"/>
      <c r="F843"/>
      <c r="G843" s="3"/>
      <c r="H843" s="3"/>
      <c r="I843" s="3"/>
      <c r="J843" s="288"/>
      <c r="L843" s="288"/>
      <c r="M843" s="288"/>
      <c r="N843" s="288"/>
      <c r="O843" s="288"/>
      <c r="P843" s="288"/>
      <c r="Q843" s="288"/>
      <c r="R843" s="283"/>
      <c r="S843" s="280"/>
      <c r="T843" s="276"/>
      <c r="U843" s="276"/>
      <c r="V843" s="276"/>
      <c r="W843" s="283"/>
      <c r="X843" s="280"/>
      <c r="Y843" s="280"/>
      <c r="Z843" s="280"/>
      <c r="AA843" s="280"/>
      <c r="AB843" s="280"/>
      <c r="AC843" s="280"/>
      <c r="AD843" s="280"/>
      <c r="AG843" s="3"/>
      <c r="AH843" s="3"/>
      <c r="AI843" s="3"/>
      <c r="AJ843" s="3"/>
      <c r="AK843" s="3"/>
      <c r="AL843" s="3"/>
      <c r="AM843" s="3"/>
      <c r="AN843" s="3"/>
      <c r="AO843" s="3"/>
      <c r="AP843" s="11"/>
      <c r="AQ843" s="11"/>
      <c r="AR843" s="3"/>
      <c r="AS843" s="3"/>
      <c r="AT843" s="3"/>
      <c r="AU843" s="3"/>
      <c r="AV843" s="3"/>
      <c r="AW843" s="3"/>
      <c r="AX843" s="11"/>
      <c r="AZ843"/>
      <c r="BA843"/>
      <c r="BB843"/>
      <c r="BC843"/>
    </row>
    <row r="844" spans="1:55" s="282" customFormat="1" x14ac:dyDescent="0.25">
      <c r="A844"/>
      <c r="B844"/>
      <c r="C844" s="3"/>
      <c r="D844"/>
      <c r="E844"/>
      <c r="F844"/>
      <c r="G844" s="3"/>
      <c r="H844" s="3"/>
      <c r="I844" s="3"/>
      <c r="J844" s="288"/>
      <c r="L844" s="288"/>
      <c r="M844" s="288"/>
      <c r="N844" s="288"/>
      <c r="O844" s="288"/>
      <c r="P844" s="288"/>
      <c r="Q844" s="288"/>
      <c r="R844" s="283"/>
      <c r="S844" s="280"/>
      <c r="T844" s="276"/>
      <c r="U844" s="276"/>
      <c r="V844" s="276"/>
      <c r="W844" s="283"/>
      <c r="X844" s="280"/>
      <c r="Y844" s="280"/>
      <c r="Z844" s="280"/>
      <c r="AA844" s="280"/>
      <c r="AB844" s="280"/>
      <c r="AC844" s="280"/>
      <c r="AD844" s="280"/>
      <c r="AG844" s="3"/>
      <c r="AH844" s="3"/>
      <c r="AI844" s="3"/>
      <c r="AJ844" s="3"/>
      <c r="AK844" s="3"/>
      <c r="AL844" s="3"/>
      <c r="AM844" s="3"/>
      <c r="AN844" s="3"/>
      <c r="AO844" s="3"/>
      <c r="AP844" s="11"/>
      <c r="AQ844" s="11"/>
      <c r="AR844" s="3"/>
      <c r="AS844" s="3"/>
      <c r="AT844" s="3"/>
      <c r="AU844" s="3"/>
      <c r="AV844" s="3"/>
      <c r="AW844" s="3"/>
      <c r="AX844" s="11"/>
      <c r="AZ844"/>
      <c r="BA844"/>
      <c r="BB844"/>
      <c r="BC844"/>
    </row>
    <row r="845" spans="1:55" s="282" customFormat="1" x14ac:dyDescent="0.25">
      <c r="A845"/>
      <c r="B845"/>
      <c r="C845" s="3"/>
      <c r="D845"/>
      <c r="E845"/>
      <c r="F845"/>
      <c r="G845" s="3"/>
      <c r="H845" s="3"/>
      <c r="I845" s="3"/>
      <c r="J845" s="288"/>
      <c r="L845" s="288"/>
      <c r="M845" s="288"/>
      <c r="N845" s="288"/>
      <c r="O845" s="288"/>
      <c r="P845" s="288"/>
      <c r="Q845" s="288"/>
      <c r="R845" s="283"/>
      <c r="S845" s="280"/>
      <c r="T845" s="276"/>
      <c r="U845" s="276"/>
      <c r="V845" s="276"/>
      <c r="W845" s="283"/>
      <c r="X845" s="280"/>
      <c r="Y845" s="280"/>
      <c r="Z845" s="280"/>
      <c r="AA845" s="280"/>
      <c r="AB845" s="280"/>
      <c r="AC845" s="280"/>
      <c r="AD845" s="280"/>
      <c r="AG845" s="3"/>
      <c r="AH845" s="3"/>
      <c r="AI845" s="3"/>
      <c r="AJ845" s="3"/>
      <c r="AK845" s="3"/>
      <c r="AL845" s="3"/>
      <c r="AM845" s="3"/>
      <c r="AN845" s="3"/>
      <c r="AO845" s="3"/>
      <c r="AP845" s="11"/>
      <c r="AQ845" s="11"/>
      <c r="AR845" s="3"/>
      <c r="AS845" s="3"/>
      <c r="AT845" s="3"/>
      <c r="AU845" s="3"/>
      <c r="AV845" s="3"/>
      <c r="AW845" s="3"/>
      <c r="AX845" s="11"/>
      <c r="AZ845"/>
      <c r="BA845"/>
      <c r="BB845"/>
      <c r="BC845"/>
    </row>
    <row r="846" spans="1:55" s="282" customFormat="1" x14ac:dyDescent="0.25">
      <c r="A846"/>
      <c r="B846"/>
      <c r="C846" s="3"/>
      <c r="D846"/>
      <c r="E846"/>
      <c r="F846"/>
      <c r="G846" s="3"/>
      <c r="H846" s="3"/>
      <c r="I846" s="3"/>
      <c r="J846" s="288"/>
      <c r="L846" s="288"/>
      <c r="M846" s="288"/>
      <c r="N846" s="288"/>
      <c r="O846" s="288"/>
      <c r="P846" s="288"/>
      <c r="Q846" s="288"/>
      <c r="R846" s="283"/>
      <c r="S846" s="280"/>
      <c r="T846" s="276"/>
      <c r="U846" s="276"/>
      <c r="V846" s="276"/>
      <c r="W846" s="283"/>
      <c r="X846" s="280"/>
      <c r="Y846" s="280"/>
      <c r="Z846" s="280"/>
      <c r="AA846" s="280"/>
      <c r="AB846" s="280"/>
      <c r="AC846" s="280"/>
      <c r="AD846" s="280"/>
      <c r="AG846" s="3"/>
      <c r="AH846" s="3"/>
      <c r="AI846" s="3"/>
      <c r="AJ846" s="3"/>
      <c r="AK846" s="3"/>
      <c r="AL846" s="3"/>
      <c r="AM846" s="3"/>
      <c r="AN846" s="3"/>
      <c r="AO846" s="3"/>
      <c r="AP846" s="11"/>
      <c r="AQ846" s="11"/>
      <c r="AR846" s="3"/>
      <c r="AS846" s="3"/>
      <c r="AT846" s="3"/>
      <c r="AU846" s="3"/>
      <c r="AV846" s="3"/>
      <c r="AW846" s="3"/>
      <c r="AX846" s="11"/>
      <c r="AZ846"/>
      <c r="BA846"/>
      <c r="BB846"/>
      <c r="BC846"/>
    </row>
    <row r="847" spans="1:55" s="282" customFormat="1" x14ac:dyDescent="0.25">
      <c r="A847"/>
      <c r="B847"/>
      <c r="C847" s="3"/>
      <c r="D847"/>
      <c r="E847"/>
      <c r="F847"/>
      <c r="G847" s="3"/>
      <c r="H847" s="3"/>
      <c r="I847" s="3"/>
      <c r="J847" s="288"/>
      <c r="L847" s="288"/>
      <c r="M847" s="288"/>
      <c r="N847" s="288"/>
      <c r="O847" s="288"/>
      <c r="P847" s="288"/>
      <c r="Q847" s="288"/>
      <c r="R847" s="283"/>
      <c r="S847" s="280"/>
      <c r="T847" s="276"/>
      <c r="U847" s="276"/>
      <c r="V847" s="276"/>
      <c r="W847" s="283"/>
      <c r="X847" s="280"/>
      <c r="Y847" s="280"/>
      <c r="Z847" s="280"/>
      <c r="AA847" s="280"/>
      <c r="AB847" s="280"/>
      <c r="AC847" s="280"/>
      <c r="AD847" s="280"/>
      <c r="AG847" s="3"/>
      <c r="AH847" s="3"/>
      <c r="AI847" s="3"/>
      <c r="AJ847" s="3"/>
      <c r="AK847" s="3"/>
      <c r="AL847" s="3"/>
      <c r="AM847" s="3"/>
      <c r="AN847" s="3"/>
      <c r="AO847" s="3"/>
      <c r="AP847" s="11"/>
      <c r="AQ847" s="11"/>
      <c r="AR847" s="3"/>
      <c r="AS847" s="3"/>
      <c r="AT847" s="3"/>
      <c r="AU847" s="3"/>
      <c r="AV847" s="3"/>
      <c r="AW847" s="3"/>
      <c r="AX847" s="11"/>
      <c r="AZ847"/>
      <c r="BA847"/>
      <c r="BB847"/>
      <c r="BC847"/>
    </row>
    <row r="848" spans="1:55" s="282" customFormat="1" x14ac:dyDescent="0.25">
      <c r="A848"/>
      <c r="B848"/>
      <c r="C848" s="3"/>
      <c r="D848"/>
      <c r="E848"/>
      <c r="F848"/>
      <c r="G848" s="3"/>
      <c r="H848" s="3"/>
      <c r="I848" s="3"/>
      <c r="J848" s="288"/>
      <c r="L848" s="288"/>
      <c r="M848" s="288"/>
      <c r="N848" s="288"/>
      <c r="O848" s="288"/>
      <c r="P848" s="288"/>
      <c r="Q848" s="288"/>
      <c r="R848" s="283"/>
      <c r="S848" s="280"/>
      <c r="T848" s="276"/>
      <c r="U848" s="276"/>
      <c r="V848" s="276"/>
      <c r="W848" s="283"/>
      <c r="X848" s="280"/>
      <c r="Y848" s="280"/>
      <c r="Z848" s="280"/>
      <c r="AA848" s="280"/>
      <c r="AB848" s="280"/>
      <c r="AC848" s="280"/>
      <c r="AD848" s="280"/>
      <c r="AG848" s="3"/>
      <c r="AH848" s="3"/>
      <c r="AI848" s="3"/>
      <c r="AJ848" s="3"/>
      <c r="AK848" s="3"/>
      <c r="AL848" s="3"/>
      <c r="AM848" s="3"/>
      <c r="AN848" s="3"/>
      <c r="AO848" s="3"/>
      <c r="AP848" s="11"/>
      <c r="AQ848" s="11"/>
      <c r="AR848" s="3"/>
      <c r="AS848" s="3"/>
      <c r="AT848" s="3"/>
      <c r="AU848" s="3"/>
      <c r="AV848" s="3"/>
      <c r="AW848" s="3"/>
      <c r="AX848" s="11"/>
      <c r="AZ848"/>
      <c r="BA848"/>
      <c r="BB848"/>
      <c r="BC848"/>
    </row>
    <row r="849" spans="1:55" s="282" customFormat="1" x14ac:dyDescent="0.25">
      <c r="A849"/>
      <c r="B849"/>
      <c r="C849" s="3"/>
      <c r="D849"/>
      <c r="E849"/>
      <c r="F849"/>
      <c r="G849" s="3"/>
      <c r="H849" s="3"/>
      <c r="I849" s="3"/>
      <c r="J849" s="288"/>
      <c r="L849" s="288"/>
      <c r="M849" s="288"/>
      <c r="N849" s="288"/>
      <c r="O849" s="288"/>
      <c r="P849" s="288"/>
      <c r="Q849" s="288"/>
      <c r="R849" s="283"/>
      <c r="S849" s="280"/>
      <c r="T849" s="276"/>
      <c r="U849" s="276"/>
      <c r="V849" s="276"/>
      <c r="W849" s="283"/>
      <c r="X849" s="280"/>
      <c r="Y849" s="280"/>
      <c r="Z849" s="280"/>
      <c r="AA849" s="280"/>
      <c r="AB849" s="280"/>
      <c r="AC849" s="280"/>
      <c r="AD849" s="280"/>
      <c r="AG849" s="3"/>
      <c r="AH849" s="3"/>
      <c r="AI849" s="3"/>
      <c r="AJ849" s="3"/>
      <c r="AK849" s="3"/>
      <c r="AL849" s="3"/>
      <c r="AM849" s="3"/>
      <c r="AN849" s="3"/>
      <c r="AO849" s="3"/>
      <c r="AP849" s="11"/>
      <c r="AQ849" s="11"/>
      <c r="AR849" s="3"/>
      <c r="AS849" s="3"/>
      <c r="AT849" s="3"/>
      <c r="AU849" s="3"/>
      <c r="AV849" s="3"/>
      <c r="AW849" s="3"/>
      <c r="AX849" s="11"/>
      <c r="AZ849"/>
      <c r="BA849"/>
      <c r="BB849"/>
      <c r="BC849"/>
    </row>
    <row r="850" spans="1:55" s="282" customFormat="1" x14ac:dyDescent="0.25">
      <c r="A850"/>
      <c r="B850"/>
      <c r="C850" s="3"/>
      <c r="D850"/>
      <c r="E850"/>
      <c r="F850"/>
      <c r="G850" s="3"/>
      <c r="H850" s="3"/>
      <c r="I850" s="3"/>
      <c r="J850" s="288"/>
      <c r="L850" s="288"/>
      <c r="M850" s="288"/>
      <c r="N850" s="288"/>
      <c r="O850" s="288"/>
      <c r="P850" s="288"/>
      <c r="Q850" s="288"/>
      <c r="R850" s="283"/>
      <c r="S850" s="280"/>
      <c r="T850" s="276"/>
      <c r="U850" s="276"/>
      <c r="V850" s="276"/>
      <c r="W850" s="283"/>
      <c r="X850" s="280"/>
      <c r="Y850" s="280"/>
      <c r="Z850" s="280"/>
      <c r="AA850" s="280"/>
      <c r="AB850" s="280"/>
      <c r="AC850" s="280"/>
      <c r="AD850" s="280"/>
      <c r="AG850" s="3"/>
      <c r="AH850" s="3"/>
      <c r="AI850" s="3"/>
      <c r="AJ850" s="3"/>
      <c r="AK850" s="3"/>
      <c r="AL850" s="3"/>
      <c r="AM850" s="3"/>
      <c r="AN850" s="3"/>
      <c r="AO850" s="3"/>
      <c r="AP850" s="11"/>
      <c r="AQ850" s="11"/>
      <c r="AR850" s="3"/>
      <c r="AS850" s="3"/>
      <c r="AT850" s="3"/>
      <c r="AU850" s="3"/>
      <c r="AV850" s="3"/>
      <c r="AW850" s="3"/>
      <c r="AX850" s="11"/>
      <c r="AZ850"/>
      <c r="BA850"/>
      <c r="BB850"/>
      <c r="BC850"/>
    </row>
    <row r="851" spans="1:55" s="282" customFormat="1" x14ac:dyDescent="0.25">
      <c r="A851"/>
      <c r="B851"/>
      <c r="C851" s="3"/>
      <c r="D851"/>
      <c r="E851"/>
      <c r="F851"/>
      <c r="G851" s="3"/>
      <c r="H851" s="3"/>
      <c r="I851" s="3"/>
      <c r="J851" s="288"/>
      <c r="L851" s="288"/>
      <c r="M851" s="288"/>
      <c r="N851" s="288"/>
      <c r="O851" s="288"/>
      <c r="P851" s="288"/>
      <c r="Q851" s="288"/>
      <c r="R851" s="283"/>
      <c r="S851" s="280"/>
      <c r="T851" s="276"/>
      <c r="U851" s="276"/>
      <c r="V851" s="276"/>
      <c r="W851" s="283"/>
      <c r="X851" s="280"/>
      <c r="Y851" s="280"/>
      <c r="Z851" s="280"/>
      <c r="AA851" s="280"/>
      <c r="AB851" s="280"/>
      <c r="AC851" s="280"/>
      <c r="AD851" s="280"/>
      <c r="AG851" s="3"/>
      <c r="AH851" s="3"/>
      <c r="AI851" s="3"/>
      <c r="AJ851" s="3"/>
      <c r="AK851" s="3"/>
      <c r="AL851" s="3"/>
      <c r="AM851" s="3"/>
      <c r="AN851" s="3"/>
      <c r="AO851" s="3"/>
      <c r="AP851" s="11"/>
      <c r="AQ851" s="11"/>
      <c r="AR851" s="3"/>
      <c r="AS851" s="3"/>
      <c r="AT851" s="3"/>
      <c r="AU851" s="3"/>
      <c r="AV851" s="3"/>
      <c r="AW851" s="3"/>
      <c r="AX851" s="11"/>
      <c r="AZ851"/>
      <c r="BA851"/>
      <c r="BB851"/>
      <c r="BC851"/>
    </row>
    <row r="852" spans="1:55" s="282" customFormat="1" x14ac:dyDescent="0.25">
      <c r="A852"/>
      <c r="B852"/>
      <c r="C852" s="3"/>
      <c r="D852"/>
      <c r="E852"/>
      <c r="F852"/>
      <c r="G852" s="3"/>
      <c r="H852" s="3"/>
      <c r="I852" s="3"/>
      <c r="J852" s="288"/>
      <c r="L852" s="288"/>
      <c r="M852" s="288"/>
      <c r="N852" s="288"/>
      <c r="O852" s="288"/>
      <c r="P852" s="288"/>
      <c r="Q852" s="288"/>
      <c r="R852" s="283"/>
      <c r="S852" s="280"/>
      <c r="T852" s="276"/>
      <c r="U852" s="276"/>
      <c r="V852" s="276"/>
      <c r="W852" s="283"/>
      <c r="X852" s="280"/>
      <c r="Y852" s="280"/>
      <c r="Z852" s="280"/>
      <c r="AA852" s="280"/>
      <c r="AB852" s="280"/>
      <c r="AC852" s="280"/>
      <c r="AD852" s="280"/>
      <c r="AG852" s="3"/>
      <c r="AH852" s="3"/>
      <c r="AI852" s="3"/>
      <c r="AJ852" s="3"/>
      <c r="AK852" s="3"/>
      <c r="AL852" s="3"/>
      <c r="AM852" s="3"/>
      <c r="AN852" s="3"/>
      <c r="AO852" s="3"/>
      <c r="AP852" s="11"/>
      <c r="AQ852" s="11"/>
      <c r="AR852" s="3"/>
      <c r="AS852" s="3"/>
      <c r="AT852" s="3"/>
      <c r="AU852" s="3"/>
      <c r="AV852" s="3"/>
      <c r="AW852" s="3"/>
      <c r="AX852" s="11"/>
      <c r="AZ852"/>
      <c r="BA852"/>
      <c r="BB852"/>
      <c r="BC852"/>
    </row>
    <row r="853" spans="1:55" s="282" customFormat="1" x14ac:dyDescent="0.25">
      <c r="A853"/>
      <c r="B853"/>
      <c r="C853" s="3"/>
      <c r="D853"/>
      <c r="E853"/>
      <c r="F853"/>
      <c r="G853" s="3"/>
      <c r="H853" s="3"/>
      <c r="I853" s="3"/>
      <c r="J853" s="288"/>
      <c r="L853" s="288"/>
      <c r="M853" s="288"/>
      <c r="N853" s="288"/>
      <c r="O853" s="288"/>
      <c r="P853" s="288"/>
      <c r="Q853" s="288"/>
      <c r="R853" s="283"/>
      <c r="S853" s="280"/>
      <c r="T853" s="276"/>
      <c r="U853" s="276"/>
      <c r="V853" s="276"/>
      <c r="W853" s="283"/>
      <c r="X853" s="280"/>
      <c r="Y853" s="280"/>
      <c r="Z853" s="280"/>
      <c r="AA853" s="280"/>
      <c r="AB853" s="280"/>
      <c r="AC853" s="280"/>
      <c r="AD853" s="280"/>
      <c r="AG853" s="3"/>
      <c r="AH853" s="3"/>
      <c r="AI853" s="3"/>
      <c r="AJ853" s="3"/>
      <c r="AK853" s="3"/>
      <c r="AL853" s="3"/>
      <c r="AM853" s="3"/>
      <c r="AN853" s="3"/>
      <c r="AO853" s="3"/>
      <c r="AP853" s="11"/>
      <c r="AQ853" s="11"/>
      <c r="AR853" s="3"/>
      <c r="AS853" s="3"/>
      <c r="AT853" s="3"/>
      <c r="AU853" s="3"/>
      <c r="AV853" s="3"/>
      <c r="AW853" s="3"/>
      <c r="AX853" s="11"/>
      <c r="AZ853"/>
      <c r="BA853"/>
      <c r="BB853"/>
      <c r="BC853"/>
    </row>
    <row r="854" spans="1:55" s="282" customFormat="1" x14ac:dyDescent="0.25">
      <c r="A854"/>
      <c r="B854"/>
      <c r="C854" s="3"/>
      <c r="D854"/>
      <c r="E854"/>
      <c r="F854"/>
      <c r="G854" s="3"/>
      <c r="H854" s="3"/>
      <c r="I854" s="3"/>
      <c r="J854" s="288"/>
      <c r="L854" s="288"/>
      <c r="M854" s="288"/>
      <c r="N854" s="288"/>
      <c r="O854" s="288"/>
      <c r="P854" s="288"/>
      <c r="Q854" s="288"/>
      <c r="R854" s="283"/>
      <c r="S854" s="280"/>
      <c r="T854" s="276"/>
      <c r="U854" s="276"/>
      <c r="V854" s="276"/>
      <c r="W854" s="283"/>
      <c r="X854" s="280"/>
      <c r="Y854" s="280"/>
      <c r="Z854" s="280"/>
      <c r="AA854" s="280"/>
      <c r="AB854" s="280"/>
      <c r="AC854" s="280"/>
      <c r="AD854" s="280"/>
      <c r="AG854" s="3"/>
      <c r="AH854" s="3"/>
      <c r="AI854" s="3"/>
      <c r="AJ854" s="3"/>
      <c r="AK854" s="3"/>
      <c r="AL854" s="3"/>
      <c r="AM854" s="3"/>
      <c r="AN854" s="3"/>
      <c r="AO854" s="3"/>
      <c r="AP854" s="11"/>
      <c r="AQ854" s="11"/>
      <c r="AR854" s="3"/>
      <c r="AS854" s="3"/>
      <c r="AT854" s="3"/>
      <c r="AU854" s="3"/>
      <c r="AV854" s="3"/>
      <c r="AW854" s="3"/>
      <c r="AX854" s="11"/>
      <c r="AZ854"/>
      <c r="BA854"/>
      <c r="BB854"/>
      <c r="BC854"/>
    </row>
    <row r="855" spans="1:55" s="282" customFormat="1" x14ac:dyDescent="0.25">
      <c r="A855"/>
      <c r="B855"/>
      <c r="C855" s="3"/>
      <c r="D855"/>
      <c r="E855"/>
      <c r="F855"/>
      <c r="G855" s="3"/>
      <c r="H855" s="3"/>
      <c r="I855" s="3"/>
      <c r="J855" s="288"/>
      <c r="L855" s="288"/>
      <c r="M855" s="288"/>
      <c r="N855" s="288"/>
      <c r="O855" s="288"/>
      <c r="P855" s="288"/>
      <c r="Q855" s="288"/>
      <c r="R855" s="283"/>
      <c r="S855" s="280"/>
      <c r="T855" s="276"/>
      <c r="U855" s="276"/>
      <c r="V855" s="276"/>
      <c r="W855" s="283"/>
      <c r="X855" s="280"/>
      <c r="Y855" s="280"/>
      <c r="Z855" s="280"/>
      <c r="AA855" s="280"/>
      <c r="AB855" s="280"/>
      <c r="AC855" s="280"/>
      <c r="AD855" s="280"/>
      <c r="AG855" s="3"/>
      <c r="AH855" s="3"/>
      <c r="AI855" s="3"/>
      <c r="AJ855" s="3"/>
      <c r="AK855" s="3"/>
      <c r="AL855" s="3"/>
      <c r="AM855" s="3"/>
      <c r="AN855" s="3"/>
      <c r="AO855" s="3"/>
      <c r="AP855" s="11"/>
      <c r="AQ855" s="11"/>
      <c r="AR855" s="3"/>
      <c r="AS855" s="3"/>
      <c r="AT855" s="3"/>
      <c r="AU855" s="3"/>
      <c r="AV855" s="3"/>
      <c r="AW855" s="3"/>
      <c r="AX855" s="11"/>
      <c r="AZ855"/>
      <c r="BA855"/>
      <c r="BB855"/>
      <c r="BC855"/>
    </row>
    <row r="856" spans="1:55" s="282" customFormat="1" x14ac:dyDescent="0.25">
      <c r="A856"/>
      <c r="B856"/>
      <c r="C856" s="3"/>
      <c r="D856"/>
      <c r="E856"/>
      <c r="F856"/>
      <c r="G856" s="3"/>
      <c r="H856" s="3"/>
      <c r="I856" s="3"/>
      <c r="J856" s="288"/>
      <c r="L856" s="288"/>
      <c r="M856" s="288"/>
      <c r="N856" s="288"/>
      <c r="O856" s="288"/>
      <c r="P856" s="288"/>
      <c r="Q856" s="288"/>
      <c r="R856" s="283"/>
      <c r="S856" s="280"/>
      <c r="T856" s="276"/>
      <c r="U856" s="276"/>
      <c r="V856" s="276"/>
      <c r="W856" s="283"/>
      <c r="X856" s="280"/>
      <c r="Y856" s="280"/>
      <c r="Z856" s="280"/>
      <c r="AA856" s="280"/>
      <c r="AB856" s="280"/>
      <c r="AC856" s="280"/>
      <c r="AD856" s="280"/>
      <c r="AG856" s="3"/>
      <c r="AH856" s="3"/>
      <c r="AI856" s="3"/>
      <c r="AJ856" s="3"/>
      <c r="AK856" s="3"/>
      <c r="AL856" s="3"/>
      <c r="AM856" s="3"/>
      <c r="AN856" s="3"/>
      <c r="AO856" s="3"/>
      <c r="AP856" s="11"/>
      <c r="AQ856" s="11"/>
      <c r="AR856" s="3"/>
      <c r="AS856" s="3"/>
      <c r="AT856" s="3"/>
      <c r="AU856" s="3"/>
      <c r="AV856" s="3"/>
      <c r="AW856" s="3"/>
      <c r="AX856" s="11"/>
      <c r="AZ856"/>
      <c r="BA856"/>
      <c r="BB856"/>
      <c r="BC856"/>
    </row>
    <row r="857" spans="1:55" s="282" customFormat="1" x14ac:dyDescent="0.25">
      <c r="A857"/>
      <c r="B857"/>
      <c r="C857" s="3"/>
      <c r="D857"/>
      <c r="E857"/>
      <c r="F857"/>
      <c r="G857" s="3"/>
      <c r="H857" s="3"/>
      <c r="I857" s="3"/>
      <c r="J857" s="288"/>
      <c r="L857" s="288"/>
      <c r="M857" s="288"/>
      <c r="N857" s="288"/>
      <c r="O857" s="288"/>
      <c r="P857" s="288"/>
      <c r="Q857" s="288"/>
      <c r="R857" s="283"/>
      <c r="S857" s="280"/>
      <c r="T857" s="276"/>
      <c r="U857" s="276"/>
      <c r="V857" s="276"/>
      <c r="W857" s="283"/>
      <c r="X857" s="280"/>
      <c r="Y857" s="280"/>
      <c r="Z857" s="280"/>
      <c r="AA857" s="280"/>
      <c r="AB857" s="280"/>
      <c r="AC857" s="280"/>
      <c r="AD857" s="280"/>
      <c r="AG857" s="3"/>
      <c r="AH857" s="3"/>
      <c r="AI857" s="3"/>
      <c r="AJ857" s="3"/>
      <c r="AK857" s="3"/>
      <c r="AL857" s="3"/>
      <c r="AM857" s="3"/>
      <c r="AN857" s="3"/>
      <c r="AO857" s="3"/>
      <c r="AP857" s="11"/>
      <c r="AQ857" s="11"/>
      <c r="AR857" s="3"/>
      <c r="AS857" s="3"/>
      <c r="AT857" s="3"/>
      <c r="AU857" s="3"/>
      <c r="AV857" s="3"/>
      <c r="AW857" s="3"/>
      <c r="AX857" s="11"/>
      <c r="AZ857"/>
      <c r="BA857"/>
      <c r="BB857"/>
      <c r="BC857"/>
    </row>
    <row r="858" spans="1:55" s="282" customFormat="1" x14ac:dyDescent="0.25">
      <c r="A858"/>
      <c r="B858"/>
      <c r="C858" s="3"/>
      <c r="D858"/>
      <c r="E858"/>
      <c r="F858"/>
      <c r="G858" s="3"/>
      <c r="H858" s="3"/>
      <c r="I858" s="3"/>
      <c r="J858" s="288"/>
      <c r="L858" s="288"/>
      <c r="M858" s="288"/>
      <c r="N858" s="288"/>
      <c r="O858" s="288"/>
      <c r="P858" s="288"/>
      <c r="Q858" s="288"/>
      <c r="R858" s="283"/>
      <c r="S858" s="280"/>
      <c r="T858" s="276"/>
      <c r="U858" s="276"/>
      <c r="V858" s="276"/>
      <c r="W858" s="283"/>
      <c r="X858" s="280"/>
      <c r="Y858" s="280"/>
      <c r="Z858" s="280"/>
      <c r="AA858" s="280"/>
      <c r="AB858" s="280"/>
      <c r="AC858" s="280"/>
      <c r="AD858" s="280"/>
      <c r="AG858" s="3"/>
      <c r="AH858" s="3"/>
      <c r="AI858" s="3"/>
      <c r="AJ858" s="3"/>
      <c r="AK858" s="3"/>
      <c r="AL858" s="3"/>
      <c r="AM858" s="3"/>
      <c r="AN858" s="3"/>
      <c r="AO858" s="3"/>
      <c r="AP858" s="11"/>
      <c r="AQ858" s="11"/>
      <c r="AR858" s="3"/>
      <c r="AS858" s="3"/>
      <c r="AT858" s="3"/>
      <c r="AU858" s="3"/>
      <c r="AV858" s="3"/>
      <c r="AW858" s="3"/>
      <c r="AX858" s="11"/>
      <c r="AZ858"/>
      <c r="BA858"/>
      <c r="BB858"/>
      <c r="BC858"/>
    </row>
    <row r="859" spans="1:55" s="282" customFormat="1" x14ac:dyDescent="0.25">
      <c r="A859"/>
      <c r="B859"/>
      <c r="C859" s="3"/>
      <c r="D859"/>
      <c r="E859"/>
      <c r="F859"/>
      <c r="G859" s="3"/>
      <c r="H859" s="3"/>
      <c r="I859" s="3"/>
      <c r="J859" s="288"/>
      <c r="L859" s="288"/>
      <c r="M859" s="288"/>
      <c r="N859" s="288"/>
      <c r="O859" s="288"/>
      <c r="P859" s="288"/>
      <c r="Q859" s="288"/>
      <c r="R859" s="283"/>
      <c r="S859" s="280"/>
      <c r="T859" s="276"/>
      <c r="U859" s="276"/>
      <c r="V859" s="276"/>
      <c r="W859" s="283"/>
      <c r="X859" s="280"/>
      <c r="Y859" s="280"/>
      <c r="Z859" s="280"/>
      <c r="AA859" s="280"/>
      <c r="AB859" s="280"/>
      <c r="AC859" s="280"/>
      <c r="AD859" s="280"/>
      <c r="AG859" s="3"/>
      <c r="AH859" s="3"/>
      <c r="AI859" s="3"/>
      <c r="AJ859" s="3"/>
      <c r="AK859" s="3"/>
      <c r="AL859" s="3"/>
      <c r="AM859" s="3"/>
      <c r="AN859" s="3"/>
      <c r="AO859" s="3"/>
      <c r="AP859" s="11"/>
      <c r="AQ859" s="11"/>
      <c r="AR859" s="3"/>
      <c r="AS859" s="3"/>
      <c r="AT859" s="3"/>
      <c r="AU859" s="3"/>
      <c r="AV859" s="3"/>
      <c r="AW859" s="3"/>
      <c r="AX859" s="11"/>
      <c r="AZ859"/>
      <c r="BA859"/>
      <c r="BB859"/>
      <c r="BC859"/>
    </row>
    <row r="860" spans="1:55" s="282" customFormat="1" x14ac:dyDescent="0.25">
      <c r="A860"/>
      <c r="B860"/>
      <c r="C860" s="3"/>
      <c r="D860"/>
      <c r="E860"/>
      <c r="F860"/>
      <c r="G860" s="3"/>
      <c r="H860" s="3"/>
      <c r="I860" s="3"/>
      <c r="J860" s="288"/>
      <c r="L860" s="288"/>
      <c r="M860" s="288"/>
      <c r="N860" s="288"/>
      <c r="O860" s="288"/>
      <c r="P860" s="288"/>
      <c r="Q860" s="288"/>
      <c r="R860" s="283"/>
      <c r="S860" s="280"/>
      <c r="T860" s="276"/>
      <c r="U860" s="276"/>
      <c r="V860" s="276"/>
      <c r="W860" s="283"/>
      <c r="X860" s="280"/>
      <c r="Y860" s="280"/>
      <c r="Z860" s="280"/>
      <c r="AA860" s="280"/>
      <c r="AB860" s="280"/>
      <c r="AC860" s="280"/>
      <c r="AD860" s="280"/>
      <c r="AG860" s="3"/>
      <c r="AH860" s="3"/>
      <c r="AI860" s="3"/>
      <c r="AJ860" s="3"/>
      <c r="AK860" s="3"/>
      <c r="AL860" s="3"/>
      <c r="AM860" s="3"/>
      <c r="AN860" s="3"/>
      <c r="AO860" s="3"/>
      <c r="AP860" s="11"/>
      <c r="AQ860" s="11"/>
      <c r="AR860" s="3"/>
      <c r="AS860" s="3"/>
      <c r="AT860" s="3"/>
      <c r="AU860" s="3"/>
      <c r="AV860" s="3"/>
      <c r="AW860" s="3"/>
      <c r="AX860" s="11"/>
      <c r="AZ860"/>
      <c r="BA860"/>
      <c r="BB860"/>
      <c r="BC860"/>
    </row>
    <row r="861" spans="1:55" s="282" customFormat="1" x14ac:dyDescent="0.25">
      <c r="A861"/>
      <c r="B861"/>
      <c r="C861" s="3"/>
      <c r="D861"/>
      <c r="E861"/>
      <c r="F861"/>
      <c r="G861" s="3"/>
      <c r="H861" s="3"/>
      <c r="I861" s="3"/>
      <c r="J861" s="288"/>
      <c r="L861" s="288"/>
      <c r="M861" s="288"/>
      <c r="N861" s="288"/>
      <c r="O861" s="288"/>
      <c r="P861" s="288"/>
      <c r="Q861" s="288"/>
      <c r="R861" s="283"/>
      <c r="S861" s="280"/>
      <c r="T861" s="276"/>
      <c r="U861" s="276"/>
      <c r="V861" s="276"/>
      <c r="W861" s="283"/>
      <c r="X861" s="280"/>
      <c r="Y861" s="280"/>
      <c r="Z861" s="280"/>
      <c r="AA861" s="280"/>
      <c r="AB861" s="280"/>
      <c r="AC861" s="280"/>
      <c r="AD861" s="280"/>
      <c r="AG861" s="3"/>
      <c r="AH861" s="3"/>
      <c r="AI861" s="3"/>
      <c r="AJ861" s="3"/>
      <c r="AK861" s="3"/>
      <c r="AL861" s="3"/>
      <c r="AM861" s="3"/>
      <c r="AN861" s="3"/>
      <c r="AO861" s="3"/>
      <c r="AP861" s="11"/>
      <c r="AQ861" s="11"/>
      <c r="AR861" s="3"/>
      <c r="AS861" s="3"/>
      <c r="AT861" s="3"/>
      <c r="AU861" s="3"/>
      <c r="AV861" s="3"/>
      <c r="AW861" s="3"/>
      <c r="AX861" s="11"/>
      <c r="AZ861"/>
      <c r="BA861"/>
      <c r="BB861"/>
      <c r="BC861"/>
    </row>
    <row r="862" spans="1:55" s="282" customFormat="1" x14ac:dyDescent="0.25">
      <c r="A862"/>
      <c r="B862"/>
      <c r="C862" s="3"/>
      <c r="D862"/>
      <c r="E862"/>
      <c r="F862"/>
      <c r="G862" s="3"/>
      <c r="H862" s="3"/>
      <c r="I862" s="3"/>
      <c r="J862" s="288"/>
      <c r="L862" s="288"/>
      <c r="M862" s="288"/>
      <c r="N862" s="288"/>
      <c r="O862" s="288"/>
      <c r="P862" s="288"/>
      <c r="Q862" s="288"/>
      <c r="R862" s="283"/>
      <c r="S862" s="280"/>
      <c r="T862" s="276"/>
      <c r="U862" s="276"/>
      <c r="V862" s="276"/>
      <c r="W862" s="283"/>
      <c r="X862" s="280"/>
      <c r="Y862" s="280"/>
      <c r="Z862" s="280"/>
      <c r="AA862" s="280"/>
      <c r="AB862" s="280"/>
      <c r="AC862" s="280"/>
      <c r="AD862" s="280"/>
      <c r="AG862" s="3"/>
      <c r="AH862" s="3"/>
      <c r="AI862" s="3"/>
      <c r="AJ862" s="3"/>
      <c r="AK862" s="3"/>
      <c r="AL862" s="3"/>
      <c r="AM862" s="3"/>
      <c r="AN862" s="3"/>
      <c r="AO862" s="3"/>
      <c r="AP862" s="11"/>
      <c r="AQ862" s="11"/>
      <c r="AR862" s="3"/>
      <c r="AS862" s="3"/>
      <c r="AT862" s="3"/>
      <c r="AU862" s="3"/>
      <c r="AV862" s="3"/>
      <c r="AW862" s="3"/>
      <c r="AX862" s="11"/>
      <c r="AZ862"/>
      <c r="BA862"/>
      <c r="BB862"/>
      <c r="BC862"/>
    </row>
    <row r="863" spans="1:55" s="282" customFormat="1" x14ac:dyDescent="0.25">
      <c r="A863"/>
      <c r="B863"/>
      <c r="C863" s="3"/>
      <c r="D863"/>
      <c r="E863"/>
      <c r="F863"/>
      <c r="G863" s="3"/>
      <c r="H863" s="3"/>
      <c r="I863" s="3"/>
      <c r="J863" s="288"/>
      <c r="L863" s="288"/>
      <c r="M863" s="288"/>
      <c r="N863" s="288"/>
      <c r="O863" s="288"/>
      <c r="P863" s="288"/>
      <c r="Q863" s="288"/>
      <c r="R863" s="283"/>
      <c r="S863" s="280"/>
      <c r="T863" s="276"/>
      <c r="U863" s="276"/>
      <c r="V863" s="276"/>
      <c r="W863" s="283"/>
      <c r="X863" s="280"/>
      <c r="Y863" s="280"/>
      <c r="Z863" s="280"/>
      <c r="AA863" s="280"/>
      <c r="AB863" s="280"/>
      <c r="AC863" s="280"/>
      <c r="AD863" s="280"/>
      <c r="AG863" s="3"/>
      <c r="AH863" s="3"/>
      <c r="AI863" s="3"/>
      <c r="AJ863" s="3"/>
      <c r="AK863" s="3"/>
      <c r="AL863" s="3"/>
      <c r="AM863" s="3"/>
      <c r="AN863" s="3"/>
      <c r="AO863" s="3"/>
      <c r="AP863" s="11"/>
      <c r="AQ863" s="11"/>
      <c r="AR863" s="3"/>
      <c r="AS863" s="3"/>
      <c r="AT863" s="3"/>
      <c r="AU863" s="3"/>
      <c r="AV863" s="3"/>
      <c r="AW863" s="3"/>
      <c r="AX863" s="11"/>
      <c r="AZ863"/>
      <c r="BA863"/>
      <c r="BB863"/>
      <c r="BC863"/>
    </row>
    <row r="864" spans="1:55" s="282" customFormat="1" x14ac:dyDescent="0.25">
      <c r="A864"/>
      <c r="B864"/>
      <c r="C864" s="3"/>
      <c r="D864"/>
      <c r="E864"/>
      <c r="F864"/>
      <c r="G864" s="3"/>
      <c r="H864" s="3"/>
      <c r="I864" s="3"/>
      <c r="J864" s="288"/>
      <c r="L864" s="288"/>
      <c r="M864" s="288"/>
      <c r="N864" s="288"/>
      <c r="O864" s="288"/>
      <c r="P864" s="288"/>
      <c r="Q864" s="288"/>
      <c r="R864" s="283"/>
      <c r="S864" s="280"/>
      <c r="T864" s="276"/>
      <c r="U864" s="276"/>
      <c r="V864" s="276"/>
      <c r="W864" s="283"/>
      <c r="X864" s="280"/>
      <c r="Y864" s="280"/>
      <c r="Z864" s="280"/>
      <c r="AA864" s="280"/>
      <c r="AB864" s="280"/>
      <c r="AC864" s="280"/>
      <c r="AD864" s="280"/>
      <c r="AG864" s="3"/>
      <c r="AH864" s="3"/>
      <c r="AI864" s="3"/>
      <c r="AJ864" s="3"/>
      <c r="AK864" s="3"/>
      <c r="AL864" s="3"/>
      <c r="AM864" s="3"/>
      <c r="AN864" s="3"/>
      <c r="AO864" s="3"/>
      <c r="AP864" s="11"/>
      <c r="AQ864" s="11"/>
      <c r="AR864" s="3"/>
      <c r="AS864" s="3"/>
      <c r="AT864" s="3"/>
      <c r="AU864" s="3"/>
      <c r="AV864" s="3"/>
      <c r="AW864" s="3"/>
      <c r="AX864" s="11"/>
      <c r="AZ864"/>
      <c r="BA864"/>
      <c r="BB864"/>
      <c r="BC864"/>
    </row>
    <row r="865" spans="1:55" s="282" customFormat="1" x14ac:dyDescent="0.25">
      <c r="A865"/>
      <c r="B865"/>
      <c r="C865" s="3"/>
      <c r="D865"/>
      <c r="E865"/>
      <c r="F865"/>
      <c r="G865" s="3"/>
      <c r="H865" s="3"/>
      <c r="I865" s="3"/>
      <c r="J865" s="288"/>
      <c r="L865" s="288"/>
      <c r="M865" s="288"/>
      <c r="N865" s="288"/>
      <c r="O865" s="288"/>
      <c r="P865" s="288"/>
      <c r="Q865" s="288"/>
      <c r="R865" s="283"/>
      <c r="S865" s="280"/>
      <c r="T865" s="276"/>
      <c r="U865" s="276"/>
      <c r="V865" s="276"/>
      <c r="W865" s="283"/>
      <c r="X865" s="280"/>
      <c r="Y865" s="280"/>
      <c r="Z865" s="280"/>
      <c r="AA865" s="280"/>
      <c r="AB865" s="280"/>
      <c r="AC865" s="280"/>
      <c r="AD865" s="280"/>
      <c r="AG865" s="3"/>
      <c r="AH865" s="3"/>
      <c r="AI865" s="3"/>
      <c r="AJ865" s="3"/>
      <c r="AK865" s="3"/>
      <c r="AL865" s="3"/>
      <c r="AM865" s="3"/>
      <c r="AN865" s="3"/>
      <c r="AO865" s="3"/>
      <c r="AP865" s="11"/>
      <c r="AQ865" s="11"/>
      <c r="AR865" s="3"/>
      <c r="AS865" s="3"/>
      <c r="AT865" s="3"/>
      <c r="AU865" s="3"/>
      <c r="AV865" s="3"/>
      <c r="AW865" s="3"/>
      <c r="AX865" s="11"/>
      <c r="AZ865"/>
      <c r="BA865"/>
      <c r="BB865"/>
      <c r="BC865"/>
    </row>
    <row r="866" spans="1:55" s="282" customFormat="1" x14ac:dyDescent="0.25">
      <c r="A866"/>
      <c r="B866"/>
      <c r="C866" s="3"/>
      <c r="D866"/>
      <c r="E866"/>
      <c r="F866"/>
      <c r="G866" s="3"/>
      <c r="H866" s="3"/>
      <c r="I866" s="3"/>
      <c r="J866" s="288"/>
      <c r="L866" s="288"/>
      <c r="M866" s="288"/>
      <c r="N866" s="288"/>
      <c r="O866" s="288"/>
      <c r="P866" s="288"/>
      <c r="Q866" s="288"/>
      <c r="R866" s="283"/>
      <c r="S866" s="280"/>
      <c r="T866" s="276"/>
      <c r="U866" s="276"/>
      <c r="V866" s="276"/>
      <c r="W866" s="283"/>
      <c r="X866" s="280"/>
      <c r="Y866" s="280"/>
      <c r="Z866" s="280"/>
      <c r="AA866" s="280"/>
      <c r="AB866" s="280"/>
      <c r="AC866" s="280"/>
      <c r="AD866" s="280"/>
      <c r="AG866" s="3"/>
      <c r="AH866" s="3"/>
      <c r="AI866" s="3"/>
      <c r="AJ866" s="3"/>
      <c r="AK866" s="3"/>
      <c r="AL866" s="3"/>
      <c r="AM866" s="3"/>
      <c r="AN866" s="3"/>
      <c r="AO866" s="3"/>
      <c r="AP866" s="11"/>
      <c r="AQ866" s="11"/>
      <c r="AR866" s="3"/>
      <c r="AS866" s="3"/>
      <c r="AT866" s="3"/>
      <c r="AU866" s="3"/>
      <c r="AV866" s="3"/>
      <c r="AW866" s="3"/>
      <c r="AX866" s="11"/>
      <c r="AZ866"/>
      <c r="BA866"/>
      <c r="BB866"/>
      <c r="BC866"/>
    </row>
    <row r="867" spans="1:55" s="282" customFormat="1" x14ac:dyDescent="0.25">
      <c r="A867"/>
      <c r="B867"/>
      <c r="C867" s="3"/>
      <c r="D867"/>
      <c r="E867"/>
      <c r="F867"/>
      <c r="G867" s="3"/>
      <c r="H867" s="3"/>
      <c r="I867" s="3"/>
      <c r="J867" s="288"/>
      <c r="L867" s="288"/>
      <c r="M867" s="288"/>
      <c r="N867" s="288"/>
      <c r="O867" s="288"/>
      <c r="P867" s="288"/>
      <c r="Q867" s="288"/>
      <c r="R867" s="283"/>
      <c r="S867" s="280"/>
      <c r="T867" s="276"/>
      <c r="U867" s="276"/>
      <c r="V867" s="276"/>
      <c r="W867" s="283"/>
      <c r="X867" s="280"/>
      <c r="Y867" s="280"/>
      <c r="Z867" s="280"/>
      <c r="AA867" s="280"/>
      <c r="AB867" s="280"/>
      <c r="AC867" s="280"/>
      <c r="AD867" s="280"/>
      <c r="AG867" s="3"/>
      <c r="AH867" s="3"/>
      <c r="AI867" s="3"/>
      <c r="AJ867" s="3"/>
      <c r="AK867" s="3"/>
      <c r="AL867" s="3"/>
      <c r="AM867" s="3"/>
      <c r="AN867" s="3"/>
      <c r="AO867" s="3"/>
      <c r="AP867" s="11"/>
      <c r="AQ867" s="11"/>
      <c r="AR867" s="3"/>
      <c r="AS867" s="3"/>
      <c r="AT867" s="3"/>
      <c r="AU867" s="3"/>
      <c r="AV867" s="3"/>
      <c r="AW867" s="3"/>
      <c r="AX867" s="11"/>
      <c r="AZ867"/>
      <c r="BA867"/>
      <c r="BB867"/>
      <c r="BC867"/>
    </row>
    <row r="868" spans="1:55" s="282" customFormat="1" x14ac:dyDescent="0.25">
      <c r="A868"/>
      <c r="B868"/>
      <c r="C868" s="3"/>
      <c r="D868"/>
      <c r="E868"/>
      <c r="F868"/>
      <c r="G868" s="3"/>
      <c r="H868" s="3"/>
      <c r="I868" s="3"/>
      <c r="J868" s="288"/>
      <c r="L868" s="288"/>
      <c r="M868" s="288"/>
      <c r="N868" s="288"/>
      <c r="O868" s="288"/>
      <c r="P868" s="288"/>
      <c r="Q868" s="288"/>
      <c r="R868" s="283"/>
      <c r="S868" s="280"/>
      <c r="T868" s="276"/>
      <c r="U868" s="276"/>
      <c r="V868" s="276"/>
      <c r="W868" s="283"/>
      <c r="X868" s="280"/>
      <c r="Y868" s="280"/>
      <c r="Z868" s="280"/>
      <c r="AA868" s="280"/>
      <c r="AB868" s="280"/>
      <c r="AC868" s="280"/>
      <c r="AD868" s="280"/>
      <c r="AG868" s="3"/>
      <c r="AH868" s="3"/>
      <c r="AI868" s="3"/>
      <c r="AJ868" s="3"/>
      <c r="AK868" s="3"/>
      <c r="AL868" s="3"/>
      <c r="AM868" s="3"/>
      <c r="AN868" s="3"/>
      <c r="AO868" s="3"/>
      <c r="AP868" s="11"/>
      <c r="AQ868" s="11"/>
      <c r="AR868" s="3"/>
      <c r="AS868" s="3"/>
      <c r="AT868" s="3"/>
      <c r="AU868" s="3"/>
      <c r="AV868" s="3"/>
      <c r="AW868" s="3"/>
      <c r="AX868" s="11"/>
      <c r="AZ868"/>
      <c r="BA868"/>
      <c r="BB868"/>
      <c r="BC868"/>
    </row>
    <row r="869" spans="1:55" s="282" customFormat="1" x14ac:dyDescent="0.25">
      <c r="A869"/>
      <c r="B869"/>
      <c r="C869" s="3"/>
      <c r="D869"/>
      <c r="E869"/>
      <c r="F869"/>
      <c r="G869" s="3"/>
      <c r="H869" s="3"/>
      <c r="I869" s="3"/>
      <c r="J869" s="288"/>
      <c r="L869" s="288"/>
      <c r="M869" s="288"/>
      <c r="N869" s="288"/>
      <c r="O869" s="288"/>
      <c r="P869" s="288"/>
      <c r="Q869" s="288"/>
      <c r="R869" s="283"/>
      <c r="S869" s="280"/>
      <c r="T869" s="276"/>
      <c r="U869" s="276"/>
      <c r="V869" s="276"/>
      <c r="W869" s="283"/>
      <c r="X869" s="280"/>
      <c r="Y869" s="280"/>
      <c r="Z869" s="280"/>
      <c r="AA869" s="280"/>
      <c r="AB869" s="280"/>
      <c r="AC869" s="280"/>
      <c r="AD869" s="280"/>
      <c r="AG869" s="3"/>
      <c r="AH869" s="3"/>
      <c r="AI869" s="3"/>
      <c r="AJ869" s="3"/>
      <c r="AK869" s="3"/>
      <c r="AL869" s="3"/>
      <c r="AM869" s="3"/>
      <c r="AN869" s="3"/>
      <c r="AO869" s="3"/>
      <c r="AP869" s="11"/>
      <c r="AQ869" s="11"/>
      <c r="AR869" s="3"/>
      <c r="AS869" s="3"/>
      <c r="AT869" s="3"/>
      <c r="AU869" s="3"/>
      <c r="AV869" s="3"/>
      <c r="AW869" s="3"/>
      <c r="AX869" s="11"/>
      <c r="AZ869"/>
      <c r="BA869"/>
      <c r="BB869"/>
      <c r="BC869"/>
    </row>
    <row r="870" spans="1:55" s="282" customFormat="1" x14ac:dyDescent="0.25">
      <c r="A870"/>
      <c r="B870"/>
      <c r="C870" s="3"/>
      <c r="D870"/>
      <c r="E870"/>
      <c r="F870"/>
      <c r="G870" s="3"/>
      <c r="H870" s="3"/>
      <c r="I870" s="3"/>
      <c r="J870" s="288"/>
      <c r="L870" s="288"/>
      <c r="M870" s="288"/>
      <c r="N870" s="288"/>
      <c r="O870" s="288"/>
      <c r="P870" s="288"/>
      <c r="Q870" s="288"/>
      <c r="R870" s="283"/>
      <c r="S870" s="280"/>
      <c r="T870" s="276"/>
      <c r="U870" s="276"/>
      <c r="V870" s="276"/>
      <c r="W870" s="283"/>
      <c r="X870" s="280"/>
      <c r="Y870" s="280"/>
      <c r="Z870" s="280"/>
      <c r="AA870" s="280"/>
      <c r="AB870" s="280"/>
      <c r="AC870" s="280"/>
      <c r="AD870" s="280"/>
      <c r="AG870" s="3"/>
      <c r="AH870" s="3"/>
      <c r="AI870" s="3"/>
      <c r="AJ870" s="3"/>
      <c r="AK870" s="3"/>
      <c r="AL870" s="3"/>
      <c r="AM870" s="3"/>
      <c r="AN870" s="3"/>
      <c r="AO870" s="3"/>
      <c r="AP870" s="11"/>
      <c r="AQ870" s="11"/>
      <c r="AR870" s="3"/>
      <c r="AS870" s="3"/>
      <c r="AT870" s="3"/>
      <c r="AU870" s="3"/>
      <c r="AV870" s="3"/>
      <c r="AW870" s="3"/>
      <c r="AX870" s="11"/>
      <c r="AZ870"/>
      <c r="BA870"/>
      <c r="BB870"/>
      <c r="BC870"/>
    </row>
    <row r="871" spans="1:55" s="282" customFormat="1" x14ac:dyDescent="0.25">
      <c r="A871"/>
      <c r="B871"/>
      <c r="C871" s="3"/>
      <c r="D871"/>
      <c r="E871"/>
      <c r="F871"/>
      <c r="G871" s="3"/>
      <c r="H871" s="3"/>
      <c r="I871" s="3"/>
      <c r="J871" s="288"/>
      <c r="L871" s="288"/>
      <c r="M871" s="288"/>
      <c r="N871" s="288"/>
      <c r="O871" s="288"/>
      <c r="P871" s="288"/>
      <c r="Q871" s="288"/>
      <c r="R871" s="283"/>
      <c r="S871" s="280"/>
      <c r="T871" s="276"/>
      <c r="U871" s="276"/>
      <c r="V871" s="276"/>
      <c r="W871" s="283"/>
      <c r="X871" s="280"/>
      <c r="Y871" s="280"/>
      <c r="Z871" s="280"/>
      <c r="AA871" s="280"/>
      <c r="AB871" s="280"/>
      <c r="AC871" s="280"/>
      <c r="AD871" s="280"/>
      <c r="AG871" s="3"/>
      <c r="AH871" s="3"/>
      <c r="AI871" s="3"/>
      <c r="AJ871" s="3"/>
      <c r="AK871" s="3"/>
      <c r="AL871" s="3"/>
      <c r="AM871" s="3"/>
      <c r="AN871" s="3"/>
      <c r="AO871" s="3"/>
      <c r="AP871" s="11"/>
      <c r="AQ871" s="11"/>
      <c r="AR871" s="3"/>
      <c r="AS871" s="3"/>
      <c r="AT871" s="3"/>
      <c r="AU871" s="3"/>
      <c r="AV871" s="3"/>
      <c r="AW871" s="3"/>
      <c r="AX871" s="11"/>
      <c r="AZ871"/>
      <c r="BA871"/>
      <c r="BB871"/>
      <c r="BC871"/>
    </row>
    <row r="872" spans="1:55" s="282" customFormat="1" x14ac:dyDescent="0.25">
      <c r="A872"/>
      <c r="B872"/>
      <c r="C872" s="3"/>
      <c r="D872"/>
      <c r="E872"/>
      <c r="F872"/>
      <c r="G872" s="3"/>
      <c r="H872" s="3"/>
      <c r="I872" s="3"/>
      <c r="J872" s="288"/>
      <c r="L872" s="288"/>
      <c r="M872" s="288"/>
      <c r="N872" s="288"/>
      <c r="O872" s="288"/>
      <c r="P872" s="288"/>
      <c r="Q872" s="288"/>
      <c r="R872" s="283"/>
      <c r="S872" s="280"/>
      <c r="T872" s="276"/>
      <c r="U872" s="276"/>
      <c r="V872" s="276"/>
      <c r="W872" s="283"/>
      <c r="X872" s="280"/>
      <c r="Y872" s="280"/>
      <c r="Z872" s="280"/>
      <c r="AA872" s="280"/>
      <c r="AB872" s="280"/>
      <c r="AC872" s="280"/>
      <c r="AD872" s="280"/>
      <c r="AG872" s="3"/>
      <c r="AH872" s="3"/>
      <c r="AI872" s="3"/>
      <c r="AJ872" s="3"/>
      <c r="AK872" s="3"/>
      <c r="AL872" s="3"/>
      <c r="AM872" s="3"/>
      <c r="AN872" s="3"/>
      <c r="AO872" s="3"/>
      <c r="AP872" s="11"/>
      <c r="AQ872" s="11"/>
      <c r="AR872" s="3"/>
      <c r="AS872" s="3"/>
      <c r="AT872" s="3"/>
      <c r="AU872" s="3"/>
      <c r="AV872" s="3"/>
      <c r="AW872" s="3"/>
      <c r="AX872" s="11"/>
      <c r="AZ872"/>
      <c r="BA872"/>
      <c r="BB872"/>
      <c r="BC872"/>
    </row>
    <row r="873" spans="1:55" s="282" customFormat="1" x14ac:dyDescent="0.25">
      <c r="A873"/>
      <c r="B873"/>
      <c r="C873" s="3"/>
      <c r="D873"/>
      <c r="E873"/>
      <c r="F873"/>
      <c r="G873" s="3"/>
      <c r="H873" s="3"/>
      <c r="I873" s="3"/>
      <c r="J873" s="288"/>
      <c r="L873" s="288"/>
      <c r="M873" s="288"/>
      <c r="N873" s="288"/>
      <c r="O873" s="288"/>
      <c r="P873" s="288"/>
      <c r="Q873" s="288"/>
      <c r="R873" s="283"/>
      <c r="S873" s="280"/>
      <c r="T873" s="276"/>
      <c r="U873" s="276"/>
      <c r="V873" s="276"/>
      <c r="W873" s="283"/>
      <c r="X873" s="280"/>
      <c r="Y873" s="280"/>
      <c r="Z873" s="280"/>
      <c r="AA873" s="280"/>
      <c r="AB873" s="280"/>
      <c r="AC873" s="280"/>
      <c r="AD873" s="280"/>
      <c r="AG873" s="3"/>
      <c r="AH873" s="3"/>
      <c r="AI873" s="3"/>
      <c r="AJ873" s="3"/>
      <c r="AK873" s="3"/>
      <c r="AL873" s="3"/>
      <c r="AM873" s="3"/>
      <c r="AN873" s="3"/>
      <c r="AO873" s="3"/>
      <c r="AP873" s="11"/>
      <c r="AQ873" s="11"/>
      <c r="AR873" s="3"/>
      <c r="AS873" s="3"/>
      <c r="AT873" s="3"/>
      <c r="AU873" s="3"/>
      <c r="AV873" s="3"/>
      <c r="AW873" s="3"/>
      <c r="AX873" s="11"/>
      <c r="AZ873"/>
      <c r="BA873"/>
      <c r="BB873"/>
      <c r="BC873"/>
    </row>
    <row r="874" spans="1:55" s="282" customFormat="1" x14ac:dyDescent="0.25">
      <c r="A874"/>
      <c r="B874"/>
      <c r="C874" s="3"/>
      <c r="D874"/>
      <c r="E874"/>
      <c r="F874"/>
      <c r="G874" s="3"/>
      <c r="H874" s="3"/>
      <c r="I874" s="3"/>
      <c r="J874" s="288"/>
      <c r="L874" s="288"/>
      <c r="M874" s="288"/>
      <c r="N874" s="288"/>
      <c r="O874" s="288"/>
      <c r="P874" s="288"/>
      <c r="Q874" s="288"/>
      <c r="R874" s="283"/>
      <c r="S874" s="280"/>
      <c r="T874" s="276"/>
      <c r="U874" s="276"/>
      <c r="V874" s="276"/>
      <c r="W874" s="283"/>
      <c r="X874" s="280"/>
      <c r="Y874" s="280"/>
      <c r="Z874" s="280"/>
      <c r="AA874" s="280"/>
      <c r="AB874" s="280"/>
      <c r="AC874" s="280"/>
      <c r="AD874" s="280"/>
      <c r="AG874" s="3"/>
      <c r="AH874" s="3"/>
      <c r="AI874" s="3"/>
      <c r="AJ874" s="3"/>
      <c r="AK874" s="3"/>
      <c r="AL874" s="3"/>
      <c r="AM874" s="3"/>
      <c r="AN874" s="3"/>
      <c r="AO874" s="3"/>
      <c r="AP874" s="11"/>
      <c r="AQ874" s="11"/>
      <c r="AR874" s="3"/>
      <c r="AS874" s="3"/>
      <c r="AT874" s="3"/>
      <c r="AU874" s="3"/>
      <c r="AV874" s="3"/>
      <c r="AW874" s="3"/>
      <c r="AX874" s="11"/>
      <c r="AZ874"/>
      <c r="BA874"/>
      <c r="BB874"/>
      <c r="BC874"/>
    </row>
    <row r="875" spans="1:55" s="282" customFormat="1" x14ac:dyDescent="0.25">
      <c r="A875"/>
      <c r="B875"/>
      <c r="C875" s="3"/>
      <c r="D875"/>
      <c r="E875"/>
      <c r="F875"/>
      <c r="G875" s="3"/>
      <c r="H875" s="3"/>
      <c r="I875" s="3"/>
      <c r="J875" s="288"/>
      <c r="L875" s="288"/>
      <c r="M875" s="288"/>
      <c r="N875" s="288"/>
      <c r="O875" s="288"/>
      <c r="P875" s="288"/>
      <c r="Q875" s="288"/>
      <c r="R875" s="283"/>
      <c r="S875" s="280"/>
      <c r="T875" s="276"/>
      <c r="U875" s="276"/>
      <c r="V875" s="276"/>
      <c r="W875" s="283"/>
      <c r="X875" s="280"/>
      <c r="Y875" s="280"/>
      <c r="Z875" s="280"/>
      <c r="AA875" s="280"/>
      <c r="AB875" s="280"/>
      <c r="AC875" s="280"/>
      <c r="AD875" s="280"/>
      <c r="AG875" s="3"/>
      <c r="AH875" s="3"/>
      <c r="AI875" s="3"/>
      <c r="AJ875" s="3"/>
      <c r="AK875" s="3"/>
      <c r="AL875" s="3"/>
      <c r="AM875" s="3"/>
      <c r="AN875" s="3"/>
      <c r="AO875" s="3"/>
      <c r="AP875" s="11"/>
      <c r="AQ875" s="11"/>
      <c r="AR875" s="3"/>
      <c r="AS875" s="3"/>
      <c r="AT875" s="3"/>
      <c r="AU875" s="3"/>
      <c r="AV875" s="3"/>
      <c r="AW875" s="3"/>
      <c r="AX875" s="11"/>
      <c r="AZ875"/>
      <c r="BA875"/>
      <c r="BB875"/>
      <c r="BC875"/>
    </row>
    <row r="876" spans="1:55" s="282" customFormat="1" x14ac:dyDescent="0.25">
      <c r="A876"/>
      <c r="B876"/>
      <c r="C876" s="3"/>
      <c r="D876"/>
      <c r="E876"/>
      <c r="F876"/>
      <c r="G876" s="3"/>
      <c r="H876" s="3"/>
      <c r="I876" s="3"/>
      <c r="J876" s="288"/>
      <c r="L876" s="288"/>
      <c r="M876" s="288"/>
      <c r="N876" s="288"/>
      <c r="O876" s="288"/>
      <c r="P876" s="288"/>
      <c r="Q876" s="288"/>
      <c r="R876" s="283"/>
      <c r="S876" s="280"/>
      <c r="T876" s="276"/>
      <c r="U876" s="276"/>
      <c r="V876" s="276"/>
      <c r="W876" s="283"/>
      <c r="X876" s="280"/>
      <c r="Y876" s="280"/>
      <c r="Z876" s="280"/>
      <c r="AA876" s="280"/>
      <c r="AB876" s="280"/>
      <c r="AC876" s="280"/>
      <c r="AD876" s="280"/>
      <c r="AG876" s="3"/>
      <c r="AH876" s="3"/>
      <c r="AI876" s="3"/>
      <c r="AJ876" s="3"/>
      <c r="AK876" s="3"/>
      <c r="AL876" s="3"/>
      <c r="AM876" s="3"/>
      <c r="AN876" s="3"/>
      <c r="AO876" s="3"/>
      <c r="AP876" s="11"/>
      <c r="AQ876" s="11"/>
      <c r="AR876" s="3"/>
      <c r="AS876" s="3"/>
      <c r="AT876" s="3"/>
      <c r="AU876" s="3"/>
      <c r="AV876" s="3"/>
      <c r="AW876" s="3"/>
      <c r="AX876" s="11"/>
      <c r="AZ876"/>
      <c r="BA876"/>
      <c r="BB876"/>
      <c r="BC876"/>
    </row>
    <row r="877" spans="1:55" s="282" customFormat="1" x14ac:dyDescent="0.25">
      <c r="A877"/>
      <c r="B877"/>
      <c r="C877" s="3"/>
      <c r="D877"/>
      <c r="E877"/>
      <c r="F877"/>
      <c r="G877" s="3"/>
      <c r="H877" s="3"/>
      <c r="I877" s="3"/>
      <c r="J877" s="288"/>
      <c r="L877" s="288"/>
      <c r="M877" s="288"/>
      <c r="N877" s="288"/>
      <c r="O877" s="288"/>
      <c r="P877" s="288"/>
      <c r="Q877" s="288"/>
      <c r="R877" s="283"/>
      <c r="S877" s="280"/>
      <c r="T877" s="276"/>
      <c r="U877" s="276"/>
      <c r="V877" s="276"/>
      <c r="W877" s="283"/>
      <c r="X877" s="280"/>
      <c r="Y877" s="280"/>
      <c r="Z877" s="280"/>
      <c r="AA877" s="280"/>
      <c r="AB877" s="280"/>
      <c r="AC877" s="280"/>
      <c r="AD877" s="280"/>
      <c r="AG877" s="3"/>
      <c r="AH877" s="3"/>
      <c r="AI877" s="3"/>
      <c r="AJ877" s="3"/>
      <c r="AK877" s="3"/>
      <c r="AL877" s="3"/>
      <c r="AM877" s="3"/>
      <c r="AN877" s="3"/>
      <c r="AO877" s="3"/>
      <c r="AP877" s="11"/>
      <c r="AQ877" s="11"/>
      <c r="AR877" s="3"/>
      <c r="AS877" s="3"/>
      <c r="AT877" s="3"/>
      <c r="AU877" s="3"/>
      <c r="AV877" s="3"/>
      <c r="AW877" s="3"/>
      <c r="AX877" s="11"/>
      <c r="AZ877"/>
      <c r="BA877"/>
      <c r="BB877"/>
      <c r="BC877"/>
    </row>
    <row r="878" spans="1:55" s="282" customFormat="1" x14ac:dyDescent="0.25">
      <c r="A878"/>
      <c r="B878"/>
      <c r="C878" s="3"/>
      <c r="D878"/>
      <c r="E878"/>
      <c r="F878"/>
      <c r="G878" s="3"/>
      <c r="H878" s="3"/>
      <c r="I878" s="3"/>
      <c r="J878" s="288"/>
      <c r="L878" s="288"/>
      <c r="M878" s="288"/>
      <c r="N878" s="288"/>
      <c r="O878" s="288"/>
      <c r="P878" s="288"/>
      <c r="Q878" s="288"/>
      <c r="R878" s="283"/>
      <c r="S878" s="280"/>
      <c r="T878" s="276"/>
      <c r="U878" s="276"/>
      <c r="V878" s="276"/>
      <c r="W878" s="283"/>
      <c r="X878" s="280"/>
      <c r="Y878" s="280"/>
      <c r="Z878" s="280"/>
      <c r="AA878" s="280"/>
      <c r="AB878" s="280"/>
      <c r="AC878" s="280"/>
      <c r="AD878" s="280"/>
      <c r="AG878" s="3"/>
      <c r="AH878" s="3"/>
      <c r="AI878" s="3"/>
      <c r="AJ878" s="3"/>
      <c r="AK878" s="3"/>
      <c r="AL878" s="3"/>
      <c r="AM878" s="3"/>
      <c r="AN878" s="3"/>
      <c r="AO878" s="3"/>
      <c r="AP878" s="11"/>
      <c r="AQ878" s="11"/>
      <c r="AR878" s="3"/>
      <c r="AS878" s="3"/>
      <c r="AT878" s="3"/>
      <c r="AU878" s="3"/>
      <c r="AV878" s="3"/>
      <c r="AW878" s="3"/>
      <c r="AX878" s="11"/>
      <c r="AZ878"/>
      <c r="BA878"/>
      <c r="BB878"/>
      <c r="BC878"/>
    </row>
    <row r="879" spans="1:55" s="282" customFormat="1" x14ac:dyDescent="0.25">
      <c r="A879"/>
      <c r="B879"/>
      <c r="C879" s="3"/>
      <c r="D879"/>
      <c r="E879"/>
      <c r="F879"/>
      <c r="G879" s="3"/>
      <c r="H879" s="3"/>
      <c r="I879" s="3"/>
      <c r="J879" s="288"/>
      <c r="L879" s="288"/>
      <c r="M879" s="288"/>
      <c r="N879" s="288"/>
      <c r="O879" s="288"/>
      <c r="P879" s="288"/>
      <c r="Q879" s="288"/>
      <c r="R879" s="283"/>
      <c r="S879" s="280"/>
      <c r="T879" s="276"/>
      <c r="U879" s="276"/>
      <c r="V879" s="276"/>
      <c r="W879" s="283"/>
      <c r="X879" s="280"/>
      <c r="Y879" s="280"/>
      <c r="Z879" s="280"/>
      <c r="AA879" s="280"/>
      <c r="AB879" s="280"/>
      <c r="AC879" s="280"/>
      <c r="AD879" s="280"/>
      <c r="AG879" s="3"/>
      <c r="AH879" s="3"/>
      <c r="AI879" s="3"/>
      <c r="AJ879" s="3"/>
      <c r="AK879" s="3"/>
      <c r="AL879" s="3"/>
      <c r="AM879" s="3"/>
      <c r="AN879" s="3"/>
      <c r="AO879" s="3"/>
      <c r="AP879" s="11"/>
      <c r="AQ879" s="11"/>
      <c r="AR879" s="3"/>
      <c r="AS879" s="3"/>
      <c r="AT879" s="3"/>
      <c r="AU879" s="3"/>
      <c r="AV879" s="3"/>
      <c r="AW879" s="3"/>
      <c r="AX879" s="11"/>
      <c r="AZ879"/>
      <c r="BA879"/>
      <c r="BB879"/>
      <c r="BC879"/>
    </row>
    <row r="880" spans="1:55" s="282" customFormat="1" x14ac:dyDescent="0.25">
      <c r="A880"/>
      <c r="B880"/>
      <c r="C880" s="3"/>
      <c r="D880"/>
      <c r="E880"/>
      <c r="F880"/>
      <c r="G880" s="3"/>
      <c r="H880" s="3"/>
      <c r="I880" s="3"/>
      <c r="J880" s="288"/>
      <c r="L880" s="288"/>
      <c r="M880" s="288"/>
      <c r="N880" s="288"/>
      <c r="O880" s="288"/>
      <c r="P880" s="288"/>
      <c r="Q880" s="288"/>
      <c r="R880" s="283"/>
      <c r="S880" s="280"/>
      <c r="T880" s="276"/>
      <c r="U880" s="276"/>
      <c r="V880" s="276"/>
      <c r="W880" s="283"/>
      <c r="X880" s="280"/>
      <c r="Y880" s="280"/>
      <c r="Z880" s="280"/>
      <c r="AA880" s="280"/>
      <c r="AB880" s="280"/>
      <c r="AC880" s="280"/>
      <c r="AD880" s="280"/>
      <c r="AG880" s="3"/>
      <c r="AH880" s="3"/>
      <c r="AI880" s="3"/>
      <c r="AJ880" s="3"/>
      <c r="AK880" s="3"/>
      <c r="AL880" s="3"/>
      <c r="AM880" s="3"/>
      <c r="AN880" s="3"/>
      <c r="AO880" s="3"/>
      <c r="AP880" s="11"/>
      <c r="AQ880" s="11"/>
      <c r="AR880" s="3"/>
      <c r="AS880" s="3"/>
      <c r="AT880" s="3"/>
      <c r="AU880" s="3"/>
      <c r="AV880" s="3"/>
      <c r="AW880" s="3"/>
      <c r="AX880" s="11"/>
      <c r="AZ880"/>
      <c r="BA880"/>
      <c r="BB880"/>
      <c r="BC880"/>
    </row>
    <row r="881" spans="1:55" s="282" customFormat="1" x14ac:dyDescent="0.25">
      <c r="A881"/>
      <c r="B881"/>
      <c r="C881" s="3"/>
      <c r="D881"/>
      <c r="E881"/>
      <c r="F881"/>
      <c r="G881" s="3"/>
      <c r="H881" s="3"/>
      <c r="I881" s="3"/>
      <c r="J881" s="288"/>
      <c r="L881" s="288"/>
      <c r="M881" s="288"/>
      <c r="N881" s="288"/>
      <c r="O881" s="288"/>
      <c r="P881" s="288"/>
      <c r="Q881" s="288"/>
      <c r="R881" s="283"/>
      <c r="S881" s="280"/>
      <c r="T881" s="276"/>
      <c r="U881" s="276"/>
      <c r="V881" s="276"/>
      <c r="W881" s="283"/>
      <c r="X881" s="280"/>
      <c r="Y881" s="280"/>
      <c r="Z881" s="280"/>
      <c r="AA881" s="280"/>
      <c r="AB881" s="280"/>
      <c r="AC881" s="280"/>
      <c r="AD881" s="280"/>
      <c r="AG881" s="3"/>
      <c r="AH881" s="3"/>
      <c r="AI881" s="3"/>
      <c r="AJ881" s="3"/>
      <c r="AK881" s="3"/>
      <c r="AL881" s="3"/>
      <c r="AM881" s="3"/>
      <c r="AN881" s="3"/>
      <c r="AO881" s="3"/>
      <c r="AP881" s="11"/>
      <c r="AQ881" s="11"/>
      <c r="AR881" s="3"/>
      <c r="AS881" s="3"/>
      <c r="AT881" s="3"/>
      <c r="AU881" s="3"/>
      <c r="AV881" s="3"/>
      <c r="AW881" s="3"/>
      <c r="AX881" s="11"/>
      <c r="AZ881"/>
      <c r="BA881"/>
      <c r="BB881"/>
      <c r="BC881"/>
    </row>
    <row r="882" spans="1:55" s="282" customFormat="1" x14ac:dyDescent="0.25">
      <c r="A882"/>
      <c r="B882"/>
      <c r="C882" s="3"/>
      <c r="D882"/>
      <c r="E882"/>
      <c r="F882"/>
      <c r="G882" s="3"/>
      <c r="H882" s="3"/>
      <c r="I882" s="3"/>
      <c r="J882" s="288"/>
      <c r="L882" s="288"/>
      <c r="M882" s="288"/>
      <c r="N882" s="288"/>
      <c r="O882" s="288"/>
      <c r="P882" s="288"/>
      <c r="Q882" s="288"/>
      <c r="R882" s="283"/>
      <c r="S882" s="280"/>
      <c r="T882" s="276"/>
      <c r="U882" s="276"/>
      <c r="V882" s="276"/>
      <c r="W882" s="283"/>
      <c r="X882" s="280"/>
      <c r="Y882" s="280"/>
      <c r="Z882" s="280"/>
      <c r="AA882" s="280"/>
      <c r="AB882" s="280"/>
      <c r="AC882" s="280"/>
      <c r="AD882" s="280"/>
      <c r="AG882" s="3"/>
      <c r="AH882" s="3"/>
      <c r="AI882" s="3"/>
      <c r="AJ882" s="3"/>
      <c r="AK882" s="3"/>
      <c r="AL882" s="3"/>
      <c r="AM882" s="3"/>
      <c r="AN882" s="3"/>
      <c r="AO882" s="3"/>
      <c r="AP882" s="11"/>
      <c r="AQ882" s="11"/>
      <c r="AR882" s="3"/>
      <c r="AS882" s="3"/>
      <c r="AT882" s="3"/>
      <c r="AU882" s="3"/>
      <c r="AV882" s="3"/>
      <c r="AW882" s="3"/>
      <c r="AX882" s="11"/>
      <c r="AZ882"/>
      <c r="BA882"/>
      <c r="BB882"/>
      <c r="BC882"/>
    </row>
    <row r="883" spans="1:55" s="282" customFormat="1" x14ac:dyDescent="0.25">
      <c r="A883"/>
      <c r="B883"/>
      <c r="C883" s="3"/>
      <c r="D883"/>
      <c r="E883"/>
      <c r="F883"/>
      <c r="G883" s="3"/>
      <c r="H883" s="3"/>
      <c r="I883" s="3"/>
      <c r="J883" s="288"/>
      <c r="L883" s="288"/>
      <c r="M883" s="288"/>
      <c r="N883" s="288"/>
      <c r="O883" s="288"/>
      <c r="P883" s="288"/>
      <c r="Q883" s="288"/>
      <c r="R883" s="283"/>
      <c r="S883" s="280"/>
      <c r="T883" s="276"/>
      <c r="U883" s="276"/>
      <c r="V883" s="276"/>
      <c r="W883" s="283"/>
      <c r="X883" s="280"/>
      <c r="Y883" s="280"/>
      <c r="Z883" s="280"/>
      <c r="AA883" s="280"/>
      <c r="AB883" s="280"/>
      <c r="AC883" s="280"/>
      <c r="AD883" s="280"/>
      <c r="AG883" s="3"/>
      <c r="AH883" s="3"/>
      <c r="AI883" s="3"/>
      <c r="AJ883" s="3"/>
      <c r="AK883" s="3"/>
      <c r="AL883" s="3"/>
      <c r="AM883" s="3"/>
      <c r="AN883" s="3"/>
      <c r="AO883" s="3"/>
      <c r="AP883" s="11"/>
      <c r="AQ883" s="11"/>
      <c r="AR883" s="3"/>
      <c r="AS883" s="3"/>
      <c r="AT883" s="3"/>
      <c r="AU883" s="3"/>
      <c r="AV883" s="3"/>
      <c r="AW883" s="3"/>
      <c r="AX883" s="11"/>
      <c r="AZ883"/>
      <c r="BA883"/>
      <c r="BB883"/>
      <c r="BC883"/>
    </row>
    <row r="884" spans="1:55" s="282" customFormat="1" x14ac:dyDescent="0.25">
      <c r="A884"/>
      <c r="B884"/>
      <c r="C884" s="3"/>
      <c r="D884"/>
      <c r="E884"/>
      <c r="F884"/>
      <c r="G884" s="3"/>
      <c r="H884" s="3"/>
      <c r="I884" s="3"/>
      <c r="J884" s="288"/>
      <c r="L884" s="288"/>
      <c r="M884" s="288"/>
      <c r="N884" s="288"/>
      <c r="O884" s="288"/>
      <c r="P884" s="288"/>
      <c r="Q884" s="288"/>
      <c r="R884" s="283"/>
      <c r="S884" s="280"/>
      <c r="T884" s="276"/>
      <c r="U884" s="276"/>
      <c r="V884" s="276"/>
      <c r="W884" s="283"/>
      <c r="X884" s="280"/>
      <c r="Y884" s="280"/>
      <c r="Z884" s="280"/>
      <c r="AA884" s="280"/>
      <c r="AB884" s="280"/>
      <c r="AC884" s="280"/>
      <c r="AD884" s="280"/>
      <c r="AG884" s="3"/>
      <c r="AH884" s="3"/>
      <c r="AI884" s="3"/>
      <c r="AJ884" s="3"/>
      <c r="AK884" s="3"/>
      <c r="AL884" s="3"/>
      <c r="AM884" s="3"/>
      <c r="AN884" s="3"/>
      <c r="AO884" s="3"/>
      <c r="AP884" s="11"/>
      <c r="AQ884" s="11"/>
      <c r="AR884" s="3"/>
      <c r="AS884" s="3"/>
      <c r="AT884" s="3"/>
      <c r="AU884" s="3"/>
      <c r="AV884" s="3"/>
      <c r="AW884" s="3"/>
      <c r="AX884" s="11"/>
      <c r="AZ884"/>
      <c r="BA884"/>
      <c r="BB884"/>
      <c r="BC884"/>
    </row>
    <row r="885" spans="1:55" s="282" customFormat="1" x14ac:dyDescent="0.25">
      <c r="A885"/>
      <c r="B885"/>
      <c r="C885" s="3"/>
      <c r="D885"/>
      <c r="E885"/>
      <c r="F885"/>
      <c r="G885" s="3"/>
      <c r="H885" s="3"/>
      <c r="I885" s="3"/>
      <c r="J885" s="288"/>
      <c r="L885" s="288"/>
      <c r="M885" s="288"/>
      <c r="N885" s="288"/>
      <c r="O885" s="288"/>
      <c r="P885" s="288"/>
      <c r="Q885" s="288"/>
      <c r="R885" s="283"/>
      <c r="S885" s="280"/>
      <c r="T885" s="276"/>
      <c r="U885" s="276"/>
      <c r="V885" s="276"/>
      <c r="W885" s="283"/>
      <c r="X885" s="280"/>
      <c r="Y885" s="280"/>
      <c r="Z885" s="280"/>
      <c r="AA885" s="280"/>
      <c r="AB885" s="280"/>
      <c r="AC885" s="280"/>
      <c r="AD885" s="280"/>
      <c r="AG885" s="3"/>
      <c r="AH885" s="3"/>
      <c r="AI885" s="3"/>
      <c r="AJ885" s="3"/>
      <c r="AK885" s="3"/>
      <c r="AL885" s="3"/>
      <c r="AM885" s="3"/>
      <c r="AN885" s="3"/>
      <c r="AO885" s="3"/>
      <c r="AP885" s="11"/>
      <c r="AQ885" s="11"/>
      <c r="AR885" s="3"/>
      <c r="AS885" s="3"/>
      <c r="AT885" s="3"/>
      <c r="AU885" s="3"/>
      <c r="AV885" s="3"/>
      <c r="AW885" s="3"/>
      <c r="AX885" s="11"/>
      <c r="AZ885"/>
      <c r="BA885"/>
      <c r="BB885"/>
      <c r="BC885"/>
    </row>
    <row r="886" spans="1:55" s="282" customFormat="1" x14ac:dyDescent="0.25">
      <c r="A886"/>
      <c r="B886"/>
      <c r="C886" s="3"/>
      <c r="D886"/>
      <c r="E886"/>
      <c r="F886"/>
      <c r="G886" s="3"/>
      <c r="H886" s="3"/>
      <c r="I886" s="3"/>
      <c r="J886" s="288"/>
      <c r="L886" s="288"/>
      <c r="M886" s="288"/>
      <c r="N886" s="288"/>
      <c r="O886" s="288"/>
      <c r="P886" s="288"/>
      <c r="Q886" s="288"/>
      <c r="R886" s="283"/>
      <c r="S886" s="280"/>
      <c r="T886" s="276"/>
      <c r="U886" s="276"/>
      <c r="V886" s="276"/>
      <c r="W886" s="283"/>
      <c r="X886" s="280"/>
      <c r="Y886" s="280"/>
      <c r="Z886" s="280"/>
      <c r="AA886" s="280"/>
      <c r="AB886" s="280"/>
      <c r="AC886" s="280"/>
      <c r="AD886" s="280"/>
      <c r="AG886" s="3"/>
      <c r="AH886" s="3"/>
      <c r="AI886" s="3"/>
      <c r="AJ886" s="3"/>
      <c r="AK886" s="3"/>
      <c r="AL886" s="3"/>
      <c r="AM886" s="3"/>
      <c r="AN886" s="3"/>
      <c r="AO886" s="3"/>
      <c r="AP886" s="11"/>
      <c r="AQ886" s="11"/>
      <c r="AR886" s="3"/>
      <c r="AS886" s="3"/>
      <c r="AT886" s="3"/>
      <c r="AU886" s="3"/>
      <c r="AV886" s="3"/>
      <c r="AW886" s="3"/>
      <c r="AX886" s="11"/>
      <c r="AZ886"/>
      <c r="BA886"/>
      <c r="BB886"/>
      <c r="BC886"/>
    </row>
    <row r="887" spans="1:55" s="282" customFormat="1" x14ac:dyDescent="0.25">
      <c r="A887"/>
      <c r="B887"/>
      <c r="C887" s="3"/>
      <c r="D887"/>
      <c r="E887"/>
      <c r="F887"/>
      <c r="G887" s="3"/>
      <c r="H887" s="3"/>
      <c r="I887" s="3"/>
      <c r="J887" s="288"/>
      <c r="L887" s="288"/>
      <c r="M887" s="288"/>
      <c r="N887" s="288"/>
      <c r="O887" s="288"/>
      <c r="P887" s="288"/>
      <c r="Q887" s="288"/>
      <c r="R887" s="283"/>
      <c r="S887" s="280"/>
      <c r="T887" s="276"/>
      <c r="U887" s="276"/>
      <c r="V887" s="276"/>
      <c r="W887" s="283"/>
      <c r="X887" s="280"/>
      <c r="Y887" s="280"/>
      <c r="Z887" s="280"/>
      <c r="AA887" s="280"/>
      <c r="AB887" s="280"/>
      <c r="AC887" s="280"/>
      <c r="AD887" s="280"/>
      <c r="AG887" s="3"/>
      <c r="AH887" s="3"/>
      <c r="AI887" s="3"/>
      <c r="AJ887" s="3"/>
      <c r="AK887" s="3"/>
      <c r="AL887" s="3"/>
      <c r="AM887" s="3"/>
      <c r="AN887" s="3"/>
      <c r="AO887" s="3"/>
      <c r="AP887" s="11"/>
      <c r="AQ887" s="11"/>
      <c r="AR887" s="3"/>
      <c r="AS887" s="3"/>
      <c r="AT887" s="3"/>
      <c r="AU887" s="3"/>
      <c r="AV887" s="3"/>
      <c r="AW887" s="3"/>
      <c r="AX887" s="11"/>
      <c r="AZ887"/>
      <c r="BA887"/>
      <c r="BB887"/>
      <c r="BC887"/>
    </row>
    <row r="888" spans="1:55" s="282" customFormat="1" x14ac:dyDescent="0.25">
      <c r="A888"/>
      <c r="B888"/>
      <c r="C888" s="3"/>
      <c r="D888"/>
      <c r="E888"/>
      <c r="F888"/>
      <c r="G888" s="3"/>
      <c r="H888" s="3"/>
      <c r="I888" s="3"/>
      <c r="J888" s="288"/>
      <c r="L888" s="288"/>
      <c r="M888" s="288"/>
      <c r="N888" s="288"/>
      <c r="O888" s="288"/>
      <c r="P888" s="288"/>
      <c r="Q888" s="288"/>
      <c r="R888" s="283"/>
      <c r="S888" s="280"/>
      <c r="T888" s="276"/>
      <c r="U888" s="276"/>
      <c r="V888" s="276"/>
      <c r="W888" s="283"/>
      <c r="X888" s="280"/>
      <c r="Y888" s="280"/>
      <c r="Z888" s="280"/>
      <c r="AA888" s="280"/>
      <c r="AB888" s="280"/>
      <c r="AC888" s="280"/>
      <c r="AD888" s="280"/>
      <c r="AG888" s="3"/>
      <c r="AH888" s="3"/>
      <c r="AI888" s="3"/>
      <c r="AJ888" s="3"/>
      <c r="AK888" s="3"/>
      <c r="AL888" s="3"/>
      <c r="AM888" s="3"/>
      <c r="AN888" s="3"/>
      <c r="AO888" s="3"/>
      <c r="AP888" s="11"/>
      <c r="AQ888" s="11"/>
      <c r="AR888" s="3"/>
      <c r="AS888" s="3"/>
      <c r="AT888" s="3"/>
      <c r="AU888" s="3"/>
      <c r="AV888" s="3"/>
      <c r="AW888" s="3"/>
      <c r="AX888" s="11"/>
      <c r="AZ888"/>
      <c r="BA888"/>
      <c r="BB888"/>
      <c r="BC888"/>
    </row>
    <row r="889" spans="1:55" s="282" customFormat="1" x14ac:dyDescent="0.25">
      <c r="A889"/>
      <c r="B889"/>
      <c r="C889" s="3"/>
      <c r="D889"/>
      <c r="E889"/>
      <c r="F889"/>
      <c r="G889" s="3"/>
      <c r="H889" s="3"/>
      <c r="I889" s="3"/>
      <c r="J889" s="288"/>
      <c r="L889" s="288"/>
      <c r="M889" s="288"/>
      <c r="N889" s="288"/>
      <c r="O889" s="288"/>
      <c r="P889" s="288"/>
      <c r="Q889" s="288"/>
      <c r="R889" s="283"/>
      <c r="S889" s="280"/>
      <c r="T889" s="276"/>
      <c r="U889" s="276"/>
      <c r="V889" s="276"/>
      <c r="W889" s="283"/>
      <c r="X889" s="280"/>
      <c r="Y889" s="280"/>
      <c r="Z889" s="280"/>
      <c r="AA889" s="280"/>
      <c r="AB889" s="280"/>
      <c r="AC889" s="280"/>
      <c r="AD889" s="280"/>
      <c r="AG889" s="3"/>
      <c r="AH889" s="3"/>
      <c r="AI889" s="3"/>
      <c r="AJ889" s="3"/>
      <c r="AK889" s="3"/>
      <c r="AL889" s="3"/>
      <c r="AM889" s="3"/>
      <c r="AN889" s="3"/>
      <c r="AO889" s="3"/>
      <c r="AP889" s="11"/>
      <c r="AQ889" s="11"/>
      <c r="AR889" s="3"/>
      <c r="AS889" s="3"/>
      <c r="AT889" s="3"/>
      <c r="AU889" s="3"/>
      <c r="AV889" s="3"/>
      <c r="AW889" s="3"/>
      <c r="AX889" s="11"/>
      <c r="AZ889"/>
      <c r="BA889"/>
      <c r="BB889"/>
      <c r="BC889"/>
    </row>
    <row r="890" spans="1:55" s="282" customFormat="1" x14ac:dyDescent="0.25">
      <c r="A890"/>
      <c r="B890"/>
      <c r="C890" s="3"/>
      <c r="D890"/>
      <c r="E890"/>
      <c r="F890"/>
      <c r="G890" s="3"/>
      <c r="H890" s="3"/>
      <c r="I890" s="3"/>
      <c r="J890" s="288"/>
      <c r="L890" s="288"/>
      <c r="M890" s="288"/>
      <c r="N890" s="288"/>
      <c r="O890" s="288"/>
      <c r="P890" s="288"/>
      <c r="Q890" s="288"/>
      <c r="R890" s="283"/>
      <c r="S890" s="280"/>
      <c r="T890" s="276"/>
      <c r="U890" s="276"/>
      <c r="V890" s="276"/>
      <c r="W890" s="283"/>
      <c r="X890" s="280"/>
      <c r="Y890" s="280"/>
      <c r="Z890" s="280"/>
      <c r="AA890" s="280"/>
      <c r="AB890" s="280"/>
      <c r="AC890" s="280"/>
      <c r="AD890" s="280"/>
      <c r="AG890" s="3"/>
      <c r="AH890" s="3"/>
      <c r="AI890" s="3"/>
      <c r="AJ890" s="3"/>
      <c r="AK890" s="3"/>
      <c r="AL890" s="3"/>
      <c r="AM890" s="3"/>
      <c r="AN890" s="3"/>
      <c r="AO890" s="3"/>
      <c r="AP890" s="11"/>
      <c r="AQ890" s="11"/>
      <c r="AR890" s="3"/>
      <c r="AS890" s="3"/>
      <c r="AT890" s="3"/>
      <c r="AU890" s="3"/>
      <c r="AV890" s="3"/>
      <c r="AW890" s="3"/>
      <c r="AX890" s="11"/>
      <c r="AZ890"/>
      <c r="BA890"/>
      <c r="BB890"/>
      <c r="BC890"/>
    </row>
    <row r="891" spans="1:55" s="282" customFormat="1" x14ac:dyDescent="0.25">
      <c r="A891"/>
      <c r="B891"/>
      <c r="C891" s="3"/>
      <c r="D891"/>
      <c r="E891"/>
      <c r="F891"/>
      <c r="G891" s="3"/>
      <c r="H891" s="3"/>
      <c r="I891" s="3"/>
      <c r="J891" s="288"/>
      <c r="L891" s="288"/>
      <c r="M891" s="288"/>
      <c r="N891" s="288"/>
      <c r="O891" s="288"/>
      <c r="P891" s="288"/>
      <c r="Q891" s="288"/>
      <c r="R891" s="283"/>
      <c r="S891" s="280"/>
      <c r="T891" s="276"/>
      <c r="U891" s="276"/>
      <c r="V891" s="276"/>
      <c r="W891" s="283"/>
      <c r="X891" s="280"/>
      <c r="Y891" s="280"/>
      <c r="Z891" s="280"/>
      <c r="AA891" s="280"/>
      <c r="AB891" s="280"/>
      <c r="AC891" s="280"/>
      <c r="AD891" s="280"/>
      <c r="AG891" s="3"/>
      <c r="AH891" s="3"/>
      <c r="AI891" s="3"/>
      <c r="AJ891" s="3"/>
      <c r="AK891" s="3"/>
      <c r="AL891" s="3"/>
      <c r="AM891" s="3"/>
      <c r="AN891" s="3"/>
      <c r="AO891" s="3"/>
      <c r="AP891" s="11"/>
      <c r="AQ891" s="11"/>
      <c r="AR891" s="3"/>
      <c r="AS891" s="3"/>
      <c r="AT891" s="3"/>
      <c r="AU891" s="3"/>
      <c r="AV891" s="3"/>
      <c r="AW891" s="3"/>
      <c r="AX891" s="11"/>
      <c r="AZ891"/>
      <c r="BA891"/>
      <c r="BB891"/>
      <c r="BC891"/>
    </row>
    <row r="892" spans="1:55" s="282" customFormat="1" x14ac:dyDescent="0.25">
      <c r="A892"/>
      <c r="B892"/>
      <c r="C892" s="3"/>
      <c r="D892"/>
      <c r="E892"/>
      <c r="F892"/>
      <c r="G892" s="3"/>
      <c r="H892" s="3"/>
      <c r="I892" s="3"/>
      <c r="J892" s="288"/>
      <c r="L892" s="288"/>
      <c r="M892" s="288"/>
      <c r="N892" s="288"/>
      <c r="O892" s="288"/>
      <c r="P892" s="288"/>
      <c r="Q892" s="288"/>
      <c r="R892" s="283"/>
      <c r="S892" s="280"/>
      <c r="T892" s="276"/>
      <c r="U892" s="276"/>
      <c r="V892" s="276"/>
      <c r="W892" s="283"/>
      <c r="X892" s="280"/>
      <c r="Y892" s="280"/>
      <c r="Z892" s="280"/>
      <c r="AA892" s="280"/>
      <c r="AB892" s="280"/>
      <c r="AC892" s="280"/>
      <c r="AD892" s="280"/>
      <c r="AG892" s="3"/>
      <c r="AH892" s="3"/>
      <c r="AI892" s="3"/>
      <c r="AJ892" s="3"/>
      <c r="AK892" s="3"/>
      <c r="AL892" s="3"/>
      <c r="AM892" s="3"/>
      <c r="AN892" s="3"/>
      <c r="AO892" s="3"/>
      <c r="AP892" s="11"/>
      <c r="AQ892" s="11"/>
      <c r="AR892" s="3"/>
      <c r="AS892" s="3"/>
      <c r="AT892" s="3"/>
      <c r="AU892" s="3"/>
      <c r="AV892" s="3"/>
      <c r="AW892" s="3"/>
      <c r="AX892" s="11"/>
      <c r="AZ892"/>
      <c r="BA892"/>
      <c r="BB892"/>
      <c r="BC892"/>
    </row>
    <row r="893" spans="1:55" s="282" customFormat="1" x14ac:dyDescent="0.25">
      <c r="A893"/>
      <c r="B893"/>
      <c r="C893" s="3"/>
      <c r="D893"/>
      <c r="E893"/>
      <c r="F893"/>
      <c r="G893" s="3"/>
      <c r="H893" s="3"/>
      <c r="I893" s="3"/>
      <c r="J893" s="288"/>
      <c r="L893" s="288"/>
      <c r="M893" s="288"/>
      <c r="N893" s="288"/>
      <c r="O893" s="288"/>
      <c r="P893" s="288"/>
      <c r="Q893" s="288"/>
      <c r="R893" s="283"/>
      <c r="S893" s="280"/>
      <c r="T893" s="276"/>
      <c r="U893" s="276"/>
      <c r="V893" s="276"/>
      <c r="W893" s="283"/>
      <c r="X893" s="280"/>
      <c r="Y893" s="280"/>
      <c r="Z893" s="280"/>
      <c r="AA893" s="280"/>
      <c r="AB893" s="280"/>
      <c r="AC893" s="280"/>
      <c r="AD893" s="280"/>
      <c r="AG893" s="3"/>
      <c r="AH893" s="3"/>
      <c r="AI893" s="3"/>
      <c r="AJ893" s="3"/>
      <c r="AK893" s="3"/>
      <c r="AL893" s="3"/>
      <c r="AM893" s="3"/>
      <c r="AN893" s="3"/>
      <c r="AO893" s="3"/>
      <c r="AP893" s="11"/>
      <c r="AQ893" s="11"/>
      <c r="AR893" s="3"/>
      <c r="AS893" s="3"/>
      <c r="AT893" s="3"/>
      <c r="AU893" s="3"/>
      <c r="AV893" s="3"/>
      <c r="AW893" s="3"/>
      <c r="AX893" s="11"/>
      <c r="AZ893"/>
      <c r="BA893"/>
      <c r="BB893"/>
      <c r="BC893"/>
    </row>
    <row r="894" spans="1:55" s="282" customFormat="1" x14ac:dyDescent="0.25">
      <c r="A894"/>
      <c r="B894"/>
      <c r="C894" s="3"/>
      <c r="D894"/>
      <c r="E894"/>
      <c r="F894"/>
      <c r="G894" s="3"/>
      <c r="H894" s="3"/>
      <c r="I894" s="3"/>
      <c r="J894" s="288"/>
      <c r="L894" s="288"/>
      <c r="M894" s="288"/>
      <c r="N894" s="288"/>
      <c r="O894" s="288"/>
      <c r="P894" s="288"/>
      <c r="Q894" s="288"/>
      <c r="R894" s="283"/>
      <c r="S894" s="280"/>
      <c r="T894" s="276"/>
      <c r="U894" s="276"/>
      <c r="V894" s="276"/>
      <c r="W894" s="283"/>
      <c r="X894" s="280"/>
      <c r="Y894" s="280"/>
      <c r="Z894" s="280"/>
      <c r="AA894" s="280"/>
      <c r="AB894" s="280"/>
      <c r="AC894" s="280"/>
      <c r="AD894" s="280"/>
      <c r="AG894" s="3"/>
      <c r="AH894" s="3"/>
      <c r="AI894" s="3"/>
      <c r="AJ894" s="3"/>
      <c r="AK894" s="3"/>
      <c r="AL894" s="3"/>
      <c r="AM894" s="3"/>
      <c r="AN894" s="3"/>
      <c r="AO894" s="3"/>
      <c r="AP894" s="11"/>
      <c r="AQ894" s="11"/>
      <c r="AR894" s="3"/>
      <c r="AS894" s="3"/>
      <c r="AT894" s="3"/>
      <c r="AU894" s="3"/>
      <c r="AV894" s="3"/>
      <c r="AW894" s="3"/>
      <c r="AX894" s="11"/>
      <c r="AZ894"/>
      <c r="BA894"/>
      <c r="BB894"/>
      <c r="BC894"/>
    </row>
    <row r="895" spans="1:55" s="282" customFormat="1" x14ac:dyDescent="0.25">
      <c r="A895"/>
      <c r="B895"/>
      <c r="C895" s="3"/>
      <c r="D895"/>
      <c r="E895"/>
      <c r="F895"/>
      <c r="G895" s="3"/>
      <c r="H895" s="3"/>
      <c r="I895" s="3"/>
      <c r="J895" s="288"/>
      <c r="L895" s="288"/>
      <c r="M895" s="288"/>
      <c r="N895" s="288"/>
      <c r="O895" s="288"/>
      <c r="P895" s="288"/>
      <c r="Q895" s="288"/>
      <c r="R895" s="283"/>
      <c r="S895" s="280"/>
      <c r="T895" s="276"/>
      <c r="U895" s="276"/>
      <c r="V895" s="276"/>
      <c r="W895" s="283"/>
      <c r="X895" s="280"/>
      <c r="Y895" s="280"/>
      <c r="Z895" s="280"/>
      <c r="AA895" s="280"/>
      <c r="AB895" s="280"/>
      <c r="AC895" s="280"/>
      <c r="AD895" s="280"/>
      <c r="AG895" s="3"/>
      <c r="AH895" s="3"/>
      <c r="AI895" s="3"/>
      <c r="AJ895" s="3"/>
      <c r="AK895" s="3"/>
      <c r="AL895" s="3"/>
      <c r="AM895" s="3"/>
      <c r="AN895" s="3"/>
      <c r="AO895" s="3"/>
      <c r="AP895" s="11"/>
      <c r="AQ895" s="11"/>
      <c r="AR895" s="3"/>
      <c r="AS895" s="3"/>
      <c r="AT895" s="3"/>
      <c r="AU895" s="3"/>
      <c r="AV895" s="3"/>
      <c r="AW895" s="3"/>
      <c r="AX895" s="11"/>
      <c r="AZ895"/>
      <c r="BA895"/>
      <c r="BB895"/>
      <c r="BC895"/>
    </row>
    <row r="896" spans="1:55" s="282" customFormat="1" x14ac:dyDescent="0.25">
      <c r="A896"/>
      <c r="B896"/>
      <c r="C896" s="3"/>
      <c r="D896"/>
      <c r="E896"/>
      <c r="F896"/>
      <c r="G896" s="3"/>
      <c r="H896" s="3"/>
      <c r="I896" s="3"/>
      <c r="J896" s="288"/>
      <c r="L896" s="288"/>
      <c r="M896" s="288"/>
      <c r="N896" s="288"/>
      <c r="O896" s="288"/>
      <c r="P896" s="288"/>
      <c r="Q896" s="288"/>
      <c r="R896" s="283"/>
      <c r="S896" s="280"/>
      <c r="T896" s="276"/>
      <c r="U896" s="276"/>
      <c r="V896" s="276"/>
      <c r="W896" s="283"/>
      <c r="X896" s="280"/>
      <c r="Y896" s="280"/>
      <c r="Z896" s="280"/>
      <c r="AA896" s="280"/>
      <c r="AB896" s="280"/>
      <c r="AC896" s="280"/>
      <c r="AD896" s="280"/>
      <c r="AG896" s="3"/>
      <c r="AH896" s="3"/>
      <c r="AI896" s="3"/>
      <c r="AJ896" s="3"/>
      <c r="AK896" s="3"/>
      <c r="AL896" s="3"/>
      <c r="AM896" s="3"/>
      <c r="AN896" s="3"/>
      <c r="AO896" s="3"/>
      <c r="AP896" s="11"/>
      <c r="AQ896" s="11"/>
      <c r="AR896" s="3"/>
      <c r="AS896" s="3"/>
      <c r="AT896" s="3"/>
      <c r="AU896" s="3"/>
      <c r="AV896" s="3"/>
      <c r="AW896" s="3"/>
      <c r="AX896" s="11"/>
      <c r="AZ896"/>
      <c r="BA896"/>
      <c r="BB896"/>
      <c r="BC896"/>
    </row>
    <row r="897" spans="1:55" s="282" customFormat="1" x14ac:dyDescent="0.25">
      <c r="A897"/>
      <c r="B897"/>
      <c r="C897" s="3"/>
      <c r="D897"/>
      <c r="E897"/>
      <c r="F897"/>
      <c r="G897" s="3"/>
      <c r="H897" s="3"/>
      <c r="I897" s="3"/>
      <c r="J897" s="288"/>
      <c r="L897" s="288"/>
      <c r="M897" s="288"/>
      <c r="N897" s="288"/>
      <c r="O897" s="288"/>
      <c r="P897" s="288"/>
      <c r="Q897" s="288"/>
      <c r="R897" s="283"/>
      <c r="S897" s="280"/>
      <c r="T897" s="276"/>
      <c r="U897" s="276"/>
      <c r="V897" s="276"/>
      <c r="W897" s="283"/>
      <c r="X897" s="280"/>
      <c r="Y897" s="280"/>
      <c r="Z897" s="280"/>
      <c r="AA897" s="280"/>
      <c r="AB897" s="280"/>
      <c r="AC897" s="280"/>
      <c r="AD897" s="280"/>
      <c r="AG897" s="3"/>
      <c r="AH897" s="3"/>
      <c r="AI897" s="3"/>
      <c r="AJ897" s="3"/>
      <c r="AK897" s="3"/>
      <c r="AL897" s="3"/>
      <c r="AM897" s="3"/>
      <c r="AN897" s="3"/>
      <c r="AO897" s="3"/>
      <c r="AP897" s="11"/>
      <c r="AQ897" s="11"/>
      <c r="AR897" s="3"/>
      <c r="AS897" s="3"/>
      <c r="AT897" s="3"/>
      <c r="AU897" s="3"/>
      <c r="AV897" s="3"/>
      <c r="AW897" s="3"/>
      <c r="AX897" s="11"/>
      <c r="AZ897"/>
      <c r="BA897"/>
      <c r="BB897"/>
      <c r="BC897"/>
    </row>
    <row r="898" spans="1:55" s="282" customFormat="1" x14ac:dyDescent="0.25">
      <c r="A898"/>
      <c r="B898"/>
      <c r="C898" s="3"/>
      <c r="D898"/>
      <c r="E898"/>
      <c r="F898"/>
      <c r="G898" s="3"/>
      <c r="H898" s="3"/>
      <c r="I898" s="3"/>
      <c r="J898" s="288"/>
      <c r="L898" s="288"/>
      <c r="M898" s="288"/>
      <c r="N898" s="288"/>
      <c r="O898" s="288"/>
      <c r="P898" s="288"/>
      <c r="Q898" s="288"/>
      <c r="R898" s="283"/>
      <c r="S898" s="280"/>
      <c r="T898" s="276"/>
      <c r="U898" s="276"/>
      <c r="V898" s="276"/>
      <c r="W898" s="283"/>
      <c r="X898" s="280"/>
      <c r="Y898" s="280"/>
      <c r="Z898" s="280"/>
      <c r="AA898" s="280"/>
      <c r="AB898" s="280"/>
      <c r="AC898" s="280"/>
      <c r="AD898" s="280"/>
      <c r="AG898" s="3"/>
      <c r="AH898" s="3"/>
      <c r="AI898" s="3"/>
      <c r="AJ898" s="3"/>
      <c r="AK898" s="3"/>
      <c r="AL898" s="3"/>
      <c r="AM898" s="3"/>
      <c r="AN898" s="3"/>
      <c r="AO898" s="3"/>
      <c r="AP898" s="11"/>
      <c r="AQ898" s="11"/>
      <c r="AR898" s="3"/>
      <c r="AS898" s="3"/>
      <c r="AT898" s="3"/>
      <c r="AU898" s="3"/>
      <c r="AV898" s="3"/>
      <c r="AW898" s="3"/>
      <c r="AX898" s="11"/>
      <c r="AZ898"/>
      <c r="BA898"/>
      <c r="BB898"/>
      <c r="BC898"/>
    </row>
    <row r="899" spans="1:55" s="282" customFormat="1" x14ac:dyDescent="0.25">
      <c r="A899"/>
      <c r="B899"/>
      <c r="C899" s="3"/>
      <c r="D899"/>
      <c r="E899"/>
      <c r="F899"/>
      <c r="G899" s="3"/>
      <c r="H899" s="3"/>
      <c r="I899" s="3"/>
      <c r="J899" s="288"/>
      <c r="L899" s="288"/>
      <c r="M899" s="288"/>
      <c r="N899" s="288"/>
      <c r="O899" s="288"/>
      <c r="P899" s="288"/>
      <c r="Q899" s="288"/>
      <c r="R899" s="283"/>
      <c r="S899" s="280"/>
      <c r="T899" s="276"/>
      <c r="U899" s="276"/>
      <c r="V899" s="276"/>
      <c r="W899" s="283"/>
      <c r="X899" s="280"/>
      <c r="Y899" s="280"/>
      <c r="Z899" s="280"/>
      <c r="AA899" s="280"/>
      <c r="AB899" s="280"/>
      <c r="AC899" s="280"/>
      <c r="AD899" s="280"/>
      <c r="AG899" s="3"/>
      <c r="AH899" s="3"/>
      <c r="AI899" s="3"/>
      <c r="AJ899" s="3"/>
      <c r="AK899" s="3"/>
      <c r="AL899" s="3"/>
      <c r="AM899" s="3"/>
      <c r="AN899" s="3"/>
      <c r="AO899" s="3"/>
      <c r="AP899" s="11"/>
      <c r="AQ899" s="11"/>
      <c r="AR899" s="3"/>
      <c r="AS899" s="3"/>
      <c r="AT899" s="3"/>
      <c r="AU899" s="3"/>
      <c r="AV899" s="3"/>
      <c r="AW899" s="3"/>
      <c r="AX899" s="11"/>
      <c r="AZ899"/>
      <c r="BA899"/>
      <c r="BB899"/>
      <c r="BC899"/>
    </row>
    <row r="900" spans="1:55" s="282" customFormat="1" x14ac:dyDescent="0.25">
      <c r="A900"/>
      <c r="B900"/>
      <c r="C900" s="3"/>
      <c r="D900"/>
      <c r="E900"/>
      <c r="F900"/>
      <c r="G900" s="3"/>
      <c r="H900" s="3"/>
      <c r="I900" s="3"/>
      <c r="J900" s="288"/>
      <c r="L900" s="288"/>
      <c r="M900" s="288"/>
      <c r="N900" s="288"/>
      <c r="O900" s="288"/>
      <c r="P900" s="288"/>
      <c r="Q900" s="288"/>
      <c r="R900" s="283"/>
      <c r="S900" s="280"/>
      <c r="T900" s="276"/>
      <c r="U900" s="276"/>
      <c r="V900" s="276"/>
      <c r="W900" s="283"/>
      <c r="X900" s="280"/>
      <c r="Y900" s="280"/>
      <c r="Z900" s="280"/>
      <c r="AA900" s="280"/>
      <c r="AB900" s="280"/>
      <c r="AC900" s="280"/>
      <c r="AD900" s="280"/>
      <c r="AG900" s="3"/>
      <c r="AH900" s="3"/>
      <c r="AI900" s="3"/>
      <c r="AJ900" s="3"/>
      <c r="AK900" s="3"/>
      <c r="AL900" s="3"/>
      <c r="AM900" s="3"/>
      <c r="AN900" s="3"/>
      <c r="AO900" s="3"/>
      <c r="AP900" s="11"/>
      <c r="AQ900" s="11"/>
      <c r="AR900" s="3"/>
      <c r="AS900" s="3"/>
      <c r="AT900" s="3"/>
      <c r="AU900" s="3"/>
      <c r="AV900" s="3"/>
      <c r="AW900" s="3"/>
      <c r="AX900" s="11"/>
      <c r="AZ900"/>
      <c r="BA900"/>
      <c r="BB900"/>
      <c r="BC900"/>
    </row>
    <row r="901" spans="1:55" s="282" customFormat="1" x14ac:dyDescent="0.25">
      <c r="A901"/>
      <c r="B901"/>
      <c r="C901" s="3"/>
      <c r="D901"/>
      <c r="E901"/>
      <c r="F901"/>
      <c r="G901" s="3"/>
      <c r="H901" s="3"/>
      <c r="I901" s="3"/>
      <c r="J901" s="288"/>
      <c r="L901" s="288"/>
      <c r="M901" s="288"/>
      <c r="N901" s="288"/>
      <c r="O901" s="288"/>
      <c r="P901" s="288"/>
      <c r="Q901" s="288"/>
      <c r="R901" s="283"/>
      <c r="S901" s="280"/>
      <c r="T901" s="276"/>
      <c r="U901" s="276"/>
      <c r="V901" s="276"/>
      <c r="W901" s="283"/>
      <c r="X901" s="280"/>
      <c r="Y901" s="280"/>
      <c r="Z901" s="280"/>
      <c r="AA901" s="280"/>
      <c r="AB901" s="280"/>
      <c r="AC901" s="280"/>
      <c r="AD901" s="280"/>
      <c r="AG901" s="3"/>
      <c r="AH901" s="3"/>
      <c r="AI901" s="3"/>
      <c r="AJ901" s="3"/>
      <c r="AK901" s="3"/>
      <c r="AL901" s="3"/>
      <c r="AM901" s="3"/>
      <c r="AN901" s="3"/>
      <c r="AO901" s="3"/>
      <c r="AP901" s="11"/>
      <c r="AQ901" s="11"/>
      <c r="AR901" s="3"/>
      <c r="AS901" s="3"/>
      <c r="AT901" s="3"/>
      <c r="AU901" s="3"/>
      <c r="AV901" s="3"/>
      <c r="AW901" s="3"/>
      <c r="AX901" s="11"/>
      <c r="AZ901"/>
      <c r="BA901"/>
      <c r="BB901"/>
      <c r="BC901"/>
    </row>
    <row r="902" spans="1:55" s="282" customFormat="1" x14ac:dyDescent="0.25">
      <c r="A902"/>
      <c r="B902"/>
      <c r="C902" s="3"/>
      <c r="D902"/>
      <c r="E902"/>
      <c r="F902"/>
      <c r="G902" s="3"/>
      <c r="H902" s="3"/>
      <c r="I902" s="3"/>
      <c r="J902" s="288"/>
      <c r="L902" s="288"/>
      <c r="M902" s="288"/>
      <c r="N902" s="288"/>
      <c r="O902" s="288"/>
      <c r="P902" s="288"/>
      <c r="Q902" s="288"/>
      <c r="R902" s="283"/>
      <c r="S902" s="280"/>
      <c r="T902" s="276"/>
      <c r="U902" s="276"/>
      <c r="V902" s="276"/>
      <c r="W902" s="283"/>
      <c r="X902" s="280"/>
      <c r="Y902" s="280"/>
      <c r="Z902" s="280"/>
      <c r="AA902" s="280"/>
      <c r="AB902" s="280"/>
      <c r="AC902" s="280"/>
      <c r="AD902" s="280"/>
      <c r="AG902" s="3"/>
      <c r="AH902" s="3"/>
      <c r="AI902" s="3"/>
      <c r="AJ902" s="3"/>
      <c r="AK902" s="3"/>
      <c r="AL902" s="3"/>
      <c r="AM902" s="3"/>
      <c r="AN902" s="3"/>
      <c r="AO902" s="3"/>
      <c r="AP902" s="11"/>
      <c r="AQ902" s="11"/>
      <c r="AR902" s="3"/>
      <c r="AS902" s="3"/>
      <c r="AT902" s="3"/>
      <c r="AU902" s="3"/>
      <c r="AV902" s="3"/>
      <c r="AW902" s="3"/>
      <c r="AX902" s="11"/>
      <c r="AZ902"/>
      <c r="BA902"/>
      <c r="BB902"/>
      <c r="BC902"/>
    </row>
    <row r="903" spans="1:55" s="282" customFormat="1" x14ac:dyDescent="0.25">
      <c r="A903"/>
      <c r="B903"/>
      <c r="C903" s="3"/>
      <c r="D903"/>
      <c r="E903"/>
      <c r="F903"/>
      <c r="G903" s="3"/>
      <c r="H903" s="3"/>
      <c r="I903" s="3"/>
      <c r="J903" s="288"/>
      <c r="L903" s="288"/>
      <c r="M903" s="288"/>
      <c r="N903" s="288"/>
      <c r="O903" s="288"/>
      <c r="P903" s="288"/>
      <c r="Q903" s="288"/>
      <c r="R903" s="283"/>
      <c r="S903" s="280"/>
      <c r="T903" s="276"/>
      <c r="U903" s="276"/>
      <c r="V903" s="276"/>
      <c r="W903" s="283"/>
      <c r="X903" s="280"/>
      <c r="Y903" s="280"/>
      <c r="Z903" s="280"/>
      <c r="AA903" s="280"/>
      <c r="AB903" s="280"/>
      <c r="AC903" s="280"/>
      <c r="AD903" s="280"/>
      <c r="AG903" s="3"/>
      <c r="AH903" s="3"/>
      <c r="AI903" s="3"/>
      <c r="AJ903" s="3"/>
      <c r="AK903" s="3"/>
      <c r="AL903" s="3"/>
      <c r="AM903" s="3"/>
      <c r="AN903" s="3"/>
      <c r="AO903" s="3"/>
      <c r="AP903" s="11"/>
      <c r="AQ903" s="11"/>
      <c r="AR903" s="3"/>
      <c r="AS903" s="3"/>
      <c r="AT903" s="3"/>
      <c r="AU903" s="3"/>
      <c r="AV903" s="3"/>
      <c r="AW903" s="3"/>
      <c r="AX903" s="11"/>
      <c r="AZ903"/>
      <c r="BA903"/>
      <c r="BB903"/>
      <c r="BC903"/>
    </row>
    <row r="904" spans="1:55" s="282" customFormat="1" x14ac:dyDescent="0.25">
      <c r="A904"/>
      <c r="B904"/>
      <c r="C904" s="3"/>
      <c r="D904"/>
      <c r="E904"/>
      <c r="F904"/>
      <c r="G904" s="3"/>
      <c r="H904" s="3"/>
      <c r="I904" s="3"/>
      <c r="J904" s="288"/>
      <c r="L904" s="288"/>
      <c r="M904" s="288"/>
      <c r="N904" s="288"/>
      <c r="O904" s="288"/>
      <c r="P904" s="288"/>
      <c r="Q904" s="288"/>
      <c r="R904" s="283"/>
      <c r="S904" s="280"/>
      <c r="T904" s="276"/>
      <c r="U904" s="276"/>
      <c r="V904" s="276"/>
      <c r="W904" s="283"/>
      <c r="X904" s="280"/>
      <c r="Y904" s="280"/>
      <c r="Z904" s="280"/>
      <c r="AA904" s="280"/>
      <c r="AB904" s="280"/>
      <c r="AC904" s="280"/>
      <c r="AD904" s="280"/>
      <c r="AG904" s="3"/>
      <c r="AH904" s="3"/>
      <c r="AI904" s="3"/>
      <c r="AJ904" s="3"/>
      <c r="AK904" s="3"/>
      <c r="AL904" s="3"/>
      <c r="AM904" s="3"/>
      <c r="AN904" s="3"/>
      <c r="AO904" s="3"/>
      <c r="AP904" s="11"/>
      <c r="AQ904" s="11"/>
      <c r="AR904" s="3"/>
      <c r="AS904" s="3"/>
      <c r="AT904" s="3"/>
      <c r="AU904" s="3"/>
      <c r="AV904" s="3"/>
      <c r="AW904" s="3"/>
      <c r="AX904" s="11"/>
      <c r="AZ904"/>
      <c r="BA904"/>
      <c r="BB904"/>
      <c r="BC904"/>
    </row>
    <row r="905" spans="1:55" s="282" customFormat="1" x14ac:dyDescent="0.25">
      <c r="A905"/>
      <c r="B905"/>
      <c r="C905" s="3"/>
      <c r="D905"/>
      <c r="E905"/>
      <c r="F905"/>
      <c r="G905" s="3"/>
      <c r="H905" s="3"/>
      <c r="I905" s="3"/>
      <c r="J905" s="288"/>
      <c r="L905" s="288"/>
      <c r="M905" s="288"/>
      <c r="N905" s="288"/>
      <c r="O905" s="288"/>
      <c r="P905" s="288"/>
      <c r="Q905" s="288"/>
      <c r="R905" s="283"/>
      <c r="S905" s="280"/>
      <c r="T905" s="276"/>
      <c r="U905" s="276"/>
      <c r="V905" s="276"/>
      <c r="W905" s="283"/>
      <c r="X905" s="280"/>
      <c r="Y905" s="280"/>
      <c r="Z905" s="280"/>
      <c r="AA905" s="280"/>
      <c r="AB905" s="280"/>
      <c r="AC905" s="280"/>
      <c r="AD905" s="280"/>
      <c r="AG905" s="3"/>
      <c r="AH905" s="3"/>
      <c r="AI905" s="3"/>
      <c r="AJ905" s="3"/>
      <c r="AK905" s="3"/>
      <c r="AL905" s="3"/>
      <c r="AM905" s="3"/>
      <c r="AN905" s="3"/>
      <c r="AO905" s="3"/>
      <c r="AP905" s="11"/>
      <c r="AQ905" s="11"/>
      <c r="AR905" s="3"/>
      <c r="AS905" s="3"/>
      <c r="AT905" s="3"/>
      <c r="AU905" s="3"/>
      <c r="AV905" s="3"/>
      <c r="AW905" s="3"/>
      <c r="AX905" s="11"/>
      <c r="AZ905"/>
      <c r="BA905"/>
      <c r="BB905"/>
      <c r="BC905"/>
    </row>
    <row r="906" spans="1:55" s="282" customFormat="1" x14ac:dyDescent="0.25">
      <c r="A906"/>
      <c r="B906"/>
      <c r="C906" s="3"/>
      <c r="D906"/>
      <c r="E906"/>
      <c r="F906"/>
      <c r="G906" s="3"/>
      <c r="H906" s="3"/>
      <c r="I906" s="3"/>
      <c r="J906" s="288"/>
      <c r="L906" s="288"/>
      <c r="M906" s="288"/>
      <c r="N906" s="288"/>
      <c r="O906" s="288"/>
      <c r="P906" s="288"/>
      <c r="Q906" s="288"/>
      <c r="R906" s="283"/>
      <c r="S906" s="280"/>
      <c r="T906" s="276"/>
      <c r="U906" s="276"/>
      <c r="V906" s="276"/>
      <c r="W906" s="283"/>
      <c r="X906" s="280"/>
      <c r="Y906" s="280"/>
      <c r="Z906" s="280"/>
      <c r="AA906" s="280"/>
      <c r="AB906" s="280"/>
      <c r="AC906" s="280"/>
      <c r="AD906" s="280"/>
      <c r="AG906" s="3"/>
      <c r="AH906" s="3"/>
      <c r="AI906" s="3"/>
      <c r="AJ906" s="3"/>
      <c r="AK906" s="3"/>
      <c r="AL906" s="3"/>
      <c r="AM906" s="3"/>
      <c r="AN906" s="3"/>
      <c r="AO906" s="3"/>
      <c r="AP906" s="11"/>
      <c r="AQ906" s="11"/>
      <c r="AR906" s="3"/>
      <c r="AS906" s="3"/>
      <c r="AT906" s="3"/>
      <c r="AU906" s="3"/>
      <c r="AV906" s="3"/>
      <c r="AW906" s="3"/>
      <c r="AX906" s="11"/>
      <c r="AZ906"/>
      <c r="BA906"/>
      <c r="BB906"/>
      <c r="BC906"/>
    </row>
    <row r="907" spans="1:55" s="282" customFormat="1" x14ac:dyDescent="0.25">
      <c r="A907"/>
      <c r="B907"/>
      <c r="C907" s="3"/>
      <c r="D907"/>
      <c r="E907"/>
      <c r="F907"/>
      <c r="G907" s="3"/>
      <c r="H907" s="3"/>
      <c r="I907" s="3"/>
      <c r="J907" s="288"/>
      <c r="L907" s="288"/>
      <c r="M907" s="288"/>
      <c r="N907" s="288"/>
      <c r="O907" s="288"/>
      <c r="P907" s="288"/>
      <c r="Q907" s="288"/>
      <c r="R907" s="283"/>
      <c r="S907" s="280"/>
      <c r="T907" s="276"/>
      <c r="U907" s="276"/>
      <c r="V907" s="276"/>
      <c r="W907" s="283"/>
      <c r="X907" s="280"/>
      <c r="Y907" s="280"/>
      <c r="Z907" s="280"/>
      <c r="AA907" s="280"/>
      <c r="AB907" s="280"/>
      <c r="AC907" s="280"/>
      <c r="AD907" s="280"/>
      <c r="AG907" s="3"/>
      <c r="AH907" s="3"/>
      <c r="AI907" s="3"/>
      <c r="AJ907" s="3"/>
      <c r="AK907" s="3"/>
      <c r="AL907" s="3"/>
      <c r="AM907" s="3"/>
      <c r="AN907" s="3"/>
      <c r="AO907" s="3"/>
      <c r="AP907" s="11"/>
      <c r="AQ907" s="11"/>
      <c r="AR907" s="3"/>
      <c r="AS907" s="3"/>
      <c r="AT907" s="3"/>
      <c r="AU907" s="3"/>
      <c r="AV907" s="3"/>
      <c r="AW907" s="3"/>
      <c r="AX907" s="11"/>
      <c r="AZ907"/>
      <c r="BA907"/>
      <c r="BB907"/>
      <c r="BC907"/>
    </row>
    <row r="908" spans="1:55" s="282" customFormat="1" x14ac:dyDescent="0.25">
      <c r="A908"/>
      <c r="B908"/>
      <c r="C908" s="3"/>
      <c r="D908"/>
      <c r="E908"/>
      <c r="F908"/>
      <c r="G908" s="3"/>
      <c r="H908" s="3"/>
      <c r="I908" s="3"/>
      <c r="J908" s="288"/>
      <c r="L908" s="288"/>
      <c r="M908" s="288"/>
      <c r="N908" s="288"/>
      <c r="O908" s="288"/>
      <c r="P908" s="288"/>
      <c r="Q908" s="288"/>
      <c r="R908" s="283"/>
      <c r="S908" s="280"/>
      <c r="T908" s="276"/>
      <c r="U908" s="276"/>
      <c r="V908" s="276"/>
      <c r="W908" s="283"/>
      <c r="X908" s="280"/>
      <c r="Y908" s="280"/>
      <c r="Z908" s="280"/>
      <c r="AA908" s="280"/>
      <c r="AB908" s="280"/>
      <c r="AC908" s="280"/>
      <c r="AD908" s="280"/>
      <c r="AG908" s="3"/>
      <c r="AH908" s="3"/>
      <c r="AI908" s="3"/>
      <c r="AJ908" s="3"/>
      <c r="AK908" s="3"/>
      <c r="AL908" s="3"/>
      <c r="AM908" s="3"/>
      <c r="AN908" s="3"/>
      <c r="AO908" s="3"/>
      <c r="AP908" s="11"/>
      <c r="AQ908" s="11"/>
      <c r="AR908" s="3"/>
      <c r="AS908" s="3"/>
      <c r="AT908" s="3"/>
      <c r="AU908" s="3"/>
      <c r="AV908" s="3"/>
      <c r="AW908" s="3"/>
      <c r="AX908" s="11"/>
      <c r="AZ908"/>
      <c r="BA908"/>
      <c r="BB908"/>
      <c r="BC908"/>
    </row>
    <row r="909" spans="1:55" s="282" customFormat="1" x14ac:dyDescent="0.25">
      <c r="A909"/>
      <c r="B909"/>
      <c r="C909" s="3"/>
      <c r="D909"/>
      <c r="E909"/>
      <c r="F909"/>
      <c r="G909" s="3"/>
      <c r="H909" s="3"/>
      <c r="I909" s="3"/>
      <c r="J909" s="288"/>
      <c r="L909" s="288"/>
      <c r="M909" s="288"/>
      <c r="N909" s="288"/>
      <c r="O909" s="288"/>
      <c r="P909" s="288"/>
      <c r="Q909" s="288"/>
      <c r="R909" s="283"/>
      <c r="S909" s="280"/>
      <c r="T909" s="276"/>
      <c r="U909" s="276"/>
      <c r="V909" s="276"/>
      <c r="W909" s="283"/>
      <c r="X909" s="280"/>
      <c r="Y909" s="280"/>
      <c r="Z909" s="280"/>
      <c r="AA909" s="280"/>
      <c r="AB909" s="280"/>
      <c r="AC909" s="280"/>
      <c r="AD909" s="280"/>
      <c r="AG909" s="3"/>
      <c r="AH909" s="3"/>
      <c r="AI909" s="3"/>
      <c r="AJ909" s="3"/>
      <c r="AK909" s="3"/>
      <c r="AL909" s="3"/>
      <c r="AM909" s="3"/>
      <c r="AN909" s="3"/>
      <c r="AO909" s="3"/>
      <c r="AP909" s="11"/>
      <c r="AQ909" s="11"/>
      <c r="AR909" s="3"/>
      <c r="AS909" s="3"/>
      <c r="AT909" s="3"/>
      <c r="AU909" s="3"/>
      <c r="AV909" s="3"/>
      <c r="AW909" s="3"/>
      <c r="AX909" s="11"/>
      <c r="AZ909"/>
      <c r="BA909"/>
      <c r="BB909"/>
      <c r="BC909"/>
    </row>
    <row r="910" spans="1:55" s="282" customFormat="1" x14ac:dyDescent="0.25">
      <c r="A910"/>
      <c r="B910"/>
      <c r="C910" s="3"/>
      <c r="D910"/>
      <c r="E910"/>
      <c r="F910"/>
      <c r="G910" s="3"/>
      <c r="H910" s="3"/>
      <c r="I910" s="3"/>
      <c r="J910" s="288"/>
      <c r="L910" s="288"/>
      <c r="M910" s="288"/>
      <c r="N910" s="288"/>
      <c r="O910" s="288"/>
      <c r="P910" s="288"/>
      <c r="Q910" s="288"/>
      <c r="R910" s="283"/>
      <c r="S910" s="280"/>
      <c r="T910" s="276"/>
      <c r="U910" s="276"/>
      <c r="V910" s="276"/>
      <c r="W910" s="283"/>
      <c r="X910" s="280"/>
      <c r="Y910" s="280"/>
      <c r="Z910" s="280"/>
      <c r="AA910" s="280"/>
      <c r="AB910" s="280"/>
      <c r="AC910" s="280"/>
      <c r="AD910" s="280"/>
      <c r="AG910" s="3"/>
      <c r="AH910" s="3"/>
      <c r="AI910" s="3"/>
      <c r="AJ910" s="3"/>
      <c r="AK910" s="3"/>
      <c r="AL910" s="3"/>
      <c r="AM910" s="3"/>
      <c r="AN910" s="3"/>
      <c r="AO910" s="3"/>
      <c r="AP910" s="11"/>
      <c r="AQ910" s="11"/>
      <c r="AR910" s="3"/>
      <c r="AS910" s="3"/>
      <c r="AT910" s="3"/>
      <c r="AU910" s="3"/>
      <c r="AV910" s="3"/>
      <c r="AW910" s="3"/>
      <c r="AX910" s="11"/>
      <c r="AZ910"/>
      <c r="BA910"/>
      <c r="BB910"/>
      <c r="BC910"/>
    </row>
    <row r="911" spans="1:55" s="282" customFormat="1" x14ac:dyDescent="0.25">
      <c r="A911"/>
      <c r="B911"/>
      <c r="C911" s="3"/>
      <c r="D911"/>
      <c r="E911"/>
      <c r="F911"/>
      <c r="G911" s="3"/>
      <c r="H911" s="3"/>
      <c r="I911" s="3"/>
      <c r="J911" s="288"/>
      <c r="L911" s="288"/>
      <c r="M911" s="288"/>
      <c r="N911" s="288"/>
      <c r="O911" s="288"/>
      <c r="P911" s="288"/>
      <c r="Q911" s="288"/>
      <c r="R911" s="283"/>
      <c r="S911" s="280"/>
      <c r="T911" s="276"/>
      <c r="U911" s="276"/>
      <c r="V911" s="276"/>
      <c r="W911" s="283"/>
      <c r="X911" s="280"/>
      <c r="Y911" s="280"/>
      <c r="Z911" s="280"/>
      <c r="AA911" s="280"/>
      <c r="AB911" s="280"/>
      <c r="AC911" s="280"/>
      <c r="AD911" s="280"/>
      <c r="AG911" s="3"/>
      <c r="AH911" s="3"/>
      <c r="AI911" s="3"/>
      <c r="AJ911" s="3"/>
      <c r="AK911" s="3"/>
      <c r="AL911" s="3"/>
      <c r="AM911" s="3"/>
      <c r="AN911" s="3"/>
      <c r="AO911" s="3"/>
      <c r="AP911" s="11"/>
      <c r="AQ911" s="11"/>
      <c r="AR911" s="3"/>
      <c r="AS911" s="3"/>
      <c r="AT911" s="3"/>
      <c r="AU911" s="3"/>
      <c r="AV911" s="3"/>
      <c r="AW911" s="3"/>
      <c r="AX911" s="11"/>
      <c r="AZ911"/>
      <c r="BA911"/>
      <c r="BB911"/>
      <c r="BC911"/>
    </row>
    <row r="912" spans="1:55" s="282" customFormat="1" x14ac:dyDescent="0.25">
      <c r="A912"/>
      <c r="B912"/>
      <c r="C912" s="3"/>
      <c r="D912"/>
      <c r="E912"/>
      <c r="F912"/>
      <c r="G912" s="3"/>
      <c r="H912" s="3"/>
      <c r="I912" s="3"/>
      <c r="J912" s="288"/>
      <c r="L912" s="288"/>
      <c r="M912" s="288"/>
      <c r="N912" s="288"/>
      <c r="O912" s="288"/>
      <c r="P912" s="288"/>
      <c r="Q912" s="288"/>
      <c r="R912" s="283"/>
      <c r="S912" s="280"/>
      <c r="T912" s="276"/>
      <c r="U912" s="276"/>
      <c r="V912" s="276"/>
      <c r="W912" s="283"/>
      <c r="X912" s="280"/>
      <c r="Y912" s="280"/>
      <c r="Z912" s="280"/>
      <c r="AA912" s="280"/>
      <c r="AB912" s="280"/>
      <c r="AC912" s="280"/>
      <c r="AD912" s="280"/>
      <c r="AG912" s="3"/>
      <c r="AH912" s="3"/>
      <c r="AI912" s="3"/>
      <c r="AJ912" s="3"/>
      <c r="AK912" s="3"/>
      <c r="AL912" s="3"/>
      <c r="AM912" s="3"/>
      <c r="AN912" s="3"/>
      <c r="AO912" s="3"/>
      <c r="AP912" s="11"/>
      <c r="AQ912" s="11"/>
      <c r="AR912" s="3"/>
      <c r="AS912" s="3"/>
      <c r="AT912" s="3"/>
      <c r="AU912" s="3"/>
      <c r="AV912" s="3"/>
      <c r="AW912" s="3"/>
      <c r="AX912" s="11"/>
      <c r="AZ912"/>
      <c r="BA912"/>
      <c r="BB912"/>
      <c r="BC912"/>
    </row>
    <row r="913" spans="1:55" s="282" customFormat="1" x14ac:dyDescent="0.25">
      <c r="A913"/>
      <c r="B913"/>
      <c r="C913" s="3"/>
      <c r="D913"/>
      <c r="E913"/>
      <c r="F913"/>
      <c r="G913" s="3"/>
      <c r="H913" s="3"/>
      <c r="I913" s="3"/>
      <c r="J913" s="288"/>
      <c r="L913" s="288"/>
      <c r="M913" s="288"/>
      <c r="N913" s="288"/>
      <c r="O913" s="288"/>
      <c r="P913" s="288"/>
      <c r="Q913" s="288"/>
      <c r="R913" s="283"/>
      <c r="S913" s="280"/>
      <c r="T913" s="276"/>
      <c r="U913" s="276"/>
      <c r="V913" s="276"/>
      <c r="W913" s="283"/>
      <c r="X913" s="280"/>
      <c r="Y913" s="280"/>
      <c r="Z913" s="280"/>
      <c r="AA913" s="280"/>
      <c r="AB913" s="280"/>
      <c r="AC913" s="280"/>
      <c r="AD913" s="280"/>
      <c r="AG913" s="3"/>
      <c r="AH913" s="3"/>
      <c r="AI913" s="3"/>
      <c r="AJ913" s="3"/>
      <c r="AK913" s="3"/>
      <c r="AL913" s="3"/>
      <c r="AM913" s="3"/>
      <c r="AN913" s="3"/>
      <c r="AO913" s="3"/>
      <c r="AP913" s="11"/>
      <c r="AQ913" s="11"/>
      <c r="AR913" s="3"/>
      <c r="AS913" s="3"/>
      <c r="AT913" s="3"/>
      <c r="AU913" s="3"/>
      <c r="AV913" s="3"/>
      <c r="AW913" s="3"/>
      <c r="AX913" s="11"/>
      <c r="AZ913"/>
      <c r="BA913"/>
      <c r="BB913"/>
      <c r="BC913"/>
    </row>
    <row r="914" spans="1:55" s="282" customFormat="1" x14ac:dyDescent="0.25">
      <c r="A914"/>
      <c r="B914"/>
      <c r="C914" s="3"/>
      <c r="D914"/>
      <c r="E914"/>
      <c r="F914"/>
      <c r="G914" s="3"/>
      <c r="H914" s="3"/>
      <c r="I914" s="3"/>
      <c r="J914" s="288"/>
      <c r="L914" s="288"/>
      <c r="M914" s="288"/>
      <c r="N914" s="288"/>
      <c r="O914" s="288"/>
      <c r="P914" s="288"/>
      <c r="Q914" s="288"/>
      <c r="R914" s="283"/>
      <c r="S914" s="280"/>
      <c r="T914" s="276"/>
      <c r="U914" s="276"/>
      <c r="V914" s="276"/>
      <c r="W914" s="283"/>
      <c r="X914" s="280"/>
      <c r="Y914" s="280"/>
      <c r="Z914" s="280"/>
      <c r="AA914" s="280"/>
      <c r="AB914" s="280"/>
      <c r="AC914" s="280"/>
      <c r="AD914" s="280"/>
      <c r="AG914" s="3"/>
      <c r="AH914" s="3"/>
      <c r="AI914" s="3"/>
      <c r="AJ914" s="3"/>
      <c r="AK914" s="3"/>
      <c r="AL914" s="3"/>
      <c r="AM914" s="3"/>
      <c r="AN914" s="3"/>
      <c r="AO914" s="3"/>
      <c r="AP914" s="11"/>
      <c r="AQ914" s="11"/>
      <c r="AR914" s="3"/>
      <c r="AS914" s="3"/>
      <c r="AT914" s="3"/>
      <c r="AU914" s="3"/>
      <c r="AV914" s="3"/>
      <c r="AW914" s="3"/>
      <c r="AX914" s="11"/>
      <c r="AZ914"/>
      <c r="BA914"/>
      <c r="BB914"/>
      <c r="BC914"/>
    </row>
    <row r="915" spans="1:55" s="282" customFormat="1" x14ac:dyDescent="0.25">
      <c r="A915"/>
      <c r="B915"/>
      <c r="C915" s="3"/>
      <c r="D915"/>
      <c r="E915"/>
      <c r="F915"/>
      <c r="G915" s="3"/>
      <c r="H915" s="3"/>
      <c r="I915" s="3"/>
      <c r="J915" s="288"/>
      <c r="L915" s="288"/>
      <c r="M915" s="288"/>
      <c r="N915" s="288"/>
      <c r="O915" s="288"/>
      <c r="P915" s="288"/>
      <c r="Q915" s="288"/>
      <c r="R915" s="283"/>
      <c r="S915" s="280"/>
      <c r="T915" s="276"/>
      <c r="U915" s="276"/>
      <c r="V915" s="276"/>
      <c r="W915" s="283"/>
      <c r="X915" s="280"/>
      <c r="Y915" s="280"/>
      <c r="Z915" s="280"/>
      <c r="AA915" s="280"/>
      <c r="AB915" s="280"/>
      <c r="AC915" s="280"/>
      <c r="AD915" s="280"/>
      <c r="AG915" s="3"/>
      <c r="AH915" s="3"/>
      <c r="AI915" s="3"/>
      <c r="AJ915" s="3"/>
      <c r="AK915" s="3"/>
      <c r="AL915" s="3"/>
      <c r="AM915" s="3"/>
      <c r="AN915" s="3"/>
      <c r="AO915" s="3"/>
      <c r="AP915" s="11"/>
      <c r="AQ915" s="11"/>
      <c r="AR915" s="3"/>
      <c r="AS915" s="3"/>
      <c r="AT915" s="3"/>
      <c r="AU915" s="3"/>
      <c r="AV915" s="3"/>
      <c r="AW915" s="3"/>
      <c r="AX915" s="11"/>
      <c r="AZ915"/>
      <c r="BA915"/>
      <c r="BB915"/>
      <c r="BC915"/>
    </row>
    <row r="916" spans="1:55" s="282" customFormat="1" x14ac:dyDescent="0.25">
      <c r="A916"/>
      <c r="B916"/>
      <c r="C916" s="3"/>
      <c r="D916"/>
      <c r="E916"/>
      <c r="F916"/>
      <c r="G916" s="3"/>
      <c r="H916" s="3"/>
      <c r="I916" s="3"/>
      <c r="J916" s="288"/>
      <c r="L916" s="288"/>
      <c r="M916" s="288"/>
      <c r="N916" s="288"/>
      <c r="O916" s="288"/>
      <c r="P916" s="288"/>
      <c r="Q916" s="288"/>
      <c r="R916" s="283"/>
      <c r="S916" s="280"/>
      <c r="T916" s="276"/>
      <c r="U916" s="276"/>
      <c r="V916" s="276"/>
      <c r="W916" s="283"/>
      <c r="X916" s="280"/>
      <c r="Y916" s="280"/>
      <c r="Z916" s="280"/>
      <c r="AA916" s="280"/>
      <c r="AB916" s="280"/>
      <c r="AC916" s="280"/>
      <c r="AD916" s="280"/>
      <c r="AG916" s="3"/>
      <c r="AH916" s="3"/>
      <c r="AI916" s="3"/>
      <c r="AJ916" s="3"/>
      <c r="AK916" s="3"/>
      <c r="AL916" s="3"/>
      <c r="AM916" s="3"/>
      <c r="AN916" s="3"/>
      <c r="AO916" s="3"/>
      <c r="AP916" s="11"/>
      <c r="AQ916" s="11"/>
      <c r="AR916" s="3"/>
      <c r="AS916" s="3"/>
      <c r="AT916" s="3"/>
      <c r="AU916" s="3"/>
      <c r="AV916" s="3"/>
      <c r="AW916" s="3"/>
      <c r="AX916" s="11"/>
      <c r="AZ916"/>
      <c r="BA916"/>
      <c r="BB916"/>
      <c r="BC916"/>
    </row>
    <row r="917" spans="1:55" s="282" customFormat="1" x14ac:dyDescent="0.25">
      <c r="A917"/>
      <c r="B917"/>
      <c r="C917" s="3"/>
      <c r="D917"/>
      <c r="E917"/>
      <c r="F917"/>
      <c r="G917" s="3"/>
      <c r="H917" s="3"/>
      <c r="I917" s="3"/>
      <c r="J917" s="288"/>
      <c r="L917" s="288"/>
      <c r="M917" s="288"/>
      <c r="N917" s="288"/>
      <c r="O917" s="288"/>
      <c r="P917" s="288"/>
      <c r="Q917" s="288"/>
      <c r="R917" s="283"/>
      <c r="S917" s="280"/>
      <c r="T917" s="276"/>
      <c r="U917" s="276"/>
      <c r="V917" s="276"/>
      <c r="W917" s="283"/>
      <c r="X917" s="280"/>
      <c r="Y917" s="280"/>
      <c r="Z917" s="280"/>
      <c r="AA917" s="280"/>
      <c r="AB917" s="280"/>
      <c r="AC917" s="280"/>
      <c r="AD917" s="280"/>
      <c r="AG917" s="3"/>
      <c r="AH917" s="3"/>
      <c r="AI917" s="3"/>
      <c r="AJ917" s="3"/>
      <c r="AK917" s="3"/>
      <c r="AL917" s="3"/>
      <c r="AM917" s="3"/>
      <c r="AN917" s="3"/>
      <c r="AO917" s="3"/>
      <c r="AP917" s="11"/>
      <c r="AQ917" s="11"/>
      <c r="AR917" s="3"/>
      <c r="AS917" s="3"/>
      <c r="AT917" s="3"/>
      <c r="AU917" s="3"/>
      <c r="AV917" s="3"/>
      <c r="AW917" s="3"/>
      <c r="AX917" s="11"/>
      <c r="AZ917"/>
      <c r="BA917"/>
      <c r="BB917"/>
      <c r="BC917"/>
    </row>
    <row r="918" spans="1:55" s="282" customFormat="1" x14ac:dyDescent="0.25">
      <c r="A918"/>
      <c r="B918"/>
      <c r="C918" s="3"/>
      <c r="D918"/>
      <c r="E918"/>
      <c r="F918"/>
      <c r="G918" s="3"/>
      <c r="H918" s="3"/>
      <c r="I918" s="3"/>
      <c r="J918" s="288"/>
      <c r="L918" s="288"/>
      <c r="M918" s="288"/>
      <c r="N918" s="288"/>
      <c r="O918" s="288"/>
      <c r="P918" s="288"/>
      <c r="Q918" s="288"/>
      <c r="R918" s="283"/>
      <c r="S918" s="280"/>
      <c r="T918" s="276"/>
      <c r="U918" s="276"/>
      <c r="V918" s="276"/>
      <c r="W918" s="283"/>
      <c r="X918" s="280"/>
      <c r="Y918" s="280"/>
      <c r="Z918" s="280"/>
      <c r="AA918" s="280"/>
      <c r="AB918" s="280"/>
      <c r="AC918" s="280"/>
      <c r="AD918" s="280"/>
      <c r="AG918" s="3"/>
      <c r="AH918" s="3"/>
      <c r="AI918" s="3"/>
      <c r="AJ918" s="3"/>
      <c r="AK918" s="3"/>
      <c r="AL918" s="3"/>
      <c r="AM918" s="3"/>
      <c r="AN918" s="3"/>
      <c r="AO918" s="3"/>
      <c r="AP918" s="11"/>
      <c r="AQ918" s="11"/>
      <c r="AR918" s="3"/>
      <c r="AS918" s="3"/>
      <c r="AT918" s="3"/>
      <c r="AU918" s="3"/>
      <c r="AV918" s="3"/>
      <c r="AW918" s="3"/>
      <c r="AX918" s="11"/>
      <c r="AZ918"/>
      <c r="BA918"/>
      <c r="BB918"/>
      <c r="BC918"/>
    </row>
    <row r="919" spans="1:55" s="282" customFormat="1" x14ac:dyDescent="0.25">
      <c r="A919"/>
      <c r="B919"/>
      <c r="C919" s="3"/>
      <c r="D919"/>
      <c r="E919"/>
      <c r="F919"/>
      <c r="G919" s="3"/>
      <c r="H919" s="3"/>
      <c r="I919" s="3"/>
      <c r="J919" s="288"/>
      <c r="L919" s="288"/>
      <c r="M919" s="288"/>
      <c r="N919" s="288"/>
      <c r="O919" s="288"/>
      <c r="P919" s="288"/>
      <c r="Q919" s="288"/>
      <c r="R919" s="283"/>
      <c r="S919" s="280"/>
      <c r="T919" s="276"/>
      <c r="U919" s="276"/>
      <c r="V919" s="276"/>
      <c r="W919" s="283"/>
      <c r="X919" s="280"/>
      <c r="Y919" s="280"/>
      <c r="Z919" s="280"/>
      <c r="AA919" s="280"/>
      <c r="AB919" s="280"/>
      <c r="AC919" s="280"/>
      <c r="AD919" s="280"/>
      <c r="AG919" s="3"/>
      <c r="AH919" s="3"/>
      <c r="AI919" s="3"/>
      <c r="AJ919" s="3"/>
      <c r="AK919" s="3"/>
      <c r="AL919" s="3"/>
      <c r="AM919" s="3"/>
      <c r="AN919" s="3"/>
      <c r="AO919" s="3"/>
      <c r="AP919" s="11"/>
      <c r="AQ919" s="11"/>
      <c r="AR919" s="3"/>
      <c r="AS919" s="3"/>
      <c r="AT919" s="3"/>
      <c r="AU919" s="3"/>
      <c r="AV919" s="3"/>
      <c r="AW919" s="3"/>
      <c r="AX919" s="11"/>
      <c r="AZ919"/>
      <c r="BA919"/>
      <c r="BB919"/>
      <c r="BC919"/>
    </row>
    <row r="920" spans="1:55" s="282" customFormat="1" x14ac:dyDescent="0.25">
      <c r="A920"/>
      <c r="B920"/>
      <c r="C920" s="3"/>
      <c r="D920"/>
      <c r="E920"/>
      <c r="F920"/>
      <c r="G920" s="3"/>
      <c r="H920" s="3"/>
      <c r="I920" s="3"/>
      <c r="J920" s="288"/>
      <c r="L920" s="288"/>
      <c r="M920" s="288"/>
      <c r="N920" s="288"/>
      <c r="O920" s="288"/>
      <c r="P920" s="288"/>
      <c r="Q920" s="288"/>
      <c r="R920" s="283"/>
      <c r="S920" s="280"/>
      <c r="T920" s="276"/>
      <c r="U920" s="276"/>
      <c r="V920" s="276"/>
      <c r="W920" s="283"/>
      <c r="X920" s="280"/>
      <c r="Y920" s="280"/>
      <c r="Z920" s="280"/>
      <c r="AA920" s="280"/>
      <c r="AB920" s="280"/>
      <c r="AC920" s="280"/>
      <c r="AD920" s="280"/>
      <c r="AG920" s="3"/>
      <c r="AH920" s="3"/>
      <c r="AI920" s="3"/>
      <c r="AJ920" s="3"/>
      <c r="AK920" s="3"/>
      <c r="AL920" s="3"/>
      <c r="AM920" s="3"/>
      <c r="AN920" s="3"/>
      <c r="AO920" s="3"/>
      <c r="AP920" s="11"/>
      <c r="AQ920" s="11"/>
      <c r="AR920" s="3"/>
      <c r="AS920" s="3"/>
      <c r="AT920" s="3"/>
      <c r="AU920" s="3"/>
      <c r="AV920" s="3"/>
      <c r="AW920" s="3"/>
      <c r="AX920" s="11"/>
      <c r="AZ920"/>
      <c r="BA920"/>
      <c r="BB920"/>
      <c r="BC920"/>
    </row>
    <row r="921" spans="1:55" s="282" customFormat="1" x14ac:dyDescent="0.25">
      <c r="A921"/>
      <c r="B921"/>
      <c r="C921" s="3"/>
      <c r="D921"/>
      <c r="E921"/>
      <c r="F921"/>
      <c r="G921" s="3"/>
      <c r="H921" s="3"/>
      <c r="I921" s="3"/>
      <c r="J921" s="288"/>
      <c r="L921" s="288"/>
      <c r="M921" s="288"/>
      <c r="N921" s="288"/>
      <c r="O921" s="288"/>
      <c r="P921" s="288"/>
      <c r="Q921" s="288"/>
      <c r="R921" s="283"/>
      <c r="S921" s="280"/>
      <c r="T921" s="276"/>
      <c r="U921" s="276"/>
      <c r="V921" s="276"/>
      <c r="W921" s="283"/>
      <c r="X921" s="280"/>
      <c r="Y921" s="280"/>
      <c r="Z921" s="280"/>
      <c r="AA921" s="280"/>
      <c r="AB921" s="280"/>
      <c r="AC921" s="280"/>
      <c r="AD921" s="280"/>
      <c r="AG921" s="3"/>
      <c r="AH921" s="3"/>
      <c r="AI921" s="3"/>
      <c r="AJ921" s="3"/>
      <c r="AK921" s="3"/>
      <c r="AL921" s="3"/>
      <c r="AM921" s="3"/>
      <c r="AN921" s="3"/>
      <c r="AO921" s="3"/>
      <c r="AP921" s="11"/>
      <c r="AQ921" s="11"/>
      <c r="AR921" s="3"/>
      <c r="AS921" s="3"/>
      <c r="AT921" s="3"/>
      <c r="AU921" s="3"/>
      <c r="AV921" s="3"/>
      <c r="AW921" s="3"/>
      <c r="AX921" s="11"/>
      <c r="AZ921"/>
      <c r="BA921"/>
      <c r="BB921"/>
      <c r="BC921"/>
    </row>
    <row r="922" spans="1:55" s="282" customFormat="1" x14ac:dyDescent="0.25">
      <c r="A922"/>
      <c r="B922"/>
      <c r="C922" s="3"/>
      <c r="D922"/>
      <c r="E922"/>
      <c r="F922"/>
      <c r="G922" s="3"/>
      <c r="H922" s="3"/>
      <c r="I922" s="3"/>
      <c r="J922" s="288"/>
      <c r="L922" s="288"/>
      <c r="M922" s="288"/>
      <c r="N922" s="288"/>
      <c r="O922" s="288"/>
      <c r="P922" s="288"/>
      <c r="Q922" s="288"/>
      <c r="R922" s="283"/>
      <c r="S922" s="280"/>
      <c r="T922" s="276"/>
      <c r="U922" s="276"/>
      <c r="V922" s="276"/>
      <c r="W922" s="283"/>
      <c r="X922" s="280"/>
      <c r="Y922" s="280"/>
      <c r="Z922" s="280"/>
      <c r="AA922" s="280"/>
      <c r="AB922" s="280"/>
      <c r="AC922" s="280"/>
      <c r="AD922" s="280"/>
      <c r="AG922" s="3"/>
      <c r="AH922" s="3"/>
      <c r="AI922" s="3"/>
      <c r="AJ922" s="3"/>
      <c r="AK922" s="3"/>
      <c r="AL922" s="3"/>
      <c r="AM922" s="3"/>
      <c r="AN922" s="3"/>
      <c r="AO922" s="3"/>
      <c r="AP922" s="11"/>
      <c r="AQ922" s="11"/>
      <c r="AR922" s="3"/>
      <c r="AS922" s="3"/>
      <c r="AT922" s="3"/>
      <c r="AU922" s="3"/>
      <c r="AV922" s="3"/>
      <c r="AW922" s="3"/>
      <c r="AX922" s="11"/>
      <c r="AZ922"/>
      <c r="BA922"/>
      <c r="BB922"/>
      <c r="BC922"/>
    </row>
    <row r="923" spans="1:55" s="282" customFormat="1" x14ac:dyDescent="0.25">
      <c r="A923"/>
      <c r="B923"/>
      <c r="C923" s="3"/>
      <c r="D923"/>
      <c r="E923"/>
      <c r="F923"/>
      <c r="G923" s="3"/>
      <c r="H923" s="3"/>
      <c r="I923" s="3"/>
      <c r="J923" s="288"/>
      <c r="L923" s="288"/>
      <c r="M923" s="288"/>
      <c r="N923" s="288"/>
      <c r="O923" s="288"/>
      <c r="P923" s="288"/>
      <c r="Q923" s="288"/>
      <c r="R923" s="283"/>
      <c r="S923" s="280"/>
      <c r="T923" s="276"/>
      <c r="U923" s="276"/>
      <c r="V923" s="276"/>
      <c r="W923" s="283"/>
      <c r="X923" s="280"/>
      <c r="Y923" s="280"/>
      <c r="Z923" s="280"/>
      <c r="AA923" s="280"/>
      <c r="AB923" s="280"/>
      <c r="AC923" s="280"/>
      <c r="AD923" s="280"/>
      <c r="AG923" s="3"/>
      <c r="AH923" s="3"/>
      <c r="AI923" s="3"/>
      <c r="AJ923" s="3"/>
      <c r="AK923" s="3"/>
      <c r="AL923" s="3"/>
      <c r="AM923" s="3"/>
      <c r="AN923" s="3"/>
      <c r="AO923" s="3"/>
      <c r="AP923" s="11"/>
      <c r="AQ923" s="11"/>
      <c r="AR923" s="3"/>
      <c r="AS923" s="3"/>
      <c r="AT923" s="3"/>
      <c r="AU923" s="3"/>
      <c r="AV923" s="3"/>
      <c r="AW923" s="3"/>
      <c r="AX923" s="11"/>
      <c r="AZ923"/>
      <c r="BA923"/>
      <c r="BB923"/>
      <c r="BC923"/>
    </row>
    <row r="924" spans="1:55" s="282" customFormat="1" x14ac:dyDescent="0.25">
      <c r="A924"/>
      <c r="B924"/>
      <c r="C924" s="3"/>
      <c r="D924"/>
      <c r="E924"/>
      <c r="F924"/>
      <c r="G924" s="3"/>
      <c r="H924" s="3"/>
      <c r="I924" s="3"/>
      <c r="J924" s="288"/>
      <c r="L924" s="288"/>
      <c r="M924" s="288"/>
      <c r="N924" s="288"/>
      <c r="O924" s="288"/>
      <c r="P924" s="288"/>
      <c r="Q924" s="288"/>
      <c r="R924" s="283"/>
      <c r="S924" s="280"/>
      <c r="T924" s="276"/>
      <c r="U924" s="276"/>
      <c r="V924" s="276"/>
      <c r="W924" s="283"/>
      <c r="X924" s="280"/>
      <c r="Y924" s="280"/>
      <c r="Z924" s="280"/>
      <c r="AA924" s="280"/>
      <c r="AB924" s="280"/>
      <c r="AC924" s="280"/>
      <c r="AD924" s="280"/>
      <c r="AG924" s="3"/>
      <c r="AH924" s="3"/>
      <c r="AI924" s="3"/>
      <c r="AJ924" s="3"/>
      <c r="AK924" s="3"/>
      <c r="AL924" s="3"/>
      <c r="AM924" s="3"/>
      <c r="AN924" s="3"/>
      <c r="AO924" s="3"/>
      <c r="AP924" s="11"/>
      <c r="AQ924" s="11"/>
      <c r="AR924" s="3"/>
      <c r="AS924" s="3"/>
      <c r="AT924" s="3"/>
      <c r="AU924" s="3"/>
      <c r="AV924" s="3"/>
      <c r="AW924" s="3"/>
      <c r="AX924" s="11"/>
      <c r="AZ924"/>
      <c r="BA924"/>
      <c r="BB924"/>
      <c r="BC924"/>
    </row>
    <row r="925" spans="1:55" s="282" customFormat="1" x14ac:dyDescent="0.25">
      <c r="A925"/>
      <c r="B925"/>
      <c r="C925" s="3"/>
      <c r="D925"/>
      <c r="E925"/>
      <c r="F925"/>
      <c r="G925" s="3"/>
      <c r="H925" s="3"/>
      <c r="I925" s="3"/>
      <c r="J925" s="288"/>
      <c r="L925" s="288"/>
      <c r="M925" s="288"/>
      <c r="N925" s="288"/>
      <c r="O925" s="288"/>
      <c r="P925" s="288"/>
      <c r="Q925" s="288"/>
      <c r="R925" s="283"/>
      <c r="S925" s="280"/>
      <c r="T925" s="276"/>
      <c r="U925" s="276"/>
      <c r="V925" s="276"/>
      <c r="W925" s="283"/>
      <c r="X925" s="280"/>
      <c r="Y925" s="280"/>
      <c r="Z925" s="280"/>
      <c r="AA925" s="280"/>
      <c r="AB925" s="280"/>
      <c r="AC925" s="280"/>
      <c r="AD925" s="280"/>
      <c r="AG925" s="3"/>
      <c r="AH925" s="3"/>
      <c r="AI925" s="3"/>
      <c r="AJ925" s="3"/>
      <c r="AK925" s="3"/>
      <c r="AL925" s="3"/>
      <c r="AM925" s="3"/>
      <c r="AN925" s="3"/>
      <c r="AO925" s="3"/>
      <c r="AP925" s="11"/>
      <c r="AQ925" s="11"/>
      <c r="AR925" s="3"/>
      <c r="AS925" s="3"/>
      <c r="AT925" s="3"/>
      <c r="AU925" s="3"/>
      <c r="AV925" s="3"/>
      <c r="AW925" s="3"/>
      <c r="AX925" s="11"/>
      <c r="AZ925"/>
      <c r="BA925"/>
      <c r="BB925"/>
      <c r="BC925"/>
    </row>
    <row r="926" spans="1:55" s="282" customFormat="1" x14ac:dyDescent="0.25">
      <c r="A926"/>
      <c r="B926"/>
      <c r="C926" s="3"/>
      <c r="D926"/>
      <c r="E926"/>
      <c r="F926"/>
      <c r="G926" s="3"/>
      <c r="H926" s="3"/>
      <c r="I926" s="3"/>
      <c r="J926" s="288"/>
      <c r="L926" s="288"/>
      <c r="M926" s="288"/>
      <c r="N926" s="288"/>
      <c r="O926" s="288"/>
      <c r="P926" s="288"/>
      <c r="Q926" s="288"/>
      <c r="R926" s="283"/>
      <c r="S926" s="280"/>
      <c r="T926" s="276"/>
      <c r="U926" s="276"/>
      <c r="V926" s="276"/>
      <c r="W926" s="283"/>
      <c r="X926" s="280"/>
      <c r="Y926" s="280"/>
      <c r="Z926" s="280"/>
      <c r="AA926" s="280"/>
      <c r="AB926" s="280"/>
      <c r="AC926" s="280"/>
      <c r="AD926" s="280"/>
      <c r="AG926" s="3"/>
      <c r="AH926" s="3"/>
      <c r="AI926" s="3"/>
      <c r="AJ926" s="3"/>
      <c r="AK926" s="3"/>
      <c r="AL926" s="3"/>
      <c r="AM926" s="3"/>
      <c r="AN926" s="3"/>
      <c r="AO926" s="3"/>
      <c r="AP926" s="11"/>
      <c r="AQ926" s="11"/>
      <c r="AR926" s="3"/>
      <c r="AS926" s="3"/>
      <c r="AT926" s="3"/>
      <c r="AU926" s="3"/>
      <c r="AV926" s="3"/>
      <c r="AW926" s="3"/>
      <c r="AX926" s="11"/>
      <c r="AZ926"/>
      <c r="BA926"/>
      <c r="BB926"/>
      <c r="BC926"/>
    </row>
    <row r="927" spans="1:55" s="282" customFormat="1" x14ac:dyDescent="0.25">
      <c r="A927"/>
      <c r="B927"/>
      <c r="C927" s="3"/>
      <c r="D927"/>
      <c r="E927"/>
      <c r="F927"/>
      <c r="G927" s="3"/>
      <c r="H927" s="3"/>
      <c r="I927" s="3"/>
      <c r="J927" s="288"/>
      <c r="L927" s="288"/>
      <c r="M927" s="288"/>
      <c r="N927" s="288"/>
      <c r="O927" s="288"/>
      <c r="P927" s="288"/>
      <c r="Q927" s="288"/>
      <c r="R927" s="283"/>
      <c r="S927" s="280"/>
      <c r="T927" s="276"/>
      <c r="U927" s="276"/>
      <c r="V927" s="276"/>
      <c r="W927" s="283"/>
      <c r="X927" s="280"/>
      <c r="Y927" s="280"/>
      <c r="Z927" s="280"/>
      <c r="AA927" s="280"/>
      <c r="AB927" s="280"/>
      <c r="AC927" s="280"/>
      <c r="AD927" s="280"/>
      <c r="AG927" s="3"/>
      <c r="AH927" s="3"/>
      <c r="AI927" s="3"/>
      <c r="AJ927" s="3"/>
      <c r="AK927" s="3"/>
      <c r="AL927" s="3"/>
      <c r="AM927" s="3"/>
      <c r="AN927" s="3"/>
      <c r="AO927" s="3"/>
      <c r="AP927" s="11"/>
      <c r="AQ927" s="11"/>
      <c r="AR927" s="3"/>
      <c r="AS927" s="3"/>
      <c r="AT927" s="3"/>
      <c r="AU927" s="3"/>
      <c r="AV927" s="3"/>
      <c r="AW927" s="3"/>
      <c r="AX927" s="11"/>
      <c r="AZ927"/>
      <c r="BA927"/>
      <c r="BB927"/>
      <c r="BC927"/>
    </row>
    <row r="928" spans="1:55" s="282" customFormat="1" x14ac:dyDescent="0.25">
      <c r="A928"/>
      <c r="B928"/>
      <c r="C928" s="3"/>
      <c r="D928"/>
      <c r="E928"/>
      <c r="F928"/>
      <c r="G928" s="3"/>
      <c r="H928" s="3"/>
      <c r="I928" s="3"/>
      <c r="J928" s="288"/>
      <c r="L928" s="288"/>
      <c r="M928" s="288"/>
      <c r="N928" s="288"/>
      <c r="O928" s="288"/>
      <c r="P928" s="288"/>
      <c r="Q928" s="288"/>
      <c r="R928" s="283"/>
      <c r="S928" s="280"/>
      <c r="T928" s="276"/>
      <c r="U928" s="276"/>
      <c r="V928" s="276"/>
      <c r="W928" s="283"/>
      <c r="X928" s="280"/>
      <c r="Y928" s="280"/>
      <c r="Z928" s="280"/>
      <c r="AA928" s="280"/>
      <c r="AB928" s="280"/>
      <c r="AC928" s="280"/>
      <c r="AD928" s="280"/>
      <c r="AG928" s="3"/>
      <c r="AH928" s="3"/>
      <c r="AI928" s="3"/>
      <c r="AJ928" s="3"/>
      <c r="AK928" s="3"/>
      <c r="AL928" s="3"/>
      <c r="AM928" s="3"/>
      <c r="AN928" s="3"/>
      <c r="AO928" s="3"/>
      <c r="AP928" s="11"/>
      <c r="AQ928" s="11"/>
      <c r="AR928" s="3"/>
      <c r="AS928" s="3"/>
      <c r="AT928" s="3"/>
      <c r="AU928" s="3"/>
      <c r="AV928" s="3"/>
      <c r="AW928" s="3"/>
      <c r="AX928" s="11"/>
      <c r="AZ928"/>
      <c r="BA928"/>
      <c r="BB928"/>
      <c r="BC928"/>
    </row>
    <row r="929" spans="1:55" s="282" customFormat="1" x14ac:dyDescent="0.25">
      <c r="A929"/>
      <c r="B929"/>
      <c r="C929" s="3"/>
      <c r="D929"/>
      <c r="E929"/>
      <c r="F929"/>
      <c r="G929" s="3"/>
      <c r="H929" s="3"/>
      <c r="I929" s="3"/>
      <c r="J929" s="288"/>
      <c r="L929" s="288"/>
      <c r="M929" s="288"/>
      <c r="N929" s="288"/>
      <c r="O929" s="288"/>
      <c r="P929" s="288"/>
      <c r="Q929" s="288"/>
      <c r="R929" s="283"/>
      <c r="S929" s="280"/>
      <c r="T929" s="276"/>
      <c r="U929" s="276"/>
      <c r="V929" s="276"/>
      <c r="W929" s="283"/>
      <c r="X929" s="280"/>
      <c r="Y929" s="280"/>
      <c r="Z929" s="280"/>
      <c r="AA929" s="280"/>
      <c r="AB929" s="280"/>
      <c r="AC929" s="280"/>
      <c r="AD929" s="280"/>
      <c r="AG929" s="3"/>
      <c r="AH929" s="3"/>
      <c r="AI929" s="3"/>
      <c r="AJ929" s="3"/>
      <c r="AK929" s="3"/>
      <c r="AL929" s="3"/>
      <c r="AM929" s="3"/>
      <c r="AN929" s="3"/>
      <c r="AO929" s="3"/>
      <c r="AP929" s="11"/>
      <c r="AQ929" s="11"/>
      <c r="AR929" s="3"/>
      <c r="AS929" s="3"/>
      <c r="AT929" s="3"/>
      <c r="AU929" s="3"/>
      <c r="AV929" s="3"/>
      <c r="AW929" s="3"/>
      <c r="AX929" s="11"/>
      <c r="AZ929"/>
      <c r="BA929"/>
      <c r="BB929"/>
      <c r="BC929"/>
    </row>
    <row r="930" spans="1:55" s="282" customFormat="1" x14ac:dyDescent="0.25">
      <c r="A930"/>
      <c r="B930"/>
      <c r="C930" s="3"/>
      <c r="D930"/>
      <c r="E930"/>
      <c r="F930"/>
      <c r="G930" s="3"/>
      <c r="H930" s="3"/>
      <c r="I930" s="3"/>
      <c r="J930" s="288"/>
      <c r="L930" s="288"/>
      <c r="M930" s="288"/>
      <c r="N930" s="288"/>
      <c r="O930" s="288"/>
      <c r="P930" s="288"/>
      <c r="Q930" s="288"/>
      <c r="R930" s="283"/>
      <c r="S930" s="280"/>
      <c r="T930" s="276"/>
      <c r="U930" s="276"/>
      <c r="V930" s="276"/>
      <c r="W930" s="283"/>
      <c r="X930" s="280"/>
      <c r="Y930" s="280"/>
      <c r="Z930" s="280"/>
      <c r="AA930" s="280"/>
      <c r="AB930" s="280"/>
      <c r="AC930" s="280"/>
      <c r="AD930" s="280"/>
      <c r="AG930" s="3"/>
      <c r="AH930" s="3"/>
      <c r="AI930" s="3"/>
      <c r="AJ930" s="3"/>
      <c r="AK930" s="3"/>
      <c r="AL930" s="3"/>
      <c r="AM930" s="3"/>
      <c r="AN930" s="3"/>
      <c r="AO930" s="3"/>
      <c r="AP930" s="11"/>
      <c r="AQ930" s="11"/>
      <c r="AR930" s="3"/>
      <c r="AS930" s="3"/>
      <c r="AT930" s="3"/>
      <c r="AU930" s="3"/>
      <c r="AV930" s="3"/>
      <c r="AW930" s="3"/>
      <c r="AX930" s="11"/>
      <c r="AZ930"/>
      <c r="BA930"/>
      <c r="BB930"/>
      <c r="BC930"/>
    </row>
    <row r="931" spans="1:55" s="282" customFormat="1" x14ac:dyDescent="0.25">
      <c r="A931"/>
      <c r="B931"/>
      <c r="C931" s="3"/>
      <c r="D931"/>
      <c r="E931"/>
      <c r="F931"/>
      <c r="G931" s="3"/>
      <c r="H931" s="3"/>
      <c r="I931" s="3"/>
      <c r="J931" s="288"/>
      <c r="L931" s="288"/>
      <c r="M931" s="288"/>
      <c r="N931" s="288"/>
      <c r="O931" s="288"/>
      <c r="P931" s="288"/>
      <c r="Q931" s="288"/>
      <c r="R931" s="283"/>
      <c r="S931" s="280"/>
      <c r="T931" s="276"/>
      <c r="U931" s="276"/>
      <c r="V931" s="276"/>
      <c r="W931" s="283"/>
      <c r="X931" s="280"/>
      <c r="Y931" s="280"/>
      <c r="Z931" s="280"/>
      <c r="AA931" s="280"/>
      <c r="AB931" s="280"/>
      <c r="AC931" s="280"/>
      <c r="AD931" s="280"/>
      <c r="AG931" s="3"/>
      <c r="AH931" s="3"/>
      <c r="AI931" s="3"/>
      <c r="AJ931" s="3"/>
      <c r="AK931" s="3"/>
      <c r="AL931" s="3"/>
      <c r="AM931" s="3"/>
      <c r="AN931" s="3"/>
      <c r="AO931" s="3"/>
      <c r="AP931" s="11"/>
      <c r="AQ931" s="11"/>
      <c r="AR931" s="3"/>
      <c r="AS931" s="3"/>
      <c r="AT931" s="3"/>
      <c r="AU931" s="3"/>
      <c r="AV931" s="3"/>
      <c r="AW931" s="3"/>
      <c r="AX931" s="11"/>
      <c r="AZ931"/>
      <c r="BA931"/>
      <c r="BB931"/>
      <c r="BC931"/>
    </row>
    <row r="932" spans="1:55" s="282" customFormat="1" x14ac:dyDescent="0.25">
      <c r="A932"/>
      <c r="B932"/>
      <c r="C932" s="3"/>
      <c r="D932"/>
      <c r="E932"/>
      <c r="F932"/>
      <c r="G932" s="3"/>
      <c r="H932" s="3"/>
      <c r="I932" s="3"/>
      <c r="J932" s="288"/>
      <c r="L932" s="288"/>
      <c r="M932" s="288"/>
      <c r="N932" s="288"/>
      <c r="O932" s="288"/>
      <c r="P932" s="288"/>
      <c r="Q932" s="288"/>
      <c r="R932" s="283"/>
      <c r="S932" s="280"/>
      <c r="T932" s="276"/>
      <c r="U932" s="276"/>
      <c r="V932" s="276"/>
      <c r="W932" s="283"/>
      <c r="X932" s="280"/>
      <c r="Y932" s="280"/>
      <c r="Z932" s="280"/>
      <c r="AA932" s="280"/>
      <c r="AB932" s="280"/>
      <c r="AC932" s="280"/>
      <c r="AD932" s="280"/>
      <c r="AG932" s="3"/>
      <c r="AH932" s="3"/>
      <c r="AI932" s="3"/>
      <c r="AJ932" s="3"/>
      <c r="AK932" s="3"/>
      <c r="AL932" s="3"/>
      <c r="AM932" s="3"/>
      <c r="AN932" s="3"/>
      <c r="AO932" s="3"/>
      <c r="AP932" s="11"/>
      <c r="AQ932" s="11"/>
      <c r="AR932" s="3"/>
      <c r="AS932" s="3"/>
      <c r="AT932" s="3"/>
      <c r="AU932" s="3"/>
      <c r="AV932" s="3"/>
      <c r="AW932" s="3"/>
      <c r="AX932" s="11"/>
      <c r="AZ932"/>
      <c r="BA932"/>
      <c r="BB932"/>
      <c r="BC932"/>
    </row>
    <row r="933" spans="1:55" s="282" customFormat="1" x14ac:dyDescent="0.25">
      <c r="A933"/>
      <c r="B933"/>
      <c r="C933" s="3"/>
      <c r="D933"/>
      <c r="E933"/>
      <c r="F933"/>
      <c r="G933" s="3"/>
      <c r="H933" s="3"/>
      <c r="I933" s="3"/>
      <c r="J933" s="288"/>
      <c r="L933" s="288"/>
      <c r="M933" s="288"/>
      <c r="N933" s="288"/>
      <c r="O933" s="288"/>
      <c r="P933" s="288"/>
      <c r="Q933" s="288"/>
      <c r="R933" s="283"/>
      <c r="S933" s="280"/>
      <c r="T933" s="276"/>
      <c r="U933" s="276"/>
      <c r="V933" s="276"/>
      <c r="W933" s="283"/>
      <c r="X933" s="280"/>
      <c r="Y933" s="280"/>
      <c r="Z933" s="280"/>
      <c r="AA933" s="280"/>
      <c r="AB933" s="280"/>
      <c r="AC933" s="280"/>
      <c r="AD933" s="280"/>
      <c r="AG933" s="3"/>
      <c r="AH933" s="3"/>
      <c r="AI933" s="3"/>
      <c r="AJ933" s="3"/>
      <c r="AK933" s="3"/>
      <c r="AL933" s="3"/>
      <c r="AM933" s="3"/>
      <c r="AN933" s="3"/>
      <c r="AO933" s="3"/>
      <c r="AP933" s="11"/>
      <c r="AQ933" s="11"/>
      <c r="AR933" s="3"/>
      <c r="AS933" s="3"/>
      <c r="AT933" s="3"/>
      <c r="AU933" s="3"/>
      <c r="AV933" s="3"/>
      <c r="AW933" s="3"/>
      <c r="AX933" s="11"/>
      <c r="AZ933"/>
      <c r="BA933"/>
      <c r="BB933"/>
      <c r="BC933"/>
    </row>
    <row r="934" spans="1:55" s="282" customFormat="1" x14ac:dyDescent="0.25">
      <c r="A934"/>
      <c r="B934"/>
      <c r="C934" s="3"/>
      <c r="D934"/>
      <c r="E934"/>
      <c r="F934"/>
      <c r="G934" s="3"/>
      <c r="H934" s="3"/>
      <c r="I934" s="3"/>
      <c r="J934" s="288"/>
      <c r="L934" s="288"/>
      <c r="M934" s="288"/>
      <c r="N934" s="288"/>
      <c r="O934" s="288"/>
      <c r="P934" s="288"/>
      <c r="Q934" s="288"/>
      <c r="R934" s="283"/>
      <c r="S934" s="280"/>
      <c r="T934" s="276"/>
      <c r="U934" s="276"/>
      <c r="V934" s="276"/>
      <c r="W934" s="283"/>
      <c r="X934" s="280"/>
      <c r="Y934" s="280"/>
      <c r="Z934" s="280"/>
      <c r="AA934" s="280"/>
      <c r="AB934" s="280"/>
      <c r="AC934" s="280"/>
      <c r="AD934" s="280"/>
      <c r="AG934" s="3"/>
      <c r="AH934" s="3"/>
      <c r="AI934" s="3"/>
      <c r="AJ934" s="3"/>
      <c r="AK934" s="3"/>
      <c r="AL934" s="3"/>
      <c r="AM934" s="3"/>
      <c r="AN934" s="3"/>
      <c r="AO934" s="3"/>
      <c r="AP934" s="11"/>
      <c r="AQ934" s="11"/>
      <c r="AR934" s="3"/>
      <c r="AS934" s="3"/>
      <c r="AT934" s="3"/>
      <c r="AU934" s="3"/>
      <c r="AV934" s="3"/>
      <c r="AW934" s="3"/>
      <c r="AX934" s="11"/>
      <c r="AZ934"/>
      <c r="BA934"/>
      <c r="BB934"/>
      <c r="BC934"/>
    </row>
    <row r="935" spans="1:55" s="282" customFormat="1" x14ac:dyDescent="0.25">
      <c r="A935"/>
      <c r="B935"/>
      <c r="C935" s="3"/>
      <c r="D935"/>
      <c r="E935"/>
      <c r="F935"/>
      <c r="G935" s="3"/>
      <c r="H935" s="3"/>
      <c r="I935" s="3"/>
      <c r="J935" s="288"/>
      <c r="L935" s="288"/>
      <c r="M935" s="288"/>
      <c r="N935" s="288"/>
      <c r="O935" s="288"/>
      <c r="P935" s="288"/>
      <c r="Q935" s="288"/>
      <c r="R935" s="283"/>
      <c r="S935" s="280"/>
      <c r="T935" s="276"/>
      <c r="U935" s="276"/>
      <c r="V935" s="276"/>
      <c r="W935" s="283"/>
      <c r="X935" s="280"/>
      <c r="Y935" s="280"/>
      <c r="Z935" s="280"/>
      <c r="AA935" s="280"/>
      <c r="AB935" s="280"/>
      <c r="AC935" s="280"/>
      <c r="AD935" s="280"/>
      <c r="AG935" s="3"/>
      <c r="AH935" s="3"/>
      <c r="AI935" s="3"/>
      <c r="AJ935" s="3"/>
      <c r="AK935" s="3"/>
      <c r="AL935" s="3"/>
      <c r="AM935" s="3"/>
      <c r="AN935" s="3"/>
      <c r="AO935" s="3"/>
      <c r="AP935" s="11"/>
      <c r="AQ935" s="11"/>
      <c r="AR935" s="3"/>
      <c r="AS935" s="3"/>
      <c r="AT935" s="3"/>
      <c r="AU935" s="3"/>
      <c r="AV935" s="3"/>
      <c r="AW935" s="3"/>
      <c r="AX935" s="11"/>
      <c r="AZ935"/>
      <c r="BA935"/>
      <c r="BB935"/>
      <c r="BC935"/>
    </row>
    <row r="936" spans="1:55" s="282" customFormat="1" x14ac:dyDescent="0.25">
      <c r="A936"/>
      <c r="B936"/>
      <c r="C936" s="3"/>
      <c r="D936"/>
      <c r="E936"/>
      <c r="F936"/>
      <c r="G936" s="3"/>
      <c r="H936" s="3"/>
      <c r="I936" s="3"/>
      <c r="J936" s="288"/>
      <c r="L936" s="288"/>
      <c r="M936" s="288"/>
      <c r="N936" s="288"/>
      <c r="O936" s="288"/>
      <c r="P936" s="288"/>
      <c r="Q936" s="288"/>
      <c r="R936" s="283"/>
      <c r="S936" s="280"/>
      <c r="T936" s="276"/>
      <c r="U936" s="276"/>
      <c r="V936" s="276"/>
      <c r="W936" s="283"/>
      <c r="X936" s="280"/>
      <c r="Y936" s="280"/>
      <c r="Z936" s="280"/>
      <c r="AA936" s="280"/>
      <c r="AB936" s="280"/>
      <c r="AC936" s="280"/>
      <c r="AD936" s="280"/>
      <c r="AG936" s="3"/>
      <c r="AH936" s="3"/>
      <c r="AI936" s="3"/>
      <c r="AJ936" s="3"/>
      <c r="AK936" s="3"/>
      <c r="AL936" s="3"/>
      <c r="AM936" s="3"/>
      <c r="AN936" s="3"/>
      <c r="AO936" s="3"/>
      <c r="AP936" s="11"/>
      <c r="AQ936" s="11"/>
      <c r="AR936" s="3"/>
      <c r="AS936" s="3"/>
      <c r="AT936" s="3"/>
      <c r="AU936" s="3"/>
      <c r="AV936" s="3"/>
      <c r="AW936" s="3"/>
      <c r="AX936" s="11"/>
      <c r="AZ936"/>
      <c r="BA936"/>
      <c r="BB936"/>
      <c r="BC936"/>
    </row>
    <row r="937" spans="1:55" s="282" customFormat="1" x14ac:dyDescent="0.25">
      <c r="A937"/>
      <c r="B937"/>
      <c r="C937" s="3"/>
      <c r="D937"/>
      <c r="E937"/>
      <c r="F937"/>
      <c r="G937" s="3"/>
      <c r="H937" s="3"/>
      <c r="I937" s="3"/>
      <c r="J937" s="288"/>
      <c r="L937" s="288"/>
      <c r="M937" s="288"/>
      <c r="N937" s="288"/>
      <c r="O937" s="288"/>
      <c r="P937" s="288"/>
      <c r="Q937" s="288"/>
      <c r="R937" s="283"/>
      <c r="S937" s="280"/>
      <c r="T937" s="276"/>
      <c r="U937" s="276"/>
      <c r="V937" s="276"/>
      <c r="W937" s="283"/>
      <c r="X937" s="280"/>
      <c r="Y937" s="280"/>
      <c r="Z937" s="280"/>
      <c r="AA937" s="280"/>
      <c r="AB937" s="280"/>
      <c r="AC937" s="280"/>
      <c r="AD937" s="280"/>
      <c r="AG937" s="3"/>
      <c r="AH937" s="3"/>
      <c r="AI937" s="3"/>
      <c r="AJ937" s="3"/>
      <c r="AK937" s="3"/>
      <c r="AL937" s="3"/>
      <c r="AM937" s="3"/>
      <c r="AN937" s="3"/>
      <c r="AO937" s="3"/>
      <c r="AP937" s="11"/>
      <c r="AQ937" s="11"/>
      <c r="AR937" s="3"/>
      <c r="AS937" s="3"/>
      <c r="AT937" s="3"/>
      <c r="AU937" s="3"/>
      <c r="AV937" s="3"/>
      <c r="AW937" s="3"/>
      <c r="AX937" s="11"/>
      <c r="AZ937"/>
      <c r="BA937"/>
      <c r="BB937"/>
      <c r="BC937"/>
    </row>
    <row r="938" spans="1:55" s="282" customFormat="1" x14ac:dyDescent="0.25">
      <c r="A938"/>
      <c r="B938"/>
      <c r="C938" s="3"/>
      <c r="D938"/>
      <c r="E938"/>
      <c r="F938"/>
      <c r="G938" s="3"/>
      <c r="H938" s="3"/>
      <c r="I938" s="3"/>
      <c r="J938" s="288"/>
      <c r="L938" s="288"/>
      <c r="M938" s="288"/>
      <c r="N938" s="288"/>
      <c r="O938" s="288"/>
      <c r="P938" s="288"/>
      <c r="Q938" s="288"/>
      <c r="R938" s="283"/>
      <c r="S938" s="280"/>
      <c r="T938" s="276"/>
      <c r="U938" s="276"/>
      <c r="V938" s="276"/>
      <c r="W938" s="283"/>
      <c r="X938" s="280"/>
      <c r="Y938" s="280"/>
      <c r="Z938" s="280"/>
      <c r="AA938" s="280"/>
      <c r="AB938" s="280"/>
      <c r="AC938" s="280"/>
      <c r="AD938" s="280"/>
      <c r="AG938" s="3"/>
      <c r="AH938" s="3"/>
      <c r="AI938" s="3"/>
      <c r="AJ938" s="3"/>
      <c r="AK938" s="3"/>
      <c r="AL938" s="3"/>
      <c r="AM938" s="3"/>
      <c r="AN938" s="3"/>
      <c r="AO938" s="3"/>
      <c r="AP938" s="11"/>
      <c r="AQ938" s="11"/>
      <c r="AR938" s="3"/>
      <c r="AS938" s="3"/>
      <c r="AT938" s="3"/>
      <c r="AU938" s="3"/>
      <c r="AV938" s="3"/>
      <c r="AW938" s="3"/>
      <c r="AX938" s="11"/>
      <c r="AZ938"/>
      <c r="BA938"/>
      <c r="BB938"/>
      <c r="BC938"/>
    </row>
    <row r="939" spans="1:55" s="282" customFormat="1" x14ac:dyDescent="0.25">
      <c r="A939"/>
      <c r="B939"/>
      <c r="C939" s="3"/>
      <c r="D939"/>
      <c r="E939"/>
      <c r="F939"/>
      <c r="G939" s="3"/>
      <c r="H939" s="3"/>
      <c r="I939" s="3"/>
      <c r="J939" s="288"/>
      <c r="L939" s="288"/>
      <c r="M939" s="288"/>
      <c r="N939" s="288"/>
      <c r="O939" s="288"/>
      <c r="P939" s="288"/>
      <c r="Q939" s="288"/>
      <c r="R939" s="283"/>
      <c r="S939" s="280"/>
      <c r="T939" s="276"/>
      <c r="U939" s="276"/>
      <c r="V939" s="276"/>
      <c r="W939" s="283"/>
      <c r="X939" s="280"/>
      <c r="Y939" s="280"/>
      <c r="Z939" s="280"/>
      <c r="AA939" s="280"/>
      <c r="AB939" s="280"/>
      <c r="AC939" s="280"/>
      <c r="AD939" s="280"/>
      <c r="AG939" s="3"/>
      <c r="AH939" s="3"/>
      <c r="AI939" s="3"/>
      <c r="AJ939" s="3"/>
      <c r="AK939" s="3"/>
      <c r="AL939" s="3"/>
      <c r="AM939" s="3"/>
      <c r="AN939" s="3"/>
      <c r="AO939" s="3"/>
      <c r="AP939" s="11"/>
      <c r="AQ939" s="11"/>
      <c r="AR939" s="3"/>
      <c r="AS939" s="3"/>
      <c r="AT939" s="3"/>
      <c r="AU939" s="3"/>
      <c r="AV939" s="3"/>
      <c r="AW939" s="3"/>
      <c r="AX939" s="11"/>
      <c r="AZ939"/>
      <c r="BA939"/>
      <c r="BB939"/>
      <c r="BC939"/>
    </row>
    <row r="940" spans="1:55" s="282" customFormat="1" x14ac:dyDescent="0.25">
      <c r="A940"/>
      <c r="B940"/>
      <c r="C940" s="3"/>
      <c r="D940"/>
      <c r="E940"/>
      <c r="F940"/>
      <c r="G940" s="3"/>
      <c r="H940" s="3"/>
      <c r="I940" s="3"/>
      <c r="J940" s="288"/>
      <c r="L940" s="288"/>
      <c r="M940" s="288"/>
      <c r="N940" s="288"/>
      <c r="O940" s="288"/>
      <c r="P940" s="288"/>
      <c r="Q940" s="288"/>
      <c r="R940" s="283"/>
      <c r="S940" s="280"/>
      <c r="T940" s="276"/>
      <c r="U940" s="276"/>
      <c r="V940" s="276"/>
      <c r="W940" s="283"/>
      <c r="X940" s="280"/>
      <c r="Y940" s="280"/>
      <c r="Z940" s="280"/>
      <c r="AA940" s="280"/>
      <c r="AB940" s="280"/>
      <c r="AC940" s="280"/>
      <c r="AD940" s="280"/>
      <c r="AG940" s="3"/>
      <c r="AH940" s="3"/>
      <c r="AI940" s="3"/>
      <c r="AJ940" s="3"/>
      <c r="AK940" s="3"/>
      <c r="AL940" s="3"/>
      <c r="AM940" s="3"/>
      <c r="AN940" s="3"/>
      <c r="AO940" s="3"/>
      <c r="AP940" s="11"/>
      <c r="AQ940" s="11"/>
      <c r="AR940" s="3"/>
      <c r="AS940" s="3"/>
      <c r="AT940" s="3"/>
      <c r="AU940" s="3"/>
      <c r="AV940" s="3"/>
      <c r="AW940" s="3"/>
      <c r="AX940" s="11"/>
      <c r="AZ940"/>
      <c r="BA940"/>
      <c r="BB940"/>
      <c r="BC940"/>
    </row>
    <row r="941" spans="1:55" s="282" customFormat="1" x14ac:dyDescent="0.25">
      <c r="A941"/>
      <c r="B941"/>
      <c r="C941" s="3"/>
      <c r="D941"/>
      <c r="E941"/>
      <c r="F941"/>
      <c r="G941" s="3"/>
      <c r="H941" s="3"/>
      <c r="I941" s="3"/>
      <c r="J941" s="288"/>
      <c r="L941" s="288"/>
      <c r="M941" s="288"/>
      <c r="N941" s="288"/>
      <c r="O941" s="288"/>
      <c r="P941" s="288"/>
      <c r="Q941" s="288"/>
      <c r="R941" s="283"/>
      <c r="S941" s="280"/>
      <c r="T941" s="276"/>
      <c r="U941" s="276"/>
      <c r="V941" s="276"/>
      <c r="W941" s="283"/>
      <c r="X941" s="280"/>
      <c r="Y941" s="280"/>
      <c r="Z941" s="280"/>
      <c r="AA941" s="280"/>
      <c r="AB941" s="280"/>
      <c r="AC941" s="280"/>
      <c r="AD941" s="280"/>
      <c r="AG941" s="3"/>
      <c r="AH941" s="3"/>
      <c r="AI941" s="3"/>
      <c r="AJ941" s="3"/>
      <c r="AK941" s="3"/>
      <c r="AL941" s="3"/>
      <c r="AM941" s="3"/>
      <c r="AN941" s="3"/>
      <c r="AO941" s="3"/>
      <c r="AP941" s="11"/>
      <c r="AQ941" s="11"/>
      <c r="AR941" s="3"/>
      <c r="AS941" s="3"/>
      <c r="AT941" s="3"/>
      <c r="AU941" s="3"/>
      <c r="AV941" s="3"/>
      <c r="AW941" s="3"/>
      <c r="AX941" s="11"/>
      <c r="AZ941"/>
      <c r="BA941"/>
      <c r="BB941"/>
      <c r="BC941"/>
    </row>
    <row r="942" spans="1:55" s="282" customFormat="1" x14ac:dyDescent="0.25">
      <c r="A942"/>
      <c r="B942"/>
      <c r="C942" s="3"/>
      <c r="D942"/>
      <c r="E942"/>
      <c r="F942"/>
      <c r="G942" s="3"/>
      <c r="H942" s="3"/>
      <c r="I942" s="3"/>
      <c r="J942" s="288"/>
      <c r="L942" s="288"/>
      <c r="M942" s="288"/>
      <c r="N942" s="288"/>
      <c r="O942" s="288"/>
      <c r="P942" s="288"/>
      <c r="Q942" s="288"/>
      <c r="R942" s="283"/>
      <c r="S942" s="280"/>
      <c r="T942" s="276"/>
      <c r="U942" s="276"/>
      <c r="V942" s="276"/>
      <c r="W942" s="283"/>
      <c r="X942" s="280"/>
      <c r="Y942" s="280"/>
      <c r="Z942" s="280"/>
      <c r="AA942" s="280"/>
      <c r="AB942" s="280"/>
      <c r="AC942" s="280"/>
      <c r="AD942" s="280"/>
      <c r="AG942" s="3"/>
      <c r="AH942" s="3"/>
      <c r="AI942" s="3"/>
      <c r="AJ942" s="3"/>
      <c r="AK942" s="3"/>
      <c r="AL942" s="3"/>
      <c r="AM942" s="3"/>
      <c r="AN942" s="3"/>
      <c r="AO942" s="3"/>
      <c r="AP942" s="11"/>
      <c r="AQ942" s="11"/>
      <c r="AR942" s="3"/>
      <c r="AS942" s="3"/>
      <c r="AT942" s="3"/>
      <c r="AU942" s="3"/>
      <c r="AV942" s="3"/>
      <c r="AW942" s="3"/>
      <c r="AX942" s="11"/>
      <c r="AZ942"/>
      <c r="BA942"/>
      <c r="BB942"/>
      <c r="BC942"/>
    </row>
    <row r="943" spans="1:55" s="282" customFormat="1" x14ac:dyDescent="0.25">
      <c r="A943"/>
      <c r="B943"/>
      <c r="C943" s="3"/>
      <c r="D943"/>
      <c r="E943"/>
      <c r="F943"/>
      <c r="G943" s="3"/>
      <c r="H943" s="3"/>
      <c r="I943" s="3"/>
      <c r="J943" s="288"/>
      <c r="L943" s="288"/>
      <c r="M943" s="288"/>
      <c r="N943" s="288"/>
      <c r="O943" s="288"/>
      <c r="P943" s="288"/>
      <c r="Q943" s="288"/>
      <c r="R943" s="283"/>
      <c r="S943" s="280"/>
      <c r="T943" s="276"/>
      <c r="U943" s="276"/>
      <c r="V943" s="276"/>
      <c r="W943" s="283"/>
      <c r="X943" s="280"/>
      <c r="Y943" s="280"/>
      <c r="Z943" s="280"/>
      <c r="AA943" s="280"/>
      <c r="AB943" s="280"/>
      <c r="AC943" s="280"/>
      <c r="AD943" s="280"/>
      <c r="AG943" s="3"/>
      <c r="AH943" s="3"/>
      <c r="AI943" s="3"/>
      <c r="AJ943" s="3"/>
      <c r="AK943" s="3"/>
      <c r="AL943" s="3"/>
      <c r="AM943" s="3"/>
      <c r="AN943" s="3"/>
      <c r="AO943" s="3"/>
      <c r="AP943" s="11"/>
      <c r="AQ943" s="11"/>
      <c r="AR943" s="3"/>
      <c r="AS943" s="3"/>
      <c r="AT943" s="3"/>
      <c r="AU943" s="3"/>
      <c r="AV943" s="3"/>
      <c r="AW943" s="3"/>
      <c r="AX943" s="11"/>
      <c r="AZ943"/>
      <c r="BA943"/>
      <c r="BB943"/>
      <c r="BC943"/>
    </row>
    <row r="944" spans="1:55" s="282" customFormat="1" x14ac:dyDescent="0.25">
      <c r="A944"/>
      <c r="B944"/>
      <c r="C944" s="3"/>
      <c r="D944"/>
      <c r="E944"/>
      <c r="F944"/>
      <c r="G944" s="3"/>
      <c r="H944" s="3"/>
      <c r="I944" s="3"/>
      <c r="J944" s="288"/>
      <c r="L944" s="288"/>
      <c r="M944" s="288"/>
      <c r="N944" s="288"/>
      <c r="O944" s="288"/>
      <c r="P944" s="288"/>
      <c r="Q944" s="288"/>
      <c r="R944" s="283"/>
      <c r="S944" s="280"/>
      <c r="T944" s="276"/>
      <c r="U944" s="276"/>
      <c r="V944" s="276"/>
      <c r="W944" s="283"/>
      <c r="X944" s="280"/>
      <c r="Y944" s="280"/>
      <c r="Z944" s="280"/>
      <c r="AA944" s="280"/>
      <c r="AB944" s="280"/>
      <c r="AC944" s="280"/>
      <c r="AD944" s="280"/>
      <c r="AG944" s="3"/>
      <c r="AH944" s="3"/>
      <c r="AI944" s="3"/>
      <c r="AJ944" s="3"/>
      <c r="AK944" s="3"/>
      <c r="AL944" s="3"/>
      <c r="AM944" s="3"/>
      <c r="AN944" s="3"/>
      <c r="AO944" s="3"/>
      <c r="AP944" s="11"/>
      <c r="AQ944" s="11"/>
      <c r="AR944" s="3"/>
      <c r="AS944" s="3"/>
      <c r="AT944" s="3"/>
      <c r="AU944" s="3"/>
      <c r="AV944" s="3"/>
      <c r="AW944" s="3"/>
      <c r="AX944" s="11"/>
      <c r="AZ944"/>
      <c r="BA944"/>
      <c r="BB944"/>
      <c r="BC944"/>
    </row>
    <row r="945" spans="1:55" s="282" customFormat="1" x14ac:dyDescent="0.25">
      <c r="A945"/>
      <c r="B945"/>
      <c r="C945" s="3"/>
      <c r="D945"/>
      <c r="E945"/>
      <c r="F945"/>
      <c r="G945" s="3"/>
      <c r="H945" s="3"/>
      <c r="I945" s="3"/>
      <c r="J945" s="288"/>
      <c r="L945" s="288"/>
      <c r="M945" s="288"/>
      <c r="N945" s="288"/>
      <c r="O945" s="288"/>
      <c r="P945" s="288"/>
      <c r="Q945" s="288"/>
      <c r="R945" s="283"/>
      <c r="S945" s="280"/>
      <c r="T945" s="276"/>
      <c r="U945" s="276"/>
      <c r="V945" s="276"/>
      <c r="W945" s="283"/>
      <c r="X945" s="280"/>
      <c r="Y945" s="280"/>
      <c r="Z945" s="280"/>
      <c r="AA945" s="280"/>
      <c r="AB945" s="280"/>
      <c r="AC945" s="280"/>
      <c r="AD945" s="280"/>
      <c r="AG945" s="3"/>
      <c r="AH945" s="3"/>
      <c r="AI945" s="3"/>
      <c r="AJ945" s="3"/>
      <c r="AK945" s="3"/>
      <c r="AL945" s="3"/>
      <c r="AM945" s="3"/>
      <c r="AN945" s="3"/>
      <c r="AO945" s="3"/>
      <c r="AP945" s="11"/>
      <c r="AQ945" s="11"/>
      <c r="AR945" s="3"/>
      <c r="AS945" s="3"/>
      <c r="AT945" s="3"/>
      <c r="AU945" s="3"/>
      <c r="AV945" s="3"/>
      <c r="AW945" s="3"/>
      <c r="AX945" s="11"/>
      <c r="AZ945"/>
      <c r="BA945"/>
      <c r="BB945"/>
      <c r="BC945"/>
    </row>
    <row r="946" spans="1:55" s="282" customFormat="1" x14ac:dyDescent="0.25">
      <c r="A946"/>
      <c r="B946"/>
      <c r="C946" s="3"/>
      <c r="D946"/>
      <c r="E946"/>
      <c r="F946"/>
      <c r="G946" s="3"/>
      <c r="H946" s="3"/>
      <c r="I946" s="3"/>
      <c r="J946" s="288"/>
      <c r="L946" s="288"/>
      <c r="M946" s="288"/>
      <c r="N946" s="288"/>
      <c r="O946" s="288"/>
      <c r="P946" s="288"/>
      <c r="Q946" s="288"/>
      <c r="R946" s="283"/>
      <c r="S946" s="280"/>
      <c r="T946" s="276"/>
      <c r="U946" s="276"/>
      <c r="V946" s="276"/>
      <c r="W946" s="283"/>
      <c r="X946" s="280"/>
      <c r="Y946" s="280"/>
      <c r="Z946" s="280"/>
      <c r="AA946" s="280"/>
      <c r="AB946" s="280"/>
      <c r="AC946" s="280"/>
      <c r="AD946" s="280"/>
      <c r="AG946" s="3"/>
      <c r="AH946" s="3"/>
      <c r="AI946" s="3"/>
      <c r="AJ946" s="3"/>
      <c r="AK946" s="3"/>
      <c r="AL946" s="3"/>
      <c r="AM946" s="3"/>
      <c r="AN946" s="3"/>
      <c r="AO946" s="3"/>
      <c r="AP946" s="11"/>
      <c r="AQ946" s="11"/>
      <c r="AR946" s="3"/>
      <c r="AS946" s="3"/>
      <c r="AT946" s="3"/>
      <c r="AU946" s="3"/>
      <c r="AV946" s="3"/>
      <c r="AW946" s="3"/>
      <c r="AX946" s="11"/>
      <c r="AZ946"/>
      <c r="BA946"/>
      <c r="BB946"/>
      <c r="BC946"/>
    </row>
    <row r="947" spans="1:55" s="282" customFormat="1" x14ac:dyDescent="0.25">
      <c r="A947"/>
      <c r="B947"/>
      <c r="C947" s="3"/>
      <c r="D947"/>
      <c r="E947"/>
      <c r="F947"/>
      <c r="G947" s="3"/>
      <c r="H947" s="3"/>
      <c r="I947" s="3"/>
      <c r="J947" s="288"/>
      <c r="L947" s="288"/>
      <c r="M947" s="288"/>
      <c r="N947" s="288"/>
      <c r="O947" s="288"/>
      <c r="P947" s="288"/>
      <c r="Q947" s="288"/>
      <c r="R947" s="283"/>
      <c r="S947" s="280"/>
      <c r="T947" s="276"/>
      <c r="U947" s="276"/>
      <c r="V947" s="276"/>
      <c r="W947" s="283"/>
      <c r="X947" s="280"/>
      <c r="Y947" s="280"/>
      <c r="Z947" s="280"/>
      <c r="AA947" s="280"/>
      <c r="AB947" s="280"/>
      <c r="AC947" s="280"/>
      <c r="AD947" s="280"/>
      <c r="AG947" s="3"/>
      <c r="AH947" s="3"/>
      <c r="AI947" s="3"/>
      <c r="AJ947" s="3"/>
      <c r="AK947" s="3"/>
      <c r="AL947" s="3"/>
      <c r="AM947" s="3"/>
      <c r="AN947" s="3"/>
      <c r="AO947" s="3"/>
      <c r="AP947" s="11"/>
      <c r="AQ947" s="11"/>
      <c r="AR947" s="3"/>
      <c r="AS947" s="3"/>
      <c r="AT947" s="3"/>
      <c r="AU947" s="3"/>
      <c r="AV947" s="3"/>
      <c r="AW947" s="3"/>
      <c r="AX947" s="11"/>
      <c r="AZ947"/>
      <c r="BA947"/>
      <c r="BB947"/>
      <c r="BC947"/>
    </row>
    <row r="948" spans="1:55" s="282" customFormat="1" x14ac:dyDescent="0.25">
      <c r="A948"/>
      <c r="B948"/>
      <c r="C948" s="3"/>
      <c r="D948"/>
      <c r="E948"/>
      <c r="F948"/>
      <c r="G948" s="3"/>
      <c r="H948" s="3"/>
      <c r="I948" s="3"/>
      <c r="J948" s="288"/>
      <c r="L948" s="288"/>
      <c r="M948" s="288"/>
      <c r="N948" s="288"/>
      <c r="O948" s="288"/>
      <c r="P948" s="288"/>
      <c r="Q948" s="288"/>
      <c r="R948" s="283"/>
      <c r="S948" s="280"/>
      <c r="T948" s="276"/>
      <c r="U948" s="276"/>
      <c r="V948" s="276"/>
      <c r="W948" s="283"/>
      <c r="X948" s="280"/>
      <c r="Y948" s="280"/>
      <c r="Z948" s="280"/>
      <c r="AA948" s="280"/>
      <c r="AB948" s="280"/>
      <c r="AC948" s="280"/>
      <c r="AD948" s="280"/>
      <c r="AG948" s="3"/>
      <c r="AH948" s="3"/>
      <c r="AI948" s="3"/>
      <c r="AJ948" s="3"/>
      <c r="AK948" s="3"/>
      <c r="AL948" s="3"/>
      <c r="AM948" s="3"/>
      <c r="AN948" s="3"/>
      <c r="AO948" s="3"/>
      <c r="AP948" s="11"/>
      <c r="AQ948" s="11"/>
      <c r="AR948" s="3"/>
      <c r="AS948" s="3"/>
      <c r="AT948" s="3"/>
      <c r="AU948" s="3"/>
      <c r="AV948" s="3"/>
      <c r="AW948" s="3"/>
      <c r="AX948" s="11"/>
      <c r="AZ948"/>
      <c r="BA948"/>
      <c r="BB948"/>
      <c r="BC948"/>
    </row>
    <row r="949" spans="1:55" s="282" customFormat="1" x14ac:dyDescent="0.25">
      <c r="A949"/>
      <c r="B949"/>
      <c r="C949" s="3"/>
      <c r="D949"/>
      <c r="E949"/>
      <c r="F949"/>
      <c r="G949" s="3"/>
      <c r="H949" s="3"/>
      <c r="I949" s="3"/>
      <c r="J949" s="288"/>
      <c r="L949" s="288"/>
      <c r="M949" s="288"/>
      <c r="N949" s="288"/>
      <c r="O949" s="288"/>
      <c r="P949" s="288"/>
      <c r="Q949" s="288"/>
      <c r="R949" s="283"/>
      <c r="S949" s="280"/>
      <c r="T949" s="276"/>
      <c r="U949" s="276"/>
      <c r="V949" s="276"/>
      <c r="W949" s="283"/>
      <c r="X949" s="280"/>
      <c r="Y949" s="280"/>
      <c r="Z949" s="280"/>
      <c r="AA949" s="280"/>
      <c r="AB949" s="280"/>
      <c r="AC949" s="280"/>
      <c r="AD949" s="280"/>
      <c r="AG949" s="3"/>
      <c r="AH949" s="3"/>
      <c r="AI949" s="3"/>
      <c r="AJ949" s="3"/>
      <c r="AK949" s="3"/>
      <c r="AL949" s="3"/>
      <c r="AM949" s="3"/>
      <c r="AN949" s="3"/>
      <c r="AO949" s="3"/>
      <c r="AP949" s="11"/>
      <c r="AQ949" s="11"/>
      <c r="AR949" s="3"/>
      <c r="AS949" s="3"/>
      <c r="AT949" s="3"/>
      <c r="AU949" s="3"/>
      <c r="AV949" s="3"/>
      <c r="AW949" s="3"/>
      <c r="AX949" s="11"/>
      <c r="AZ949"/>
      <c r="BA949"/>
      <c r="BB949"/>
      <c r="BC949"/>
    </row>
    <row r="950" spans="1:55" s="282" customFormat="1" x14ac:dyDescent="0.25">
      <c r="A950"/>
      <c r="B950"/>
      <c r="C950" s="3"/>
      <c r="D950"/>
      <c r="E950"/>
      <c r="F950"/>
      <c r="G950" s="3"/>
      <c r="H950" s="3"/>
      <c r="I950" s="3"/>
      <c r="J950" s="288"/>
      <c r="L950" s="288"/>
      <c r="M950" s="288"/>
      <c r="N950" s="288"/>
      <c r="O950" s="288"/>
      <c r="P950" s="288"/>
      <c r="Q950" s="288"/>
      <c r="R950" s="283"/>
      <c r="S950" s="280"/>
      <c r="T950" s="276"/>
      <c r="U950" s="276"/>
      <c r="V950" s="276"/>
      <c r="W950" s="283"/>
      <c r="X950" s="280"/>
      <c r="Y950" s="280"/>
      <c r="Z950" s="280"/>
      <c r="AA950" s="280"/>
      <c r="AB950" s="280"/>
      <c r="AC950" s="280"/>
      <c r="AD950" s="280"/>
      <c r="AG950" s="3"/>
      <c r="AH950" s="3"/>
      <c r="AI950" s="3"/>
      <c r="AJ950" s="3"/>
      <c r="AK950" s="3"/>
      <c r="AL950" s="3"/>
      <c r="AM950" s="3"/>
      <c r="AN950" s="3"/>
      <c r="AO950" s="3"/>
      <c r="AP950" s="11"/>
      <c r="AQ950" s="11"/>
      <c r="AR950" s="3"/>
      <c r="AS950" s="3"/>
      <c r="AT950" s="3"/>
      <c r="AU950" s="3"/>
      <c r="AV950" s="3"/>
      <c r="AW950" s="3"/>
      <c r="AX950" s="11"/>
      <c r="AZ950"/>
      <c r="BA950"/>
      <c r="BB950"/>
      <c r="BC950"/>
    </row>
    <row r="951" spans="1:55" s="282" customFormat="1" x14ac:dyDescent="0.25">
      <c r="A951"/>
      <c r="B951"/>
      <c r="C951" s="3"/>
      <c r="D951"/>
      <c r="E951"/>
      <c r="F951"/>
      <c r="G951" s="3"/>
      <c r="H951" s="3"/>
      <c r="I951" s="3"/>
      <c r="J951" s="288"/>
      <c r="L951" s="288"/>
      <c r="M951" s="288"/>
      <c r="N951" s="288"/>
      <c r="O951" s="288"/>
      <c r="P951" s="288"/>
      <c r="Q951" s="288"/>
      <c r="R951" s="283"/>
      <c r="S951" s="280"/>
      <c r="T951" s="276"/>
      <c r="U951" s="276"/>
      <c r="V951" s="276"/>
      <c r="W951" s="283"/>
      <c r="X951" s="280"/>
      <c r="Y951" s="280"/>
      <c r="Z951" s="280"/>
      <c r="AA951" s="280"/>
      <c r="AB951" s="280"/>
      <c r="AC951" s="280"/>
      <c r="AD951" s="280"/>
      <c r="AG951" s="3"/>
      <c r="AH951" s="3"/>
      <c r="AI951" s="3"/>
      <c r="AJ951" s="3"/>
      <c r="AK951" s="3"/>
      <c r="AL951" s="3"/>
      <c r="AM951" s="3"/>
      <c r="AN951" s="3"/>
      <c r="AO951" s="3"/>
      <c r="AP951" s="11"/>
      <c r="AQ951" s="11"/>
      <c r="AR951" s="3"/>
      <c r="AS951" s="3"/>
      <c r="AT951" s="3"/>
      <c r="AU951" s="3"/>
      <c r="AV951" s="3"/>
      <c r="AW951" s="3"/>
      <c r="AX951" s="11"/>
      <c r="AZ951"/>
      <c r="BA951"/>
      <c r="BB951"/>
      <c r="BC951"/>
    </row>
    <row r="952" spans="1:55" s="282" customFormat="1" x14ac:dyDescent="0.25">
      <c r="A952"/>
      <c r="B952"/>
      <c r="C952" s="3"/>
      <c r="D952"/>
      <c r="E952"/>
      <c r="F952"/>
      <c r="G952" s="3"/>
      <c r="H952" s="3"/>
      <c r="I952" s="3"/>
      <c r="J952" s="288"/>
      <c r="L952" s="288"/>
      <c r="M952" s="288"/>
      <c r="N952" s="288"/>
      <c r="O952" s="288"/>
      <c r="P952" s="288"/>
      <c r="Q952" s="288"/>
      <c r="R952" s="283"/>
      <c r="S952" s="280"/>
      <c r="T952" s="276"/>
      <c r="U952" s="276"/>
      <c r="V952" s="276"/>
      <c r="W952" s="283"/>
      <c r="X952" s="280"/>
      <c r="Y952" s="280"/>
      <c r="Z952" s="280"/>
      <c r="AA952" s="280"/>
      <c r="AB952" s="280"/>
      <c r="AC952" s="280"/>
      <c r="AD952" s="280"/>
      <c r="AG952" s="3"/>
      <c r="AH952" s="3"/>
      <c r="AI952" s="3"/>
      <c r="AJ952" s="3"/>
      <c r="AK952" s="3"/>
      <c r="AL952" s="3"/>
      <c r="AM952" s="3"/>
      <c r="AN952" s="3"/>
      <c r="AO952" s="3"/>
      <c r="AP952" s="11"/>
      <c r="AQ952" s="11"/>
      <c r="AR952" s="3"/>
      <c r="AS952" s="3"/>
      <c r="AT952" s="3"/>
      <c r="AU952" s="3"/>
      <c r="AV952" s="3"/>
      <c r="AW952" s="3"/>
      <c r="AX952" s="11"/>
      <c r="AZ952"/>
      <c r="BA952"/>
      <c r="BB952"/>
      <c r="BC952"/>
    </row>
    <row r="953" spans="1:55" s="282" customFormat="1" x14ac:dyDescent="0.25">
      <c r="A953"/>
      <c r="B953"/>
      <c r="C953" s="3"/>
      <c r="D953"/>
      <c r="E953"/>
      <c r="F953"/>
      <c r="G953" s="3"/>
      <c r="H953" s="3"/>
      <c r="I953" s="3"/>
      <c r="J953" s="288"/>
      <c r="L953" s="288"/>
      <c r="M953" s="288"/>
      <c r="N953" s="288"/>
      <c r="O953" s="288"/>
      <c r="P953" s="288"/>
      <c r="Q953" s="288"/>
      <c r="R953" s="283"/>
      <c r="S953" s="280"/>
      <c r="T953" s="276"/>
      <c r="U953" s="276"/>
      <c r="V953" s="276"/>
      <c r="W953" s="283"/>
      <c r="X953" s="280"/>
      <c r="Y953" s="280"/>
      <c r="Z953" s="280"/>
      <c r="AA953" s="280"/>
      <c r="AB953" s="280"/>
      <c r="AC953" s="280"/>
      <c r="AD953" s="280"/>
      <c r="AG953" s="3"/>
      <c r="AH953" s="3"/>
      <c r="AI953" s="3"/>
      <c r="AJ953" s="3"/>
      <c r="AK953" s="3"/>
      <c r="AL953" s="3"/>
      <c r="AM953" s="3"/>
      <c r="AN953" s="3"/>
      <c r="AO953" s="3"/>
      <c r="AP953" s="11"/>
      <c r="AQ953" s="11"/>
      <c r="AR953" s="3"/>
      <c r="AS953" s="3"/>
      <c r="AT953" s="3"/>
      <c r="AU953" s="3"/>
      <c r="AV953" s="3"/>
      <c r="AW953" s="3"/>
      <c r="AX953" s="11"/>
      <c r="AZ953"/>
      <c r="BA953"/>
      <c r="BB953"/>
      <c r="BC953"/>
    </row>
    <row r="954" spans="1:55" s="282" customFormat="1" x14ac:dyDescent="0.25">
      <c r="A954"/>
      <c r="B954"/>
      <c r="C954" s="3"/>
      <c r="D954"/>
      <c r="E954"/>
      <c r="F954"/>
      <c r="G954" s="3"/>
      <c r="H954" s="3"/>
      <c r="I954" s="3"/>
      <c r="J954" s="288"/>
      <c r="L954" s="288"/>
      <c r="M954" s="288"/>
      <c r="N954" s="288"/>
      <c r="O954" s="288"/>
      <c r="P954" s="288"/>
      <c r="Q954" s="288"/>
      <c r="R954" s="283"/>
      <c r="S954" s="280"/>
      <c r="T954" s="276"/>
      <c r="U954" s="276"/>
      <c r="V954" s="276"/>
      <c r="W954" s="283"/>
      <c r="X954" s="280"/>
      <c r="Y954" s="280"/>
      <c r="Z954" s="280"/>
      <c r="AA954" s="280"/>
      <c r="AB954" s="280"/>
      <c r="AC954" s="280"/>
      <c r="AD954" s="280"/>
      <c r="AG954" s="3"/>
      <c r="AH954" s="3"/>
      <c r="AI954" s="3"/>
      <c r="AJ954" s="3"/>
      <c r="AK954" s="3"/>
      <c r="AL954" s="3"/>
      <c r="AM954" s="3"/>
      <c r="AN954" s="3"/>
      <c r="AO954" s="3"/>
      <c r="AP954" s="11"/>
      <c r="AQ954" s="11"/>
      <c r="AR954" s="3"/>
      <c r="AS954" s="3"/>
      <c r="AT954" s="3"/>
      <c r="AU954" s="3"/>
      <c r="AV954" s="3"/>
      <c r="AW954" s="3"/>
      <c r="AX954" s="11"/>
      <c r="AZ954"/>
      <c r="BA954"/>
      <c r="BB954"/>
      <c r="BC954"/>
    </row>
    <row r="955" spans="1:55" s="282" customFormat="1" x14ac:dyDescent="0.25">
      <c r="A955"/>
      <c r="B955"/>
      <c r="C955" s="3"/>
      <c r="D955"/>
      <c r="E955"/>
      <c r="F955"/>
      <c r="G955" s="3"/>
      <c r="H955" s="3"/>
      <c r="I955" s="3"/>
      <c r="J955" s="288"/>
      <c r="L955" s="288"/>
      <c r="M955" s="288"/>
      <c r="N955" s="288"/>
      <c r="O955" s="288"/>
      <c r="P955" s="288"/>
      <c r="Q955" s="288"/>
      <c r="R955" s="283"/>
      <c r="S955" s="280"/>
      <c r="T955" s="276"/>
      <c r="U955" s="276"/>
      <c r="V955" s="276"/>
      <c r="W955" s="283"/>
      <c r="X955" s="280"/>
      <c r="Y955" s="280"/>
      <c r="Z955" s="280"/>
      <c r="AA955" s="280"/>
      <c r="AB955" s="280"/>
      <c r="AC955" s="280"/>
      <c r="AD955" s="280"/>
      <c r="AG955" s="3"/>
      <c r="AH955" s="3"/>
      <c r="AI955" s="3"/>
      <c r="AJ955" s="3"/>
      <c r="AK955" s="3"/>
      <c r="AL955" s="3"/>
      <c r="AM955" s="3"/>
      <c r="AN955" s="3"/>
      <c r="AO955" s="3"/>
      <c r="AP955" s="11"/>
      <c r="AQ955" s="11"/>
      <c r="AR955" s="3"/>
      <c r="AS955" s="3"/>
      <c r="AT955" s="3"/>
      <c r="AU955" s="3"/>
      <c r="AV955" s="3"/>
      <c r="AW955" s="3"/>
      <c r="AX955" s="11"/>
      <c r="AZ955"/>
      <c r="BA955"/>
      <c r="BB955"/>
      <c r="BC955"/>
    </row>
    <row r="956" spans="1:55" s="282" customFormat="1" x14ac:dyDescent="0.25">
      <c r="A956"/>
      <c r="B956"/>
      <c r="C956" s="3"/>
      <c r="D956"/>
      <c r="E956"/>
      <c r="F956"/>
      <c r="G956" s="3"/>
      <c r="H956" s="3"/>
      <c r="I956" s="3"/>
      <c r="J956" s="288"/>
      <c r="L956" s="288"/>
      <c r="M956" s="288"/>
      <c r="N956" s="288"/>
      <c r="O956" s="288"/>
      <c r="P956" s="288"/>
      <c r="Q956" s="288"/>
      <c r="R956" s="283"/>
      <c r="S956" s="280"/>
      <c r="T956" s="276"/>
      <c r="U956" s="276"/>
      <c r="V956" s="276"/>
      <c r="W956" s="283"/>
      <c r="X956" s="280"/>
      <c r="Y956" s="280"/>
      <c r="Z956" s="280"/>
      <c r="AA956" s="280"/>
      <c r="AB956" s="280"/>
      <c r="AC956" s="280"/>
      <c r="AD956" s="280"/>
      <c r="AG956" s="3"/>
      <c r="AH956" s="3"/>
      <c r="AI956" s="3"/>
      <c r="AJ956" s="3"/>
      <c r="AK956" s="3"/>
      <c r="AL956" s="3"/>
      <c r="AM956" s="3"/>
      <c r="AN956" s="3"/>
      <c r="AO956" s="3"/>
      <c r="AP956" s="11"/>
      <c r="AQ956" s="11"/>
      <c r="AR956" s="3"/>
      <c r="AS956" s="3"/>
      <c r="AT956" s="3"/>
      <c r="AU956" s="3"/>
      <c r="AV956" s="3"/>
      <c r="AW956" s="3"/>
      <c r="AX956" s="11"/>
      <c r="AZ956"/>
      <c r="BA956"/>
      <c r="BB956"/>
      <c r="BC956"/>
    </row>
    <row r="957" spans="1:55" s="282" customFormat="1" x14ac:dyDescent="0.25">
      <c r="A957"/>
      <c r="B957"/>
      <c r="C957" s="3"/>
      <c r="D957"/>
      <c r="E957"/>
      <c r="F957"/>
      <c r="G957" s="3"/>
      <c r="H957" s="3"/>
      <c r="I957" s="3"/>
      <c r="J957" s="288"/>
      <c r="L957" s="288"/>
      <c r="M957" s="288"/>
      <c r="N957" s="288"/>
      <c r="O957" s="288"/>
      <c r="P957" s="288"/>
      <c r="Q957" s="288"/>
      <c r="R957" s="283"/>
      <c r="S957" s="280"/>
      <c r="T957" s="276"/>
      <c r="U957" s="276"/>
      <c r="V957" s="276"/>
      <c r="W957" s="283"/>
      <c r="X957" s="280"/>
      <c r="Y957" s="280"/>
      <c r="Z957" s="280"/>
      <c r="AA957" s="280"/>
      <c r="AB957" s="280"/>
      <c r="AC957" s="280"/>
      <c r="AD957" s="280"/>
      <c r="AG957" s="3"/>
      <c r="AH957" s="3"/>
      <c r="AI957" s="3"/>
      <c r="AJ957" s="3"/>
      <c r="AK957" s="3"/>
      <c r="AL957" s="3"/>
      <c r="AM957" s="3"/>
      <c r="AN957" s="3"/>
      <c r="AO957" s="3"/>
      <c r="AP957" s="11"/>
      <c r="AQ957" s="11"/>
      <c r="AR957" s="3"/>
      <c r="AS957" s="3"/>
      <c r="AT957" s="3"/>
      <c r="AU957" s="3"/>
      <c r="AV957" s="3"/>
      <c r="AW957" s="3"/>
      <c r="AX957" s="11"/>
      <c r="AZ957"/>
      <c r="BA957"/>
      <c r="BB957"/>
      <c r="BC957"/>
    </row>
    <row r="958" spans="1:55" s="282" customFormat="1" x14ac:dyDescent="0.25">
      <c r="A958"/>
      <c r="B958"/>
      <c r="C958" s="3"/>
      <c r="D958"/>
      <c r="E958"/>
      <c r="F958"/>
      <c r="G958" s="3"/>
      <c r="H958" s="3"/>
      <c r="I958" s="3"/>
      <c r="J958" s="288"/>
      <c r="L958" s="288"/>
      <c r="M958" s="288"/>
      <c r="N958" s="288"/>
      <c r="O958" s="288"/>
      <c r="P958" s="288"/>
      <c r="Q958" s="288"/>
      <c r="R958" s="283"/>
      <c r="S958" s="280"/>
      <c r="T958" s="276"/>
      <c r="U958" s="276"/>
      <c r="V958" s="276"/>
      <c r="W958" s="283"/>
      <c r="X958" s="280"/>
      <c r="Y958" s="280"/>
      <c r="Z958" s="280"/>
      <c r="AA958" s="280"/>
      <c r="AB958" s="280"/>
      <c r="AC958" s="280"/>
      <c r="AD958" s="280"/>
      <c r="AG958" s="3"/>
      <c r="AH958" s="3"/>
      <c r="AI958" s="3"/>
      <c r="AJ958" s="3"/>
      <c r="AK958" s="3"/>
      <c r="AL958" s="3"/>
      <c r="AM958" s="3"/>
      <c r="AN958" s="3"/>
      <c r="AO958" s="3"/>
      <c r="AP958" s="11"/>
      <c r="AQ958" s="11"/>
      <c r="AR958" s="3"/>
      <c r="AS958" s="3"/>
      <c r="AT958" s="3"/>
      <c r="AU958" s="3"/>
      <c r="AV958" s="3"/>
      <c r="AW958" s="3"/>
      <c r="AX958" s="11"/>
      <c r="AZ958"/>
      <c r="BA958"/>
      <c r="BB958"/>
      <c r="BC958"/>
    </row>
    <row r="959" spans="1:55" s="282" customFormat="1" x14ac:dyDescent="0.25">
      <c r="A959"/>
      <c r="B959"/>
      <c r="C959" s="3"/>
      <c r="D959"/>
      <c r="E959"/>
      <c r="F959"/>
      <c r="G959" s="3"/>
      <c r="H959" s="3"/>
      <c r="I959" s="3"/>
      <c r="J959" s="288"/>
      <c r="L959" s="288"/>
      <c r="M959" s="288"/>
      <c r="N959" s="288"/>
      <c r="O959" s="288"/>
      <c r="P959" s="288"/>
      <c r="Q959" s="288"/>
      <c r="R959" s="283"/>
      <c r="S959" s="280"/>
      <c r="T959" s="276"/>
      <c r="U959" s="276"/>
      <c r="V959" s="276"/>
      <c r="W959" s="283"/>
      <c r="X959" s="280"/>
      <c r="Y959" s="280"/>
      <c r="Z959" s="280"/>
      <c r="AA959" s="280"/>
      <c r="AB959" s="280"/>
      <c r="AC959" s="280"/>
      <c r="AD959" s="280"/>
      <c r="AG959" s="3"/>
      <c r="AH959" s="3"/>
      <c r="AI959" s="3"/>
      <c r="AJ959" s="3"/>
      <c r="AK959" s="3"/>
      <c r="AL959" s="3"/>
      <c r="AM959" s="3"/>
      <c r="AN959" s="3"/>
      <c r="AO959" s="3"/>
      <c r="AP959" s="11"/>
      <c r="AQ959" s="11"/>
      <c r="AR959" s="3"/>
      <c r="AS959" s="3"/>
      <c r="AT959" s="3"/>
      <c r="AU959" s="3"/>
      <c r="AV959" s="3"/>
      <c r="AW959" s="3"/>
      <c r="AX959" s="11"/>
      <c r="AZ959"/>
      <c r="BA959"/>
      <c r="BB959"/>
      <c r="BC959"/>
    </row>
    <row r="960" spans="1:55" s="282" customFormat="1" x14ac:dyDescent="0.25">
      <c r="A960"/>
      <c r="B960"/>
      <c r="C960" s="3"/>
      <c r="D960"/>
      <c r="E960"/>
      <c r="F960"/>
      <c r="G960" s="3"/>
      <c r="H960" s="3"/>
      <c r="I960" s="3"/>
      <c r="J960" s="288"/>
      <c r="L960" s="288"/>
      <c r="M960" s="288"/>
      <c r="N960" s="288"/>
      <c r="O960" s="288"/>
      <c r="P960" s="288"/>
      <c r="Q960" s="288"/>
      <c r="R960" s="283"/>
      <c r="S960" s="280"/>
      <c r="T960" s="276"/>
      <c r="U960" s="276"/>
      <c r="V960" s="276"/>
      <c r="W960" s="283"/>
      <c r="X960" s="280"/>
      <c r="Y960" s="280"/>
      <c r="Z960" s="280"/>
      <c r="AA960" s="280"/>
      <c r="AB960" s="280"/>
      <c r="AC960" s="280"/>
      <c r="AD960" s="280"/>
      <c r="AG960" s="3"/>
      <c r="AH960" s="3"/>
      <c r="AI960" s="3"/>
      <c r="AJ960" s="3"/>
      <c r="AK960" s="3"/>
      <c r="AL960" s="3"/>
      <c r="AM960" s="3"/>
      <c r="AN960" s="3"/>
      <c r="AO960" s="3"/>
      <c r="AP960" s="11"/>
      <c r="AQ960" s="11"/>
      <c r="AR960" s="3"/>
      <c r="AS960" s="3"/>
      <c r="AT960" s="3"/>
      <c r="AU960" s="3"/>
      <c r="AV960" s="3"/>
      <c r="AW960" s="3"/>
      <c r="AX960" s="11"/>
      <c r="AZ960"/>
      <c r="BA960"/>
      <c r="BB960"/>
      <c r="BC960"/>
    </row>
    <row r="961" spans="1:55" s="282" customFormat="1" x14ac:dyDescent="0.25">
      <c r="A961"/>
      <c r="B961"/>
      <c r="C961" s="3"/>
      <c r="D961"/>
      <c r="E961"/>
      <c r="F961"/>
      <c r="G961" s="3"/>
      <c r="H961" s="3"/>
      <c r="I961" s="3"/>
      <c r="J961" s="288"/>
      <c r="L961" s="288"/>
      <c r="M961" s="288"/>
      <c r="N961" s="288"/>
      <c r="O961" s="288"/>
      <c r="P961" s="288"/>
      <c r="Q961" s="288"/>
      <c r="R961" s="283"/>
      <c r="S961" s="280"/>
      <c r="T961" s="276"/>
      <c r="U961" s="276"/>
      <c r="V961" s="276"/>
      <c r="W961" s="283"/>
      <c r="X961" s="280"/>
      <c r="Y961" s="280"/>
      <c r="Z961" s="280"/>
      <c r="AA961" s="280"/>
      <c r="AB961" s="280"/>
      <c r="AC961" s="280"/>
      <c r="AD961" s="280"/>
      <c r="AG961" s="3"/>
      <c r="AH961" s="3"/>
      <c r="AI961" s="3"/>
      <c r="AJ961" s="3"/>
      <c r="AK961" s="3"/>
      <c r="AL961" s="3"/>
      <c r="AM961" s="3"/>
      <c r="AN961" s="3"/>
      <c r="AO961" s="3"/>
      <c r="AP961" s="11"/>
      <c r="AQ961" s="11"/>
      <c r="AR961" s="3"/>
      <c r="AS961" s="3"/>
      <c r="AT961" s="3"/>
      <c r="AU961" s="3"/>
      <c r="AV961" s="3"/>
      <c r="AW961" s="3"/>
      <c r="AX961" s="11"/>
      <c r="AZ961"/>
      <c r="BA961"/>
      <c r="BB961"/>
      <c r="BC961"/>
    </row>
    <row r="962" spans="1:55" s="282" customFormat="1" x14ac:dyDescent="0.25">
      <c r="A962"/>
      <c r="B962"/>
      <c r="C962" s="3"/>
      <c r="D962"/>
      <c r="E962"/>
      <c r="F962"/>
      <c r="G962" s="3"/>
      <c r="H962" s="3"/>
      <c r="I962" s="3"/>
      <c r="J962" s="288"/>
      <c r="L962" s="288"/>
      <c r="M962" s="288"/>
      <c r="N962" s="288"/>
      <c r="O962" s="288"/>
      <c r="P962" s="288"/>
      <c r="Q962" s="288"/>
      <c r="R962" s="283"/>
      <c r="S962" s="280"/>
      <c r="T962" s="276"/>
      <c r="U962" s="276"/>
      <c r="V962" s="276"/>
      <c r="W962" s="283"/>
      <c r="X962" s="280"/>
      <c r="Y962" s="280"/>
      <c r="Z962" s="280"/>
      <c r="AA962" s="280"/>
      <c r="AB962" s="280"/>
      <c r="AC962" s="280"/>
      <c r="AD962" s="280"/>
      <c r="AG962" s="3"/>
      <c r="AH962" s="3"/>
      <c r="AI962" s="3"/>
      <c r="AJ962" s="3"/>
      <c r="AK962" s="3"/>
      <c r="AL962" s="3"/>
      <c r="AM962" s="3"/>
      <c r="AN962" s="3"/>
      <c r="AO962" s="3"/>
      <c r="AP962" s="11"/>
      <c r="AQ962" s="11"/>
      <c r="AR962" s="3"/>
      <c r="AS962" s="3"/>
      <c r="AT962" s="3"/>
      <c r="AU962" s="3"/>
      <c r="AV962" s="3"/>
      <c r="AW962" s="3"/>
      <c r="AX962" s="11"/>
      <c r="AZ962"/>
      <c r="BA962"/>
      <c r="BB962"/>
      <c r="BC962"/>
    </row>
    <row r="963" spans="1:55" s="282" customFormat="1" x14ac:dyDescent="0.25">
      <c r="A963"/>
      <c r="B963"/>
      <c r="C963" s="3"/>
      <c r="D963"/>
      <c r="E963"/>
      <c r="F963"/>
      <c r="G963" s="3"/>
      <c r="H963" s="3"/>
      <c r="I963" s="3"/>
      <c r="J963" s="288"/>
      <c r="L963" s="288"/>
      <c r="M963" s="288"/>
      <c r="N963" s="288"/>
      <c r="O963" s="288"/>
      <c r="P963" s="288"/>
      <c r="Q963" s="288"/>
      <c r="R963" s="283"/>
      <c r="S963" s="280"/>
      <c r="T963" s="276"/>
      <c r="U963" s="276"/>
      <c r="V963" s="276"/>
      <c r="W963" s="283"/>
      <c r="X963" s="280"/>
      <c r="Y963" s="280"/>
      <c r="Z963" s="280"/>
      <c r="AA963" s="280"/>
      <c r="AB963" s="280"/>
      <c r="AC963" s="280"/>
      <c r="AD963" s="280"/>
      <c r="AG963" s="3"/>
      <c r="AH963" s="3"/>
      <c r="AI963" s="3"/>
      <c r="AJ963" s="3"/>
      <c r="AK963" s="3"/>
      <c r="AL963" s="3"/>
      <c r="AM963" s="3"/>
      <c r="AN963" s="3"/>
      <c r="AO963" s="3"/>
      <c r="AP963" s="11"/>
      <c r="AQ963" s="11"/>
      <c r="AR963" s="3"/>
      <c r="AS963" s="3"/>
      <c r="AT963" s="3"/>
      <c r="AU963" s="3"/>
      <c r="AV963" s="3"/>
      <c r="AW963" s="3"/>
      <c r="AX963" s="11"/>
      <c r="AZ963"/>
      <c r="BA963"/>
      <c r="BB963"/>
      <c r="BC963"/>
    </row>
    <row r="964" spans="1:55" s="282" customFormat="1" x14ac:dyDescent="0.25">
      <c r="A964"/>
      <c r="B964"/>
      <c r="C964" s="3"/>
      <c r="D964"/>
      <c r="E964"/>
      <c r="F964"/>
      <c r="G964" s="3"/>
      <c r="H964" s="3"/>
      <c r="I964" s="3"/>
      <c r="J964" s="288"/>
      <c r="L964" s="288"/>
      <c r="M964" s="288"/>
      <c r="N964" s="288"/>
      <c r="O964" s="288"/>
      <c r="P964" s="288"/>
      <c r="Q964" s="288"/>
      <c r="R964" s="283"/>
      <c r="S964" s="280"/>
      <c r="T964" s="276"/>
      <c r="U964" s="276"/>
      <c r="V964" s="276"/>
      <c r="W964" s="283"/>
      <c r="X964" s="280"/>
      <c r="Y964" s="280"/>
      <c r="Z964" s="280"/>
      <c r="AA964" s="280"/>
      <c r="AB964" s="280"/>
      <c r="AC964" s="280"/>
      <c r="AD964" s="280"/>
      <c r="AG964" s="3"/>
      <c r="AH964" s="3"/>
      <c r="AI964" s="3"/>
      <c r="AJ964" s="3"/>
      <c r="AK964" s="3"/>
      <c r="AL964" s="3"/>
      <c r="AM964" s="3"/>
      <c r="AN964" s="3"/>
      <c r="AO964" s="3"/>
      <c r="AP964" s="11"/>
      <c r="AQ964" s="11"/>
      <c r="AR964" s="3"/>
      <c r="AS964" s="3"/>
      <c r="AT964" s="3"/>
      <c r="AU964" s="3"/>
      <c r="AV964" s="3"/>
      <c r="AW964" s="3"/>
      <c r="AX964" s="11"/>
      <c r="AZ964"/>
      <c r="BA964"/>
      <c r="BB964"/>
      <c r="BC964"/>
    </row>
    <row r="965" spans="1:55" s="282" customFormat="1" x14ac:dyDescent="0.25">
      <c r="A965"/>
      <c r="B965"/>
      <c r="C965" s="3"/>
      <c r="D965"/>
      <c r="E965"/>
      <c r="F965"/>
      <c r="G965" s="3"/>
      <c r="H965" s="3"/>
      <c r="I965" s="3"/>
      <c r="J965" s="288"/>
      <c r="L965" s="288"/>
      <c r="M965" s="288"/>
      <c r="N965" s="288"/>
      <c r="O965" s="288"/>
      <c r="P965" s="288"/>
      <c r="Q965" s="288"/>
      <c r="R965" s="283"/>
      <c r="S965" s="280"/>
      <c r="T965" s="276"/>
      <c r="U965" s="276"/>
      <c r="V965" s="276"/>
      <c r="W965" s="283"/>
      <c r="X965" s="280"/>
      <c r="Y965" s="280"/>
      <c r="Z965" s="280"/>
      <c r="AA965" s="280"/>
      <c r="AB965" s="280"/>
      <c r="AC965" s="280"/>
      <c r="AD965" s="280"/>
      <c r="AG965" s="3"/>
      <c r="AH965" s="3"/>
      <c r="AI965" s="3"/>
      <c r="AJ965" s="3"/>
      <c r="AK965" s="3"/>
      <c r="AL965" s="3"/>
      <c r="AM965" s="3"/>
      <c r="AN965" s="3"/>
      <c r="AO965" s="3"/>
      <c r="AP965" s="11"/>
      <c r="AQ965" s="11"/>
      <c r="AR965" s="3"/>
      <c r="AS965" s="3"/>
      <c r="AT965" s="3"/>
      <c r="AU965" s="3"/>
      <c r="AV965" s="3"/>
      <c r="AW965" s="3"/>
      <c r="AX965" s="11"/>
      <c r="AZ965"/>
      <c r="BA965"/>
      <c r="BB965"/>
      <c r="BC965"/>
    </row>
    <row r="966" spans="1:55" s="282" customFormat="1" x14ac:dyDescent="0.25">
      <c r="A966"/>
      <c r="B966"/>
      <c r="C966" s="3"/>
      <c r="D966"/>
      <c r="E966"/>
      <c r="F966"/>
      <c r="G966" s="3"/>
      <c r="H966" s="3"/>
      <c r="I966" s="3"/>
      <c r="J966" s="288"/>
      <c r="L966" s="288"/>
      <c r="M966" s="288"/>
      <c r="N966" s="288"/>
      <c r="O966" s="288"/>
      <c r="P966" s="288"/>
      <c r="Q966" s="288"/>
      <c r="R966" s="283"/>
      <c r="S966" s="280"/>
      <c r="T966" s="276"/>
      <c r="U966" s="276"/>
      <c r="V966" s="276"/>
      <c r="W966" s="283"/>
      <c r="X966" s="280"/>
      <c r="Y966" s="280"/>
      <c r="Z966" s="280"/>
      <c r="AA966" s="280"/>
      <c r="AB966" s="280"/>
      <c r="AC966" s="280"/>
      <c r="AD966" s="280"/>
      <c r="AG966" s="3"/>
      <c r="AH966" s="3"/>
      <c r="AI966" s="3"/>
      <c r="AJ966" s="3"/>
      <c r="AK966" s="3"/>
      <c r="AL966" s="3"/>
      <c r="AM966" s="3"/>
      <c r="AN966" s="3"/>
      <c r="AO966" s="3"/>
      <c r="AP966" s="11"/>
      <c r="AQ966" s="11"/>
      <c r="AR966" s="3"/>
      <c r="AS966" s="3"/>
      <c r="AT966" s="3"/>
      <c r="AU966" s="3"/>
      <c r="AV966" s="3"/>
      <c r="AW966" s="3"/>
      <c r="AX966" s="11"/>
      <c r="AZ966"/>
      <c r="BA966"/>
      <c r="BB966"/>
      <c r="BC966"/>
    </row>
    <row r="967" spans="1:55" s="282" customFormat="1" x14ac:dyDescent="0.25">
      <c r="A967"/>
      <c r="B967"/>
      <c r="C967" s="3"/>
      <c r="D967"/>
      <c r="E967"/>
      <c r="F967"/>
      <c r="G967" s="3"/>
      <c r="H967" s="3"/>
      <c r="I967" s="3"/>
      <c r="J967" s="288"/>
      <c r="L967" s="288"/>
      <c r="M967" s="288"/>
      <c r="N967" s="288"/>
      <c r="O967" s="288"/>
      <c r="P967" s="288"/>
      <c r="Q967" s="288"/>
      <c r="R967" s="283"/>
      <c r="S967" s="280"/>
      <c r="T967" s="276"/>
      <c r="U967" s="276"/>
      <c r="V967" s="276"/>
      <c r="W967" s="283"/>
      <c r="X967" s="280"/>
      <c r="Y967" s="280"/>
      <c r="Z967" s="280"/>
      <c r="AA967" s="280"/>
      <c r="AB967" s="280"/>
      <c r="AC967" s="280"/>
      <c r="AD967" s="280"/>
      <c r="AG967" s="3"/>
      <c r="AH967" s="3"/>
      <c r="AI967" s="3"/>
      <c r="AJ967" s="3"/>
      <c r="AK967" s="3"/>
      <c r="AL967" s="3"/>
      <c r="AM967" s="3"/>
      <c r="AN967" s="3"/>
      <c r="AO967" s="3"/>
      <c r="AP967" s="11"/>
      <c r="AQ967" s="11"/>
      <c r="AR967" s="3"/>
      <c r="AS967" s="3"/>
      <c r="AT967" s="3"/>
      <c r="AU967" s="3"/>
      <c r="AV967" s="3"/>
      <c r="AW967" s="3"/>
      <c r="AX967" s="11"/>
      <c r="AZ967"/>
      <c r="BA967"/>
      <c r="BB967"/>
      <c r="BC967"/>
    </row>
    <row r="968" spans="1:55" s="282" customFormat="1" x14ac:dyDescent="0.25">
      <c r="A968"/>
      <c r="B968"/>
      <c r="C968" s="3"/>
      <c r="D968"/>
      <c r="E968"/>
      <c r="F968"/>
      <c r="G968" s="3"/>
      <c r="H968" s="3"/>
      <c r="I968" s="3"/>
      <c r="J968" s="288"/>
      <c r="L968" s="288"/>
      <c r="M968" s="288"/>
      <c r="N968" s="288"/>
      <c r="O968" s="288"/>
      <c r="P968" s="288"/>
      <c r="Q968" s="288"/>
      <c r="R968" s="283"/>
      <c r="S968" s="280"/>
      <c r="T968" s="276"/>
      <c r="U968" s="276"/>
      <c r="V968" s="276"/>
      <c r="W968" s="283"/>
      <c r="X968" s="280"/>
      <c r="Y968" s="280"/>
      <c r="Z968" s="280"/>
      <c r="AA968" s="280"/>
      <c r="AB968" s="280"/>
      <c r="AC968" s="280"/>
      <c r="AD968" s="280"/>
      <c r="AG968" s="3"/>
      <c r="AH968" s="3"/>
      <c r="AI968" s="3"/>
      <c r="AJ968" s="3"/>
      <c r="AK968" s="3"/>
      <c r="AL968" s="3"/>
      <c r="AM968" s="3"/>
      <c r="AN968" s="3"/>
      <c r="AO968" s="3"/>
      <c r="AP968" s="11"/>
      <c r="AQ968" s="11"/>
      <c r="AR968" s="3"/>
      <c r="AS968" s="3"/>
      <c r="AT968" s="3"/>
      <c r="AU968" s="3"/>
      <c r="AV968" s="3"/>
      <c r="AW968" s="3"/>
      <c r="AX968" s="11"/>
      <c r="AZ968"/>
      <c r="BA968"/>
      <c r="BB968"/>
      <c r="BC968"/>
    </row>
    <row r="969" spans="1:55" s="282" customFormat="1" x14ac:dyDescent="0.25">
      <c r="A969"/>
      <c r="B969"/>
      <c r="C969" s="3"/>
      <c r="D969"/>
      <c r="E969"/>
      <c r="F969"/>
      <c r="G969" s="3"/>
      <c r="H969" s="3"/>
      <c r="I969" s="3"/>
      <c r="J969" s="288"/>
      <c r="L969" s="288"/>
      <c r="M969" s="288"/>
      <c r="N969" s="288"/>
      <c r="O969" s="288"/>
      <c r="P969" s="288"/>
      <c r="Q969" s="288"/>
      <c r="R969" s="283"/>
      <c r="S969" s="280"/>
      <c r="T969" s="276"/>
      <c r="U969" s="276"/>
      <c r="V969" s="276"/>
      <c r="W969" s="283"/>
      <c r="X969" s="280"/>
      <c r="Y969" s="280"/>
      <c r="Z969" s="280"/>
      <c r="AA969" s="280"/>
      <c r="AB969" s="280"/>
      <c r="AC969" s="280"/>
      <c r="AD969" s="280"/>
      <c r="AG969" s="3"/>
      <c r="AH969" s="3"/>
      <c r="AI969" s="3"/>
      <c r="AJ969" s="3"/>
      <c r="AK969" s="3"/>
      <c r="AL969" s="3"/>
      <c r="AM969" s="3"/>
      <c r="AN969" s="3"/>
      <c r="AO969" s="3"/>
      <c r="AP969" s="11"/>
      <c r="AQ969" s="11"/>
      <c r="AR969" s="3"/>
      <c r="AS969" s="3"/>
      <c r="AT969" s="3"/>
      <c r="AU969" s="3"/>
      <c r="AV969" s="3"/>
      <c r="AW969" s="3"/>
      <c r="AX969" s="11"/>
      <c r="AZ969"/>
      <c r="BA969"/>
      <c r="BB969"/>
      <c r="BC969"/>
    </row>
    <row r="970" spans="1:55" s="282" customFormat="1" x14ac:dyDescent="0.25">
      <c r="A970"/>
      <c r="B970"/>
      <c r="C970" s="3"/>
      <c r="D970"/>
      <c r="E970"/>
      <c r="F970"/>
      <c r="G970" s="3"/>
      <c r="H970" s="3"/>
      <c r="I970" s="3"/>
      <c r="J970" s="288"/>
      <c r="L970" s="288"/>
      <c r="M970" s="288"/>
      <c r="N970" s="288"/>
      <c r="O970" s="288"/>
      <c r="P970" s="288"/>
      <c r="Q970" s="288"/>
      <c r="R970" s="283"/>
      <c r="S970" s="280"/>
      <c r="T970" s="276"/>
      <c r="U970" s="276"/>
      <c r="V970" s="276"/>
      <c r="W970" s="283"/>
      <c r="X970" s="280"/>
      <c r="Y970" s="280"/>
      <c r="Z970" s="280"/>
      <c r="AA970" s="280"/>
      <c r="AB970" s="280"/>
      <c r="AC970" s="280"/>
      <c r="AD970" s="280"/>
      <c r="AG970" s="3"/>
      <c r="AH970" s="3"/>
      <c r="AI970" s="3"/>
      <c r="AJ970" s="3"/>
      <c r="AK970" s="3"/>
      <c r="AL970" s="3"/>
      <c r="AM970" s="3"/>
      <c r="AN970" s="3"/>
      <c r="AO970" s="3"/>
      <c r="AP970" s="11"/>
      <c r="AQ970" s="11"/>
      <c r="AR970" s="3"/>
      <c r="AS970" s="3"/>
      <c r="AT970" s="3"/>
      <c r="AU970" s="3"/>
      <c r="AV970" s="3"/>
      <c r="AW970" s="3"/>
      <c r="AX970" s="11"/>
      <c r="AZ970"/>
      <c r="BA970"/>
      <c r="BB970"/>
      <c r="BC970"/>
    </row>
    <row r="971" spans="1:55" s="282" customFormat="1" x14ac:dyDescent="0.25">
      <c r="A971"/>
      <c r="B971"/>
      <c r="C971" s="3"/>
      <c r="D971"/>
      <c r="E971"/>
      <c r="F971"/>
      <c r="G971" s="3"/>
      <c r="H971" s="3"/>
      <c r="I971" s="3"/>
      <c r="J971" s="288"/>
      <c r="L971" s="288"/>
      <c r="M971" s="288"/>
      <c r="N971" s="288"/>
      <c r="O971" s="288"/>
      <c r="P971" s="288"/>
      <c r="Q971" s="288"/>
      <c r="R971" s="283"/>
      <c r="S971" s="280"/>
      <c r="T971" s="276"/>
      <c r="U971" s="276"/>
      <c r="V971" s="276"/>
      <c r="W971" s="283"/>
      <c r="X971" s="280"/>
      <c r="Y971" s="280"/>
      <c r="Z971" s="280"/>
      <c r="AA971" s="280"/>
      <c r="AB971" s="280"/>
      <c r="AC971" s="280"/>
      <c r="AD971" s="280"/>
      <c r="AG971" s="3"/>
      <c r="AH971" s="3"/>
      <c r="AI971" s="3"/>
      <c r="AJ971" s="3"/>
      <c r="AK971" s="3"/>
      <c r="AL971" s="3"/>
      <c r="AM971" s="3"/>
      <c r="AN971" s="3"/>
      <c r="AO971" s="3"/>
      <c r="AP971" s="11"/>
      <c r="AQ971" s="11"/>
      <c r="AR971" s="3"/>
      <c r="AS971" s="3"/>
      <c r="AT971" s="3"/>
      <c r="AU971" s="3"/>
      <c r="AV971" s="3"/>
      <c r="AW971" s="3"/>
      <c r="AX971" s="11"/>
      <c r="AZ971"/>
      <c r="BA971"/>
      <c r="BB971"/>
      <c r="BC971"/>
    </row>
    <row r="972" spans="1:55" s="282" customFormat="1" x14ac:dyDescent="0.25">
      <c r="A972"/>
      <c r="B972"/>
      <c r="C972" s="3"/>
      <c r="D972"/>
      <c r="E972"/>
      <c r="F972"/>
      <c r="G972" s="3"/>
      <c r="H972" s="3"/>
      <c r="I972" s="3"/>
      <c r="J972" s="288"/>
      <c r="L972" s="288"/>
      <c r="M972" s="288"/>
      <c r="N972" s="288"/>
      <c r="O972" s="288"/>
      <c r="P972" s="288"/>
      <c r="Q972" s="288"/>
      <c r="R972" s="283"/>
      <c r="S972" s="280"/>
      <c r="T972" s="276"/>
      <c r="U972" s="276"/>
      <c r="V972" s="276"/>
      <c r="W972" s="283"/>
      <c r="X972" s="280"/>
      <c r="Y972" s="280"/>
      <c r="Z972" s="280"/>
      <c r="AA972" s="280"/>
      <c r="AB972" s="280"/>
      <c r="AC972" s="280"/>
      <c r="AD972" s="280"/>
      <c r="AG972" s="3"/>
      <c r="AH972" s="3"/>
      <c r="AI972" s="3"/>
      <c r="AJ972" s="3"/>
      <c r="AK972" s="3"/>
      <c r="AL972" s="3"/>
      <c r="AM972" s="3"/>
      <c r="AN972" s="3"/>
      <c r="AO972" s="3"/>
      <c r="AP972" s="11"/>
      <c r="AQ972" s="11"/>
      <c r="AR972" s="3"/>
      <c r="AS972" s="3"/>
      <c r="AT972" s="3"/>
      <c r="AU972" s="3"/>
      <c r="AV972" s="3"/>
      <c r="AW972" s="3"/>
      <c r="AX972" s="11"/>
      <c r="AZ972"/>
      <c r="BA972"/>
      <c r="BB972"/>
      <c r="BC972"/>
    </row>
    <row r="973" spans="1:55" s="282" customFormat="1" x14ac:dyDescent="0.25">
      <c r="A973"/>
      <c r="B973"/>
      <c r="C973" s="3"/>
      <c r="D973"/>
      <c r="E973"/>
      <c r="F973"/>
      <c r="G973" s="3"/>
      <c r="H973" s="3"/>
      <c r="I973" s="3"/>
      <c r="J973" s="288"/>
      <c r="L973" s="288"/>
      <c r="M973" s="288"/>
      <c r="N973" s="288"/>
      <c r="O973" s="288"/>
      <c r="P973" s="288"/>
      <c r="Q973" s="288"/>
      <c r="R973" s="283"/>
      <c r="S973" s="280"/>
      <c r="T973" s="276"/>
      <c r="U973" s="276"/>
      <c r="V973" s="276"/>
      <c r="W973" s="283"/>
      <c r="X973" s="280"/>
      <c r="Y973" s="280"/>
      <c r="Z973" s="280"/>
      <c r="AA973" s="280"/>
      <c r="AB973" s="280"/>
      <c r="AC973" s="280"/>
      <c r="AD973" s="280"/>
      <c r="AG973" s="3"/>
      <c r="AH973" s="3"/>
      <c r="AI973" s="3"/>
      <c r="AJ973" s="3"/>
      <c r="AK973" s="3"/>
      <c r="AL973" s="3"/>
      <c r="AM973" s="3"/>
      <c r="AN973" s="3"/>
      <c r="AO973" s="3"/>
      <c r="AP973" s="11"/>
      <c r="AQ973" s="11"/>
      <c r="AR973" s="3"/>
      <c r="AS973" s="3"/>
      <c r="AT973" s="3"/>
      <c r="AU973" s="3"/>
      <c r="AV973" s="3"/>
      <c r="AW973" s="3"/>
      <c r="AX973" s="11"/>
      <c r="AZ973"/>
      <c r="BA973"/>
      <c r="BB973"/>
      <c r="BC973"/>
    </row>
    <row r="974" spans="1:55" s="282" customFormat="1" x14ac:dyDescent="0.25">
      <c r="A974"/>
      <c r="B974"/>
      <c r="C974" s="3"/>
      <c r="D974"/>
      <c r="E974"/>
      <c r="F974"/>
      <c r="G974" s="3"/>
      <c r="H974" s="3"/>
      <c r="I974" s="3"/>
      <c r="J974" s="288"/>
      <c r="L974" s="288"/>
      <c r="M974" s="288"/>
      <c r="N974" s="288"/>
      <c r="O974" s="288"/>
      <c r="P974" s="288"/>
      <c r="Q974" s="288"/>
      <c r="R974" s="283"/>
      <c r="S974" s="280"/>
      <c r="T974" s="276"/>
      <c r="U974" s="276"/>
      <c r="V974" s="276"/>
      <c r="W974" s="283"/>
      <c r="X974" s="280"/>
      <c r="Y974" s="280"/>
      <c r="Z974" s="280"/>
      <c r="AA974" s="280"/>
      <c r="AB974" s="280"/>
      <c r="AC974" s="280"/>
      <c r="AD974" s="280"/>
      <c r="AG974" s="3"/>
      <c r="AH974" s="3"/>
      <c r="AI974" s="3"/>
      <c r="AJ974" s="3"/>
      <c r="AK974" s="3"/>
      <c r="AL974" s="3"/>
      <c r="AM974" s="3"/>
      <c r="AN974" s="3"/>
      <c r="AO974" s="3"/>
      <c r="AP974" s="11"/>
      <c r="AQ974" s="11"/>
      <c r="AR974" s="3"/>
      <c r="AS974" s="3"/>
      <c r="AT974" s="3"/>
      <c r="AU974" s="3"/>
      <c r="AV974" s="3"/>
      <c r="AW974" s="3"/>
      <c r="AX974" s="11"/>
      <c r="AZ974"/>
      <c r="BA974"/>
      <c r="BB974"/>
      <c r="BC974"/>
    </row>
    <row r="975" spans="1:55" s="282" customFormat="1" x14ac:dyDescent="0.25">
      <c r="A975"/>
      <c r="B975"/>
      <c r="C975" s="3"/>
      <c r="D975"/>
      <c r="E975"/>
      <c r="F975"/>
      <c r="G975" s="3"/>
      <c r="H975" s="3"/>
      <c r="I975" s="3"/>
      <c r="J975" s="288"/>
      <c r="L975" s="288"/>
      <c r="M975" s="288"/>
      <c r="N975" s="288"/>
      <c r="O975" s="288"/>
      <c r="P975" s="288"/>
      <c r="Q975" s="288"/>
      <c r="R975" s="283"/>
      <c r="S975" s="280"/>
      <c r="T975" s="276"/>
      <c r="U975" s="276"/>
      <c r="V975" s="276"/>
      <c r="W975" s="283"/>
      <c r="X975" s="280"/>
      <c r="Y975" s="280"/>
      <c r="Z975" s="280"/>
      <c r="AA975" s="280"/>
      <c r="AB975" s="280"/>
      <c r="AC975" s="280"/>
      <c r="AD975" s="280"/>
      <c r="AG975" s="3"/>
      <c r="AH975" s="3"/>
      <c r="AI975" s="3"/>
      <c r="AJ975" s="3"/>
      <c r="AK975" s="3"/>
      <c r="AL975" s="3"/>
      <c r="AM975" s="3"/>
      <c r="AN975" s="3"/>
      <c r="AO975" s="3"/>
      <c r="AP975" s="11"/>
      <c r="AQ975" s="11"/>
      <c r="AR975" s="3"/>
      <c r="AS975" s="3"/>
      <c r="AT975" s="3"/>
      <c r="AU975" s="3"/>
      <c r="AV975" s="3"/>
      <c r="AW975" s="3"/>
      <c r="AX975" s="11"/>
      <c r="AZ975"/>
      <c r="BA975"/>
      <c r="BB975"/>
      <c r="BC975"/>
    </row>
    <row r="976" spans="1:55" s="282" customFormat="1" x14ac:dyDescent="0.25">
      <c r="A976"/>
      <c r="B976"/>
      <c r="C976" s="3"/>
      <c r="D976"/>
      <c r="E976"/>
      <c r="F976"/>
      <c r="G976" s="3"/>
      <c r="H976" s="3"/>
      <c r="I976" s="3"/>
      <c r="J976" s="288"/>
      <c r="L976" s="288"/>
      <c r="M976" s="288"/>
      <c r="N976" s="288"/>
      <c r="O976" s="288"/>
      <c r="P976" s="288"/>
      <c r="Q976" s="288"/>
      <c r="R976" s="283"/>
      <c r="S976" s="280"/>
      <c r="T976" s="276"/>
      <c r="U976" s="276"/>
      <c r="V976" s="276"/>
      <c r="W976" s="283"/>
      <c r="X976" s="280"/>
      <c r="Y976" s="280"/>
      <c r="Z976" s="280"/>
      <c r="AA976" s="280"/>
      <c r="AB976" s="280"/>
      <c r="AC976" s="280"/>
      <c r="AD976" s="280"/>
      <c r="AG976" s="3"/>
      <c r="AH976" s="3"/>
      <c r="AI976" s="3"/>
      <c r="AJ976" s="3"/>
      <c r="AK976" s="3"/>
      <c r="AL976" s="3"/>
      <c r="AM976" s="3"/>
      <c r="AN976" s="3"/>
      <c r="AO976" s="3"/>
      <c r="AP976" s="11"/>
      <c r="AQ976" s="11"/>
      <c r="AR976" s="3"/>
      <c r="AS976" s="3"/>
      <c r="AT976" s="3"/>
      <c r="AU976" s="3"/>
      <c r="AV976" s="3"/>
      <c r="AW976" s="3"/>
      <c r="AX976" s="11"/>
      <c r="AZ976"/>
      <c r="BA976"/>
      <c r="BB976"/>
      <c r="BC976"/>
    </row>
    <row r="977" spans="1:55" s="282" customFormat="1" x14ac:dyDescent="0.25">
      <c r="A977"/>
      <c r="B977"/>
      <c r="C977" s="3"/>
      <c r="D977"/>
      <c r="E977"/>
      <c r="F977"/>
      <c r="G977" s="3"/>
      <c r="H977" s="3"/>
      <c r="I977" s="3"/>
      <c r="J977" s="288"/>
      <c r="L977" s="288"/>
      <c r="M977" s="288"/>
      <c r="N977" s="288"/>
      <c r="O977" s="288"/>
      <c r="P977" s="288"/>
      <c r="Q977" s="288"/>
      <c r="R977" s="283"/>
      <c r="S977" s="280"/>
      <c r="T977" s="276"/>
      <c r="U977" s="276"/>
      <c r="V977" s="276"/>
      <c r="W977" s="283"/>
      <c r="X977" s="280"/>
      <c r="Y977" s="280"/>
      <c r="Z977" s="280"/>
      <c r="AA977" s="280"/>
      <c r="AB977" s="280"/>
      <c r="AC977" s="280"/>
      <c r="AD977" s="280"/>
      <c r="AG977" s="3"/>
      <c r="AH977" s="3"/>
      <c r="AI977" s="3"/>
      <c r="AJ977" s="3"/>
      <c r="AK977" s="3"/>
      <c r="AL977" s="3"/>
      <c r="AM977" s="3"/>
      <c r="AN977" s="3"/>
      <c r="AO977" s="3"/>
      <c r="AP977" s="11"/>
      <c r="AQ977" s="11"/>
      <c r="AR977" s="3"/>
      <c r="AS977" s="3"/>
      <c r="AT977" s="3"/>
      <c r="AU977" s="3"/>
      <c r="AV977" s="3"/>
      <c r="AW977" s="3"/>
      <c r="AX977" s="11"/>
      <c r="AZ977"/>
      <c r="BA977"/>
      <c r="BB977"/>
      <c r="BC977"/>
    </row>
    <row r="978" spans="1:55" s="282" customFormat="1" x14ac:dyDescent="0.25">
      <c r="A978"/>
      <c r="B978"/>
      <c r="C978" s="3"/>
      <c r="D978"/>
      <c r="E978"/>
      <c r="F978"/>
      <c r="G978" s="3"/>
      <c r="H978" s="3"/>
      <c r="I978" s="3"/>
      <c r="J978" s="288"/>
      <c r="L978" s="288"/>
      <c r="M978" s="288"/>
      <c r="N978" s="288"/>
      <c r="O978" s="288"/>
      <c r="P978" s="288"/>
      <c r="Q978" s="288"/>
      <c r="R978" s="283"/>
      <c r="S978" s="280"/>
      <c r="T978" s="276"/>
      <c r="U978" s="276"/>
      <c r="V978" s="276"/>
      <c r="W978" s="283"/>
      <c r="X978" s="280"/>
      <c r="Y978" s="280"/>
      <c r="Z978" s="280"/>
      <c r="AA978" s="280"/>
      <c r="AB978" s="280"/>
      <c r="AC978" s="280"/>
      <c r="AD978" s="280"/>
      <c r="AG978" s="3"/>
      <c r="AH978" s="3"/>
      <c r="AI978" s="3"/>
      <c r="AJ978" s="3"/>
      <c r="AK978" s="3"/>
      <c r="AL978" s="3"/>
      <c r="AM978" s="3"/>
      <c r="AN978" s="3"/>
      <c r="AO978" s="3"/>
      <c r="AP978" s="11"/>
      <c r="AQ978" s="11"/>
      <c r="AR978" s="3"/>
      <c r="AS978" s="3"/>
      <c r="AT978" s="3"/>
      <c r="AU978" s="3"/>
      <c r="AV978" s="3"/>
      <c r="AW978" s="3"/>
      <c r="AX978" s="11"/>
      <c r="AZ978"/>
      <c r="BA978"/>
      <c r="BB978"/>
      <c r="BC978"/>
    </row>
    <row r="979" spans="1:55" s="282" customFormat="1" x14ac:dyDescent="0.25">
      <c r="A979"/>
      <c r="B979"/>
      <c r="C979" s="3"/>
      <c r="D979"/>
      <c r="E979"/>
      <c r="F979"/>
      <c r="G979" s="3"/>
      <c r="H979" s="3"/>
      <c r="I979" s="3"/>
      <c r="J979" s="288"/>
      <c r="L979" s="288"/>
      <c r="M979" s="288"/>
      <c r="N979" s="288"/>
      <c r="O979" s="288"/>
      <c r="P979" s="288"/>
      <c r="Q979" s="288"/>
      <c r="R979" s="283"/>
      <c r="S979" s="280"/>
      <c r="T979" s="276"/>
      <c r="U979" s="276"/>
      <c r="V979" s="276"/>
      <c r="W979" s="283"/>
      <c r="X979" s="280"/>
      <c r="Y979" s="280"/>
      <c r="Z979" s="280"/>
      <c r="AA979" s="280"/>
      <c r="AB979" s="280"/>
      <c r="AC979" s="280"/>
      <c r="AD979" s="280"/>
      <c r="AG979" s="3"/>
      <c r="AH979" s="3"/>
      <c r="AI979" s="3"/>
      <c r="AJ979" s="3"/>
      <c r="AK979" s="3"/>
      <c r="AL979" s="3"/>
      <c r="AM979" s="3"/>
      <c r="AN979" s="3"/>
      <c r="AO979" s="3"/>
      <c r="AP979" s="11"/>
      <c r="AQ979" s="11"/>
      <c r="AR979" s="3"/>
      <c r="AS979" s="3"/>
      <c r="AT979" s="3"/>
      <c r="AU979" s="3"/>
      <c r="AV979" s="3"/>
      <c r="AW979" s="3"/>
      <c r="AX979" s="11"/>
      <c r="AZ979"/>
      <c r="BA979"/>
      <c r="BB979"/>
      <c r="BC979"/>
    </row>
    <row r="980" spans="1:55" s="282" customFormat="1" x14ac:dyDescent="0.25">
      <c r="A980"/>
      <c r="B980"/>
      <c r="C980" s="3"/>
      <c r="D980"/>
      <c r="E980"/>
      <c r="F980"/>
      <c r="G980" s="3"/>
      <c r="H980" s="3"/>
      <c r="I980" s="3"/>
      <c r="J980" s="288"/>
      <c r="L980" s="288"/>
      <c r="M980" s="288"/>
      <c r="N980" s="288"/>
      <c r="O980" s="288"/>
      <c r="P980" s="288"/>
      <c r="Q980" s="288"/>
      <c r="R980" s="283"/>
      <c r="S980" s="280"/>
      <c r="T980" s="276"/>
      <c r="U980" s="276"/>
      <c r="V980" s="276"/>
      <c r="W980" s="283"/>
      <c r="X980" s="280"/>
      <c r="Y980" s="280"/>
      <c r="Z980" s="280"/>
      <c r="AA980" s="280"/>
      <c r="AB980" s="280"/>
      <c r="AC980" s="280"/>
      <c r="AD980" s="280"/>
      <c r="AG980" s="3"/>
      <c r="AH980" s="3"/>
      <c r="AI980" s="3"/>
      <c r="AJ980" s="3"/>
      <c r="AK980" s="3"/>
      <c r="AL980" s="3"/>
      <c r="AM980" s="3"/>
      <c r="AN980" s="3"/>
      <c r="AO980" s="3"/>
      <c r="AP980" s="11"/>
      <c r="AQ980" s="11"/>
      <c r="AR980" s="3"/>
      <c r="AS980" s="3"/>
      <c r="AT980" s="3"/>
      <c r="AU980" s="3"/>
      <c r="AV980" s="3"/>
      <c r="AW980" s="3"/>
      <c r="AX980" s="11"/>
      <c r="AZ980"/>
      <c r="BA980"/>
      <c r="BB980"/>
      <c r="BC980"/>
    </row>
    <row r="981" spans="1:55" s="282" customFormat="1" x14ac:dyDescent="0.25">
      <c r="A981"/>
      <c r="B981"/>
      <c r="C981" s="3"/>
      <c r="D981"/>
      <c r="E981"/>
      <c r="F981"/>
      <c r="G981" s="3"/>
      <c r="H981" s="3"/>
      <c r="I981" s="3"/>
      <c r="J981" s="288"/>
      <c r="L981" s="288"/>
      <c r="M981" s="288"/>
      <c r="N981" s="288"/>
      <c r="O981" s="288"/>
      <c r="P981" s="288"/>
      <c r="Q981" s="288"/>
      <c r="R981" s="283"/>
      <c r="S981" s="280"/>
      <c r="T981" s="276"/>
      <c r="U981" s="276"/>
      <c r="V981" s="276"/>
      <c r="W981" s="283"/>
      <c r="X981" s="280"/>
      <c r="Y981" s="280"/>
      <c r="Z981" s="280"/>
      <c r="AA981" s="280"/>
      <c r="AB981" s="280"/>
      <c r="AC981" s="280"/>
      <c r="AD981" s="280"/>
      <c r="AG981" s="3"/>
      <c r="AH981" s="3"/>
      <c r="AI981" s="3"/>
      <c r="AJ981" s="3"/>
      <c r="AK981" s="3"/>
      <c r="AL981" s="3"/>
      <c r="AM981" s="3"/>
      <c r="AN981" s="3"/>
      <c r="AO981" s="3"/>
      <c r="AP981" s="11"/>
      <c r="AQ981" s="11"/>
      <c r="AR981" s="3"/>
      <c r="AS981" s="3"/>
      <c r="AT981" s="3"/>
      <c r="AU981" s="3"/>
      <c r="AV981" s="3"/>
      <c r="AW981" s="3"/>
      <c r="AX981" s="11"/>
      <c r="AZ981"/>
      <c r="BA981"/>
      <c r="BB981"/>
      <c r="BC981"/>
    </row>
    <row r="982" spans="1:55" s="282" customFormat="1" x14ac:dyDescent="0.25">
      <c r="A982"/>
      <c r="B982"/>
      <c r="C982" s="3"/>
      <c r="D982"/>
      <c r="E982"/>
      <c r="F982"/>
      <c r="G982" s="3"/>
      <c r="H982" s="3"/>
      <c r="I982" s="3"/>
      <c r="J982" s="288"/>
      <c r="L982" s="288"/>
      <c r="M982" s="288"/>
      <c r="N982" s="288"/>
      <c r="O982" s="288"/>
      <c r="P982" s="288"/>
      <c r="Q982" s="288"/>
      <c r="R982" s="283"/>
      <c r="S982" s="280"/>
      <c r="T982" s="276"/>
      <c r="U982" s="276"/>
      <c r="V982" s="276"/>
      <c r="W982" s="283"/>
      <c r="X982" s="280"/>
      <c r="Y982" s="280"/>
      <c r="Z982" s="280"/>
      <c r="AA982" s="280"/>
      <c r="AB982" s="280"/>
      <c r="AC982" s="280"/>
      <c r="AD982" s="280"/>
      <c r="AG982" s="3"/>
      <c r="AH982" s="3"/>
      <c r="AI982" s="3"/>
      <c r="AJ982" s="3"/>
      <c r="AK982" s="3"/>
      <c r="AL982" s="3"/>
      <c r="AM982" s="3"/>
      <c r="AN982" s="3"/>
      <c r="AO982" s="3"/>
      <c r="AP982" s="11"/>
      <c r="AQ982" s="11"/>
      <c r="AR982" s="3"/>
      <c r="AS982" s="3"/>
      <c r="AT982" s="3"/>
      <c r="AU982" s="3"/>
      <c r="AV982" s="3"/>
      <c r="AW982" s="3"/>
      <c r="AX982" s="11"/>
      <c r="AZ982"/>
      <c r="BA982"/>
      <c r="BB982"/>
      <c r="BC982"/>
    </row>
    <row r="983" spans="1:55" s="282" customFormat="1" x14ac:dyDescent="0.25">
      <c r="A983"/>
      <c r="B983"/>
      <c r="C983" s="3"/>
      <c r="D983"/>
      <c r="E983"/>
      <c r="F983"/>
      <c r="G983" s="3"/>
      <c r="H983" s="3"/>
      <c r="I983" s="3"/>
      <c r="J983" s="288"/>
      <c r="L983" s="288"/>
      <c r="M983" s="288"/>
      <c r="N983" s="288"/>
      <c r="O983" s="288"/>
      <c r="P983" s="288"/>
      <c r="Q983" s="288"/>
      <c r="R983" s="283"/>
      <c r="S983" s="280"/>
      <c r="T983" s="276"/>
      <c r="U983" s="276"/>
      <c r="V983" s="276"/>
      <c r="W983" s="283"/>
      <c r="X983" s="280"/>
      <c r="Y983" s="280"/>
      <c r="Z983" s="280"/>
      <c r="AA983" s="280"/>
      <c r="AB983" s="280"/>
      <c r="AC983" s="280"/>
      <c r="AD983" s="280"/>
      <c r="AG983" s="3"/>
      <c r="AH983" s="3"/>
      <c r="AI983" s="3"/>
      <c r="AJ983" s="3"/>
      <c r="AK983" s="3"/>
      <c r="AL983" s="3"/>
      <c r="AM983" s="3"/>
      <c r="AN983" s="3"/>
      <c r="AO983" s="3"/>
      <c r="AP983" s="11"/>
      <c r="AQ983" s="11"/>
      <c r="AR983" s="3"/>
      <c r="AS983" s="3"/>
      <c r="AT983" s="3"/>
      <c r="AU983" s="3"/>
      <c r="AV983" s="3"/>
      <c r="AW983" s="3"/>
      <c r="AX983" s="11"/>
      <c r="AZ983"/>
      <c r="BA983"/>
      <c r="BB983"/>
      <c r="BC983"/>
    </row>
    <row r="984" spans="1:55" s="282" customFormat="1" x14ac:dyDescent="0.25">
      <c r="A984"/>
      <c r="B984"/>
      <c r="C984" s="3"/>
      <c r="D984"/>
      <c r="E984"/>
      <c r="F984"/>
      <c r="G984" s="3"/>
      <c r="H984" s="3"/>
      <c r="I984" s="3"/>
      <c r="J984" s="288"/>
      <c r="L984" s="288"/>
      <c r="M984" s="288"/>
      <c r="N984" s="288"/>
      <c r="O984" s="288"/>
      <c r="P984" s="288"/>
      <c r="Q984" s="288"/>
      <c r="R984" s="283"/>
      <c r="S984" s="280"/>
      <c r="T984" s="276"/>
      <c r="U984" s="276"/>
      <c r="V984" s="276"/>
      <c r="W984" s="283"/>
      <c r="X984" s="280"/>
      <c r="Y984" s="280"/>
      <c r="Z984" s="280"/>
      <c r="AA984" s="280"/>
      <c r="AB984" s="280"/>
      <c r="AC984" s="280"/>
      <c r="AD984" s="280"/>
      <c r="AG984" s="3"/>
      <c r="AH984" s="3"/>
      <c r="AI984" s="3"/>
      <c r="AJ984" s="3"/>
      <c r="AK984" s="3"/>
      <c r="AL984" s="3"/>
      <c r="AM984" s="3"/>
      <c r="AN984" s="3"/>
      <c r="AO984" s="3"/>
      <c r="AP984" s="11"/>
      <c r="AQ984" s="11"/>
      <c r="AR984" s="3"/>
      <c r="AS984" s="3"/>
      <c r="AT984" s="3"/>
      <c r="AU984" s="3"/>
      <c r="AV984" s="3"/>
      <c r="AW984" s="3"/>
      <c r="AX984" s="11"/>
      <c r="AZ984"/>
      <c r="BA984"/>
      <c r="BB984"/>
      <c r="BC984"/>
    </row>
    <row r="985" spans="1:55" s="282" customFormat="1" x14ac:dyDescent="0.25">
      <c r="A985"/>
      <c r="B985"/>
      <c r="C985" s="3"/>
      <c r="D985"/>
      <c r="E985"/>
      <c r="F985"/>
      <c r="G985" s="3"/>
      <c r="H985" s="3"/>
      <c r="I985" s="3"/>
      <c r="J985" s="288"/>
      <c r="L985" s="288"/>
      <c r="M985" s="288"/>
      <c r="N985" s="288"/>
      <c r="O985" s="288"/>
      <c r="P985" s="288"/>
      <c r="Q985" s="288"/>
      <c r="R985" s="283"/>
      <c r="S985" s="280"/>
      <c r="T985" s="276"/>
      <c r="U985" s="276"/>
      <c r="V985" s="276"/>
      <c r="W985" s="283"/>
      <c r="X985" s="280"/>
      <c r="Y985" s="280"/>
      <c r="Z985" s="280"/>
      <c r="AA985" s="280"/>
      <c r="AB985" s="280"/>
      <c r="AC985" s="280"/>
      <c r="AD985" s="280"/>
      <c r="AG985" s="3"/>
      <c r="AH985" s="3"/>
      <c r="AI985" s="3"/>
      <c r="AJ985" s="3"/>
      <c r="AK985" s="3"/>
      <c r="AL985" s="3"/>
      <c r="AM985" s="3"/>
      <c r="AN985" s="3"/>
      <c r="AO985" s="3"/>
      <c r="AP985" s="11"/>
      <c r="AQ985" s="11"/>
      <c r="AR985" s="3"/>
      <c r="AS985" s="3"/>
      <c r="AT985" s="3"/>
      <c r="AU985" s="3"/>
      <c r="AV985" s="3"/>
      <c r="AW985" s="3"/>
      <c r="AX985" s="11"/>
      <c r="AZ985"/>
      <c r="BA985"/>
      <c r="BB985"/>
      <c r="BC985"/>
    </row>
    <row r="986" spans="1:55" s="282" customFormat="1" x14ac:dyDescent="0.25">
      <c r="A986"/>
      <c r="B986"/>
      <c r="C986" s="3"/>
      <c r="D986"/>
      <c r="E986"/>
      <c r="F986"/>
      <c r="G986" s="3"/>
      <c r="H986" s="3"/>
      <c r="I986" s="3"/>
      <c r="J986" s="288"/>
      <c r="L986" s="288"/>
      <c r="M986" s="288"/>
      <c r="N986" s="288"/>
      <c r="O986" s="288"/>
      <c r="P986" s="288"/>
      <c r="Q986" s="288"/>
      <c r="R986" s="283"/>
      <c r="S986" s="280"/>
      <c r="T986" s="276"/>
      <c r="U986" s="276"/>
      <c r="V986" s="276"/>
      <c r="W986" s="283"/>
      <c r="X986" s="280"/>
      <c r="Y986" s="280"/>
      <c r="Z986" s="280"/>
      <c r="AA986" s="280"/>
      <c r="AB986" s="280"/>
      <c r="AC986" s="280"/>
      <c r="AD986" s="280"/>
      <c r="AG986" s="3"/>
      <c r="AH986" s="3"/>
      <c r="AI986" s="3"/>
      <c r="AJ986" s="3"/>
      <c r="AK986" s="3"/>
      <c r="AL986" s="3"/>
      <c r="AM986" s="3"/>
      <c r="AN986" s="3"/>
      <c r="AO986" s="3"/>
      <c r="AP986" s="11"/>
      <c r="AQ986" s="11"/>
      <c r="AR986" s="3"/>
      <c r="AS986" s="3"/>
      <c r="AT986" s="3"/>
      <c r="AU986" s="3"/>
      <c r="AV986" s="3"/>
      <c r="AW986" s="3"/>
      <c r="AX986" s="11"/>
      <c r="AZ986"/>
      <c r="BA986"/>
      <c r="BB986"/>
      <c r="BC986"/>
    </row>
    <row r="987" spans="1:55" s="282" customFormat="1" x14ac:dyDescent="0.25">
      <c r="A987"/>
      <c r="B987"/>
      <c r="C987" s="3"/>
      <c r="D987"/>
      <c r="E987"/>
      <c r="F987"/>
      <c r="G987" s="3"/>
      <c r="H987" s="3"/>
      <c r="I987" s="3"/>
      <c r="J987" s="288"/>
      <c r="L987" s="288"/>
      <c r="M987" s="288"/>
      <c r="N987" s="288"/>
      <c r="O987" s="288"/>
      <c r="P987" s="288"/>
      <c r="Q987" s="288"/>
      <c r="R987" s="283"/>
      <c r="S987" s="280"/>
      <c r="T987" s="276"/>
      <c r="U987" s="276"/>
      <c r="V987" s="276"/>
      <c r="W987" s="283"/>
      <c r="X987" s="280"/>
      <c r="Y987" s="280"/>
      <c r="Z987" s="280"/>
      <c r="AA987" s="280"/>
      <c r="AB987" s="280"/>
      <c r="AC987" s="280"/>
      <c r="AD987" s="280"/>
      <c r="AG987" s="3"/>
      <c r="AH987" s="3"/>
      <c r="AI987" s="3"/>
      <c r="AJ987" s="3"/>
      <c r="AK987" s="3"/>
      <c r="AL987" s="3"/>
      <c r="AM987" s="3"/>
      <c r="AN987" s="3"/>
      <c r="AO987" s="3"/>
      <c r="AP987" s="11"/>
      <c r="AQ987" s="11"/>
      <c r="AR987" s="3"/>
      <c r="AS987" s="3"/>
      <c r="AT987" s="3"/>
      <c r="AU987" s="3"/>
      <c r="AV987" s="3"/>
      <c r="AW987" s="3"/>
      <c r="AX987" s="11"/>
      <c r="AZ987"/>
      <c r="BA987"/>
      <c r="BB987"/>
      <c r="BC987"/>
    </row>
    <row r="988" spans="1:55" s="282" customFormat="1" x14ac:dyDescent="0.25">
      <c r="A988"/>
      <c r="B988"/>
      <c r="C988" s="3"/>
      <c r="D988"/>
      <c r="E988"/>
      <c r="F988"/>
      <c r="G988" s="3"/>
      <c r="H988" s="3"/>
      <c r="I988" s="3"/>
      <c r="J988" s="288"/>
      <c r="L988" s="288"/>
      <c r="M988" s="288"/>
      <c r="N988" s="288"/>
      <c r="O988" s="288"/>
      <c r="P988" s="288"/>
      <c r="Q988" s="288"/>
      <c r="R988" s="283"/>
      <c r="S988" s="280"/>
      <c r="T988" s="276"/>
      <c r="U988" s="276"/>
      <c r="V988" s="276"/>
      <c r="W988" s="283"/>
      <c r="X988" s="280"/>
      <c r="Y988" s="280"/>
      <c r="Z988" s="280"/>
      <c r="AA988" s="280"/>
      <c r="AB988" s="280"/>
      <c r="AC988" s="280"/>
      <c r="AD988" s="280"/>
      <c r="AG988" s="3"/>
      <c r="AH988" s="3"/>
      <c r="AI988" s="3"/>
      <c r="AJ988" s="3"/>
      <c r="AK988" s="3"/>
      <c r="AL988" s="3"/>
      <c r="AM988" s="3"/>
      <c r="AN988" s="3"/>
      <c r="AO988" s="3"/>
      <c r="AP988" s="11"/>
      <c r="AQ988" s="11"/>
      <c r="AR988" s="3"/>
      <c r="AS988" s="3"/>
      <c r="AT988" s="3"/>
      <c r="AU988" s="3"/>
      <c r="AV988" s="3"/>
      <c r="AW988" s="3"/>
      <c r="AX988" s="11"/>
      <c r="AZ988"/>
      <c r="BA988"/>
      <c r="BB988"/>
      <c r="BC988"/>
    </row>
    <row r="989" spans="1:55" s="282" customFormat="1" x14ac:dyDescent="0.25">
      <c r="A989"/>
      <c r="B989"/>
      <c r="C989" s="3"/>
      <c r="D989"/>
      <c r="E989"/>
      <c r="F989"/>
      <c r="G989" s="3"/>
      <c r="H989" s="3"/>
      <c r="I989" s="3"/>
      <c r="J989" s="288"/>
      <c r="L989" s="288"/>
      <c r="M989" s="288"/>
      <c r="N989" s="288"/>
      <c r="O989" s="288"/>
      <c r="P989" s="288"/>
      <c r="Q989" s="288"/>
      <c r="R989" s="283"/>
      <c r="S989" s="280"/>
      <c r="T989" s="276"/>
      <c r="U989" s="276"/>
      <c r="V989" s="276"/>
      <c r="W989" s="283"/>
      <c r="X989" s="280"/>
      <c r="Y989" s="280"/>
      <c r="Z989" s="280"/>
      <c r="AA989" s="280"/>
      <c r="AB989" s="280"/>
      <c r="AC989" s="280"/>
      <c r="AD989" s="280"/>
      <c r="AG989" s="3"/>
      <c r="AH989" s="3"/>
      <c r="AI989" s="3"/>
      <c r="AJ989" s="3"/>
      <c r="AK989" s="3"/>
      <c r="AL989" s="3"/>
      <c r="AM989" s="3"/>
      <c r="AN989" s="3"/>
      <c r="AO989" s="3"/>
      <c r="AP989" s="11"/>
      <c r="AQ989" s="11"/>
      <c r="AR989" s="3"/>
      <c r="AS989" s="3"/>
      <c r="AT989" s="3"/>
      <c r="AU989" s="3"/>
      <c r="AV989" s="3"/>
      <c r="AW989" s="3"/>
      <c r="AX989" s="11"/>
      <c r="AZ989"/>
      <c r="BA989"/>
      <c r="BB989"/>
      <c r="BC989"/>
    </row>
    <row r="990" spans="1:55" s="282" customFormat="1" x14ac:dyDescent="0.25">
      <c r="A990"/>
      <c r="B990"/>
      <c r="C990" s="3"/>
      <c r="D990"/>
      <c r="E990"/>
      <c r="F990"/>
      <c r="G990" s="3"/>
      <c r="H990" s="3"/>
      <c r="I990" s="3"/>
      <c r="J990" s="288"/>
      <c r="L990" s="288"/>
      <c r="M990" s="288"/>
      <c r="N990" s="288"/>
      <c r="O990" s="288"/>
      <c r="P990" s="288"/>
      <c r="Q990" s="288"/>
      <c r="R990" s="283"/>
      <c r="S990" s="280"/>
      <c r="T990" s="276"/>
      <c r="U990" s="276"/>
      <c r="V990" s="276"/>
      <c r="W990" s="283"/>
      <c r="X990" s="280"/>
      <c r="Y990" s="280"/>
      <c r="Z990" s="280"/>
      <c r="AA990" s="280"/>
      <c r="AB990" s="280"/>
      <c r="AC990" s="280"/>
      <c r="AD990" s="280"/>
      <c r="AG990" s="3"/>
      <c r="AH990" s="3"/>
      <c r="AI990" s="3"/>
      <c r="AJ990" s="3"/>
      <c r="AK990" s="3"/>
      <c r="AL990" s="3"/>
      <c r="AM990" s="3"/>
      <c r="AN990" s="3"/>
      <c r="AO990" s="3"/>
      <c r="AP990" s="11"/>
      <c r="AQ990" s="11"/>
      <c r="AR990" s="3"/>
      <c r="AS990" s="3"/>
      <c r="AT990" s="3"/>
      <c r="AU990" s="3"/>
      <c r="AV990" s="3"/>
      <c r="AW990" s="3"/>
      <c r="AX990" s="11"/>
      <c r="AZ990"/>
      <c r="BA990"/>
      <c r="BB990"/>
      <c r="BC990"/>
    </row>
    <row r="991" spans="1:55" s="282" customFormat="1" x14ac:dyDescent="0.25">
      <c r="A991"/>
      <c r="B991"/>
      <c r="C991" s="3"/>
      <c r="D991"/>
      <c r="E991"/>
      <c r="F991"/>
      <c r="G991" s="3"/>
      <c r="H991" s="3"/>
      <c r="I991" s="3"/>
      <c r="J991" s="288"/>
      <c r="L991" s="288"/>
      <c r="M991" s="288"/>
      <c r="N991" s="288"/>
      <c r="O991" s="288"/>
      <c r="P991" s="288"/>
      <c r="Q991" s="288"/>
      <c r="R991" s="283"/>
      <c r="S991" s="280"/>
      <c r="T991" s="276"/>
      <c r="U991" s="276"/>
      <c r="V991" s="276"/>
      <c r="W991" s="283"/>
      <c r="X991" s="280"/>
      <c r="Y991" s="280"/>
      <c r="Z991" s="280"/>
      <c r="AA991" s="280"/>
      <c r="AB991" s="280"/>
      <c r="AC991" s="280"/>
      <c r="AD991" s="280"/>
      <c r="AG991" s="3"/>
      <c r="AH991" s="3"/>
      <c r="AI991" s="3"/>
      <c r="AJ991" s="3"/>
      <c r="AK991" s="3"/>
      <c r="AL991" s="3"/>
      <c r="AM991" s="3"/>
      <c r="AN991" s="3"/>
      <c r="AO991" s="3"/>
      <c r="AP991" s="11"/>
      <c r="AQ991" s="11"/>
      <c r="AR991" s="3"/>
      <c r="AS991" s="3"/>
      <c r="AT991" s="3"/>
      <c r="AU991" s="3"/>
      <c r="AV991" s="3"/>
      <c r="AW991" s="3"/>
      <c r="AX991" s="11"/>
      <c r="AZ991"/>
      <c r="BA991"/>
      <c r="BB991"/>
      <c r="BC991"/>
    </row>
    <row r="992" spans="1:55" s="282" customFormat="1" x14ac:dyDescent="0.25">
      <c r="A992"/>
      <c r="B992"/>
      <c r="C992" s="3"/>
      <c r="D992"/>
      <c r="E992"/>
      <c r="F992"/>
      <c r="G992" s="3"/>
      <c r="H992" s="3"/>
      <c r="I992" s="3"/>
      <c r="J992" s="288"/>
      <c r="L992" s="288"/>
      <c r="M992" s="288"/>
      <c r="N992" s="288"/>
      <c r="O992" s="288"/>
      <c r="P992" s="288"/>
      <c r="Q992" s="288"/>
      <c r="R992" s="283"/>
      <c r="S992" s="280"/>
      <c r="T992" s="276"/>
      <c r="U992" s="276"/>
      <c r="V992" s="276"/>
      <c r="W992" s="283"/>
      <c r="X992" s="280"/>
      <c r="Y992" s="280"/>
      <c r="Z992" s="280"/>
      <c r="AA992" s="280"/>
      <c r="AB992" s="280"/>
      <c r="AC992" s="280"/>
      <c r="AD992" s="280"/>
      <c r="AG992" s="3"/>
      <c r="AH992" s="3"/>
      <c r="AI992" s="3"/>
      <c r="AJ992" s="3"/>
      <c r="AK992" s="3"/>
      <c r="AL992" s="3"/>
      <c r="AM992" s="3"/>
      <c r="AN992" s="3"/>
      <c r="AO992" s="3"/>
      <c r="AP992" s="11"/>
      <c r="AQ992" s="11"/>
      <c r="AR992" s="3"/>
      <c r="AS992" s="3"/>
      <c r="AT992" s="3"/>
      <c r="AU992" s="3"/>
      <c r="AV992" s="3"/>
      <c r="AW992" s="3"/>
      <c r="AX992" s="11"/>
      <c r="AZ992"/>
      <c r="BA992"/>
      <c r="BB992"/>
      <c r="BC992"/>
    </row>
    <row r="993" spans="1:55" s="282" customFormat="1" x14ac:dyDescent="0.25">
      <c r="A993"/>
      <c r="B993"/>
      <c r="C993" s="3"/>
      <c r="D993"/>
      <c r="E993"/>
      <c r="F993"/>
      <c r="G993" s="3"/>
      <c r="H993" s="3"/>
      <c r="I993" s="3"/>
      <c r="J993" s="288"/>
      <c r="L993" s="288"/>
      <c r="M993" s="288"/>
      <c r="N993" s="288"/>
      <c r="O993" s="288"/>
      <c r="P993" s="288"/>
      <c r="Q993" s="288"/>
      <c r="R993" s="283"/>
      <c r="S993" s="280"/>
      <c r="T993" s="276"/>
      <c r="U993" s="276"/>
      <c r="V993" s="276"/>
      <c r="W993" s="283"/>
      <c r="X993" s="280"/>
      <c r="Y993" s="280"/>
      <c r="Z993" s="280"/>
      <c r="AA993" s="280"/>
      <c r="AB993" s="280"/>
      <c r="AC993" s="280"/>
      <c r="AD993" s="280"/>
      <c r="AG993" s="3"/>
      <c r="AH993" s="3"/>
      <c r="AI993" s="3"/>
      <c r="AJ993" s="3"/>
      <c r="AK993" s="3"/>
      <c r="AL993" s="3"/>
      <c r="AM993" s="3"/>
      <c r="AN993" s="3"/>
      <c r="AO993" s="3"/>
      <c r="AP993" s="11"/>
      <c r="AQ993" s="11"/>
      <c r="AR993" s="3"/>
      <c r="AS993" s="3"/>
      <c r="AT993" s="3"/>
      <c r="AU993" s="3"/>
      <c r="AV993" s="3"/>
      <c r="AW993" s="3"/>
      <c r="AX993" s="11"/>
      <c r="AZ993"/>
      <c r="BA993"/>
      <c r="BB993"/>
      <c r="BC993"/>
    </row>
    <row r="994" spans="1:55" s="282" customFormat="1" x14ac:dyDescent="0.25">
      <c r="A994"/>
      <c r="B994"/>
      <c r="C994" s="3"/>
      <c r="D994"/>
      <c r="E994"/>
      <c r="F994"/>
      <c r="G994" s="3"/>
      <c r="H994" s="3"/>
      <c r="I994" s="3"/>
      <c r="J994" s="288"/>
      <c r="L994" s="288"/>
      <c r="M994" s="288"/>
      <c r="N994" s="288"/>
      <c r="O994" s="288"/>
      <c r="P994" s="288"/>
      <c r="Q994" s="288"/>
      <c r="R994" s="283"/>
      <c r="S994" s="280"/>
      <c r="T994" s="276"/>
      <c r="U994" s="276"/>
      <c r="V994" s="276"/>
      <c r="W994" s="283"/>
      <c r="X994" s="280"/>
      <c r="Y994" s="280"/>
      <c r="Z994" s="280"/>
      <c r="AA994" s="280"/>
      <c r="AB994" s="280"/>
      <c r="AC994" s="280"/>
      <c r="AD994" s="280"/>
      <c r="AG994" s="3"/>
      <c r="AH994" s="3"/>
      <c r="AI994" s="3"/>
      <c r="AJ994" s="3"/>
      <c r="AK994" s="3"/>
      <c r="AL994" s="3"/>
      <c r="AM994" s="3"/>
      <c r="AN994" s="3"/>
      <c r="AO994" s="3"/>
      <c r="AP994" s="11"/>
      <c r="AQ994" s="11"/>
      <c r="AR994" s="3"/>
      <c r="AS994" s="3"/>
      <c r="AT994" s="3"/>
      <c r="AU994" s="3"/>
      <c r="AV994" s="3"/>
      <c r="AW994" s="3"/>
      <c r="AX994" s="11"/>
      <c r="AZ994"/>
      <c r="BA994"/>
      <c r="BB994"/>
      <c r="BC994"/>
    </row>
    <row r="995" spans="1:55" s="282" customFormat="1" x14ac:dyDescent="0.25">
      <c r="A995"/>
      <c r="B995"/>
      <c r="C995" s="3"/>
      <c r="D995"/>
      <c r="E995"/>
      <c r="F995"/>
      <c r="G995" s="3"/>
      <c r="H995" s="3"/>
      <c r="I995" s="3"/>
      <c r="J995" s="288"/>
      <c r="L995" s="288"/>
      <c r="M995" s="288"/>
      <c r="N995" s="288"/>
      <c r="O995" s="288"/>
      <c r="P995" s="288"/>
      <c r="Q995" s="288"/>
      <c r="R995" s="283"/>
      <c r="S995" s="280"/>
      <c r="T995" s="276"/>
      <c r="U995" s="276"/>
      <c r="V995" s="276"/>
      <c r="W995" s="283"/>
      <c r="X995" s="280"/>
      <c r="Y995" s="280"/>
      <c r="Z995" s="280"/>
      <c r="AA995" s="280"/>
      <c r="AB995" s="280"/>
      <c r="AC995" s="280"/>
      <c r="AD995" s="280"/>
      <c r="AG995" s="3"/>
      <c r="AH995" s="3"/>
      <c r="AI995" s="3"/>
      <c r="AJ995" s="3"/>
      <c r="AK995" s="3"/>
      <c r="AL995" s="3"/>
      <c r="AM995" s="3"/>
      <c r="AN995" s="3"/>
      <c r="AO995" s="3"/>
      <c r="AP995" s="11"/>
      <c r="AQ995" s="11"/>
      <c r="AR995" s="3"/>
      <c r="AS995" s="3"/>
      <c r="AT995" s="3"/>
      <c r="AU995" s="3"/>
      <c r="AV995" s="3"/>
      <c r="AW995" s="3"/>
      <c r="AX995" s="11"/>
      <c r="AZ995"/>
      <c r="BA995"/>
      <c r="BB995"/>
      <c r="BC995"/>
    </row>
    <row r="996" spans="1:55" s="282" customFormat="1" x14ac:dyDescent="0.25">
      <c r="A996"/>
      <c r="B996"/>
      <c r="C996" s="3"/>
      <c r="D996"/>
      <c r="E996"/>
      <c r="F996"/>
      <c r="G996" s="3"/>
      <c r="H996" s="3"/>
      <c r="I996" s="3"/>
      <c r="J996" s="288"/>
      <c r="L996" s="288"/>
      <c r="M996" s="288"/>
      <c r="N996" s="288"/>
      <c r="O996" s="288"/>
      <c r="P996" s="288"/>
      <c r="Q996" s="288"/>
      <c r="R996" s="283"/>
      <c r="S996" s="280"/>
      <c r="T996" s="276"/>
      <c r="U996" s="276"/>
      <c r="V996" s="276"/>
      <c r="W996" s="283"/>
      <c r="X996" s="280"/>
      <c r="Y996" s="280"/>
      <c r="Z996" s="280"/>
      <c r="AA996" s="280"/>
      <c r="AB996" s="280"/>
      <c r="AC996" s="280"/>
      <c r="AD996" s="280"/>
      <c r="AG996" s="3"/>
      <c r="AH996" s="3"/>
      <c r="AI996" s="3"/>
      <c r="AJ996" s="3"/>
      <c r="AK996" s="3"/>
      <c r="AL996" s="3"/>
      <c r="AM996" s="3"/>
      <c r="AN996" s="3"/>
      <c r="AO996" s="3"/>
      <c r="AP996" s="11"/>
      <c r="AQ996" s="11"/>
      <c r="AR996" s="3"/>
      <c r="AS996" s="3"/>
      <c r="AT996" s="3"/>
      <c r="AU996" s="3"/>
      <c r="AV996" s="3"/>
      <c r="AW996" s="3"/>
      <c r="AX996" s="11"/>
      <c r="AZ996"/>
      <c r="BA996"/>
      <c r="BB996"/>
      <c r="BC996"/>
    </row>
    <row r="997" spans="1:55" s="282" customFormat="1" x14ac:dyDescent="0.25">
      <c r="A997"/>
      <c r="B997"/>
      <c r="C997" s="3"/>
      <c r="D997"/>
      <c r="E997"/>
      <c r="F997"/>
      <c r="G997" s="3"/>
      <c r="H997" s="3"/>
      <c r="I997" s="3"/>
      <c r="J997" s="288"/>
      <c r="L997" s="288"/>
      <c r="M997" s="288"/>
      <c r="N997" s="288"/>
      <c r="O997" s="288"/>
      <c r="P997" s="288"/>
      <c r="Q997" s="288"/>
      <c r="R997" s="283"/>
      <c r="S997" s="280"/>
      <c r="T997" s="276"/>
      <c r="U997" s="276"/>
      <c r="V997" s="276"/>
      <c r="W997" s="283"/>
      <c r="X997" s="280"/>
      <c r="Y997" s="280"/>
      <c r="Z997" s="280"/>
      <c r="AA997" s="280"/>
      <c r="AB997" s="280"/>
      <c r="AC997" s="280"/>
      <c r="AD997" s="280"/>
      <c r="AG997" s="3"/>
      <c r="AH997" s="3"/>
      <c r="AI997" s="3"/>
      <c r="AJ997" s="3"/>
      <c r="AK997" s="3"/>
      <c r="AL997" s="3"/>
      <c r="AM997" s="3"/>
      <c r="AN997" s="3"/>
      <c r="AO997" s="3"/>
      <c r="AP997" s="11"/>
      <c r="AQ997" s="11"/>
      <c r="AR997" s="3"/>
      <c r="AS997" s="3"/>
      <c r="AT997" s="3"/>
      <c r="AU997" s="3"/>
      <c r="AV997" s="3"/>
      <c r="AW997" s="3"/>
      <c r="AX997" s="11"/>
      <c r="AZ997"/>
      <c r="BA997"/>
      <c r="BB997"/>
      <c r="BC997"/>
    </row>
    <row r="998" spans="1:55" s="282" customFormat="1" x14ac:dyDescent="0.25">
      <c r="A998"/>
      <c r="B998"/>
      <c r="C998" s="3"/>
      <c r="D998"/>
      <c r="E998"/>
      <c r="F998"/>
      <c r="G998" s="3"/>
      <c r="H998" s="3"/>
      <c r="I998" s="3"/>
      <c r="J998" s="288"/>
      <c r="L998" s="288"/>
      <c r="M998" s="288"/>
      <c r="N998" s="288"/>
      <c r="O998" s="288"/>
      <c r="P998" s="288"/>
      <c r="Q998" s="288"/>
      <c r="R998" s="283"/>
      <c r="S998" s="280"/>
      <c r="T998" s="276"/>
      <c r="U998" s="276"/>
      <c r="V998" s="276"/>
      <c r="W998" s="283"/>
      <c r="X998" s="280"/>
      <c r="Y998" s="280"/>
      <c r="Z998" s="280"/>
      <c r="AA998" s="280"/>
      <c r="AB998" s="280"/>
      <c r="AC998" s="280"/>
      <c r="AD998" s="280"/>
      <c r="AG998" s="3"/>
      <c r="AH998" s="3"/>
      <c r="AI998" s="3"/>
      <c r="AJ998" s="3"/>
      <c r="AK998" s="3"/>
      <c r="AL998" s="3"/>
      <c r="AM998" s="3"/>
      <c r="AN998" s="3"/>
      <c r="AO998" s="3"/>
      <c r="AP998" s="11"/>
      <c r="AQ998" s="11"/>
      <c r="AR998" s="3"/>
      <c r="AS998" s="3"/>
      <c r="AT998" s="3"/>
      <c r="AU998" s="3"/>
      <c r="AV998" s="3"/>
      <c r="AW998" s="3"/>
      <c r="AX998" s="11"/>
      <c r="AZ998"/>
      <c r="BA998"/>
      <c r="BB998"/>
      <c r="BC998"/>
    </row>
    <row r="999" spans="1:55" s="282" customFormat="1" x14ac:dyDescent="0.25">
      <c r="A999"/>
      <c r="B999"/>
      <c r="C999" s="3"/>
      <c r="D999"/>
      <c r="E999"/>
      <c r="F999"/>
      <c r="G999" s="3"/>
      <c r="H999" s="3"/>
      <c r="I999" s="3"/>
      <c r="J999" s="288"/>
      <c r="L999" s="288"/>
      <c r="M999" s="288"/>
      <c r="N999" s="288"/>
      <c r="O999" s="288"/>
      <c r="P999" s="288"/>
      <c r="Q999" s="288"/>
      <c r="R999" s="283"/>
      <c r="S999" s="280"/>
      <c r="T999" s="276"/>
      <c r="U999" s="276"/>
      <c r="V999" s="276"/>
      <c r="W999" s="283"/>
      <c r="X999" s="280"/>
      <c r="Y999" s="280"/>
      <c r="Z999" s="280"/>
      <c r="AA999" s="280"/>
      <c r="AB999" s="280"/>
      <c r="AC999" s="280"/>
      <c r="AD999" s="280"/>
      <c r="AG999" s="3"/>
      <c r="AH999" s="3"/>
      <c r="AI999" s="3"/>
      <c r="AJ999" s="3"/>
      <c r="AK999" s="3"/>
      <c r="AL999" s="3"/>
      <c r="AM999" s="3"/>
      <c r="AN999" s="3"/>
      <c r="AO999" s="3"/>
      <c r="AP999" s="11"/>
      <c r="AQ999" s="11"/>
      <c r="AR999" s="3"/>
      <c r="AS999" s="3"/>
      <c r="AT999" s="3"/>
      <c r="AU999" s="3"/>
      <c r="AV999" s="3"/>
      <c r="AW999" s="3"/>
      <c r="AX999" s="11"/>
      <c r="AZ999"/>
      <c r="BA999"/>
      <c r="BB999"/>
      <c r="BC999"/>
    </row>
    <row r="1000" spans="1:55" s="282" customFormat="1" x14ac:dyDescent="0.25">
      <c r="A1000"/>
      <c r="B1000"/>
      <c r="C1000" s="3"/>
      <c r="D1000"/>
      <c r="E1000"/>
      <c r="F1000"/>
      <c r="G1000" s="3"/>
      <c r="H1000" s="3"/>
      <c r="I1000" s="3"/>
      <c r="J1000" s="288"/>
      <c r="L1000" s="288"/>
      <c r="M1000" s="288"/>
      <c r="N1000" s="288"/>
      <c r="O1000" s="288"/>
      <c r="P1000" s="288"/>
      <c r="Q1000" s="288"/>
      <c r="R1000" s="283"/>
      <c r="S1000" s="280"/>
      <c r="T1000" s="276"/>
      <c r="U1000" s="276"/>
      <c r="V1000" s="276"/>
      <c r="W1000" s="283"/>
      <c r="X1000" s="280"/>
      <c r="Y1000" s="280"/>
      <c r="Z1000" s="280"/>
      <c r="AA1000" s="280"/>
      <c r="AB1000" s="280"/>
      <c r="AC1000" s="280"/>
      <c r="AD1000" s="280"/>
      <c r="AG1000" s="3"/>
      <c r="AH1000" s="3"/>
      <c r="AI1000" s="3"/>
      <c r="AJ1000" s="3"/>
      <c r="AK1000" s="3"/>
      <c r="AL1000" s="3"/>
      <c r="AM1000" s="3"/>
      <c r="AN1000" s="3"/>
      <c r="AO1000" s="3"/>
      <c r="AP1000" s="11"/>
      <c r="AQ1000" s="11"/>
      <c r="AR1000" s="3"/>
      <c r="AS1000" s="3"/>
      <c r="AT1000" s="3"/>
      <c r="AU1000" s="3"/>
      <c r="AV1000" s="3"/>
      <c r="AW1000" s="3"/>
      <c r="AX1000" s="11"/>
      <c r="AZ1000"/>
      <c r="BA1000"/>
      <c r="BB1000"/>
      <c r="BC1000"/>
    </row>
    <row r="1001" spans="1:55" s="282" customFormat="1" x14ac:dyDescent="0.25">
      <c r="A1001"/>
      <c r="B1001"/>
      <c r="C1001" s="3"/>
      <c r="D1001"/>
      <c r="E1001"/>
      <c r="F1001"/>
      <c r="G1001" s="3"/>
      <c r="H1001" s="3"/>
      <c r="I1001" s="3"/>
      <c r="J1001" s="288"/>
      <c r="L1001" s="288"/>
      <c r="M1001" s="288"/>
      <c r="N1001" s="288"/>
      <c r="O1001" s="288"/>
      <c r="P1001" s="288"/>
      <c r="Q1001" s="288"/>
      <c r="R1001" s="283"/>
      <c r="S1001" s="280"/>
      <c r="T1001" s="276"/>
      <c r="U1001" s="276"/>
      <c r="V1001" s="276"/>
      <c r="W1001" s="283"/>
      <c r="X1001" s="280"/>
      <c r="Y1001" s="280"/>
      <c r="Z1001" s="280"/>
      <c r="AA1001" s="280"/>
      <c r="AB1001" s="280"/>
      <c r="AC1001" s="280"/>
      <c r="AD1001" s="280"/>
      <c r="AG1001" s="3"/>
      <c r="AH1001" s="3"/>
      <c r="AI1001" s="3"/>
      <c r="AJ1001" s="3"/>
      <c r="AK1001" s="3"/>
      <c r="AL1001" s="3"/>
      <c r="AM1001" s="3"/>
      <c r="AN1001" s="3"/>
      <c r="AO1001" s="3"/>
      <c r="AP1001" s="11"/>
      <c r="AQ1001" s="11"/>
      <c r="AR1001" s="3"/>
      <c r="AS1001" s="3"/>
      <c r="AT1001" s="3"/>
      <c r="AU1001" s="3"/>
      <c r="AV1001" s="3"/>
      <c r="AW1001" s="3"/>
      <c r="AX1001" s="11"/>
      <c r="AZ1001"/>
      <c r="BA1001"/>
      <c r="BB1001"/>
      <c r="BC1001"/>
    </row>
    <row r="1002" spans="1:55" s="282" customFormat="1" x14ac:dyDescent="0.25">
      <c r="A1002"/>
      <c r="B1002"/>
      <c r="C1002" s="3"/>
      <c r="D1002"/>
      <c r="E1002"/>
      <c r="F1002"/>
      <c r="G1002" s="3"/>
      <c r="H1002" s="3"/>
      <c r="I1002" s="3"/>
      <c r="J1002" s="288"/>
      <c r="L1002" s="288"/>
      <c r="M1002" s="288"/>
      <c r="N1002" s="288"/>
      <c r="O1002" s="288"/>
      <c r="P1002" s="288"/>
      <c r="Q1002" s="288"/>
      <c r="R1002" s="283"/>
      <c r="S1002" s="280"/>
      <c r="T1002" s="276"/>
      <c r="U1002" s="276"/>
      <c r="V1002" s="276"/>
      <c r="W1002" s="283"/>
      <c r="X1002" s="280"/>
      <c r="Y1002" s="280"/>
      <c r="Z1002" s="280"/>
      <c r="AA1002" s="280"/>
      <c r="AB1002" s="280"/>
      <c r="AC1002" s="280"/>
      <c r="AD1002" s="280"/>
      <c r="AG1002" s="3"/>
      <c r="AH1002" s="3"/>
      <c r="AI1002" s="3"/>
      <c r="AJ1002" s="3"/>
      <c r="AK1002" s="3"/>
      <c r="AL1002" s="3"/>
      <c r="AM1002" s="3"/>
      <c r="AN1002" s="3"/>
      <c r="AO1002" s="3"/>
      <c r="AP1002" s="11"/>
      <c r="AQ1002" s="11"/>
      <c r="AR1002" s="3"/>
      <c r="AS1002" s="3"/>
      <c r="AT1002" s="3"/>
      <c r="AU1002" s="3"/>
      <c r="AV1002" s="3"/>
      <c r="AW1002" s="3"/>
      <c r="AX1002" s="11"/>
      <c r="AZ1002"/>
      <c r="BA1002"/>
      <c r="BB1002"/>
      <c r="BC1002"/>
    </row>
    <row r="1003" spans="1:55" s="282" customFormat="1" x14ac:dyDescent="0.25">
      <c r="A1003"/>
      <c r="B1003"/>
      <c r="C1003" s="3"/>
      <c r="D1003"/>
      <c r="E1003"/>
      <c r="F1003"/>
      <c r="G1003" s="3"/>
      <c r="H1003" s="3"/>
      <c r="I1003" s="3"/>
      <c r="J1003" s="288"/>
      <c r="L1003" s="288"/>
      <c r="M1003" s="288"/>
      <c r="N1003" s="288"/>
      <c r="O1003" s="288"/>
      <c r="P1003" s="288"/>
      <c r="Q1003" s="288"/>
      <c r="R1003" s="283"/>
      <c r="S1003" s="280"/>
      <c r="T1003" s="276"/>
      <c r="U1003" s="276"/>
      <c r="V1003" s="276"/>
      <c r="W1003" s="283"/>
      <c r="X1003" s="280"/>
      <c r="Y1003" s="280"/>
      <c r="Z1003" s="280"/>
      <c r="AA1003" s="280"/>
      <c r="AB1003" s="280"/>
      <c r="AC1003" s="280"/>
      <c r="AD1003" s="280"/>
      <c r="AG1003" s="3"/>
      <c r="AH1003" s="3"/>
      <c r="AI1003" s="3"/>
      <c r="AJ1003" s="3"/>
      <c r="AK1003" s="3"/>
      <c r="AL1003" s="3"/>
      <c r="AM1003" s="3"/>
      <c r="AN1003" s="3"/>
      <c r="AO1003" s="3"/>
      <c r="AP1003" s="11"/>
      <c r="AQ1003" s="11"/>
      <c r="AR1003" s="3"/>
      <c r="AS1003" s="3"/>
      <c r="AT1003" s="3"/>
      <c r="AU1003" s="3"/>
      <c r="AV1003" s="3"/>
      <c r="AW1003" s="3"/>
      <c r="AX1003" s="11"/>
      <c r="AZ1003"/>
      <c r="BA1003"/>
      <c r="BB1003"/>
      <c r="BC1003"/>
    </row>
    <row r="1004" spans="1:55" s="282" customFormat="1" x14ac:dyDescent="0.25">
      <c r="A1004"/>
      <c r="B1004"/>
      <c r="C1004" s="3"/>
      <c r="D1004"/>
      <c r="E1004"/>
      <c r="F1004"/>
      <c r="G1004" s="3"/>
      <c r="H1004" s="3"/>
      <c r="I1004" s="3"/>
      <c r="J1004" s="288"/>
      <c r="L1004" s="288"/>
      <c r="M1004" s="288"/>
      <c r="N1004" s="288"/>
      <c r="O1004" s="288"/>
      <c r="P1004" s="288"/>
      <c r="Q1004" s="288"/>
      <c r="R1004" s="283"/>
      <c r="S1004" s="280"/>
      <c r="T1004" s="276"/>
      <c r="U1004" s="276"/>
      <c r="V1004" s="276"/>
      <c r="W1004" s="283"/>
      <c r="X1004" s="280"/>
      <c r="Y1004" s="280"/>
      <c r="Z1004" s="280"/>
      <c r="AA1004" s="280"/>
      <c r="AB1004" s="280"/>
      <c r="AC1004" s="280"/>
      <c r="AD1004" s="280"/>
      <c r="AG1004" s="3"/>
      <c r="AH1004" s="3"/>
      <c r="AI1004" s="3"/>
      <c r="AJ1004" s="3"/>
      <c r="AK1004" s="3"/>
      <c r="AL1004" s="3"/>
      <c r="AM1004" s="3"/>
      <c r="AN1004" s="3"/>
      <c r="AO1004" s="3"/>
      <c r="AP1004" s="11"/>
      <c r="AQ1004" s="11"/>
      <c r="AR1004" s="3"/>
      <c r="AS1004" s="3"/>
      <c r="AT1004" s="3"/>
      <c r="AU1004" s="3"/>
      <c r="AV1004" s="3"/>
      <c r="AW1004" s="3"/>
      <c r="AX1004" s="11"/>
      <c r="AZ1004"/>
      <c r="BA1004"/>
      <c r="BB1004"/>
      <c r="BC1004"/>
    </row>
    <row r="1005" spans="1:55" s="282" customFormat="1" x14ac:dyDescent="0.25">
      <c r="A1005"/>
      <c r="B1005"/>
      <c r="C1005" s="3"/>
      <c r="D1005"/>
      <c r="E1005"/>
      <c r="F1005"/>
      <c r="G1005" s="3"/>
      <c r="H1005" s="3"/>
      <c r="I1005" s="3"/>
      <c r="J1005" s="288"/>
      <c r="L1005" s="288"/>
      <c r="M1005" s="288"/>
      <c r="N1005" s="288"/>
      <c r="O1005" s="288"/>
      <c r="P1005" s="288"/>
      <c r="Q1005" s="288"/>
      <c r="R1005" s="283"/>
      <c r="S1005" s="280"/>
      <c r="T1005" s="276"/>
      <c r="U1005" s="276"/>
      <c r="V1005" s="276"/>
      <c r="W1005" s="283"/>
      <c r="X1005" s="280"/>
      <c r="Y1005" s="280"/>
      <c r="Z1005" s="280"/>
      <c r="AA1005" s="280"/>
      <c r="AB1005" s="280"/>
      <c r="AC1005" s="280"/>
      <c r="AD1005" s="280"/>
      <c r="AG1005" s="3"/>
      <c r="AH1005" s="3"/>
      <c r="AI1005" s="3"/>
      <c r="AJ1005" s="3"/>
      <c r="AK1005" s="3"/>
      <c r="AL1005" s="3"/>
      <c r="AM1005" s="3"/>
      <c r="AN1005" s="3"/>
      <c r="AO1005" s="3"/>
      <c r="AP1005" s="11"/>
      <c r="AQ1005" s="11"/>
      <c r="AR1005" s="3"/>
      <c r="AS1005" s="3"/>
      <c r="AT1005" s="3"/>
      <c r="AU1005" s="3"/>
      <c r="AV1005" s="3"/>
      <c r="AW1005" s="3"/>
      <c r="AX1005" s="11"/>
      <c r="AZ1005"/>
      <c r="BA1005"/>
      <c r="BB1005"/>
      <c r="BC1005"/>
    </row>
    <row r="1006" spans="1:55" s="282" customFormat="1" x14ac:dyDescent="0.25">
      <c r="A1006"/>
      <c r="B1006"/>
      <c r="C1006" s="3"/>
      <c r="D1006"/>
      <c r="E1006"/>
      <c r="F1006"/>
      <c r="G1006" s="3"/>
      <c r="H1006" s="3"/>
      <c r="I1006" s="3"/>
      <c r="J1006" s="288"/>
      <c r="L1006" s="288"/>
      <c r="M1006" s="288"/>
      <c r="N1006" s="288"/>
      <c r="O1006" s="288"/>
      <c r="P1006" s="288"/>
      <c r="Q1006" s="288"/>
      <c r="R1006" s="283"/>
      <c r="S1006" s="280"/>
      <c r="T1006" s="276"/>
      <c r="U1006" s="276"/>
      <c r="V1006" s="276"/>
      <c r="W1006" s="283"/>
      <c r="X1006" s="280"/>
      <c r="Y1006" s="280"/>
      <c r="Z1006" s="280"/>
      <c r="AA1006" s="280"/>
      <c r="AB1006" s="280"/>
      <c r="AC1006" s="280"/>
      <c r="AD1006" s="280"/>
      <c r="AG1006" s="3"/>
      <c r="AH1006" s="3"/>
      <c r="AI1006" s="3"/>
      <c r="AJ1006" s="3"/>
      <c r="AK1006" s="3"/>
      <c r="AL1006" s="3"/>
      <c r="AM1006" s="3"/>
      <c r="AN1006" s="3"/>
      <c r="AO1006" s="3"/>
      <c r="AP1006" s="11"/>
      <c r="AQ1006" s="11"/>
      <c r="AR1006" s="3"/>
      <c r="AS1006" s="3"/>
      <c r="AT1006" s="3"/>
      <c r="AU1006" s="3"/>
      <c r="AV1006" s="3"/>
      <c r="AW1006" s="3"/>
      <c r="AX1006" s="11"/>
      <c r="AZ1006"/>
      <c r="BA1006"/>
      <c r="BB1006"/>
      <c r="BC1006"/>
    </row>
    <row r="1007" spans="1:55" s="282" customFormat="1" x14ac:dyDescent="0.25">
      <c r="A1007"/>
      <c r="B1007"/>
      <c r="C1007" s="3"/>
      <c r="D1007"/>
      <c r="E1007"/>
      <c r="F1007"/>
      <c r="G1007" s="3"/>
      <c r="H1007" s="3"/>
      <c r="I1007" s="3"/>
      <c r="J1007" s="288"/>
      <c r="L1007" s="288"/>
      <c r="M1007" s="288"/>
      <c r="N1007" s="288"/>
      <c r="O1007" s="288"/>
      <c r="P1007" s="288"/>
      <c r="Q1007" s="288"/>
      <c r="R1007" s="283"/>
      <c r="S1007" s="280"/>
      <c r="T1007" s="276"/>
      <c r="U1007" s="276"/>
      <c r="V1007" s="276"/>
      <c r="W1007" s="283"/>
      <c r="X1007" s="280"/>
      <c r="Y1007" s="280"/>
      <c r="Z1007" s="280"/>
      <c r="AA1007" s="280"/>
      <c r="AB1007" s="280"/>
      <c r="AC1007" s="280"/>
      <c r="AD1007" s="280"/>
      <c r="AG1007" s="3"/>
      <c r="AH1007" s="3"/>
      <c r="AI1007" s="3"/>
      <c r="AJ1007" s="3"/>
      <c r="AK1007" s="3"/>
      <c r="AL1007" s="3"/>
      <c r="AM1007" s="3"/>
      <c r="AN1007" s="3"/>
      <c r="AO1007" s="3"/>
      <c r="AP1007" s="11"/>
      <c r="AQ1007" s="11"/>
      <c r="AR1007" s="3"/>
      <c r="AS1007" s="3"/>
      <c r="AT1007" s="3"/>
      <c r="AU1007" s="3"/>
      <c r="AV1007" s="3"/>
      <c r="AW1007" s="3"/>
      <c r="AX1007" s="11"/>
      <c r="AZ1007"/>
      <c r="BA1007"/>
      <c r="BB1007"/>
      <c r="BC1007"/>
    </row>
    <row r="1008" spans="1:55" s="282" customFormat="1" x14ac:dyDescent="0.25">
      <c r="A1008"/>
      <c r="B1008"/>
      <c r="C1008" s="3"/>
      <c r="D1008"/>
      <c r="E1008"/>
      <c r="F1008"/>
      <c r="G1008" s="3"/>
      <c r="H1008" s="3"/>
      <c r="I1008" s="3"/>
      <c r="J1008" s="288"/>
      <c r="L1008" s="288"/>
      <c r="M1008" s="288"/>
      <c r="N1008" s="288"/>
      <c r="O1008" s="288"/>
      <c r="P1008" s="288"/>
      <c r="Q1008" s="288"/>
      <c r="R1008" s="283"/>
      <c r="S1008" s="280"/>
      <c r="T1008" s="276"/>
      <c r="U1008" s="276"/>
      <c r="V1008" s="276"/>
      <c r="W1008" s="283"/>
      <c r="X1008" s="280"/>
      <c r="Y1008" s="280"/>
      <c r="Z1008" s="280"/>
      <c r="AA1008" s="280"/>
      <c r="AB1008" s="280"/>
      <c r="AC1008" s="280"/>
      <c r="AD1008" s="280"/>
      <c r="AG1008" s="3"/>
      <c r="AH1008" s="3"/>
      <c r="AI1008" s="3"/>
      <c r="AJ1008" s="3"/>
      <c r="AK1008" s="3"/>
      <c r="AL1008" s="3"/>
      <c r="AM1008" s="3"/>
      <c r="AN1008" s="3"/>
      <c r="AO1008" s="3"/>
      <c r="AP1008" s="11"/>
      <c r="AQ1008" s="11"/>
      <c r="AR1008" s="3"/>
      <c r="AS1008" s="3"/>
      <c r="AT1008" s="3"/>
      <c r="AU1008" s="3"/>
      <c r="AV1008" s="3"/>
      <c r="AW1008" s="3"/>
      <c r="AX1008" s="11"/>
      <c r="AZ1008"/>
      <c r="BA1008"/>
      <c r="BB1008"/>
      <c r="BC1008"/>
    </row>
    <row r="1009" spans="1:55" s="282" customFormat="1" x14ac:dyDescent="0.25">
      <c r="A1009"/>
      <c r="B1009"/>
      <c r="C1009" s="3"/>
      <c r="D1009"/>
      <c r="E1009"/>
      <c r="F1009"/>
      <c r="G1009" s="3"/>
      <c r="H1009" s="3"/>
      <c r="I1009" s="3"/>
      <c r="J1009" s="288"/>
      <c r="L1009" s="288"/>
      <c r="M1009" s="288"/>
      <c r="N1009" s="288"/>
      <c r="O1009" s="288"/>
      <c r="P1009" s="288"/>
      <c r="Q1009" s="288"/>
      <c r="R1009" s="283"/>
      <c r="S1009" s="280"/>
      <c r="T1009" s="276"/>
      <c r="U1009" s="276"/>
      <c r="V1009" s="276"/>
      <c r="W1009" s="283"/>
      <c r="X1009" s="280"/>
      <c r="Y1009" s="280"/>
      <c r="Z1009" s="280"/>
      <c r="AA1009" s="280"/>
      <c r="AB1009" s="280"/>
      <c r="AC1009" s="280"/>
      <c r="AD1009" s="280"/>
      <c r="AG1009" s="3"/>
      <c r="AH1009" s="3"/>
      <c r="AI1009" s="3"/>
      <c r="AJ1009" s="3"/>
      <c r="AK1009" s="3"/>
      <c r="AL1009" s="3"/>
      <c r="AM1009" s="3"/>
      <c r="AN1009" s="3"/>
      <c r="AO1009" s="3"/>
      <c r="AP1009" s="11"/>
      <c r="AQ1009" s="11"/>
      <c r="AR1009" s="3"/>
      <c r="AS1009" s="3"/>
      <c r="AT1009" s="3"/>
      <c r="AU1009" s="3"/>
      <c r="AV1009" s="3"/>
      <c r="AW1009" s="3"/>
      <c r="AX1009" s="11"/>
      <c r="AZ1009"/>
      <c r="BA1009"/>
      <c r="BB1009"/>
      <c r="BC1009"/>
    </row>
    <row r="1010" spans="1:55" s="282" customFormat="1" x14ac:dyDescent="0.25">
      <c r="A1010"/>
      <c r="B1010"/>
      <c r="C1010" s="3"/>
      <c r="D1010"/>
      <c r="E1010"/>
      <c r="F1010"/>
      <c r="G1010" s="3"/>
      <c r="H1010" s="3"/>
      <c r="I1010" s="3"/>
      <c r="J1010" s="288"/>
      <c r="L1010" s="288"/>
      <c r="M1010" s="288"/>
      <c r="N1010" s="288"/>
      <c r="O1010" s="288"/>
      <c r="P1010" s="288"/>
      <c r="Q1010" s="288"/>
      <c r="R1010" s="283"/>
      <c r="S1010" s="280"/>
      <c r="T1010" s="276"/>
      <c r="U1010" s="276"/>
      <c r="V1010" s="276"/>
      <c r="W1010" s="283"/>
      <c r="X1010" s="280"/>
      <c r="Y1010" s="280"/>
      <c r="Z1010" s="280"/>
      <c r="AA1010" s="280"/>
      <c r="AB1010" s="280"/>
      <c r="AC1010" s="280"/>
      <c r="AD1010" s="280"/>
      <c r="AG1010" s="3"/>
      <c r="AH1010" s="3"/>
      <c r="AI1010" s="3"/>
      <c r="AJ1010" s="3"/>
      <c r="AK1010" s="3"/>
      <c r="AL1010" s="3"/>
      <c r="AM1010" s="3"/>
      <c r="AN1010" s="3"/>
      <c r="AO1010" s="3"/>
      <c r="AP1010" s="11"/>
      <c r="AQ1010" s="11"/>
      <c r="AR1010" s="3"/>
      <c r="AS1010" s="3"/>
      <c r="AT1010" s="3"/>
      <c r="AU1010" s="3"/>
      <c r="AV1010" s="3"/>
      <c r="AW1010" s="3"/>
      <c r="AX1010" s="11"/>
      <c r="AZ1010"/>
      <c r="BA1010"/>
      <c r="BB1010"/>
      <c r="BC1010"/>
    </row>
    <row r="1011" spans="1:55" s="282" customFormat="1" x14ac:dyDescent="0.25">
      <c r="A1011"/>
      <c r="B1011"/>
      <c r="C1011" s="3"/>
      <c r="D1011"/>
      <c r="E1011"/>
      <c r="F1011"/>
      <c r="G1011" s="3"/>
      <c r="H1011" s="3"/>
      <c r="I1011" s="3"/>
      <c r="J1011" s="288"/>
      <c r="L1011" s="288"/>
      <c r="M1011" s="288"/>
      <c r="N1011" s="288"/>
      <c r="O1011" s="288"/>
      <c r="P1011" s="288"/>
      <c r="Q1011" s="288"/>
      <c r="R1011" s="283"/>
      <c r="S1011" s="280"/>
      <c r="T1011" s="276"/>
      <c r="U1011" s="276"/>
      <c r="V1011" s="276"/>
      <c r="W1011" s="283"/>
      <c r="X1011" s="280"/>
      <c r="Y1011" s="280"/>
      <c r="Z1011" s="280"/>
      <c r="AA1011" s="280"/>
      <c r="AB1011" s="280"/>
      <c r="AC1011" s="280"/>
      <c r="AD1011" s="280"/>
      <c r="AG1011" s="3"/>
      <c r="AH1011" s="3"/>
      <c r="AI1011" s="3"/>
      <c r="AJ1011" s="3"/>
      <c r="AK1011" s="3"/>
      <c r="AL1011" s="3"/>
      <c r="AM1011" s="3"/>
      <c r="AN1011" s="3"/>
      <c r="AO1011" s="3"/>
      <c r="AP1011" s="11"/>
      <c r="AQ1011" s="11"/>
      <c r="AR1011" s="3"/>
      <c r="AS1011" s="3"/>
      <c r="AT1011" s="3"/>
      <c r="AU1011" s="3"/>
      <c r="AV1011" s="3"/>
      <c r="AW1011" s="3"/>
      <c r="AX1011" s="11"/>
      <c r="AZ1011"/>
      <c r="BA1011"/>
      <c r="BB1011"/>
      <c r="BC1011"/>
    </row>
    <row r="1012" spans="1:55" s="282" customFormat="1" x14ac:dyDescent="0.25">
      <c r="A1012"/>
      <c r="B1012"/>
      <c r="C1012" s="3"/>
      <c r="D1012"/>
      <c r="E1012"/>
      <c r="F1012"/>
      <c r="G1012" s="3"/>
      <c r="H1012" s="3"/>
      <c r="I1012" s="3"/>
      <c r="J1012" s="288"/>
      <c r="L1012" s="288"/>
      <c r="M1012" s="288"/>
      <c r="N1012" s="288"/>
      <c r="O1012" s="288"/>
      <c r="P1012" s="288"/>
      <c r="Q1012" s="288"/>
      <c r="R1012" s="283"/>
      <c r="S1012" s="280"/>
      <c r="T1012" s="276"/>
      <c r="U1012" s="276"/>
      <c r="V1012" s="276"/>
      <c r="W1012" s="283"/>
      <c r="X1012" s="280"/>
      <c r="Y1012" s="280"/>
      <c r="Z1012" s="280"/>
      <c r="AA1012" s="280"/>
      <c r="AB1012" s="280"/>
      <c r="AC1012" s="280"/>
      <c r="AD1012" s="280"/>
      <c r="AG1012" s="3"/>
      <c r="AH1012" s="3"/>
      <c r="AI1012" s="3"/>
      <c r="AJ1012" s="3"/>
      <c r="AK1012" s="3"/>
      <c r="AL1012" s="3"/>
      <c r="AM1012" s="3"/>
      <c r="AN1012" s="3"/>
      <c r="AO1012" s="3"/>
      <c r="AP1012" s="11"/>
      <c r="AQ1012" s="11"/>
      <c r="AR1012" s="3"/>
      <c r="AS1012" s="3"/>
      <c r="AT1012" s="3"/>
      <c r="AU1012" s="3"/>
      <c r="AV1012" s="3"/>
      <c r="AW1012" s="3"/>
      <c r="AX1012" s="11"/>
      <c r="AZ1012"/>
      <c r="BA1012"/>
      <c r="BB1012"/>
      <c r="BC1012"/>
    </row>
    <row r="1013" spans="1:55" s="282" customFormat="1" x14ac:dyDescent="0.25">
      <c r="A1013"/>
      <c r="B1013"/>
      <c r="C1013" s="3"/>
      <c r="D1013"/>
      <c r="E1013"/>
      <c r="F1013"/>
      <c r="G1013" s="3"/>
      <c r="H1013" s="3"/>
      <c r="I1013" s="3"/>
      <c r="J1013" s="288"/>
      <c r="L1013" s="288"/>
      <c r="M1013" s="288"/>
      <c r="N1013" s="288"/>
      <c r="O1013" s="288"/>
      <c r="P1013" s="288"/>
      <c r="Q1013" s="288"/>
      <c r="R1013" s="283"/>
      <c r="S1013" s="280"/>
      <c r="T1013" s="276"/>
      <c r="U1013" s="276"/>
      <c r="V1013" s="276"/>
      <c r="W1013" s="283"/>
      <c r="X1013" s="280"/>
      <c r="Y1013" s="280"/>
      <c r="Z1013" s="280"/>
      <c r="AA1013" s="280"/>
      <c r="AB1013" s="280"/>
      <c r="AC1013" s="280"/>
      <c r="AD1013" s="280"/>
      <c r="AG1013" s="3"/>
      <c r="AH1013" s="3"/>
      <c r="AI1013" s="3"/>
      <c r="AJ1013" s="3"/>
      <c r="AK1013" s="3"/>
      <c r="AL1013" s="3"/>
      <c r="AM1013" s="3"/>
      <c r="AN1013" s="3"/>
      <c r="AO1013" s="3"/>
      <c r="AP1013" s="11"/>
      <c r="AQ1013" s="11"/>
      <c r="AR1013" s="3"/>
      <c r="AS1013" s="3"/>
      <c r="AT1013" s="3"/>
      <c r="AU1013" s="3"/>
      <c r="AV1013" s="3"/>
      <c r="AW1013" s="3"/>
      <c r="AX1013" s="11"/>
      <c r="AZ1013"/>
      <c r="BA1013"/>
      <c r="BB1013"/>
      <c r="BC1013"/>
    </row>
    <row r="1014" spans="1:55" s="282" customFormat="1" x14ac:dyDescent="0.25">
      <c r="A1014"/>
      <c r="B1014"/>
      <c r="C1014" s="3"/>
      <c r="D1014"/>
      <c r="E1014"/>
      <c r="F1014"/>
      <c r="G1014" s="3"/>
      <c r="H1014" s="3"/>
      <c r="I1014" s="3"/>
      <c r="J1014" s="288"/>
      <c r="L1014" s="288"/>
      <c r="M1014" s="288"/>
      <c r="N1014" s="288"/>
      <c r="O1014" s="288"/>
      <c r="P1014" s="288"/>
      <c r="Q1014" s="288"/>
      <c r="R1014" s="283"/>
      <c r="S1014" s="280"/>
      <c r="T1014" s="276"/>
      <c r="U1014" s="276"/>
      <c r="V1014" s="276"/>
      <c r="W1014" s="283"/>
      <c r="X1014" s="280"/>
      <c r="Y1014" s="280"/>
      <c r="Z1014" s="280"/>
      <c r="AA1014" s="280"/>
      <c r="AB1014" s="280"/>
      <c r="AC1014" s="280"/>
      <c r="AD1014" s="280"/>
      <c r="AG1014" s="3"/>
      <c r="AH1014" s="3"/>
      <c r="AI1014" s="3"/>
      <c r="AJ1014" s="3"/>
      <c r="AK1014" s="3"/>
      <c r="AL1014" s="3"/>
      <c r="AM1014" s="3"/>
      <c r="AN1014" s="3"/>
      <c r="AO1014" s="3"/>
      <c r="AP1014" s="11"/>
      <c r="AQ1014" s="11"/>
      <c r="AR1014" s="3"/>
      <c r="AS1014" s="3"/>
      <c r="AT1014" s="3"/>
      <c r="AU1014" s="3"/>
      <c r="AV1014" s="3"/>
      <c r="AW1014" s="3"/>
      <c r="AX1014" s="11"/>
      <c r="AZ1014"/>
      <c r="BA1014"/>
      <c r="BB1014"/>
      <c r="BC1014"/>
    </row>
    <row r="1015" spans="1:55" s="282" customFormat="1" x14ac:dyDescent="0.25">
      <c r="A1015"/>
      <c r="B1015"/>
      <c r="C1015" s="3"/>
      <c r="D1015"/>
      <c r="E1015"/>
      <c r="F1015"/>
      <c r="G1015" s="3"/>
      <c r="H1015" s="3"/>
      <c r="I1015" s="3"/>
      <c r="J1015" s="288"/>
      <c r="L1015" s="288"/>
      <c r="M1015" s="288"/>
      <c r="N1015" s="288"/>
      <c r="O1015" s="288"/>
      <c r="P1015" s="288"/>
      <c r="Q1015" s="288"/>
      <c r="R1015" s="283"/>
      <c r="S1015" s="280"/>
      <c r="T1015" s="276"/>
      <c r="U1015" s="276"/>
      <c r="V1015" s="276"/>
      <c r="W1015" s="283"/>
      <c r="X1015" s="280"/>
      <c r="Y1015" s="280"/>
      <c r="Z1015" s="280"/>
      <c r="AA1015" s="280"/>
      <c r="AB1015" s="280"/>
      <c r="AC1015" s="280"/>
      <c r="AD1015" s="280"/>
      <c r="AG1015" s="3"/>
      <c r="AH1015" s="3"/>
      <c r="AI1015" s="3"/>
      <c r="AJ1015" s="3"/>
      <c r="AK1015" s="3"/>
      <c r="AL1015" s="3"/>
      <c r="AM1015" s="3"/>
      <c r="AN1015" s="3"/>
      <c r="AO1015" s="3"/>
      <c r="AP1015" s="11"/>
      <c r="AQ1015" s="11"/>
      <c r="AR1015" s="3"/>
      <c r="AS1015" s="3"/>
      <c r="AT1015" s="3"/>
      <c r="AU1015" s="3"/>
      <c r="AV1015" s="3"/>
      <c r="AW1015" s="3"/>
      <c r="AX1015" s="11"/>
      <c r="AZ1015"/>
      <c r="BA1015"/>
      <c r="BB1015"/>
      <c r="BC1015"/>
    </row>
    <row r="1016" spans="1:55" s="282" customFormat="1" x14ac:dyDescent="0.25">
      <c r="A1016"/>
      <c r="B1016"/>
      <c r="C1016" s="3"/>
      <c r="D1016"/>
      <c r="E1016"/>
      <c r="F1016"/>
      <c r="G1016" s="3"/>
      <c r="H1016" s="3"/>
      <c r="I1016" s="3"/>
      <c r="J1016" s="288"/>
      <c r="L1016" s="288"/>
      <c r="M1016" s="288"/>
      <c r="N1016" s="288"/>
      <c r="O1016" s="288"/>
      <c r="P1016" s="288"/>
      <c r="Q1016" s="288"/>
      <c r="R1016" s="283"/>
      <c r="S1016" s="280"/>
      <c r="T1016" s="276"/>
      <c r="U1016" s="276"/>
      <c r="V1016" s="276"/>
      <c r="W1016" s="283"/>
      <c r="X1016" s="280"/>
      <c r="Y1016" s="280"/>
      <c r="Z1016" s="280"/>
      <c r="AA1016" s="280"/>
      <c r="AB1016" s="280"/>
      <c r="AC1016" s="280"/>
      <c r="AD1016" s="280"/>
      <c r="AG1016" s="3"/>
      <c r="AH1016" s="3"/>
      <c r="AI1016" s="3"/>
      <c r="AJ1016" s="3"/>
      <c r="AK1016" s="3"/>
      <c r="AL1016" s="3"/>
      <c r="AM1016" s="3"/>
      <c r="AN1016" s="3"/>
      <c r="AO1016" s="3"/>
      <c r="AP1016" s="11"/>
      <c r="AQ1016" s="11"/>
      <c r="AR1016" s="3"/>
      <c r="AS1016" s="3"/>
      <c r="AT1016" s="3"/>
      <c r="AU1016" s="3"/>
      <c r="AV1016" s="3"/>
      <c r="AW1016" s="3"/>
      <c r="AX1016" s="11"/>
      <c r="AZ1016"/>
      <c r="BA1016"/>
      <c r="BB1016"/>
      <c r="BC1016"/>
    </row>
    <row r="1017" spans="1:55" s="282" customFormat="1" x14ac:dyDescent="0.25">
      <c r="A1017"/>
      <c r="B1017"/>
      <c r="C1017" s="3"/>
      <c r="D1017"/>
      <c r="E1017"/>
      <c r="F1017"/>
      <c r="G1017" s="3"/>
      <c r="H1017" s="3"/>
      <c r="I1017" s="3"/>
      <c r="J1017" s="288"/>
      <c r="L1017" s="288"/>
      <c r="M1017" s="288"/>
      <c r="N1017" s="288"/>
      <c r="O1017" s="288"/>
      <c r="P1017" s="288"/>
      <c r="Q1017" s="288"/>
      <c r="R1017" s="283"/>
      <c r="S1017" s="280"/>
      <c r="T1017" s="276"/>
      <c r="U1017" s="276"/>
      <c r="V1017" s="276"/>
      <c r="W1017" s="283"/>
      <c r="X1017" s="280"/>
      <c r="Y1017" s="280"/>
      <c r="Z1017" s="280"/>
      <c r="AA1017" s="280"/>
      <c r="AB1017" s="280"/>
      <c r="AC1017" s="280"/>
      <c r="AD1017" s="280"/>
      <c r="AG1017" s="3"/>
      <c r="AH1017" s="3"/>
      <c r="AI1017" s="3"/>
      <c r="AJ1017" s="3"/>
      <c r="AK1017" s="3"/>
      <c r="AL1017" s="3"/>
      <c r="AM1017" s="3"/>
      <c r="AN1017" s="3"/>
      <c r="AO1017" s="3"/>
      <c r="AP1017" s="11"/>
      <c r="AQ1017" s="11"/>
      <c r="AR1017" s="3"/>
      <c r="AS1017" s="3"/>
      <c r="AT1017" s="3"/>
      <c r="AU1017" s="3"/>
      <c r="AV1017" s="3"/>
      <c r="AW1017" s="3"/>
      <c r="AX1017" s="11"/>
      <c r="AZ1017"/>
      <c r="BA1017"/>
      <c r="BB1017"/>
      <c r="BC1017"/>
    </row>
    <row r="1018" spans="1:55" s="282" customFormat="1" x14ac:dyDescent="0.25">
      <c r="A1018"/>
      <c r="B1018"/>
      <c r="C1018" s="3"/>
      <c r="D1018"/>
      <c r="E1018"/>
      <c r="F1018"/>
      <c r="G1018" s="3"/>
      <c r="H1018" s="3"/>
      <c r="I1018" s="3"/>
      <c r="J1018" s="288"/>
      <c r="L1018" s="288"/>
      <c r="M1018" s="288"/>
      <c r="N1018" s="288"/>
      <c r="O1018" s="288"/>
      <c r="P1018" s="288"/>
      <c r="Q1018" s="288"/>
      <c r="R1018" s="283"/>
      <c r="S1018" s="280"/>
      <c r="T1018" s="276"/>
      <c r="U1018" s="276"/>
      <c r="V1018" s="276"/>
      <c r="W1018" s="283"/>
      <c r="X1018" s="280"/>
      <c r="Y1018" s="280"/>
      <c r="Z1018" s="280"/>
      <c r="AA1018" s="280"/>
      <c r="AB1018" s="280"/>
      <c r="AC1018" s="280"/>
      <c r="AD1018" s="280"/>
      <c r="AG1018" s="3"/>
      <c r="AH1018" s="3"/>
      <c r="AI1018" s="3"/>
      <c r="AJ1018" s="3"/>
      <c r="AK1018" s="3"/>
      <c r="AL1018" s="3"/>
      <c r="AM1018" s="3"/>
      <c r="AN1018" s="3"/>
      <c r="AO1018" s="3"/>
      <c r="AP1018" s="11"/>
      <c r="AQ1018" s="11"/>
      <c r="AR1018" s="3"/>
      <c r="AS1018" s="3"/>
      <c r="AT1018" s="3"/>
      <c r="AU1018" s="3"/>
      <c r="AV1018" s="3"/>
      <c r="AW1018" s="3"/>
      <c r="AX1018" s="11"/>
      <c r="AZ1018"/>
      <c r="BA1018"/>
      <c r="BB1018"/>
      <c r="BC1018"/>
    </row>
    <row r="1019" spans="1:55" s="282" customFormat="1" x14ac:dyDescent="0.25">
      <c r="A1019"/>
      <c r="B1019"/>
      <c r="C1019" s="3"/>
      <c r="D1019"/>
      <c r="E1019"/>
      <c r="F1019"/>
      <c r="G1019" s="3"/>
      <c r="H1019" s="3"/>
      <c r="I1019" s="3"/>
      <c r="J1019" s="288"/>
      <c r="L1019" s="288"/>
      <c r="M1019" s="288"/>
      <c r="N1019" s="288"/>
      <c r="O1019" s="288"/>
      <c r="P1019" s="288"/>
      <c r="Q1019" s="288"/>
      <c r="R1019" s="283"/>
      <c r="S1019" s="280"/>
      <c r="T1019" s="276"/>
      <c r="U1019" s="276"/>
      <c r="V1019" s="276"/>
      <c r="W1019" s="283"/>
      <c r="X1019" s="280"/>
      <c r="Y1019" s="280"/>
      <c r="Z1019" s="280"/>
      <c r="AA1019" s="280"/>
      <c r="AB1019" s="280"/>
      <c r="AC1019" s="280"/>
      <c r="AD1019" s="280"/>
      <c r="AG1019" s="3"/>
      <c r="AH1019" s="3"/>
      <c r="AI1019" s="3"/>
      <c r="AJ1019" s="3"/>
      <c r="AK1019" s="3"/>
      <c r="AL1019" s="3"/>
      <c r="AM1019" s="3"/>
      <c r="AN1019" s="3"/>
      <c r="AO1019" s="3"/>
      <c r="AP1019" s="11"/>
      <c r="AQ1019" s="11"/>
      <c r="AR1019" s="3"/>
      <c r="AS1019" s="3"/>
      <c r="AT1019" s="3"/>
      <c r="AU1019" s="3"/>
      <c r="AV1019" s="3"/>
      <c r="AW1019" s="3"/>
      <c r="AX1019" s="11"/>
      <c r="AZ1019"/>
      <c r="BA1019"/>
      <c r="BB1019"/>
      <c r="BC1019"/>
    </row>
    <row r="1020" spans="1:55" s="282" customFormat="1" x14ac:dyDescent="0.25">
      <c r="A1020"/>
      <c r="B1020"/>
      <c r="C1020" s="3"/>
      <c r="D1020"/>
      <c r="E1020"/>
      <c r="F1020"/>
      <c r="G1020" s="3"/>
      <c r="H1020" s="3"/>
      <c r="I1020" s="3"/>
      <c r="J1020" s="288"/>
      <c r="L1020" s="288"/>
      <c r="M1020" s="288"/>
      <c r="N1020" s="288"/>
      <c r="O1020" s="288"/>
      <c r="P1020" s="288"/>
      <c r="Q1020" s="288"/>
      <c r="R1020" s="283"/>
      <c r="S1020" s="280"/>
      <c r="T1020" s="276"/>
      <c r="U1020" s="276"/>
      <c r="V1020" s="276"/>
      <c r="W1020" s="283"/>
      <c r="X1020" s="280"/>
      <c r="Y1020" s="280"/>
      <c r="Z1020" s="280"/>
      <c r="AA1020" s="280"/>
      <c r="AB1020" s="280"/>
      <c r="AC1020" s="280"/>
      <c r="AD1020" s="280"/>
      <c r="AG1020" s="3"/>
      <c r="AH1020" s="3"/>
      <c r="AI1020" s="3"/>
      <c r="AJ1020" s="3"/>
      <c r="AK1020" s="3"/>
      <c r="AL1020" s="3"/>
      <c r="AM1020" s="3"/>
      <c r="AN1020" s="3"/>
      <c r="AO1020" s="3"/>
      <c r="AP1020" s="11"/>
      <c r="AQ1020" s="11"/>
      <c r="AR1020" s="3"/>
      <c r="AS1020" s="3"/>
      <c r="AT1020" s="3"/>
      <c r="AU1020" s="3"/>
      <c r="AV1020" s="3"/>
      <c r="AW1020" s="3"/>
      <c r="AX1020" s="11"/>
      <c r="AZ1020"/>
      <c r="BA1020"/>
      <c r="BB1020"/>
      <c r="BC1020"/>
    </row>
    <row r="1021" spans="1:55" s="282" customFormat="1" x14ac:dyDescent="0.25">
      <c r="A1021"/>
      <c r="B1021"/>
      <c r="C1021" s="3"/>
      <c r="D1021"/>
      <c r="E1021"/>
      <c r="F1021"/>
      <c r="G1021" s="3"/>
      <c r="H1021" s="3"/>
      <c r="I1021" s="3"/>
      <c r="J1021" s="288"/>
      <c r="L1021" s="288"/>
      <c r="M1021" s="288"/>
      <c r="N1021" s="288"/>
      <c r="O1021" s="288"/>
      <c r="P1021" s="288"/>
      <c r="Q1021" s="288"/>
      <c r="R1021" s="283"/>
      <c r="S1021" s="280"/>
      <c r="T1021" s="276"/>
      <c r="U1021" s="276"/>
      <c r="V1021" s="276"/>
      <c r="W1021" s="283"/>
      <c r="X1021" s="280"/>
      <c r="Y1021" s="280"/>
      <c r="Z1021" s="280"/>
      <c r="AA1021" s="280"/>
      <c r="AB1021" s="280"/>
      <c r="AC1021" s="280"/>
      <c r="AD1021" s="280"/>
      <c r="AG1021" s="3"/>
      <c r="AH1021" s="3"/>
      <c r="AI1021" s="3"/>
      <c r="AJ1021" s="3"/>
      <c r="AK1021" s="3"/>
      <c r="AL1021" s="3"/>
      <c r="AM1021" s="3"/>
      <c r="AN1021" s="3"/>
      <c r="AO1021" s="3"/>
      <c r="AP1021" s="11"/>
      <c r="AQ1021" s="11"/>
      <c r="AR1021" s="3"/>
      <c r="AS1021" s="3"/>
      <c r="AT1021" s="3"/>
      <c r="AU1021" s="3"/>
      <c r="AV1021" s="3"/>
      <c r="AW1021" s="3"/>
      <c r="AX1021" s="11"/>
      <c r="AZ1021"/>
      <c r="BA1021"/>
      <c r="BB1021"/>
      <c r="BC1021"/>
    </row>
    <row r="1022" spans="1:55" s="282" customFormat="1" x14ac:dyDescent="0.25">
      <c r="A1022"/>
      <c r="B1022"/>
      <c r="C1022" s="3"/>
      <c r="D1022"/>
      <c r="E1022"/>
      <c r="F1022"/>
      <c r="G1022" s="3"/>
      <c r="H1022" s="3"/>
      <c r="I1022" s="3"/>
      <c r="J1022" s="288"/>
      <c r="L1022" s="288"/>
      <c r="M1022" s="288"/>
      <c r="N1022" s="288"/>
      <c r="O1022" s="288"/>
      <c r="P1022" s="288"/>
      <c r="Q1022" s="288"/>
      <c r="R1022" s="283"/>
      <c r="S1022" s="280"/>
      <c r="T1022" s="276"/>
      <c r="U1022" s="276"/>
      <c r="V1022" s="276"/>
      <c r="W1022" s="283"/>
      <c r="X1022" s="280"/>
      <c r="Y1022" s="280"/>
      <c r="Z1022" s="280"/>
      <c r="AA1022" s="280"/>
      <c r="AB1022" s="280"/>
      <c r="AC1022" s="280"/>
      <c r="AD1022" s="280"/>
      <c r="AG1022" s="3"/>
      <c r="AH1022" s="3"/>
      <c r="AI1022" s="3"/>
      <c r="AJ1022" s="3"/>
      <c r="AK1022" s="3"/>
      <c r="AL1022" s="3"/>
      <c r="AM1022" s="3"/>
      <c r="AN1022" s="3"/>
      <c r="AO1022" s="3"/>
      <c r="AP1022" s="11"/>
      <c r="AQ1022" s="11"/>
      <c r="AR1022" s="3"/>
      <c r="AS1022" s="3"/>
      <c r="AT1022" s="3"/>
      <c r="AU1022" s="3"/>
      <c r="AV1022" s="3"/>
      <c r="AW1022" s="3"/>
      <c r="AX1022" s="11"/>
      <c r="AZ1022"/>
      <c r="BA1022"/>
      <c r="BB1022"/>
      <c r="BC1022"/>
    </row>
    <row r="1023" spans="1:55" s="282" customFormat="1" x14ac:dyDescent="0.25">
      <c r="A1023"/>
      <c r="B1023"/>
      <c r="C1023" s="3"/>
      <c r="D1023"/>
      <c r="E1023"/>
      <c r="F1023"/>
      <c r="G1023" s="3"/>
      <c r="H1023" s="3"/>
      <c r="I1023" s="3"/>
      <c r="J1023" s="288"/>
      <c r="L1023" s="288"/>
      <c r="M1023" s="288"/>
      <c r="N1023" s="288"/>
      <c r="O1023" s="288"/>
      <c r="P1023" s="288"/>
      <c r="Q1023" s="288"/>
      <c r="R1023" s="283"/>
      <c r="S1023" s="280"/>
      <c r="T1023" s="276"/>
      <c r="U1023" s="276"/>
      <c r="V1023" s="276"/>
      <c r="W1023" s="283"/>
      <c r="X1023" s="280"/>
      <c r="Y1023" s="280"/>
      <c r="Z1023" s="280"/>
      <c r="AA1023" s="280"/>
      <c r="AB1023" s="280"/>
      <c r="AC1023" s="280"/>
      <c r="AD1023" s="280"/>
      <c r="AG1023" s="3"/>
      <c r="AH1023" s="3"/>
      <c r="AI1023" s="3"/>
      <c r="AJ1023" s="3"/>
      <c r="AK1023" s="3"/>
      <c r="AL1023" s="3"/>
      <c r="AM1023" s="3"/>
      <c r="AN1023" s="3"/>
      <c r="AO1023" s="3"/>
      <c r="AP1023" s="11"/>
      <c r="AQ1023" s="11"/>
      <c r="AR1023" s="3"/>
      <c r="AS1023" s="3"/>
      <c r="AT1023" s="3"/>
      <c r="AU1023" s="3"/>
      <c r="AV1023" s="3"/>
      <c r="AW1023" s="3"/>
      <c r="AX1023" s="11"/>
      <c r="AZ1023"/>
      <c r="BA1023"/>
      <c r="BB1023"/>
      <c r="BC1023"/>
    </row>
    <row r="1024" spans="1:55" s="282" customFormat="1" x14ac:dyDescent="0.25">
      <c r="A1024"/>
      <c r="B1024"/>
      <c r="C1024" s="3"/>
      <c r="D1024"/>
      <c r="E1024"/>
      <c r="F1024"/>
      <c r="G1024" s="3"/>
      <c r="H1024" s="3"/>
      <c r="I1024" s="3"/>
      <c r="J1024" s="288"/>
      <c r="L1024" s="288"/>
      <c r="M1024" s="288"/>
      <c r="N1024" s="288"/>
      <c r="O1024" s="288"/>
      <c r="P1024" s="288"/>
      <c r="Q1024" s="288"/>
      <c r="R1024" s="283"/>
      <c r="S1024" s="280"/>
      <c r="T1024" s="276"/>
      <c r="U1024" s="276"/>
      <c r="V1024" s="276"/>
      <c r="W1024" s="283"/>
      <c r="X1024" s="280"/>
      <c r="Y1024" s="280"/>
      <c r="Z1024" s="280"/>
      <c r="AA1024" s="280"/>
      <c r="AB1024" s="280"/>
      <c r="AC1024" s="280"/>
      <c r="AD1024" s="280"/>
      <c r="AG1024" s="3"/>
      <c r="AH1024" s="3"/>
      <c r="AI1024" s="3"/>
      <c r="AJ1024" s="3"/>
      <c r="AK1024" s="3"/>
      <c r="AL1024" s="3"/>
      <c r="AM1024" s="3"/>
      <c r="AN1024" s="3"/>
      <c r="AO1024" s="3"/>
      <c r="AP1024" s="11"/>
      <c r="AQ1024" s="11"/>
      <c r="AR1024" s="3"/>
      <c r="AS1024" s="3"/>
      <c r="AT1024" s="3"/>
      <c r="AU1024" s="3"/>
      <c r="AV1024" s="3"/>
      <c r="AW1024" s="3"/>
      <c r="AX1024" s="11"/>
      <c r="AZ1024"/>
      <c r="BA1024"/>
      <c r="BB1024"/>
      <c r="BC1024"/>
    </row>
    <row r="1025" spans="1:55" s="282" customFormat="1" x14ac:dyDescent="0.25">
      <c r="A1025"/>
      <c r="B1025"/>
      <c r="C1025" s="3"/>
      <c r="D1025"/>
      <c r="E1025"/>
      <c r="F1025"/>
      <c r="G1025" s="3"/>
      <c r="H1025" s="3"/>
      <c r="I1025" s="3"/>
      <c r="J1025" s="288"/>
      <c r="L1025" s="288"/>
      <c r="M1025" s="288"/>
      <c r="N1025" s="288"/>
      <c r="O1025" s="288"/>
      <c r="P1025" s="288"/>
      <c r="Q1025" s="288"/>
      <c r="R1025" s="283"/>
      <c r="S1025" s="280"/>
      <c r="T1025" s="276"/>
      <c r="U1025" s="276"/>
      <c r="V1025" s="276"/>
      <c r="W1025" s="283"/>
      <c r="X1025" s="280"/>
      <c r="Y1025" s="280"/>
      <c r="Z1025" s="280"/>
      <c r="AA1025" s="280"/>
      <c r="AB1025" s="280"/>
      <c r="AC1025" s="280"/>
      <c r="AD1025" s="280"/>
      <c r="AG1025" s="3"/>
      <c r="AH1025" s="3"/>
      <c r="AI1025" s="3"/>
      <c r="AJ1025" s="3"/>
      <c r="AK1025" s="3"/>
      <c r="AL1025" s="3"/>
      <c r="AM1025" s="3"/>
      <c r="AN1025" s="3"/>
      <c r="AO1025" s="3"/>
      <c r="AP1025" s="11"/>
      <c r="AQ1025" s="11"/>
      <c r="AR1025" s="3"/>
      <c r="AS1025" s="3"/>
      <c r="AT1025" s="3"/>
      <c r="AU1025" s="3"/>
      <c r="AV1025" s="3"/>
      <c r="AW1025" s="3"/>
      <c r="AX1025" s="11"/>
      <c r="AZ1025"/>
      <c r="BA1025"/>
      <c r="BB1025"/>
      <c r="BC1025"/>
    </row>
    <row r="1026" spans="1:55" s="282" customFormat="1" x14ac:dyDescent="0.25">
      <c r="A1026"/>
      <c r="B1026"/>
      <c r="C1026" s="3"/>
      <c r="D1026"/>
      <c r="E1026"/>
      <c r="F1026"/>
      <c r="G1026" s="3"/>
      <c r="H1026" s="3"/>
      <c r="I1026" s="3"/>
      <c r="J1026" s="288"/>
      <c r="L1026" s="288"/>
      <c r="M1026" s="288"/>
      <c r="N1026" s="288"/>
      <c r="O1026" s="288"/>
      <c r="P1026" s="288"/>
      <c r="Q1026" s="288"/>
      <c r="R1026" s="283"/>
      <c r="S1026" s="280"/>
      <c r="T1026" s="276"/>
      <c r="U1026" s="276"/>
      <c r="V1026" s="276"/>
      <c r="W1026" s="283"/>
      <c r="X1026" s="280"/>
      <c r="Y1026" s="280"/>
      <c r="Z1026" s="280"/>
      <c r="AA1026" s="280"/>
      <c r="AB1026" s="280"/>
      <c r="AC1026" s="280"/>
      <c r="AD1026" s="280"/>
      <c r="AG1026" s="3"/>
      <c r="AH1026" s="3"/>
      <c r="AI1026" s="3"/>
      <c r="AJ1026" s="3"/>
      <c r="AK1026" s="3"/>
      <c r="AL1026" s="3"/>
      <c r="AM1026" s="3"/>
      <c r="AN1026" s="3"/>
      <c r="AO1026" s="3"/>
      <c r="AP1026" s="11"/>
      <c r="AQ1026" s="11"/>
      <c r="AR1026" s="3"/>
      <c r="AS1026" s="3"/>
      <c r="AT1026" s="3"/>
      <c r="AU1026" s="3"/>
      <c r="AV1026" s="3"/>
      <c r="AW1026" s="3"/>
      <c r="AX1026" s="11"/>
      <c r="AZ1026"/>
      <c r="BA1026"/>
      <c r="BB1026"/>
      <c r="BC1026"/>
    </row>
    <row r="1027" spans="1:55" s="282" customFormat="1" x14ac:dyDescent="0.25">
      <c r="A1027"/>
      <c r="B1027"/>
      <c r="C1027" s="3"/>
      <c r="D1027"/>
      <c r="E1027"/>
      <c r="F1027"/>
      <c r="G1027" s="3"/>
      <c r="H1027" s="3"/>
      <c r="I1027" s="3"/>
      <c r="J1027" s="288"/>
      <c r="L1027" s="288"/>
      <c r="M1027" s="288"/>
      <c r="N1027" s="288"/>
      <c r="O1027" s="288"/>
      <c r="P1027" s="288"/>
      <c r="Q1027" s="288"/>
      <c r="R1027" s="283"/>
      <c r="S1027" s="280"/>
      <c r="T1027" s="276"/>
      <c r="U1027" s="276"/>
      <c r="V1027" s="276"/>
      <c r="W1027" s="283"/>
      <c r="X1027" s="280"/>
      <c r="Y1027" s="280"/>
      <c r="Z1027" s="280"/>
      <c r="AA1027" s="280"/>
      <c r="AB1027" s="280"/>
      <c r="AC1027" s="280"/>
      <c r="AD1027" s="280"/>
      <c r="AG1027" s="3"/>
      <c r="AH1027" s="3"/>
      <c r="AI1027" s="3"/>
      <c r="AJ1027" s="3"/>
      <c r="AK1027" s="3"/>
      <c r="AL1027" s="3"/>
      <c r="AM1027" s="3"/>
      <c r="AN1027" s="3"/>
      <c r="AO1027" s="3"/>
      <c r="AP1027" s="11"/>
      <c r="AQ1027" s="11"/>
      <c r="AR1027" s="3"/>
      <c r="AS1027" s="3"/>
      <c r="AT1027" s="3"/>
      <c r="AU1027" s="3"/>
      <c r="AV1027" s="3"/>
      <c r="AW1027" s="3"/>
      <c r="AX1027" s="11"/>
      <c r="AZ1027"/>
      <c r="BA1027"/>
      <c r="BB1027"/>
      <c r="BC1027"/>
    </row>
    <row r="1028" spans="1:55" s="282" customFormat="1" x14ac:dyDescent="0.25">
      <c r="A1028"/>
      <c r="B1028"/>
      <c r="C1028" s="3"/>
      <c r="D1028"/>
      <c r="E1028"/>
      <c r="F1028"/>
      <c r="G1028" s="3"/>
      <c r="H1028" s="3"/>
      <c r="I1028" s="3"/>
      <c r="J1028" s="288"/>
      <c r="L1028" s="288"/>
      <c r="M1028" s="288"/>
      <c r="N1028" s="288"/>
      <c r="O1028" s="288"/>
      <c r="P1028" s="288"/>
      <c r="Q1028" s="288"/>
      <c r="R1028" s="283"/>
      <c r="S1028" s="280"/>
      <c r="T1028" s="276"/>
      <c r="U1028" s="276"/>
      <c r="V1028" s="276"/>
      <c r="W1028" s="283"/>
      <c r="X1028" s="280"/>
      <c r="Y1028" s="280"/>
      <c r="Z1028" s="280"/>
      <c r="AA1028" s="280"/>
      <c r="AB1028" s="280"/>
      <c r="AC1028" s="280"/>
      <c r="AD1028" s="280"/>
      <c r="AG1028" s="3"/>
      <c r="AH1028" s="3"/>
      <c r="AI1028" s="3"/>
      <c r="AJ1028" s="3"/>
      <c r="AK1028" s="3"/>
      <c r="AL1028" s="3"/>
      <c r="AM1028" s="3"/>
      <c r="AN1028" s="3"/>
      <c r="AO1028" s="3"/>
      <c r="AP1028" s="11"/>
      <c r="AQ1028" s="11"/>
      <c r="AR1028" s="3"/>
      <c r="AS1028" s="3"/>
      <c r="AT1028" s="3"/>
      <c r="AU1028" s="3"/>
      <c r="AV1028" s="3"/>
      <c r="AW1028" s="3"/>
      <c r="AX1028" s="11"/>
      <c r="AZ1028"/>
      <c r="BA1028"/>
      <c r="BB1028"/>
      <c r="BC1028"/>
    </row>
    <row r="1029" spans="1:55" s="282" customFormat="1" x14ac:dyDescent="0.25">
      <c r="A1029"/>
      <c r="B1029"/>
      <c r="C1029" s="3"/>
      <c r="D1029"/>
      <c r="E1029"/>
      <c r="F1029"/>
      <c r="G1029" s="3"/>
      <c r="H1029" s="3"/>
      <c r="I1029" s="3"/>
      <c r="J1029" s="288"/>
      <c r="L1029" s="288"/>
      <c r="M1029" s="288"/>
      <c r="N1029" s="288"/>
      <c r="O1029" s="288"/>
      <c r="P1029" s="288"/>
      <c r="Q1029" s="288"/>
      <c r="R1029" s="283"/>
      <c r="S1029" s="280"/>
      <c r="T1029" s="276"/>
      <c r="U1029" s="276"/>
      <c r="V1029" s="276"/>
      <c r="W1029" s="283"/>
      <c r="X1029" s="280"/>
      <c r="Y1029" s="280"/>
      <c r="Z1029" s="280"/>
      <c r="AA1029" s="280"/>
      <c r="AB1029" s="280"/>
      <c r="AC1029" s="280"/>
      <c r="AD1029" s="280"/>
      <c r="AG1029" s="3"/>
      <c r="AH1029" s="3"/>
      <c r="AI1029" s="3"/>
      <c r="AJ1029" s="3"/>
      <c r="AK1029" s="3"/>
      <c r="AL1029" s="3"/>
      <c r="AM1029" s="3"/>
      <c r="AN1029" s="3"/>
      <c r="AO1029" s="3"/>
      <c r="AP1029" s="11"/>
      <c r="AQ1029" s="11"/>
      <c r="AR1029" s="3"/>
      <c r="AS1029" s="3"/>
      <c r="AT1029" s="3"/>
      <c r="AU1029" s="3"/>
      <c r="AV1029" s="3"/>
      <c r="AW1029" s="3"/>
      <c r="AX1029" s="11"/>
      <c r="AZ1029"/>
      <c r="BA1029"/>
      <c r="BB1029"/>
      <c r="BC1029"/>
    </row>
    <row r="1030" spans="1:55" s="282" customFormat="1" x14ac:dyDescent="0.25">
      <c r="A1030"/>
      <c r="B1030"/>
      <c r="C1030" s="3"/>
      <c r="D1030"/>
      <c r="E1030"/>
      <c r="F1030"/>
      <c r="G1030" s="3"/>
      <c r="H1030" s="3"/>
      <c r="I1030" s="3"/>
      <c r="J1030" s="288"/>
      <c r="L1030" s="288"/>
      <c r="M1030" s="288"/>
      <c r="N1030" s="288"/>
      <c r="O1030" s="288"/>
      <c r="P1030" s="288"/>
      <c r="Q1030" s="288"/>
      <c r="R1030" s="283"/>
      <c r="S1030" s="280"/>
      <c r="T1030" s="276"/>
      <c r="U1030" s="276"/>
      <c r="V1030" s="276"/>
      <c r="W1030" s="283"/>
      <c r="X1030" s="280"/>
      <c r="Y1030" s="280"/>
      <c r="Z1030" s="280"/>
      <c r="AA1030" s="280"/>
      <c r="AB1030" s="280"/>
      <c r="AC1030" s="280"/>
      <c r="AD1030" s="280"/>
      <c r="AG1030" s="3"/>
      <c r="AH1030" s="3"/>
      <c r="AI1030" s="3"/>
      <c r="AJ1030" s="3"/>
      <c r="AK1030" s="3"/>
      <c r="AL1030" s="3"/>
      <c r="AM1030" s="3"/>
      <c r="AN1030" s="3"/>
      <c r="AO1030" s="3"/>
      <c r="AP1030" s="11"/>
      <c r="AQ1030" s="11"/>
      <c r="AR1030" s="3"/>
      <c r="AS1030" s="3"/>
      <c r="AT1030" s="3"/>
      <c r="AU1030" s="3"/>
      <c r="AV1030" s="3"/>
      <c r="AW1030" s="3"/>
      <c r="AX1030" s="11"/>
      <c r="AZ1030"/>
      <c r="BA1030"/>
      <c r="BB1030"/>
      <c r="BC1030"/>
    </row>
    <row r="1031" spans="1:55" s="282" customFormat="1" x14ac:dyDescent="0.25">
      <c r="A1031"/>
      <c r="B1031"/>
      <c r="C1031" s="3"/>
      <c r="D1031"/>
      <c r="E1031"/>
      <c r="F1031"/>
      <c r="G1031" s="3"/>
      <c r="H1031" s="3"/>
      <c r="I1031" s="3"/>
      <c r="J1031" s="288"/>
      <c r="L1031" s="288"/>
      <c r="M1031" s="288"/>
      <c r="N1031" s="288"/>
      <c r="O1031" s="288"/>
      <c r="P1031" s="288"/>
      <c r="Q1031" s="288"/>
      <c r="R1031" s="283"/>
      <c r="S1031" s="280"/>
      <c r="T1031" s="276"/>
      <c r="U1031" s="276"/>
      <c r="V1031" s="276"/>
      <c r="W1031" s="283"/>
      <c r="X1031" s="280"/>
      <c r="Y1031" s="280"/>
      <c r="Z1031" s="280"/>
      <c r="AA1031" s="280"/>
      <c r="AB1031" s="280"/>
      <c r="AC1031" s="280"/>
      <c r="AD1031" s="280"/>
      <c r="AG1031" s="3"/>
      <c r="AH1031" s="3"/>
      <c r="AI1031" s="3"/>
      <c r="AJ1031" s="3"/>
      <c r="AK1031" s="3"/>
      <c r="AL1031" s="3"/>
      <c r="AM1031" s="3"/>
      <c r="AN1031" s="3"/>
      <c r="AO1031" s="3"/>
      <c r="AP1031" s="11"/>
      <c r="AQ1031" s="11"/>
      <c r="AR1031" s="3"/>
      <c r="AS1031" s="3"/>
      <c r="AT1031" s="3"/>
      <c r="AU1031" s="3"/>
      <c r="AV1031" s="3"/>
      <c r="AW1031" s="3"/>
      <c r="AX1031" s="11"/>
      <c r="AZ1031"/>
      <c r="BA1031"/>
      <c r="BB1031"/>
      <c r="BC1031"/>
    </row>
    <row r="1032" spans="1:55" s="282" customFormat="1" x14ac:dyDescent="0.25">
      <c r="A1032"/>
      <c r="B1032"/>
      <c r="C1032" s="3"/>
      <c r="D1032"/>
      <c r="E1032"/>
      <c r="F1032"/>
      <c r="G1032" s="3"/>
      <c r="H1032" s="3"/>
      <c r="I1032" s="3"/>
      <c r="J1032" s="288"/>
      <c r="L1032" s="288"/>
      <c r="M1032" s="288"/>
      <c r="N1032" s="288"/>
      <c r="O1032" s="288"/>
      <c r="P1032" s="288"/>
      <c r="Q1032" s="288"/>
      <c r="R1032" s="283"/>
      <c r="S1032" s="280"/>
      <c r="T1032" s="276"/>
      <c r="U1032" s="276"/>
      <c r="V1032" s="276"/>
      <c r="W1032" s="283"/>
      <c r="X1032" s="280"/>
      <c r="Y1032" s="280"/>
      <c r="Z1032" s="280"/>
      <c r="AA1032" s="280"/>
      <c r="AB1032" s="280"/>
      <c r="AC1032" s="280"/>
      <c r="AD1032" s="280"/>
      <c r="AG1032" s="3"/>
      <c r="AH1032" s="3"/>
      <c r="AI1032" s="3"/>
      <c r="AJ1032" s="3"/>
      <c r="AK1032" s="3"/>
      <c r="AL1032" s="3"/>
      <c r="AM1032" s="3"/>
      <c r="AN1032" s="3"/>
      <c r="AO1032" s="3"/>
      <c r="AP1032" s="11"/>
      <c r="AQ1032" s="11"/>
      <c r="AR1032" s="3"/>
      <c r="AS1032" s="3"/>
      <c r="AT1032" s="3"/>
      <c r="AU1032" s="3"/>
      <c r="AV1032" s="3"/>
      <c r="AW1032" s="3"/>
      <c r="AX1032" s="11"/>
      <c r="AZ1032"/>
      <c r="BA1032"/>
      <c r="BB1032"/>
      <c r="BC1032"/>
    </row>
    <row r="1033" spans="1:55" s="282" customFormat="1" x14ac:dyDescent="0.25">
      <c r="A1033"/>
      <c r="B1033"/>
      <c r="C1033" s="3"/>
      <c r="D1033"/>
      <c r="E1033"/>
      <c r="F1033"/>
      <c r="G1033" s="3"/>
      <c r="H1033" s="3"/>
      <c r="I1033" s="3"/>
      <c r="J1033" s="288"/>
      <c r="L1033" s="288"/>
      <c r="M1033" s="288"/>
      <c r="N1033" s="288"/>
      <c r="O1033" s="288"/>
      <c r="P1033" s="288"/>
      <c r="Q1033" s="288"/>
      <c r="R1033" s="283"/>
      <c r="S1033" s="280"/>
      <c r="T1033" s="276"/>
      <c r="U1033" s="276"/>
      <c r="V1033" s="276"/>
      <c r="W1033" s="283"/>
      <c r="X1033" s="280"/>
      <c r="Y1033" s="280"/>
      <c r="Z1033" s="280"/>
      <c r="AA1033" s="280"/>
      <c r="AB1033" s="280"/>
      <c r="AC1033" s="280"/>
      <c r="AD1033" s="280"/>
      <c r="AG1033" s="3"/>
      <c r="AH1033" s="3"/>
      <c r="AI1033" s="3"/>
      <c r="AJ1033" s="3"/>
      <c r="AK1033" s="3"/>
      <c r="AL1033" s="3"/>
      <c r="AM1033" s="3"/>
      <c r="AN1033" s="3"/>
      <c r="AO1033" s="3"/>
      <c r="AP1033" s="11"/>
      <c r="AQ1033" s="11"/>
      <c r="AR1033" s="3"/>
      <c r="AS1033" s="3"/>
      <c r="AT1033" s="3"/>
      <c r="AU1033" s="3"/>
      <c r="AV1033" s="3"/>
      <c r="AW1033" s="3"/>
      <c r="AX1033" s="11"/>
      <c r="AZ1033"/>
      <c r="BA1033"/>
      <c r="BB1033"/>
      <c r="BC1033"/>
    </row>
    <row r="1034" spans="1:55" s="282" customFormat="1" x14ac:dyDescent="0.25">
      <c r="A1034"/>
      <c r="B1034"/>
      <c r="C1034" s="3"/>
      <c r="D1034"/>
      <c r="E1034"/>
      <c r="F1034"/>
      <c r="G1034" s="3"/>
      <c r="H1034" s="3"/>
      <c r="I1034" s="3"/>
      <c r="J1034" s="288"/>
      <c r="L1034" s="288"/>
      <c r="M1034" s="288"/>
      <c r="N1034" s="288"/>
      <c r="O1034" s="288"/>
      <c r="P1034" s="288"/>
      <c r="Q1034" s="288"/>
      <c r="R1034" s="283"/>
      <c r="S1034" s="280"/>
      <c r="T1034" s="276"/>
      <c r="U1034" s="276"/>
      <c r="V1034" s="276"/>
      <c r="W1034" s="283"/>
      <c r="X1034" s="280"/>
      <c r="Y1034" s="280"/>
      <c r="Z1034" s="280"/>
      <c r="AA1034" s="280"/>
      <c r="AB1034" s="280"/>
      <c r="AC1034" s="280"/>
      <c r="AD1034" s="280"/>
      <c r="AG1034" s="3"/>
      <c r="AH1034" s="3"/>
      <c r="AI1034" s="3"/>
      <c r="AJ1034" s="3"/>
      <c r="AK1034" s="3"/>
      <c r="AL1034" s="3"/>
      <c r="AM1034" s="3"/>
      <c r="AN1034" s="3"/>
      <c r="AO1034" s="3"/>
      <c r="AP1034" s="11"/>
      <c r="AQ1034" s="11"/>
      <c r="AR1034" s="3"/>
      <c r="AS1034" s="3"/>
      <c r="AT1034" s="3"/>
      <c r="AU1034" s="3"/>
      <c r="AV1034" s="3"/>
      <c r="AW1034" s="3"/>
      <c r="AX1034" s="11"/>
      <c r="AZ1034"/>
      <c r="BA1034"/>
      <c r="BB1034"/>
      <c r="BC1034"/>
    </row>
    <row r="1035" spans="1:55" s="282" customFormat="1" x14ac:dyDescent="0.25">
      <c r="A1035"/>
      <c r="B1035"/>
      <c r="C1035" s="3"/>
      <c r="D1035"/>
      <c r="E1035"/>
      <c r="F1035"/>
      <c r="G1035" s="3"/>
      <c r="H1035" s="3"/>
      <c r="I1035" s="3"/>
      <c r="J1035" s="288"/>
      <c r="L1035" s="288"/>
      <c r="M1035" s="288"/>
      <c r="N1035" s="288"/>
      <c r="O1035" s="288"/>
      <c r="P1035" s="288"/>
      <c r="Q1035" s="288"/>
      <c r="R1035" s="283"/>
      <c r="S1035" s="280"/>
      <c r="T1035" s="276"/>
      <c r="U1035" s="276"/>
      <c r="V1035" s="276"/>
      <c r="W1035" s="283"/>
      <c r="X1035" s="280"/>
      <c r="Y1035" s="280"/>
      <c r="Z1035" s="280"/>
      <c r="AA1035" s="280"/>
      <c r="AB1035" s="280"/>
      <c r="AC1035" s="280"/>
      <c r="AD1035" s="280"/>
      <c r="AG1035" s="3"/>
      <c r="AH1035" s="3"/>
      <c r="AI1035" s="3"/>
      <c r="AJ1035" s="3"/>
      <c r="AK1035" s="3"/>
      <c r="AL1035" s="3"/>
      <c r="AM1035" s="3"/>
      <c r="AN1035" s="3"/>
      <c r="AO1035" s="3"/>
      <c r="AP1035" s="11"/>
      <c r="AQ1035" s="11"/>
      <c r="AR1035" s="3"/>
      <c r="AS1035" s="3"/>
      <c r="AT1035" s="3"/>
      <c r="AU1035" s="3"/>
      <c r="AV1035" s="3"/>
      <c r="AW1035" s="3"/>
      <c r="AX1035" s="11"/>
      <c r="AZ1035"/>
      <c r="BA1035"/>
      <c r="BB1035"/>
      <c r="BC1035"/>
    </row>
    <row r="1036" spans="1:55" s="282" customFormat="1" x14ac:dyDescent="0.25">
      <c r="A1036"/>
      <c r="B1036"/>
      <c r="C1036" s="3"/>
      <c r="D1036"/>
      <c r="E1036"/>
      <c r="F1036"/>
      <c r="G1036" s="3"/>
      <c r="H1036" s="3"/>
      <c r="I1036" s="3"/>
      <c r="J1036" s="288"/>
      <c r="L1036" s="288"/>
      <c r="M1036" s="288"/>
      <c r="N1036" s="288"/>
      <c r="O1036" s="288"/>
      <c r="P1036" s="288"/>
      <c r="Q1036" s="288"/>
      <c r="R1036" s="283"/>
      <c r="S1036" s="280"/>
      <c r="T1036" s="276"/>
      <c r="U1036" s="276"/>
      <c r="V1036" s="276"/>
      <c r="W1036" s="283"/>
      <c r="X1036" s="280"/>
      <c r="Y1036" s="280"/>
      <c r="Z1036" s="280"/>
      <c r="AA1036" s="280"/>
      <c r="AB1036" s="280"/>
      <c r="AC1036" s="280"/>
      <c r="AD1036" s="280"/>
      <c r="AG1036" s="3"/>
      <c r="AH1036" s="3"/>
      <c r="AI1036" s="3"/>
      <c r="AJ1036" s="3"/>
      <c r="AK1036" s="3"/>
      <c r="AL1036" s="3"/>
      <c r="AM1036" s="3"/>
      <c r="AN1036" s="3"/>
      <c r="AO1036" s="3"/>
      <c r="AP1036" s="11"/>
      <c r="AQ1036" s="11"/>
      <c r="AR1036" s="3"/>
      <c r="AS1036" s="3"/>
      <c r="AT1036" s="3"/>
      <c r="AU1036" s="3"/>
      <c r="AV1036" s="3"/>
      <c r="AW1036" s="3"/>
      <c r="AX1036" s="11"/>
      <c r="AZ1036"/>
      <c r="BA1036"/>
      <c r="BB1036"/>
      <c r="BC1036"/>
    </row>
    <row r="1037" spans="1:55" s="282" customFormat="1" x14ac:dyDescent="0.25">
      <c r="A1037"/>
      <c r="B1037"/>
      <c r="C1037" s="3"/>
      <c r="D1037"/>
      <c r="E1037"/>
      <c r="F1037"/>
      <c r="G1037" s="3"/>
      <c r="H1037" s="3"/>
      <c r="I1037" s="3"/>
      <c r="J1037" s="288"/>
      <c r="L1037" s="288"/>
      <c r="M1037" s="288"/>
      <c r="N1037" s="288"/>
      <c r="O1037" s="288"/>
      <c r="P1037" s="288"/>
      <c r="Q1037" s="288"/>
      <c r="R1037" s="283"/>
      <c r="S1037" s="280"/>
      <c r="T1037" s="276"/>
      <c r="U1037" s="276"/>
      <c r="V1037" s="276"/>
      <c r="W1037" s="283"/>
      <c r="X1037" s="280"/>
      <c r="Y1037" s="280"/>
      <c r="Z1037" s="280"/>
      <c r="AA1037" s="280"/>
      <c r="AB1037" s="280"/>
      <c r="AC1037" s="280"/>
      <c r="AD1037" s="280"/>
      <c r="AG1037" s="3"/>
      <c r="AH1037" s="3"/>
      <c r="AI1037" s="3"/>
      <c r="AJ1037" s="3"/>
      <c r="AK1037" s="3"/>
      <c r="AL1037" s="3"/>
      <c r="AM1037" s="3"/>
      <c r="AN1037" s="3"/>
      <c r="AO1037" s="3"/>
      <c r="AP1037" s="11"/>
      <c r="AQ1037" s="11"/>
      <c r="AR1037" s="3"/>
      <c r="AS1037" s="3"/>
      <c r="AT1037" s="3"/>
      <c r="AU1037" s="3"/>
      <c r="AV1037" s="3"/>
      <c r="AW1037" s="3"/>
      <c r="AX1037" s="11"/>
      <c r="AZ1037"/>
      <c r="BA1037"/>
      <c r="BB1037"/>
      <c r="BC1037"/>
    </row>
    <row r="1038" spans="1:55" s="282" customFormat="1" x14ac:dyDescent="0.25">
      <c r="A1038"/>
      <c r="B1038"/>
      <c r="C1038" s="3"/>
      <c r="D1038"/>
      <c r="E1038"/>
      <c r="F1038"/>
      <c r="G1038" s="3"/>
      <c r="H1038" s="3"/>
      <c r="I1038" s="3"/>
      <c r="J1038" s="288"/>
      <c r="L1038" s="288"/>
      <c r="M1038" s="288"/>
      <c r="N1038" s="288"/>
      <c r="O1038" s="288"/>
      <c r="P1038" s="288"/>
      <c r="Q1038" s="288"/>
      <c r="R1038" s="283"/>
      <c r="S1038" s="280"/>
      <c r="T1038" s="276"/>
      <c r="U1038" s="276"/>
      <c r="V1038" s="276"/>
      <c r="W1038" s="283"/>
      <c r="X1038" s="280"/>
      <c r="Y1038" s="280"/>
      <c r="Z1038" s="280"/>
      <c r="AA1038" s="280"/>
      <c r="AB1038" s="280"/>
      <c r="AC1038" s="280"/>
      <c r="AD1038" s="280"/>
      <c r="AG1038" s="3"/>
      <c r="AH1038" s="3"/>
      <c r="AI1038" s="3"/>
      <c r="AJ1038" s="3"/>
      <c r="AK1038" s="3"/>
      <c r="AL1038" s="3"/>
      <c r="AM1038" s="3"/>
      <c r="AN1038" s="3"/>
      <c r="AO1038" s="3"/>
      <c r="AP1038" s="11"/>
      <c r="AQ1038" s="11"/>
      <c r="AR1038" s="3"/>
      <c r="AS1038" s="3"/>
      <c r="AT1038" s="3"/>
      <c r="AU1038" s="3"/>
      <c r="AV1038" s="3"/>
      <c r="AW1038" s="3"/>
      <c r="AX1038" s="11"/>
      <c r="AZ1038"/>
      <c r="BA1038"/>
      <c r="BB1038"/>
      <c r="BC1038"/>
    </row>
    <row r="1039" spans="1:55" s="282" customFormat="1" x14ac:dyDescent="0.25">
      <c r="A1039"/>
      <c r="B1039"/>
      <c r="C1039" s="3"/>
      <c r="D1039"/>
      <c r="E1039"/>
      <c r="F1039"/>
      <c r="G1039" s="3"/>
      <c r="H1039" s="3"/>
      <c r="I1039" s="3"/>
      <c r="J1039" s="288"/>
      <c r="L1039" s="288"/>
      <c r="M1039" s="288"/>
      <c r="N1039" s="288"/>
      <c r="O1039" s="288"/>
      <c r="P1039" s="288"/>
      <c r="Q1039" s="288"/>
      <c r="R1039" s="283"/>
      <c r="S1039" s="280"/>
      <c r="T1039" s="276"/>
      <c r="U1039" s="276"/>
      <c r="V1039" s="276"/>
      <c r="W1039" s="283"/>
      <c r="X1039" s="280"/>
      <c r="Y1039" s="280"/>
      <c r="Z1039" s="280"/>
      <c r="AA1039" s="280"/>
      <c r="AB1039" s="280"/>
      <c r="AC1039" s="280"/>
      <c r="AD1039" s="280"/>
      <c r="AG1039" s="3"/>
      <c r="AH1039" s="3"/>
      <c r="AI1039" s="3"/>
      <c r="AJ1039" s="3"/>
      <c r="AK1039" s="3"/>
      <c r="AL1039" s="3"/>
      <c r="AM1039" s="3"/>
      <c r="AN1039" s="3"/>
      <c r="AO1039" s="3"/>
      <c r="AP1039" s="11"/>
      <c r="AQ1039" s="11"/>
      <c r="AR1039" s="3"/>
      <c r="AS1039" s="3"/>
      <c r="AT1039" s="3"/>
      <c r="AU1039" s="3"/>
      <c r="AV1039" s="3"/>
      <c r="AW1039" s="3"/>
      <c r="AX1039" s="11"/>
      <c r="AZ1039"/>
      <c r="BA1039"/>
      <c r="BB1039"/>
      <c r="BC1039"/>
    </row>
    <row r="1040" spans="1:55" s="282" customFormat="1" x14ac:dyDescent="0.25">
      <c r="A1040"/>
      <c r="B1040"/>
      <c r="C1040" s="3"/>
      <c r="D1040"/>
      <c r="E1040"/>
      <c r="F1040"/>
      <c r="G1040" s="3"/>
      <c r="H1040" s="3"/>
      <c r="I1040" s="3"/>
      <c r="J1040" s="288"/>
      <c r="L1040" s="288"/>
      <c r="M1040" s="288"/>
      <c r="N1040" s="288"/>
      <c r="O1040" s="288"/>
      <c r="P1040" s="288"/>
      <c r="Q1040" s="288"/>
      <c r="R1040" s="283"/>
      <c r="S1040" s="280"/>
      <c r="T1040" s="276"/>
      <c r="U1040" s="276"/>
      <c r="V1040" s="276"/>
      <c r="W1040" s="283"/>
      <c r="X1040" s="280"/>
      <c r="Y1040" s="280"/>
      <c r="Z1040" s="280"/>
      <c r="AA1040" s="280"/>
      <c r="AB1040" s="280"/>
      <c r="AC1040" s="280"/>
      <c r="AD1040" s="280"/>
      <c r="AG1040" s="3"/>
      <c r="AH1040" s="3"/>
      <c r="AI1040" s="3"/>
      <c r="AJ1040" s="3"/>
      <c r="AK1040" s="3"/>
      <c r="AL1040" s="3"/>
      <c r="AM1040" s="3"/>
      <c r="AN1040" s="3"/>
      <c r="AO1040" s="3"/>
      <c r="AP1040" s="11"/>
      <c r="AQ1040" s="11"/>
      <c r="AR1040" s="3"/>
      <c r="AS1040" s="3"/>
      <c r="AT1040" s="3"/>
      <c r="AU1040" s="3"/>
      <c r="AV1040" s="3"/>
      <c r="AW1040" s="3"/>
      <c r="AX1040" s="11"/>
      <c r="AZ1040"/>
      <c r="BA1040"/>
      <c r="BB1040"/>
      <c r="BC1040"/>
    </row>
    <row r="1041" spans="1:55" s="282" customFormat="1" x14ac:dyDescent="0.25">
      <c r="A1041"/>
      <c r="B1041"/>
      <c r="C1041" s="3"/>
      <c r="D1041"/>
      <c r="E1041"/>
      <c r="F1041"/>
      <c r="G1041" s="3"/>
      <c r="H1041" s="3"/>
      <c r="I1041" s="3"/>
      <c r="J1041" s="288"/>
      <c r="L1041" s="288"/>
      <c r="M1041" s="288"/>
      <c r="N1041" s="288"/>
      <c r="O1041" s="288"/>
      <c r="P1041" s="288"/>
      <c r="Q1041" s="288"/>
      <c r="R1041" s="283"/>
      <c r="S1041" s="280"/>
      <c r="T1041" s="276"/>
      <c r="U1041" s="276"/>
      <c r="V1041" s="276"/>
      <c r="W1041" s="283"/>
      <c r="X1041" s="280"/>
      <c r="Y1041" s="280"/>
      <c r="Z1041" s="280"/>
      <c r="AA1041" s="280"/>
      <c r="AB1041" s="280"/>
      <c r="AC1041" s="280"/>
      <c r="AD1041" s="280"/>
      <c r="AG1041" s="3"/>
      <c r="AH1041" s="3"/>
      <c r="AI1041" s="3"/>
      <c r="AJ1041" s="3"/>
      <c r="AK1041" s="3"/>
      <c r="AL1041" s="3"/>
      <c r="AM1041" s="3"/>
      <c r="AN1041" s="3"/>
      <c r="AO1041" s="3"/>
      <c r="AP1041" s="11"/>
      <c r="AQ1041" s="11"/>
      <c r="AR1041" s="3"/>
      <c r="AS1041" s="3"/>
      <c r="AT1041" s="3"/>
      <c r="AU1041" s="3"/>
      <c r="AV1041" s="3"/>
      <c r="AW1041" s="3"/>
      <c r="AX1041" s="11"/>
      <c r="AZ1041"/>
      <c r="BA1041"/>
      <c r="BB1041"/>
      <c r="BC1041"/>
    </row>
    <row r="1042" spans="1:55" s="282" customFormat="1" x14ac:dyDescent="0.25">
      <c r="A1042"/>
      <c r="B1042"/>
      <c r="C1042" s="3"/>
      <c r="D1042"/>
      <c r="E1042"/>
      <c r="F1042"/>
      <c r="G1042" s="3"/>
      <c r="H1042" s="3"/>
      <c r="I1042" s="3"/>
      <c r="J1042" s="288"/>
      <c r="L1042" s="288"/>
      <c r="M1042" s="288"/>
      <c r="N1042" s="288"/>
      <c r="O1042" s="288"/>
      <c r="P1042" s="288"/>
      <c r="Q1042" s="288"/>
      <c r="R1042" s="283"/>
      <c r="S1042" s="280"/>
      <c r="T1042" s="276"/>
      <c r="U1042" s="276"/>
      <c r="V1042" s="276"/>
      <c r="W1042" s="283"/>
      <c r="X1042" s="280"/>
      <c r="Y1042" s="280"/>
      <c r="Z1042" s="280"/>
      <c r="AA1042" s="280"/>
      <c r="AB1042" s="280"/>
      <c r="AC1042" s="280"/>
      <c r="AD1042" s="280"/>
      <c r="AG1042" s="3"/>
      <c r="AH1042" s="3"/>
      <c r="AI1042" s="3"/>
      <c r="AJ1042" s="3"/>
      <c r="AK1042" s="3"/>
      <c r="AL1042" s="3"/>
      <c r="AM1042" s="3"/>
      <c r="AN1042" s="3"/>
      <c r="AO1042" s="3"/>
      <c r="AP1042" s="11"/>
      <c r="AQ1042" s="11"/>
      <c r="AR1042" s="3"/>
      <c r="AS1042" s="3"/>
      <c r="AT1042" s="3"/>
      <c r="AU1042" s="3"/>
      <c r="AV1042" s="3"/>
      <c r="AW1042" s="3"/>
      <c r="AX1042" s="11"/>
      <c r="AZ1042"/>
      <c r="BA1042"/>
      <c r="BB1042"/>
      <c r="BC1042"/>
    </row>
    <row r="1043" spans="1:55" s="282" customFormat="1" x14ac:dyDescent="0.25">
      <c r="A1043"/>
      <c r="B1043"/>
      <c r="C1043" s="3"/>
      <c r="D1043"/>
      <c r="E1043"/>
      <c r="F1043"/>
      <c r="G1043" s="3"/>
      <c r="H1043" s="3"/>
      <c r="I1043" s="3"/>
      <c r="J1043" s="288"/>
      <c r="L1043" s="288"/>
      <c r="M1043" s="288"/>
      <c r="N1043" s="288"/>
      <c r="O1043" s="288"/>
      <c r="P1043" s="288"/>
      <c r="Q1043" s="288"/>
      <c r="R1043" s="283"/>
      <c r="S1043" s="280"/>
      <c r="T1043" s="276"/>
      <c r="U1043" s="276"/>
      <c r="V1043" s="276"/>
      <c r="W1043" s="283"/>
      <c r="X1043" s="280"/>
      <c r="Y1043" s="280"/>
      <c r="Z1043" s="280"/>
      <c r="AA1043" s="280"/>
      <c r="AB1043" s="280"/>
      <c r="AC1043" s="280"/>
      <c r="AD1043" s="280"/>
      <c r="AG1043" s="3"/>
      <c r="AH1043" s="3"/>
      <c r="AI1043" s="3"/>
      <c r="AJ1043" s="3"/>
      <c r="AK1043" s="3"/>
      <c r="AL1043" s="3"/>
      <c r="AM1043" s="3"/>
      <c r="AN1043" s="3"/>
      <c r="AO1043" s="3"/>
      <c r="AP1043" s="11"/>
      <c r="AQ1043" s="11"/>
      <c r="AR1043" s="3"/>
      <c r="AS1043" s="3"/>
      <c r="AT1043" s="3"/>
      <c r="AU1043" s="3"/>
      <c r="AV1043" s="3"/>
      <c r="AW1043" s="3"/>
      <c r="AX1043" s="11"/>
      <c r="AZ1043"/>
      <c r="BA1043"/>
      <c r="BB1043"/>
      <c r="BC1043"/>
    </row>
    <row r="1044" spans="1:55" s="282" customFormat="1" x14ac:dyDescent="0.25">
      <c r="A1044"/>
      <c r="B1044"/>
      <c r="C1044" s="3"/>
      <c r="D1044"/>
      <c r="E1044"/>
      <c r="F1044"/>
      <c r="G1044" s="3"/>
      <c r="H1044" s="3"/>
      <c r="I1044" s="3"/>
      <c r="J1044" s="288"/>
      <c r="L1044" s="288"/>
      <c r="M1044" s="288"/>
      <c r="N1044" s="288"/>
      <c r="O1044" s="288"/>
      <c r="P1044" s="288"/>
      <c r="Q1044" s="288"/>
      <c r="R1044" s="283"/>
      <c r="S1044" s="280"/>
      <c r="T1044" s="276"/>
      <c r="U1044" s="276"/>
      <c r="V1044" s="276"/>
      <c r="W1044" s="283"/>
      <c r="X1044" s="280"/>
      <c r="Y1044" s="280"/>
      <c r="Z1044" s="280"/>
      <c r="AA1044" s="280"/>
      <c r="AB1044" s="280"/>
      <c r="AC1044" s="280"/>
      <c r="AD1044" s="280"/>
      <c r="AG1044" s="3"/>
      <c r="AH1044" s="3"/>
      <c r="AI1044" s="3"/>
      <c r="AJ1044" s="3"/>
      <c r="AK1044" s="3"/>
      <c r="AL1044" s="3"/>
      <c r="AM1044" s="3"/>
      <c r="AN1044" s="3"/>
      <c r="AO1044" s="3"/>
      <c r="AP1044" s="11"/>
      <c r="AQ1044" s="11"/>
      <c r="AR1044" s="3"/>
      <c r="AS1044" s="3"/>
      <c r="AT1044" s="3"/>
      <c r="AU1044" s="3"/>
      <c r="AV1044" s="3"/>
      <c r="AW1044" s="3"/>
      <c r="AX1044" s="11"/>
      <c r="AZ1044"/>
      <c r="BA1044"/>
      <c r="BB1044"/>
      <c r="BC1044"/>
    </row>
    <row r="1045" spans="1:55" s="282" customFormat="1" x14ac:dyDescent="0.25">
      <c r="A1045"/>
      <c r="B1045"/>
      <c r="C1045" s="3"/>
      <c r="D1045"/>
      <c r="E1045"/>
      <c r="F1045"/>
      <c r="G1045" s="3"/>
      <c r="H1045" s="3"/>
      <c r="I1045" s="3"/>
      <c r="J1045" s="288"/>
      <c r="L1045" s="288"/>
      <c r="M1045" s="288"/>
      <c r="N1045" s="288"/>
      <c r="O1045" s="288"/>
      <c r="P1045" s="288"/>
      <c r="Q1045" s="288"/>
      <c r="R1045" s="283"/>
      <c r="S1045" s="280"/>
      <c r="T1045" s="276"/>
      <c r="U1045" s="276"/>
      <c r="V1045" s="276"/>
      <c r="W1045" s="283"/>
      <c r="X1045" s="280"/>
      <c r="Y1045" s="280"/>
      <c r="Z1045" s="280"/>
      <c r="AA1045" s="280"/>
      <c r="AB1045" s="280"/>
      <c r="AC1045" s="280"/>
      <c r="AD1045" s="280"/>
      <c r="AG1045" s="3"/>
      <c r="AH1045" s="3"/>
      <c r="AI1045" s="3"/>
      <c r="AJ1045" s="3"/>
      <c r="AK1045" s="3"/>
      <c r="AL1045" s="3"/>
      <c r="AM1045" s="3"/>
      <c r="AN1045" s="3"/>
      <c r="AO1045" s="3"/>
      <c r="AP1045" s="11"/>
      <c r="AQ1045" s="11"/>
      <c r="AR1045" s="3"/>
      <c r="AS1045" s="3"/>
      <c r="AT1045" s="3"/>
      <c r="AU1045" s="3"/>
      <c r="AV1045" s="3"/>
      <c r="AW1045" s="3"/>
      <c r="AX1045" s="11"/>
      <c r="AZ1045"/>
      <c r="BA1045"/>
      <c r="BB1045"/>
      <c r="BC1045"/>
    </row>
    <row r="1046" spans="1:55" s="282" customFormat="1" x14ac:dyDescent="0.25">
      <c r="A1046"/>
      <c r="B1046"/>
      <c r="C1046" s="3"/>
      <c r="D1046"/>
      <c r="E1046"/>
      <c r="F1046"/>
      <c r="G1046" s="3"/>
      <c r="H1046" s="3"/>
      <c r="I1046" s="3"/>
      <c r="J1046" s="288"/>
      <c r="L1046" s="288"/>
      <c r="M1046" s="288"/>
      <c r="N1046" s="288"/>
      <c r="O1046" s="288"/>
      <c r="P1046" s="288"/>
      <c r="Q1046" s="288"/>
      <c r="R1046" s="283"/>
      <c r="S1046" s="280"/>
      <c r="T1046" s="276"/>
      <c r="U1046" s="276"/>
      <c r="V1046" s="276"/>
      <c r="W1046" s="283"/>
      <c r="X1046" s="280"/>
      <c r="Y1046" s="280"/>
      <c r="Z1046" s="280"/>
      <c r="AA1046" s="280"/>
      <c r="AB1046" s="280"/>
      <c r="AC1046" s="280"/>
      <c r="AD1046" s="280"/>
      <c r="AG1046" s="3"/>
      <c r="AH1046" s="3"/>
      <c r="AI1046" s="3"/>
      <c r="AJ1046" s="3"/>
      <c r="AK1046" s="3"/>
      <c r="AL1046" s="3"/>
      <c r="AM1046" s="3"/>
      <c r="AN1046" s="3"/>
      <c r="AO1046" s="3"/>
      <c r="AP1046" s="11"/>
      <c r="AQ1046" s="11"/>
      <c r="AR1046" s="3"/>
      <c r="AS1046" s="3"/>
      <c r="AT1046" s="3"/>
      <c r="AU1046" s="3"/>
      <c r="AV1046" s="3"/>
      <c r="AW1046" s="3"/>
      <c r="AX1046" s="11"/>
      <c r="AZ1046"/>
      <c r="BA1046"/>
      <c r="BB1046"/>
      <c r="BC1046"/>
    </row>
    <row r="1047" spans="1:55" s="282" customFormat="1" x14ac:dyDescent="0.25">
      <c r="A1047"/>
      <c r="B1047"/>
      <c r="C1047" s="3"/>
      <c r="D1047"/>
      <c r="E1047"/>
      <c r="F1047"/>
      <c r="G1047" s="3"/>
      <c r="H1047" s="3"/>
      <c r="I1047" s="3"/>
      <c r="J1047" s="288"/>
      <c r="L1047" s="288"/>
      <c r="M1047" s="288"/>
      <c r="N1047" s="288"/>
      <c r="O1047" s="288"/>
      <c r="P1047" s="288"/>
      <c r="Q1047" s="288"/>
      <c r="R1047" s="283"/>
      <c r="S1047" s="280"/>
      <c r="T1047" s="276"/>
      <c r="U1047" s="276"/>
      <c r="V1047" s="276"/>
      <c r="W1047" s="283"/>
      <c r="X1047" s="280"/>
      <c r="Y1047" s="280"/>
      <c r="Z1047" s="280"/>
      <c r="AA1047" s="280"/>
      <c r="AB1047" s="280"/>
      <c r="AC1047" s="280"/>
      <c r="AD1047" s="280"/>
      <c r="AG1047" s="3"/>
      <c r="AH1047" s="3"/>
      <c r="AI1047" s="3"/>
      <c r="AJ1047" s="3"/>
      <c r="AK1047" s="3"/>
      <c r="AL1047" s="3"/>
      <c r="AM1047" s="3"/>
      <c r="AN1047" s="3"/>
      <c r="AO1047" s="3"/>
      <c r="AP1047" s="11"/>
      <c r="AQ1047" s="11"/>
      <c r="AR1047" s="3"/>
      <c r="AS1047" s="3"/>
      <c r="AT1047" s="3"/>
      <c r="AU1047" s="3"/>
      <c r="AV1047" s="3"/>
      <c r="AW1047" s="3"/>
      <c r="AX1047" s="11"/>
      <c r="AZ1047"/>
      <c r="BA1047"/>
      <c r="BB1047"/>
      <c r="BC1047"/>
    </row>
    <row r="1048" spans="1:55" s="282" customFormat="1" x14ac:dyDescent="0.25">
      <c r="A1048"/>
      <c r="B1048"/>
      <c r="C1048" s="3"/>
      <c r="D1048"/>
      <c r="E1048"/>
      <c r="F1048"/>
      <c r="G1048" s="3"/>
      <c r="H1048" s="3"/>
      <c r="I1048" s="3"/>
      <c r="J1048" s="288"/>
      <c r="L1048" s="288"/>
      <c r="M1048" s="288"/>
      <c r="N1048" s="288"/>
      <c r="O1048" s="288"/>
      <c r="P1048" s="288"/>
      <c r="Q1048" s="288"/>
      <c r="R1048" s="283"/>
      <c r="S1048" s="280"/>
      <c r="T1048" s="276"/>
      <c r="U1048" s="276"/>
      <c r="V1048" s="276"/>
      <c r="W1048" s="283"/>
      <c r="X1048" s="280"/>
      <c r="Y1048" s="280"/>
      <c r="Z1048" s="280"/>
      <c r="AA1048" s="280"/>
      <c r="AB1048" s="280"/>
      <c r="AC1048" s="280"/>
      <c r="AD1048" s="280"/>
      <c r="AG1048" s="3"/>
      <c r="AH1048" s="3"/>
      <c r="AI1048" s="3"/>
      <c r="AJ1048" s="3"/>
      <c r="AK1048" s="3"/>
      <c r="AL1048" s="3"/>
      <c r="AM1048" s="3"/>
      <c r="AN1048" s="3"/>
      <c r="AO1048" s="3"/>
      <c r="AP1048" s="11"/>
      <c r="AQ1048" s="11"/>
      <c r="AR1048" s="3"/>
      <c r="AS1048" s="3"/>
      <c r="AT1048" s="3"/>
      <c r="AU1048" s="3"/>
      <c r="AV1048" s="3"/>
      <c r="AW1048" s="3"/>
      <c r="AX1048" s="11"/>
      <c r="AZ1048"/>
      <c r="BA1048"/>
      <c r="BB1048"/>
      <c r="BC1048"/>
    </row>
    <row r="1049" spans="1:55" s="282" customFormat="1" x14ac:dyDescent="0.25">
      <c r="A1049"/>
      <c r="B1049"/>
      <c r="C1049" s="3"/>
      <c r="D1049"/>
      <c r="E1049"/>
      <c r="F1049"/>
      <c r="G1049" s="3"/>
      <c r="H1049" s="3"/>
      <c r="I1049" s="3"/>
      <c r="J1049" s="288"/>
      <c r="L1049" s="288"/>
      <c r="M1049" s="288"/>
      <c r="N1049" s="288"/>
      <c r="O1049" s="288"/>
      <c r="P1049" s="288"/>
      <c r="Q1049" s="288"/>
      <c r="R1049" s="283"/>
      <c r="S1049" s="280"/>
      <c r="T1049" s="276"/>
      <c r="U1049" s="276"/>
      <c r="V1049" s="276"/>
      <c r="W1049" s="283"/>
      <c r="X1049" s="280"/>
      <c r="Y1049" s="280"/>
      <c r="Z1049" s="280"/>
      <c r="AA1049" s="280"/>
      <c r="AB1049" s="280"/>
      <c r="AC1049" s="280"/>
      <c r="AD1049" s="280"/>
      <c r="AG1049" s="3"/>
      <c r="AH1049" s="3"/>
      <c r="AI1049" s="3"/>
      <c r="AJ1049" s="3"/>
      <c r="AK1049" s="3"/>
      <c r="AL1049" s="3"/>
      <c r="AM1049" s="3"/>
      <c r="AN1049" s="3"/>
      <c r="AO1049" s="3"/>
      <c r="AP1049" s="11"/>
      <c r="AQ1049" s="11"/>
      <c r="AR1049" s="3"/>
      <c r="AS1049" s="3"/>
      <c r="AT1049" s="3"/>
      <c r="AU1049" s="3"/>
      <c r="AV1049" s="3"/>
      <c r="AW1049" s="3"/>
      <c r="AX1049" s="11"/>
      <c r="AZ1049"/>
      <c r="BA1049"/>
      <c r="BB1049"/>
      <c r="BC1049"/>
    </row>
    <row r="1050" spans="1:55" s="282" customFormat="1" x14ac:dyDescent="0.25">
      <c r="A1050"/>
      <c r="B1050"/>
      <c r="C1050" s="3"/>
      <c r="D1050"/>
      <c r="E1050"/>
      <c r="F1050"/>
      <c r="G1050" s="3"/>
      <c r="H1050" s="3"/>
      <c r="I1050" s="3"/>
      <c r="J1050" s="288"/>
      <c r="L1050" s="288"/>
      <c r="M1050" s="288"/>
      <c r="N1050" s="288"/>
      <c r="O1050" s="288"/>
      <c r="P1050" s="288"/>
      <c r="Q1050" s="288"/>
      <c r="R1050" s="283"/>
      <c r="S1050" s="280"/>
      <c r="T1050" s="276"/>
      <c r="U1050" s="276"/>
      <c r="V1050" s="276"/>
      <c r="W1050" s="283"/>
      <c r="X1050" s="280"/>
      <c r="Y1050" s="280"/>
      <c r="Z1050" s="280"/>
      <c r="AA1050" s="280"/>
      <c r="AB1050" s="280"/>
      <c r="AC1050" s="280"/>
      <c r="AD1050" s="280"/>
      <c r="AG1050" s="3"/>
      <c r="AH1050" s="3"/>
      <c r="AI1050" s="3"/>
      <c r="AJ1050" s="3"/>
      <c r="AK1050" s="3"/>
      <c r="AL1050" s="3"/>
      <c r="AM1050" s="3"/>
      <c r="AN1050" s="3"/>
      <c r="AO1050" s="3"/>
      <c r="AP1050" s="11"/>
      <c r="AQ1050" s="11"/>
      <c r="AR1050" s="3"/>
      <c r="AS1050" s="3"/>
      <c r="AT1050" s="3"/>
      <c r="AU1050" s="3"/>
      <c r="AV1050" s="3"/>
      <c r="AW1050" s="3"/>
      <c r="AX1050" s="11"/>
      <c r="AZ1050"/>
      <c r="BA1050"/>
      <c r="BB1050"/>
      <c r="BC1050"/>
    </row>
    <row r="1051" spans="1:55" s="282" customFormat="1" x14ac:dyDescent="0.25">
      <c r="A1051"/>
      <c r="B1051"/>
      <c r="C1051" s="3"/>
      <c r="D1051"/>
      <c r="E1051"/>
      <c r="F1051"/>
      <c r="G1051" s="3"/>
      <c r="H1051" s="3"/>
      <c r="I1051" s="3"/>
      <c r="J1051" s="288"/>
      <c r="L1051" s="288"/>
      <c r="M1051" s="288"/>
      <c r="N1051" s="288"/>
      <c r="O1051" s="288"/>
      <c r="P1051" s="288"/>
      <c r="Q1051" s="288"/>
      <c r="R1051" s="283"/>
      <c r="S1051" s="280"/>
      <c r="T1051" s="276"/>
      <c r="U1051" s="276"/>
      <c r="V1051" s="276"/>
      <c r="W1051" s="283"/>
      <c r="X1051" s="280"/>
      <c r="Y1051" s="280"/>
      <c r="Z1051" s="280"/>
      <c r="AA1051" s="280"/>
      <c r="AB1051" s="280"/>
      <c r="AC1051" s="280"/>
      <c r="AD1051" s="280"/>
      <c r="AG1051" s="3"/>
      <c r="AH1051" s="3"/>
      <c r="AI1051" s="3"/>
      <c r="AJ1051" s="3"/>
      <c r="AK1051" s="3"/>
      <c r="AL1051" s="3"/>
      <c r="AM1051" s="3"/>
      <c r="AN1051" s="3"/>
      <c r="AO1051" s="3"/>
      <c r="AP1051" s="11"/>
      <c r="AQ1051" s="11"/>
      <c r="AR1051" s="3"/>
      <c r="AS1051" s="3"/>
      <c r="AT1051" s="3"/>
      <c r="AU1051" s="3"/>
      <c r="AV1051" s="3"/>
      <c r="AW1051" s="3"/>
      <c r="AX1051" s="11"/>
      <c r="AZ1051"/>
      <c r="BA1051"/>
      <c r="BB1051"/>
      <c r="BC1051"/>
    </row>
    <row r="1052" spans="1:55" s="282" customFormat="1" x14ac:dyDescent="0.25">
      <c r="A1052"/>
      <c r="B1052"/>
      <c r="C1052" s="3"/>
      <c r="D1052"/>
      <c r="E1052"/>
      <c r="F1052"/>
      <c r="G1052" s="3"/>
      <c r="H1052" s="3"/>
      <c r="I1052" s="3"/>
      <c r="J1052" s="288"/>
      <c r="L1052" s="288"/>
      <c r="M1052" s="288"/>
      <c r="N1052" s="288"/>
      <c r="O1052" s="288"/>
      <c r="P1052" s="288"/>
      <c r="Q1052" s="288"/>
      <c r="R1052" s="283"/>
      <c r="S1052" s="280"/>
      <c r="T1052" s="276"/>
      <c r="U1052" s="276"/>
      <c r="V1052" s="276"/>
      <c r="W1052" s="283"/>
      <c r="X1052" s="280"/>
      <c r="Y1052" s="280"/>
      <c r="Z1052" s="280"/>
      <c r="AA1052" s="280"/>
      <c r="AB1052" s="280"/>
      <c r="AC1052" s="280"/>
      <c r="AD1052" s="280"/>
      <c r="AG1052" s="3"/>
      <c r="AH1052" s="3"/>
      <c r="AI1052" s="3"/>
      <c r="AJ1052" s="3"/>
      <c r="AK1052" s="3"/>
      <c r="AL1052" s="3"/>
      <c r="AM1052" s="3"/>
      <c r="AN1052" s="3"/>
      <c r="AO1052" s="3"/>
      <c r="AP1052" s="11"/>
      <c r="AQ1052" s="11"/>
      <c r="AR1052" s="3"/>
      <c r="AS1052" s="3"/>
      <c r="AT1052" s="3"/>
      <c r="AU1052" s="3"/>
      <c r="AV1052" s="3"/>
      <c r="AW1052" s="3"/>
      <c r="AX1052" s="11"/>
      <c r="AZ1052"/>
      <c r="BA1052"/>
      <c r="BB1052"/>
      <c r="BC1052"/>
    </row>
    <row r="1053" spans="1:55" s="282" customFormat="1" x14ac:dyDescent="0.25">
      <c r="A1053"/>
      <c r="B1053"/>
      <c r="C1053" s="3"/>
      <c r="D1053"/>
      <c r="E1053"/>
      <c r="F1053"/>
      <c r="G1053" s="3"/>
      <c r="H1053" s="3"/>
      <c r="I1053" s="3"/>
      <c r="J1053" s="288"/>
      <c r="L1053" s="288"/>
      <c r="M1053" s="288"/>
      <c r="N1053" s="288"/>
      <c r="O1053" s="288"/>
      <c r="P1053" s="288"/>
      <c r="Q1053" s="288"/>
      <c r="R1053" s="283"/>
      <c r="S1053" s="280"/>
      <c r="T1053" s="276"/>
      <c r="U1053" s="276"/>
      <c r="V1053" s="276"/>
      <c r="W1053" s="283"/>
      <c r="X1053" s="280"/>
      <c r="Y1053" s="280"/>
      <c r="Z1053" s="280"/>
      <c r="AA1053" s="280"/>
      <c r="AB1053" s="280"/>
      <c r="AC1053" s="280"/>
      <c r="AD1053" s="280"/>
      <c r="AG1053" s="3"/>
      <c r="AH1053" s="3"/>
      <c r="AI1053" s="3"/>
      <c r="AJ1053" s="3"/>
      <c r="AK1053" s="3"/>
      <c r="AL1053" s="3"/>
      <c r="AM1053" s="3"/>
      <c r="AN1053" s="3"/>
      <c r="AO1053" s="3"/>
      <c r="AP1053" s="11"/>
      <c r="AQ1053" s="11"/>
      <c r="AR1053" s="3"/>
      <c r="AS1053" s="3"/>
      <c r="AT1053" s="3"/>
      <c r="AU1053" s="3"/>
      <c r="AV1053" s="3"/>
      <c r="AW1053" s="3"/>
      <c r="AX1053" s="11"/>
      <c r="AZ1053"/>
      <c r="BA1053"/>
      <c r="BB1053"/>
      <c r="BC1053"/>
    </row>
    <row r="1054" spans="1:55" s="282" customFormat="1" x14ac:dyDescent="0.25">
      <c r="A1054"/>
      <c r="B1054"/>
      <c r="C1054" s="3"/>
      <c r="D1054"/>
      <c r="E1054"/>
      <c r="F1054"/>
      <c r="G1054" s="3"/>
      <c r="H1054" s="3"/>
      <c r="I1054" s="3"/>
      <c r="J1054" s="288"/>
      <c r="L1054" s="288"/>
      <c r="M1054" s="288"/>
      <c r="N1054" s="288"/>
      <c r="O1054" s="288"/>
      <c r="P1054" s="288"/>
      <c r="Q1054" s="288"/>
      <c r="R1054" s="283"/>
      <c r="S1054" s="280"/>
      <c r="T1054" s="276"/>
      <c r="U1054" s="276"/>
      <c r="V1054" s="276"/>
      <c r="W1054" s="283"/>
      <c r="X1054" s="280"/>
      <c r="Y1054" s="280"/>
      <c r="Z1054" s="280"/>
      <c r="AA1054" s="280"/>
      <c r="AB1054" s="280"/>
      <c r="AC1054" s="280"/>
      <c r="AD1054" s="280"/>
      <c r="AG1054" s="3"/>
      <c r="AH1054" s="3"/>
      <c r="AI1054" s="3"/>
      <c r="AJ1054" s="3"/>
      <c r="AK1054" s="3"/>
      <c r="AL1054" s="3"/>
      <c r="AM1054" s="3"/>
      <c r="AN1054" s="3"/>
      <c r="AO1054" s="3"/>
      <c r="AP1054" s="11"/>
      <c r="AQ1054" s="11"/>
      <c r="AR1054" s="3"/>
      <c r="AS1054" s="3"/>
      <c r="AT1054" s="3"/>
      <c r="AU1054" s="3"/>
      <c r="AV1054" s="3"/>
      <c r="AW1054" s="3"/>
      <c r="AX1054" s="11"/>
      <c r="AZ1054"/>
      <c r="BA1054"/>
      <c r="BB1054"/>
      <c r="BC1054"/>
    </row>
    <row r="1055" spans="1:55" s="282" customFormat="1" x14ac:dyDescent="0.25">
      <c r="A1055"/>
      <c r="B1055"/>
      <c r="C1055" s="3"/>
      <c r="D1055"/>
      <c r="E1055"/>
      <c r="F1055"/>
      <c r="G1055" s="3"/>
      <c r="H1055" s="3"/>
      <c r="I1055" s="3"/>
      <c r="J1055" s="288"/>
      <c r="L1055" s="288"/>
      <c r="M1055" s="288"/>
      <c r="N1055" s="288"/>
      <c r="O1055" s="288"/>
      <c r="P1055" s="288"/>
      <c r="Q1055" s="288"/>
      <c r="R1055" s="283"/>
      <c r="S1055" s="280"/>
      <c r="T1055" s="276"/>
      <c r="U1055" s="276"/>
      <c r="V1055" s="276"/>
      <c r="W1055" s="283"/>
      <c r="X1055" s="280"/>
      <c r="Y1055" s="280"/>
      <c r="Z1055" s="280"/>
      <c r="AA1055" s="280"/>
      <c r="AB1055" s="280"/>
      <c r="AC1055" s="280"/>
      <c r="AD1055" s="280"/>
      <c r="AG1055" s="3"/>
      <c r="AH1055" s="3"/>
      <c r="AI1055" s="3"/>
      <c r="AJ1055" s="3"/>
      <c r="AK1055" s="3"/>
      <c r="AL1055" s="3"/>
      <c r="AM1055" s="3"/>
      <c r="AN1055" s="3"/>
      <c r="AO1055" s="3"/>
      <c r="AP1055" s="11"/>
      <c r="AQ1055" s="11"/>
      <c r="AR1055" s="3"/>
      <c r="AS1055" s="3"/>
      <c r="AT1055" s="3"/>
      <c r="AU1055" s="3"/>
      <c r="AV1055" s="3"/>
      <c r="AW1055" s="3"/>
      <c r="AX1055" s="11"/>
      <c r="AZ1055"/>
      <c r="BA1055"/>
      <c r="BB1055"/>
      <c r="BC1055"/>
    </row>
    <row r="1056" spans="1:55" s="282" customFormat="1" x14ac:dyDescent="0.25">
      <c r="A1056"/>
      <c r="B1056"/>
      <c r="C1056" s="3"/>
      <c r="D1056"/>
      <c r="E1056"/>
      <c r="F1056"/>
      <c r="G1056" s="3"/>
      <c r="H1056" s="3"/>
      <c r="I1056" s="3"/>
      <c r="J1056" s="288"/>
      <c r="L1056" s="288"/>
      <c r="M1056" s="288"/>
      <c r="N1056" s="288"/>
      <c r="O1056" s="288"/>
      <c r="P1056" s="288"/>
      <c r="Q1056" s="288"/>
      <c r="R1056" s="283"/>
      <c r="S1056" s="280"/>
      <c r="T1056" s="276"/>
      <c r="U1056" s="276"/>
      <c r="V1056" s="276"/>
      <c r="W1056" s="283"/>
      <c r="X1056" s="280"/>
      <c r="Y1056" s="280"/>
      <c r="Z1056" s="280"/>
      <c r="AA1056" s="280"/>
      <c r="AB1056" s="280"/>
      <c r="AC1056" s="280"/>
      <c r="AD1056" s="280"/>
      <c r="AG1056" s="3"/>
      <c r="AH1056" s="3"/>
      <c r="AI1056" s="3"/>
      <c r="AJ1056" s="3"/>
      <c r="AK1056" s="3"/>
      <c r="AL1056" s="3"/>
      <c r="AM1056" s="3"/>
      <c r="AN1056" s="3"/>
      <c r="AO1056" s="3"/>
      <c r="AP1056" s="11"/>
      <c r="AQ1056" s="11"/>
      <c r="AR1056" s="3"/>
      <c r="AS1056" s="3"/>
      <c r="AT1056" s="3"/>
      <c r="AU1056" s="3"/>
      <c r="AV1056" s="3"/>
      <c r="AW1056" s="3"/>
      <c r="AX1056" s="11"/>
      <c r="AZ1056"/>
      <c r="BA1056"/>
      <c r="BB1056"/>
      <c r="BC1056"/>
    </row>
    <row r="1057" spans="1:55" s="282" customFormat="1" x14ac:dyDescent="0.25">
      <c r="A1057"/>
      <c r="B1057"/>
      <c r="C1057" s="3"/>
      <c r="D1057"/>
      <c r="E1057"/>
      <c r="F1057"/>
      <c r="G1057" s="3"/>
      <c r="H1057" s="3"/>
      <c r="I1057" s="3"/>
      <c r="J1057" s="288"/>
      <c r="L1057" s="288"/>
      <c r="M1057" s="288"/>
      <c r="N1057" s="288"/>
      <c r="O1057" s="288"/>
      <c r="P1057" s="288"/>
      <c r="Q1057" s="288"/>
      <c r="R1057" s="283"/>
      <c r="S1057" s="280"/>
      <c r="T1057" s="276"/>
      <c r="U1057" s="276"/>
      <c r="V1057" s="276"/>
      <c r="W1057" s="283"/>
      <c r="X1057" s="280"/>
      <c r="Y1057" s="280"/>
      <c r="Z1057" s="280"/>
      <c r="AA1057" s="280"/>
      <c r="AB1057" s="280"/>
      <c r="AC1057" s="280"/>
      <c r="AD1057" s="280"/>
      <c r="AG1057" s="3"/>
      <c r="AH1057" s="3"/>
      <c r="AI1057" s="3"/>
      <c r="AJ1057" s="3"/>
      <c r="AK1057" s="3"/>
      <c r="AL1057" s="3"/>
      <c r="AM1057" s="3"/>
      <c r="AN1057" s="3"/>
      <c r="AO1057" s="3"/>
      <c r="AP1057" s="11"/>
      <c r="AQ1057" s="11"/>
      <c r="AR1057" s="3"/>
      <c r="AS1057" s="3"/>
      <c r="AT1057" s="3"/>
      <c r="AU1057" s="3"/>
      <c r="AV1057" s="3"/>
      <c r="AW1057" s="3"/>
      <c r="AX1057" s="11"/>
      <c r="AZ1057"/>
      <c r="BA1057"/>
      <c r="BB1057"/>
      <c r="BC1057"/>
    </row>
    <row r="1058" spans="1:55" s="282" customFormat="1" x14ac:dyDescent="0.25">
      <c r="A1058"/>
      <c r="B1058"/>
      <c r="C1058" s="3"/>
      <c r="D1058"/>
      <c r="E1058"/>
      <c r="F1058"/>
      <c r="G1058" s="3"/>
      <c r="H1058" s="3"/>
      <c r="I1058" s="3"/>
      <c r="J1058" s="288"/>
      <c r="L1058" s="288"/>
      <c r="M1058" s="288"/>
      <c r="N1058" s="288"/>
      <c r="O1058" s="288"/>
      <c r="P1058" s="288"/>
      <c r="Q1058" s="288"/>
      <c r="R1058" s="283"/>
      <c r="S1058" s="280"/>
      <c r="T1058" s="276"/>
      <c r="U1058" s="276"/>
      <c r="V1058" s="276"/>
      <c r="W1058" s="283"/>
      <c r="X1058" s="280"/>
      <c r="Y1058" s="280"/>
      <c r="Z1058" s="280"/>
      <c r="AA1058" s="280"/>
      <c r="AB1058" s="280"/>
      <c r="AC1058" s="280"/>
      <c r="AD1058" s="280"/>
      <c r="AG1058" s="3"/>
      <c r="AH1058" s="3"/>
      <c r="AI1058" s="3"/>
      <c r="AJ1058" s="3"/>
      <c r="AK1058" s="3"/>
      <c r="AL1058" s="3"/>
      <c r="AM1058" s="3"/>
      <c r="AN1058" s="3"/>
      <c r="AO1058" s="3"/>
      <c r="AP1058" s="11"/>
      <c r="AQ1058" s="11"/>
      <c r="AR1058" s="3"/>
      <c r="AS1058" s="3"/>
      <c r="AT1058" s="3"/>
      <c r="AU1058" s="3"/>
      <c r="AV1058" s="3"/>
      <c r="AW1058" s="3"/>
      <c r="AX1058" s="11"/>
      <c r="AZ1058"/>
      <c r="BA1058"/>
      <c r="BB1058"/>
      <c r="BC1058"/>
    </row>
    <row r="1059" spans="1:55" s="282" customFormat="1" x14ac:dyDescent="0.25">
      <c r="A1059"/>
      <c r="B1059"/>
      <c r="C1059" s="3"/>
      <c r="D1059"/>
      <c r="E1059"/>
      <c r="F1059"/>
      <c r="G1059" s="3"/>
      <c r="H1059" s="3"/>
      <c r="I1059" s="3"/>
      <c r="J1059" s="288"/>
      <c r="L1059" s="288"/>
      <c r="M1059" s="288"/>
      <c r="N1059" s="288"/>
      <c r="O1059" s="288"/>
      <c r="P1059" s="288"/>
      <c r="Q1059" s="288"/>
      <c r="R1059" s="283"/>
      <c r="S1059" s="280"/>
      <c r="T1059" s="276"/>
      <c r="U1059" s="276"/>
      <c r="V1059" s="276"/>
      <c r="W1059" s="283"/>
      <c r="X1059" s="280"/>
      <c r="Y1059" s="280"/>
      <c r="Z1059" s="280"/>
      <c r="AA1059" s="280"/>
      <c r="AB1059" s="280"/>
      <c r="AC1059" s="280"/>
      <c r="AD1059" s="280"/>
      <c r="AG1059" s="3"/>
      <c r="AH1059" s="3"/>
      <c r="AI1059" s="3"/>
      <c r="AJ1059" s="3"/>
      <c r="AK1059" s="3"/>
      <c r="AL1059" s="3"/>
      <c r="AM1059" s="3"/>
      <c r="AN1059" s="3"/>
      <c r="AO1059" s="3"/>
      <c r="AP1059" s="11"/>
      <c r="AQ1059" s="11"/>
      <c r="AR1059" s="3"/>
      <c r="AS1059" s="3"/>
      <c r="AT1059" s="3"/>
      <c r="AU1059" s="3"/>
      <c r="AV1059" s="3"/>
      <c r="AW1059" s="3"/>
      <c r="AX1059" s="11"/>
      <c r="AZ1059"/>
      <c r="BA1059"/>
      <c r="BB1059"/>
      <c r="BC1059"/>
    </row>
    <row r="1060" spans="1:55" s="282" customFormat="1" x14ac:dyDescent="0.25">
      <c r="A1060"/>
      <c r="B1060"/>
      <c r="C1060" s="3"/>
      <c r="D1060"/>
      <c r="E1060"/>
      <c r="F1060"/>
      <c r="G1060" s="3"/>
      <c r="H1060" s="3"/>
      <c r="I1060" s="3"/>
      <c r="J1060" s="288"/>
      <c r="L1060" s="288"/>
      <c r="M1060" s="288"/>
      <c r="N1060" s="288"/>
      <c r="O1060" s="288"/>
      <c r="P1060" s="288"/>
      <c r="Q1060" s="288"/>
      <c r="R1060" s="283"/>
      <c r="S1060" s="280"/>
      <c r="T1060" s="276"/>
      <c r="U1060" s="276"/>
      <c r="V1060" s="276"/>
      <c r="W1060" s="283"/>
      <c r="X1060" s="280"/>
      <c r="Y1060" s="280"/>
      <c r="Z1060" s="280"/>
      <c r="AA1060" s="280"/>
      <c r="AB1060" s="280"/>
      <c r="AC1060" s="280"/>
      <c r="AD1060" s="280"/>
      <c r="AG1060" s="3"/>
      <c r="AH1060" s="3"/>
      <c r="AI1060" s="3"/>
      <c r="AJ1060" s="3"/>
      <c r="AK1060" s="3"/>
      <c r="AL1060" s="3"/>
      <c r="AM1060" s="3"/>
      <c r="AN1060" s="3"/>
      <c r="AO1060" s="3"/>
      <c r="AP1060" s="11"/>
      <c r="AQ1060" s="11"/>
      <c r="AR1060" s="3"/>
      <c r="AS1060" s="3"/>
      <c r="AT1060" s="3"/>
      <c r="AU1060" s="3"/>
      <c r="AV1060" s="3"/>
      <c r="AW1060" s="3"/>
      <c r="AX1060" s="11"/>
      <c r="AZ1060"/>
      <c r="BA1060"/>
      <c r="BB1060"/>
      <c r="BC1060"/>
    </row>
    <row r="1061" spans="1:55" s="282" customFormat="1" x14ac:dyDescent="0.25">
      <c r="A1061"/>
      <c r="B1061"/>
      <c r="C1061" s="3"/>
      <c r="D1061"/>
      <c r="E1061"/>
      <c r="F1061"/>
      <c r="G1061" s="3"/>
      <c r="H1061" s="3"/>
      <c r="I1061" s="3"/>
      <c r="J1061" s="288"/>
      <c r="L1061" s="288"/>
      <c r="M1061" s="288"/>
      <c r="N1061" s="288"/>
      <c r="O1061" s="288"/>
      <c r="P1061" s="288"/>
      <c r="Q1061" s="288"/>
      <c r="R1061" s="283"/>
      <c r="S1061" s="280"/>
      <c r="T1061" s="276"/>
      <c r="U1061" s="276"/>
      <c r="V1061" s="276"/>
      <c r="W1061" s="283"/>
      <c r="X1061" s="280"/>
      <c r="Y1061" s="280"/>
      <c r="Z1061" s="280"/>
      <c r="AA1061" s="280"/>
      <c r="AB1061" s="280"/>
      <c r="AC1061" s="280"/>
      <c r="AD1061" s="280"/>
      <c r="AG1061" s="3"/>
      <c r="AH1061" s="3"/>
      <c r="AI1061" s="3"/>
      <c r="AJ1061" s="3"/>
      <c r="AK1061" s="3"/>
      <c r="AL1061" s="3"/>
      <c r="AM1061" s="3"/>
      <c r="AN1061" s="3"/>
      <c r="AO1061" s="3"/>
      <c r="AP1061" s="11"/>
      <c r="AQ1061" s="11"/>
      <c r="AR1061" s="3"/>
      <c r="AS1061" s="3"/>
      <c r="AT1061" s="3"/>
      <c r="AU1061" s="3"/>
      <c r="AV1061" s="3"/>
      <c r="AW1061" s="3"/>
      <c r="AX1061" s="11"/>
      <c r="AZ1061"/>
      <c r="BA1061"/>
      <c r="BB1061"/>
      <c r="BC1061"/>
    </row>
    <row r="1062" spans="1:55" s="282" customFormat="1" x14ac:dyDescent="0.25">
      <c r="A1062"/>
      <c r="B1062"/>
      <c r="C1062" s="3"/>
      <c r="D1062"/>
      <c r="E1062"/>
      <c r="F1062"/>
      <c r="G1062" s="3"/>
      <c r="H1062" s="3"/>
      <c r="I1062" s="3"/>
      <c r="J1062" s="288"/>
      <c r="L1062" s="288"/>
      <c r="M1062" s="288"/>
      <c r="N1062" s="288"/>
      <c r="O1062" s="288"/>
      <c r="P1062" s="288"/>
      <c r="Q1062" s="288"/>
      <c r="R1062" s="283"/>
      <c r="S1062" s="280"/>
      <c r="T1062" s="276"/>
      <c r="U1062" s="276"/>
      <c r="V1062" s="276"/>
      <c r="W1062" s="283"/>
      <c r="X1062" s="280"/>
      <c r="Y1062" s="280"/>
      <c r="Z1062" s="280"/>
      <c r="AA1062" s="280"/>
      <c r="AB1062" s="280"/>
      <c r="AC1062" s="280"/>
      <c r="AD1062" s="280"/>
      <c r="AG1062" s="3"/>
      <c r="AH1062" s="3"/>
      <c r="AI1062" s="3"/>
      <c r="AJ1062" s="3"/>
      <c r="AK1062" s="3"/>
      <c r="AL1062" s="3"/>
      <c r="AM1062" s="3"/>
      <c r="AN1062" s="3"/>
      <c r="AO1062" s="3"/>
      <c r="AP1062" s="11"/>
      <c r="AQ1062" s="11"/>
      <c r="AR1062" s="3"/>
      <c r="AS1062" s="3"/>
      <c r="AT1062" s="3"/>
      <c r="AU1062" s="3"/>
      <c r="AV1062" s="3"/>
      <c r="AW1062" s="3"/>
      <c r="AX1062" s="11"/>
      <c r="AZ1062"/>
      <c r="BA1062"/>
      <c r="BB1062"/>
      <c r="BC1062"/>
    </row>
    <row r="1063" spans="1:55" s="282" customFormat="1" x14ac:dyDescent="0.25">
      <c r="A1063"/>
      <c r="B1063"/>
      <c r="C1063" s="3"/>
      <c r="D1063"/>
      <c r="E1063"/>
      <c r="F1063"/>
      <c r="G1063" s="3"/>
      <c r="H1063" s="3"/>
      <c r="I1063" s="3"/>
      <c r="J1063" s="288"/>
      <c r="L1063" s="288"/>
      <c r="M1063" s="288"/>
      <c r="N1063" s="288"/>
      <c r="O1063" s="288"/>
      <c r="P1063" s="288"/>
      <c r="Q1063" s="288"/>
      <c r="R1063" s="283"/>
      <c r="S1063" s="280"/>
      <c r="T1063" s="276"/>
      <c r="U1063" s="276"/>
      <c r="V1063" s="276"/>
      <c r="W1063" s="283"/>
      <c r="X1063" s="280"/>
      <c r="Y1063" s="280"/>
      <c r="Z1063" s="280"/>
      <c r="AA1063" s="280"/>
      <c r="AB1063" s="280"/>
      <c r="AC1063" s="280"/>
      <c r="AD1063" s="280"/>
      <c r="AG1063" s="3"/>
      <c r="AH1063" s="3"/>
      <c r="AI1063" s="3"/>
      <c r="AJ1063" s="3"/>
      <c r="AK1063" s="3"/>
      <c r="AL1063" s="3"/>
      <c r="AM1063" s="3"/>
      <c r="AN1063" s="3"/>
      <c r="AO1063" s="3"/>
      <c r="AP1063" s="11"/>
      <c r="AQ1063" s="11"/>
      <c r="AR1063" s="3"/>
      <c r="AS1063" s="3"/>
      <c r="AT1063" s="3"/>
      <c r="AU1063" s="3"/>
      <c r="AV1063" s="3"/>
      <c r="AW1063" s="3"/>
      <c r="AX1063" s="11"/>
      <c r="AZ1063"/>
      <c r="BA1063"/>
      <c r="BB1063"/>
      <c r="BC1063"/>
    </row>
    <row r="1064" spans="1:55" s="282" customFormat="1" x14ac:dyDescent="0.25">
      <c r="A1064"/>
      <c r="B1064"/>
      <c r="C1064" s="3"/>
      <c r="D1064"/>
      <c r="E1064"/>
      <c r="F1064"/>
      <c r="G1064" s="3"/>
      <c r="H1064" s="3"/>
      <c r="I1064" s="3"/>
      <c r="J1064" s="288"/>
      <c r="L1064" s="288"/>
      <c r="M1064" s="288"/>
      <c r="N1064" s="288"/>
      <c r="O1064" s="288"/>
      <c r="P1064" s="288"/>
      <c r="Q1064" s="288"/>
      <c r="R1064" s="283"/>
      <c r="S1064" s="280"/>
      <c r="T1064" s="276"/>
      <c r="U1064" s="276"/>
      <c r="V1064" s="276"/>
      <c r="W1064" s="283"/>
      <c r="X1064" s="280"/>
      <c r="Y1064" s="280"/>
      <c r="Z1064" s="280"/>
      <c r="AA1064" s="280"/>
      <c r="AB1064" s="280"/>
      <c r="AC1064" s="280"/>
      <c r="AD1064" s="280"/>
      <c r="AG1064" s="3"/>
      <c r="AH1064" s="3"/>
      <c r="AI1064" s="3"/>
      <c r="AJ1064" s="3"/>
      <c r="AK1064" s="3"/>
      <c r="AL1064" s="3"/>
      <c r="AM1064" s="3"/>
      <c r="AN1064" s="3"/>
      <c r="AO1064" s="3"/>
      <c r="AP1064" s="11"/>
      <c r="AQ1064" s="11"/>
      <c r="AR1064" s="3"/>
      <c r="AS1064" s="3"/>
      <c r="AT1064" s="3"/>
      <c r="AU1064" s="3"/>
      <c r="AV1064" s="3"/>
      <c r="AW1064" s="3"/>
      <c r="AX1064" s="11"/>
      <c r="AZ1064"/>
      <c r="BA1064"/>
      <c r="BB1064"/>
      <c r="BC1064"/>
    </row>
    <row r="1065" spans="1:55" s="282" customFormat="1" x14ac:dyDescent="0.25">
      <c r="A1065"/>
      <c r="B1065"/>
      <c r="C1065" s="3"/>
      <c r="D1065"/>
      <c r="E1065"/>
      <c r="F1065"/>
      <c r="G1065" s="3"/>
      <c r="H1065" s="3"/>
      <c r="I1065" s="3"/>
      <c r="J1065" s="288"/>
      <c r="L1065" s="288"/>
      <c r="M1065" s="288"/>
      <c r="N1065" s="288"/>
      <c r="O1065" s="288"/>
      <c r="P1065" s="288"/>
      <c r="Q1065" s="288"/>
      <c r="R1065" s="283"/>
      <c r="S1065" s="280"/>
      <c r="T1065" s="276"/>
      <c r="U1065" s="276"/>
      <c r="V1065" s="276"/>
      <c r="W1065" s="283"/>
      <c r="X1065" s="280"/>
      <c r="Y1065" s="280"/>
      <c r="Z1065" s="280"/>
      <c r="AA1065" s="280"/>
      <c r="AB1065" s="280"/>
      <c r="AC1065" s="280"/>
      <c r="AD1065" s="280"/>
      <c r="AG1065" s="3"/>
      <c r="AH1065" s="3"/>
      <c r="AI1065" s="3"/>
      <c r="AJ1065" s="3"/>
      <c r="AK1065" s="3"/>
      <c r="AL1065" s="3"/>
      <c r="AM1065" s="3"/>
      <c r="AN1065" s="3"/>
      <c r="AO1065" s="3"/>
      <c r="AP1065" s="11"/>
      <c r="AQ1065" s="11"/>
      <c r="AR1065" s="3"/>
      <c r="AS1065" s="3"/>
      <c r="AT1065" s="3"/>
      <c r="AU1065" s="3"/>
      <c r="AV1065" s="3"/>
      <c r="AW1065" s="3"/>
      <c r="AX1065" s="11"/>
      <c r="AZ1065"/>
      <c r="BA1065"/>
      <c r="BB1065"/>
      <c r="BC1065"/>
    </row>
    <row r="1066" spans="1:55" s="282" customFormat="1" x14ac:dyDescent="0.25">
      <c r="A1066"/>
      <c r="B1066"/>
      <c r="C1066" s="3"/>
      <c r="D1066"/>
      <c r="E1066"/>
      <c r="F1066"/>
      <c r="G1066" s="3"/>
      <c r="H1066" s="3"/>
      <c r="I1066" s="3"/>
      <c r="J1066" s="288"/>
      <c r="L1066" s="288"/>
      <c r="M1066" s="288"/>
      <c r="N1066" s="288"/>
      <c r="O1066" s="288"/>
      <c r="P1066" s="288"/>
      <c r="Q1066" s="288"/>
      <c r="R1066" s="283"/>
      <c r="S1066" s="280"/>
      <c r="T1066" s="276"/>
      <c r="U1066" s="276"/>
      <c r="V1066" s="276"/>
      <c r="W1066" s="283"/>
      <c r="X1066" s="280"/>
      <c r="Y1066" s="280"/>
      <c r="Z1066" s="280"/>
      <c r="AA1066" s="280"/>
      <c r="AB1066" s="280"/>
      <c r="AC1066" s="280"/>
      <c r="AD1066" s="280"/>
      <c r="AG1066" s="3"/>
      <c r="AH1066" s="3"/>
      <c r="AI1066" s="3"/>
      <c r="AJ1066" s="3"/>
      <c r="AK1066" s="3"/>
      <c r="AL1066" s="3"/>
      <c r="AM1066" s="3"/>
      <c r="AN1066" s="3"/>
      <c r="AO1066" s="3"/>
      <c r="AP1066" s="11"/>
      <c r="AQ1066" s="11"/>
      <c r="AR1066" s="3"/>
      <c r="AS1066" s="3"/>
      <c r="AT1066" s="3"/>
      <c r="AU1066" s="3"/>
      <c r="AV1066" s="3"/>
      <c r="AW1066" s="3"/>
      <c r="AX1066" s="11"/>
      <c r="AZ1066"/>
      <c r="BA1066"/>
      <c r="BB1066"/>
      <c r="BC1066"/>
    </row>
    <row r="1067" spans="1:55" s="282" customFormat="1" x14ac:dyDescent="0.25">
      <c r="A1067"/>
      <c r="B1067"/>
      <c r="C1067" s="3"/>
      <c r="D1067"/>
      <c r="E1067"/>
      <c r="F1067"/>
      <c r="G1067" s="3"/>
      <c r="H1067" s="3"/>
      <c r="I1067" s="3"/>
      <c r="J1067" s="288"/>
      <c r="L1067" s="288"/>
      <c r="M1067" s="288"/>
      <c r="N1067" s="288"/>
      <c r="O1067" s="288"/>
      <c r="P1067" s="288"/>
      <c r="Q1067" s="288"/>
      <c r="R1067" s="283"/>
      <c r="S1067" s="280"/>
      <c r="T1067" s="276"/>
      <c r="U1067" s="276"/>
      <c r="V1067" s="276"/>
      <c r="W1067" s="283"/>
      <c r="X1067" s="280"/>
      <c r="Y1067" s="280"/>
      <c r="Z1067" s="280"/>
      <c r="AA1067" s="280"/>
      <c r="AB1067" s="280"/>
      <c r="AC1067" s="280"/>
      <c r="AD1067" s="280"/>
      <c r="AG1067" s="3"/>
      <c r="AH1067" s="3"/>
      <c r="AI1067" s="3"/>
      <c r="AJ1067" s="3"/>
      <c r="AK1067" s="3"/>
      <c r="AL1067" s="3"/>
      <c r="AM1067" s="3"/>
      <c r="AN1067" s="3"/>
      <c r="AO1067" s="3"/>
      <c r="AP1067" s="11"/>
      <c r="AQ1067" s="11"/>
      <c r="AR1067" s="3"/>
      <c r="AS1067" s="3"/>
      <c r="AT1067" s="3"/>
      <c r="AU1067" s="3"/>
      <c r="AV1067" s="3"/>
      <c r="AW1067" s="3"/>
      <c r="AX1067" s="11"/>
      <c r="AZ1067"/>
      <c r="BA1067"/>
      <c r="BB1067"/>
      <c r="BC1067"/>
    </row>
    <row r="1068" spans="1:55" s="282" customFormat="1" x14ac:dyDescent="0.25">
      <c r="A1068"/>
      <c r="B1068"/>
      <c r="C1068" s="3"/>
      <c r="D1068"/>
      <c r="E1068"/>
      <c r="F1068"/>
      <c r="G1068" s="3"/>
      <c r="H1068" s="3"/>
      <c r="I1068" s="3"/>
      <c r="J1068" s="288"/>
      <c r="L1068" s="288"/>
      <c r="M1068" s="288"/>
      <c r="N1068" s="288"/>
      <c r="O1068" s="288"/>
      <c r="P1068" s="288"/>
      <c r="Q1068" s="288"/>
      <c r="R1068" s="283"/>
      <c r="S1068" s="280"/>
      <c r="T1068" s="276"/>
      <c r="U1068" s="276"/>
      <c r="V1068" s="276"/>
      <c r="W1068" s="283"/>
      <c r="X1068" s="280"/>
      <c r="Y1068" s="280"/>
      <c r="Z1068" s="280"/>
      <c r="AA1068" s="280"/>
      <c r="AB1068" s="280"/>
      <c r="AC1068" s="280"/>
      <c r="AD1068" s="280"/>
      <c r="AG1068" s="3"/>
      <c r="AH1068" s="3"/>
      <c r="AI1068" s="3"/>
      <c r="AJ1068" s="3"/>
      <c r="AK1068" s="3"/>
      <c r="AL1068" s="3"/>
      <c r="AM1068" s="3"/>
      <c r="AN1068" s="3"/>
      <c r="AO1068" s="3"/>
      <c r="AP1068" s="11"/>
      <c r="AQ1068" s="11"/>
      <c r="AR1068" s="3"/>
      <c r="AS1068" s="3"/>
      <c r="AT1068" s="3"/>
      <c r="AU1068" s="3"/>
      <c r="AV1068" s="3"/>
      <c r="AW1068" s="3"/>
      <c r="AX1068" s="11"/>
      <c r="AZ1068"/>
      <c r="BA1068"/>
      <c r="BB1068"/>
      <c r="BC1068"/>
    </row>
    <row r="1069" spans="1:55" s="282" customFormat="1" x14ac:dyDescent="0.25">
      <c r="A1069"/>
      <c r="B1069"/>
      <c r="C1069" s="3"/>
      <c r="D1069"/>
      <c r="E1069"/>
      <c r="F1069"/>
      <c r="G1069" s="3"/>
      <c r="H1069" s="3"/>
      <c r="I1069" s="3"/>
      <c r="J1069" s="288"/>
      <c r="L1069" s="288"/>
      <c r="M1069" s="288"/>
      <c r="N1069" s="288"/>
      <c r="O1069" s="288"/>
      <c r="P1069" s="288"/>
      <c r="Q1069" s="288"/>
      <c r="R1069" s="283"/>
      <c r="S1069" s="280"/>
      <c r="T1069" s="276"/>
      <c r="U1069" s="276"/>
      <c r="V1069" s="276"/>
      <c r="W1069" s="283"/>
      <c r="X1069" s="280"/>
      <c r="Y1069" s="280"/>
      <c r="Z1069" s="280"/>
      <c r="AA1069" s="280"/>
      <c r="AB1069" s="280"/>
      <c r="AC1069" s="280"/>
      <c r="AD1069" s="280"/>
      <c r="AG1069" s="3"/>
      <c r="AH1069" s="3"/>
      <c r="AI1069" s="3"/>
      <c r="AJ1069" s="3"/>
      <c r="AK1069" s="3"/>
      <c r="AL1069" s="3"/>
      <c r="AM1069" s="3"/>
      <c r="AN1069" s="3"/>
      <c r="AO1069" s="3"/>
      <c r="AP1069" s="11"/>
      <c r="AQ1069" s="11"/>
      <c r="AR1069" s="3"/>
      <c r="AS1069" s="3"/>
      <c r="AT1069" s="3"/>
      <c r="AU1069" s="3"/>
      <c r="AV1069" s="3"/>
      <c r="AW1069" s="3"/>
      <c r="AX1069" s="11"/>
      <c r="AZ1069"/>
      <c r="BA1069"/>
      <c r="BB1069"/>
      <c r="BC1069"/>
    </row>
    <row r="1070" spans="1:55" s="282" customFormat="1" x14ac:dyDescent="0.25">
      <c r="A1070"/>
      <c r="B1070"/>
      <c r="C1070" s="3"/>
      <c r="D1070"/>
      <c r="E1070"/>
      <c r="F1070"/>
      <c r="G1070" s="3"/>
      <c r="H1070" s="3"/>
      <c r="I1070" s="3"/>
      <c r="J1070" s="288"/>
      <c r="L1070" s="288"/>
      <c r="M1070" s="288"/>
      <c r="N1070" s="288"/>
      <c r="O1070" s="288"/>
      <c r="P1070" s="288"/>
      <c r="Q1070" s="288"/>
      <c r="R1070" s="283"/>
      <c r="S1070" s="280"/>
      <c r="T1070" s="276"/>
      <c r="U1070" s="276"/>
      <c r="V1070" s="276"/>
      <c r="W1070" s="283"/>
      <c r="X1070" s="280"/>
      <c r="Y1070" s="280"/>
      <c r="Z1070" s="280"/>
      <c r="AA1070" s="280"/>
      <c r="AB1070" s="280"/>
      <c r="AC1070" s="280"/>
      <c r="AD1070" s="280"/>
      <c r="AG1070" s="3"/>
      <c r="AH1070" s="3"/>
      <c r="AI1070" s="3"/>
      <c r="AJ1070" s="3"/>
      <c r="AK1070" s="3"/>
      <c r="AL1070" s="3"/>
      <c r="AM1070" s="3"/>
      <c r="AN1070" s="3"/>
      <c r="AO1070" s="3"/>
      <c r="AP1070" s="11"/>
      <c r="AQ1070" s="11"/>
      <c r="AR1070" s="3"/>
      <c r="AS1070" s="3"/>
      <c r="AT1070" s="3"/>
      <c r="AU1070" s="3"/>
      <c r="AV1070" s="3"/>
      <c r="AW1070" s="3"/>
      <c r="AX1070" s="11"/>
      <c r="AZ1070"/>
      <c r="BA1070"/>
      <c r="BB1070"/>
      <c r="BC1070"/>
    </row>
    <row r="1071" spans="1:55" s="282" customFormat="1" x14ac:dyDescent="0.25">
      <c r="A1071"/>
      <c r="B1071"/>
      <c r="C1071" s="3"/>
      <c r="D1071"/>
      <c r="E1071"/>
      <c r="F1071"/>
      <c r="G1071" s="3"/>
      <c r="H1071" s="3"/>
      <c r="I1071" s="3"/>
      <c r="J1071" s="288"/>
      <c r="L1071" s="288"/>
      <c r="M1071" s="288"/>
      <c r="N1071" s="288"/>
      <c r="O1071" s="288"/>
      <c r="P1071" s="288"/>
      <c r="Q1071" s="288"/>
      <c r="R1071" s="283"/>
      <c r="S1071" s="280"/>
      <c r="T1071" s="276"/>
      <c r="U1071" s="276"/>
      <c r="V1071" s="276"/>
      <c r="W1071" s="283"/>
      <c r="X1071" s="280"/>
      <c r="Y1071" s="280"/>
      <c r="Z1071" s="280"/>
      <c r="AA1071" s="280"/>
      <c r="AB1071" s="280"/>
      <c r="AC1071" s="280"/>
      <c r="AD1071" s="280"/>
      <c r="AG1071" s="3"/>
      <c r="AH1071" s="3"/>
      <c r="AI1071" s="3"/>
      <c r="AJ1071" s="3"/>
      <c r="AK1071" s="3"/>
      <c r="AL1071" s="3"/>
      <c r="AM1071" s="3"/>
      <c r="AN1071" s="3"/>
      <c r="AO1071" s="3"/>
      <c r="AP1071" s="11"/>
      <c r="AQ1071" s="11"/>
      <c r="AR1071" s="3"/>
      <c r="AS1071" s="3"/>
      <c r="AT1071" s="3"/>
      <c r="AU1071" s="3"/>
      <c r="AV1071" s="3"/>
      <c r="AW1071" s="3"/>
      <c r="AX1071" s="11"/>
      <c r="AZ1071"/>
      <c r="BA1071"/>
      <c r="BB1071"/>
      <c r="BC1071"/>
    </row>
    <row r="1072" spans="1:55" s="282" customFormat="1" x14ac:dyDescent="0.25">
      <c r="A1072"/>
      <c r="B1072"/>
      <c r="C1072" s="3"/>
      <c r="D1072"/>
      <c r="E1072"/>
      <c r="F1072"/>
      <c r="G1072" s="3"/>
      <c r="H1072" s="3"/>
      <c r="I1072" s="3"/>
      <c r="J1072" s="288"/>
      <c r="L1072" s="288"/>
      <c r="M1072" s="288"/>
      <c r="N1072" s="288"/>
      <c r="O1072" s="288"/>
      <c r="P1072" s="288"/>
      <c r="Q1072" s="288"/>
      <c r="R1072" s="283"/>
      <c r="S1072" s="280"/>
      <c r="T1072" s="276"/>
      <c r="U1072" s="276"/>
      <c r="V1072" s="276"/>
      <c r="W1072" s="283"/>
      <c r="X1072" s="280"/>
      <c r="Y1072" s="280"/>
      <c r="Z1072" s="280"/>
      <c r="AA1072" s="280"/>
      <c r="AB1072" s="280"/>
      <c r="AC1072" s="280"/>
      <c r="AD1072" s="280"/>
      <c r="AG1072" s="3"/>
      <c r="AH1072" s="3"/>
      <c r="AI1072" s="3"/>
      <c r="AJ1072" s="3"/>
      <c r="AK1072" s="3"/>
      <c r="AL1072" s="3"/>
      <c r="AM1072" s="3"/>
      <c r="AN1072" s="3"/>
      <c r="AO1072" s="3"/>
      <c r="AP1072" s="11"/>
      <c r="AQ1072" s="11"/>
      <c r="AR1072" s="3"/>
      <c r="AS1072" s="3"/>
      <c r="AT1072" s="3"/>
      <c r="AU1072" s="3"/>
      <c r="AV1072" s="3"/>
      <c r="AW1072" s="3"/>
      <c r="AX1072" s="11"/>
      <c r="AZ1072"/>
      <c r="BA1072"/>
      <c r="BB1072"/>
      <c r="BC1072"/>
    </row>
    <row r="1073" spans="1:55" s="282" customFormat="1" x14ac:dyDescent="0.25">
      <c r="A1073"/>
      <c r="B1073"/>
      <c r="C1073" s="3"/>
      <c r="D1073"/>
      <c r="E1073"/>
      <c r="F1073"/>
      <c r="G1073" s="3"/>
      <c r="H1073" s="3"/>
      <c r="I1073" s="3"/>
      <c r="J1073" s="288"/>
      <c r="L1073" s="288"/>
      <c r="M1073" s="288"/>
      <c r="N1073" s="288"/>
      <c r="O1073" s="288"/>
      <c r="P1073" s="288"/>
      <c r="Q1073" s="288"/>
      <c r="R1073" s="283"/>
      <c r="S1073" s="280"/>
      <c r="T1073" s="276"/>
      <c r="U1073" s="276"/>
      <c r="V1073" s="276"/>
      <c r="W1073" s="283"/>
      <c r="X1073" s="280"/>
      <c r="Y1073" s="280"/>
      <c r="Z1073" s="280"/>
      <c r="AA1073" s="280"/>
      <c r="AB1073" s="280"/>
      <c r="AC1073" s="280"/>
      <c r="AD1073" s="280"/>
      <c r="AG1073" s="3"/>
      <c r="AH1073" s="3"/>
      <c r="AI1073" s="3"/>
      <c r="AJ1073" s="3"/>
      <c r="AK1073" s="3"/>
      <c r="AL1073" s="3"/>
      <c r="AM1073" s="3"/>
      <c r="AN1073" s="3"/>
      <c r="AO1073" s="3"/>
      <c r="AP1073" s="11"/>
      <c r="AQ1073" s="11"/>
      <c r="AR1073" s="3"/>
      <c r="AS1073" s="3"/>
      <c r="AT1073" s="3"/>
      <c r="AU1073" s="3"/>
      <c r="AV1073" s="3"/>
      <c r="AW1073" s="3"/>
      <c r="AX1073" s="11"/>
      <c r="AZ1073"/>
      <c r="BA1073"/>
      <c r="BB1073"/>
      <c r="BC1073"/>
    </row>
    <row r="1074" spans="1:55" s="282" customFormat="1" x14ac:dyDescent="0.25">
      <c r="A1074"/>
      <c r="B1074"/>
      <c r="C1074" s="3"/>
      <c r="D1074"/>
      <c r="E1074"/>
      <c r="F1074"/>
      <c r="G1074" s="3"/>
      <c r="H1074" s="3"/>
      <c r="I1074" s="3"/>
      <c r="J1074" s="288"/>
      <c r="L1074" s="288"/>
      <c r="M1074" s="288"/>
      <c r="N1074" s="288"/>
      <c r="O1074" s="288"/>
      <c r="P1074" s="288"/>
      <c r="Q1074" s="288"/>
      <c r="R1074" s="283"/>
      <c r="S1074" s="280"/>
      <c r="T1074" s="276"/>
      <c r="U1074" s="276"/>
      <c r="V1074" s="276"/>
      <c r="W1074" s="283"/>
      <c r="X1074" s="280"/>
      <c r="Y1074" s="280"/>
      <c r="Z1074" s="280"/>
      <c r="AA1074" s="280"/>
      <c r="AB1074" s="280"/>
      <c r="AC1074" s="280"/>
      <c r="AD1074" s="280"/>
      <c r="AG1074" s="3"/>
      <c r="AH1074" s="3"/>
      <c r="AI1074" s="3"/>
      <c r="AJ1074" s="3"/>
      <c r="AK1074" s="3"/>
      <c r="AL1074" s="3"/>
      <c r="AM1074" s="3"/>
      <c r="AN1074" s="3"/>
      <c r="AO1074" s="3"/>
      <c r="AP1074" s="11"/>
      <c r="AQ1074" s="11"/>
      <c r="AR1074" s="3"/>
      <c r="AS1074" s="3"/>
      <c r="AT1074" s="3"/>
      <c r="AU1074" s="3"/>
      <c r="AV1074" s="3"/>
      <c r="AW1074" s="3"/>
      <c r="AX1074" s="11"/>
      <c r="AZ1074"/>
      <c r="BA1074"/>
      <c r="BB1074"/>
      <c r="BC1074"/>
    </row>
    <row r="1075" spans="1:55" s="282" customFormat="1" x14ac:dyDescent="0.25">
      <c r="A1075"/>
      <c r="B1075"/>
      <c r="C1075" s="3"/>
      <c r="D1075"/>
      <c r="E1075"/>
      <c r="F1075"/>
      <c r="G1075" s="3"/>
      <c r="H1075" s="3"/>
      <c r="I1075" s="3"/>
      <c r="J1075" s="288"/>
      <c r="L1075" s="288"/>
      <c r="M1075" s="288"/>
      <c r="N1075" s="288"/>
      <c r="O1075" s="288"/>
      <c r="P1075" s="288"/>
      <c r="Q1075" s="288"/>
      <c r="R1075" s="283"/>
      <c r="S1075" s="280"/>
      <c r="T1075" s="276"/>
      <c r="U1075" s="276"/>
      <c r="V1075" s="276"/>
      <c r="W1075" s="283"/>
      <c r="X1075" s="280"/>
      <c r="Y1075" s="280"/>
      <c r="Z1075" s="280"/>
      <c r="AA1075" s="280"/>
      <c r="AB1075" s="280"/>
      <c r="AC1075" s="280"/>
      <c r="AD1075" s="280"/>
      <c r="AG1075" s="3"/>
      <c r="AH1075" s="3"/>
      <c r="AI1075" s="3"/>
      <c r="AJ1075" s="3"/>
      <c r="AK1075" s="3"/>
      <c r="AL1075" s="3"/>
      <c r="AM1075" s="3"/>
      <c r="AN1075" s="3"/>
      <c r="AO1075" s="3"/>
      <c r="AP1075" s="11"/>
      <c r="AQ1075" s="11"/>
      <c r="AR1075" s="3"/>
      <c r="AS1075" s="3"/>
      <c r="AT1075" s="3"/>
      <c r="AU1075" s="3"/>
      <c r="AV1075" s="3"/>
      <c r="AW1075" s="3"/>
      <c r="AX1075" s="11"/>
      <c r="AZ1075"/>
      <c r="BA1075"/>
      <c r="BB1075"/>
      <c r="BC1075"/>
    </row>
    <row r="1076" spans="1:55" s="282" customFormat="1" x14ac:dyDescent="0.25">
      <c r="A1076"/>
      <c r="B1076"/>
      <c r="C1076" s="3"/>
      <c r="D1076"/>
      <c r="E1076"/>
      <c r="F1076"/>
      <c r="G1076" s="3"/>
      <c r="H1076" s="3"/>
      <c r="I1076" s="3"/>
      <c r="J1076" s="288"/>
      <c r="L1076" s="288"/>
      <c r="M1076" s="288"/>
      <c r="N1076" s="288"/>
      <c r="O1076" s="288"/>
      <c r="P1076" s="288"/>
      <c r="Q1076" s="288"/>
      <c r="R1076" s="283"/>
      <c r="S1076" s="280"/>
      <c r="T1076" s="276"/>
      <c r="U1076" s="276"/>
      <c r="V1076" s="276"/>
      <c r="W1076" s="283"/>
      <c r="X1076" s="280"/>
      <c r="Y1076" s="280"/>
      <c r="Z1076" s="280"/>
      <c r="AA1076" s="280"/>
      <c r="AB1076" s="280"/>
      <c r="AC1076" s="280"/>
      <c r="AD1076" s="280"/>
      <c r="AG1076" s="3"/>
      <c r="AH1076" s="3"/>
      <c r="AI1076" s="3"/>
      <c r="AJ1076" s="3"/>
      <c r="AK1076" s="3"/>
      <c r="AL1076" s="3"/>
      <c r="AM1076" s="3"/>
      <c r="AN1076" s="3"/>
      <c r="AO1076" s="3"/>
      <c r="AP1076" s="11"/>
      <c r="AQ1076" s="11"/>
      <c r="AR1076" s="3"/>
      <c r="AS1076" s="3"/>
      <c r="AT1076" s="3"/>
      <c r="AU1076" s="3"/>
      <c r="AV1076" s="3"/>
      <c r="AW1076" s="3"/>
      <c r="AX1076" s="11"/>
      <c r="AZ1076"/>
      <c r="BA1076"/>
      <c r="BB1076"/>
      <c r="BC1076"/>
    </row>
    <row r="1077" spans="1:55" s="282" customFormat="1" x14ac:dyDescent="0.25">
      <c r="A1077"/>
      <c r="B1077"/>
      <c r="C1077" s="3"/>
      <c r="D1077"/>
      <c r="E1077"/>
      <c r="F1077"/>
      <c r="G1077" s="3"/>
      <c r="H1077" s="3"/>
      <c r="I1077" s="3"/>
      <c r="J1077" s="288"/>
      <c r="L1077" s="288"/>
      <c r="M1077" s="288"/>
      <c r="N1077" s="288"/>
      <c r="O1077" s="288"/>
      <c r="P1077" s="288"/>
      <c r="Q1077" s="288"/>
      <c r="R1077" s="283"/>
      <c r="S1077" s="280"/>
      <c r="T1077" s="276"/>
      <c r="U1077" s="276"/>
      <c r="V1077" s="276"/>
      <c r="W1077" s="283"/>
      <c r="X1077" s="280"/>
      <c r="Y1077" s="280"/>
      <c r="Z1077" s="280"/>
      <c r="AA1077" s="280"/>
      <c r="AB1077" s="280"/>
      <c r="AC1077" s="280"/>
      <c r="AD1077" s="280"/>
      <c r="AG1077" s="3"/>
      <c r="AH1077" s="3"/>
      <c r="AI1077" s="3"/>
      <c r="AJ1077" s="3"/>
      <c r="AK1077" s="3"/>
      <c r="AL1077" s="3"/>
      <c r="AM1077" s="3"/>
      <c r="AN1077" s="3"/>
      <c r="AO1077" s="3"/>
      <c r="AP1077" s="11"/>
      <c r="AQ1077" s="11"/>
      <c r="AR1077" s="3"/>
      <c r="AS1077" s="3"/>
      <c r="AT1077" s="3"/>
      <c r="AU1077" s="3"/>
      <c r="AV1077" s="3"/>
      <c r="AW1077" s="3"/>
      <c r="AX1077" s="11"/>
      <c r="AZ1077"/>
      <c r="BA1077"/>
      <c r="BB1077"/>
      <c r="BC1077"/>
    </row>
    <row r="1078" spans="1:55" s="282" customFormat="1" x14ac:dyDescent="0.25">
      <c r="A1078"/>
      <c r="B1078"/>
      <c r="C1078" s="3"/>
      <c r="D1078"/>
      <c r="E1078"/>
      <c r="F1078"/>
      <c r="G1078" s="3"/>
      <c r="H1078" s="3"/>
      <c r="I1078" s="3"/>
      <c r="J1078" s="288"/>
      <c r="L1078" s="288"/>
      <c r="M1078" s="288"/>
      <c r="N1078" s="288"/>
      <c r="O1078" s="288"/>
      <c r="P1078" s="288"/>
      <c r="Q1078" s="288"/>
      <c r="R1078" s="283"/>
      <c r="S1078" s="280"/>
      <c r="T1078" s="276"/>
      <c r="U1078" s="276"/>
      <c r="V1078" s="276"/>
      <c r="W1078" s="283"/>
      <c r="X1078" s="280"/>
      <c r="Y1078" s="280"/>
      <c r="Z1078" s="280"/>
      <c r="AA1078" s="280"/>
      <c r="AB1078" s="280"/>
      <c r="AC1078" s="280"/>
      <c r="AD1078" s="280"/>
      <c r="AG1078" s="3"/>
      <c r="AH1078" s="3"/>
      <c r="AI1078" s="3"/>
      <c r="AJ1078" s="3"/>
      <c r="AK1078" s="3"/>
      <c r="AL1078" s="3"/>
      <c r="AM1078" s="3"/>
      <c r="AN1078" s="3"/>
      <c r="AO1078" s="3"/>
      <c r="AP1078" s="11"/>
      <c r="AQ1078" s="11"/>
      <c r="AR1078" s="3"/>
      <c r="AS1078" s="3"/>
      <c r="AT1078" s="3"/>
      <c r="AU1078" s="3"/>
      <c r="AV1078" s="3"/>
      <c r="AW1078" s="3"/>
      <c r="AX1078" s="11"/>
      <c r="AZ1078"/>
      <c r="BA1078"/>
      <c r="BB1078"/>
      <c r="BC1078"/>
    </row>
    <row r="1079" spans="1:55" s="282" customFormat="1" x14ac:dyDescent="0.25">
      <c r="A1079"/>
      <c r="B1079"/>
      <c r="C1079" s="3"/>
      <c r="D1079"/>
      <c r="E1079"/>
      <c r="F1079"/>
      <c r="G1079" s="3"/>
      <c r="H1079" s="3"/>
      <c r="I1079" s="3"/>
      <c r="J1079" s="288"/>
      <c r="L1079" s="288"/>
      <c r="M1079" s="288"/>
      <c r="N1079" s="288"/>
      <c r="O1079" s="288"/>
      <c r="P1079" s="288"/>
      <c r="Q1079" s="288"/>
      <c r="R1079" s="283"/>
      <c r="S1079" s="280"/>
      <c r="T1079" s="276"/>
      <c r="U1079" s="276"/>
      <c r="V1079" s="276"/>
      <c r="W1079" s="283"/>
      <c r="X1079" s="280"/>
      <c r="Y1079" s="280"/>
      <c r="Z1079" s="280"/>
      <c r="AA1079" s="280"/>
      <c r="AB1079" s="280"/>
      <c r="AC1079" s="280"/>
      <c r="AD1079" s="280"/>
      <c r="AG1079" s="3"/>
      <c r="AH1079" s="3"/>
      <c r="AI1079" s="3"/>
      <c r="AJ1079" s="3"/>
      <c r="AK1079" s="3"/>
      <c r="AL1079" s="3"/>
      <c r="AM1079" s="3"/>
      <c r="AN1079" s="3"/>
      <c r="AO1079" s="3"/>
      <c r="AP1079" s="11"/>
      <c r="AQ1079" s="11"/>
      <c r="AR1079" s="3"/>
      <c r="AS1079" s="3"/>
      <c r="AT1079" s="3"/>
      <c r="AU1079" s="3"/>
      <c r="AV1079" s="3"/>
      <c r="AW1079" s="3"/>
      <c r="AX1079" s="11"/>
      <c r="AZ1079"/>
      <c r="BA1079"/>
      <c r="BB1079"/>
      <c r="BC1079"/>
    </row>
    <row r="1080" spans="1:55" s="282" customFormat="1" x14ac:dyDescent="0.25">
      <c r="A1080"/>
      <c r="B1080"/>
      <c r="C1080" s="3"/>
      <c r="D1080"/>
      <c r="E1080"/>
      <c r="F1080"/>
      <c r="G1080" s="3"/>
      <c r="H1080" s="3"/>
      <c r="I1080" s="3"/>
      <c r="J1080" s="288"/>
      <c r="L1080" s="288"/>
      <c r="M1080" s="288"/>
      <c r="N1080" s="288"/>
      <c r="O1080" s="288"/>
      <c r="P1080" s="288"/>
      <c r="Q1080" s="288"/>
      <c r="R1080" s="283"/>
      <c r="S1080" s="280"/>
      <c r="T1080" s="276"/>
      <c r="U1080" s="276"/>
      <c r="V1080" s="276"/>
      <c r="W1080" s="283"/>
      <c r="X1080" s="280"/>
      <c r="Y1080" s="280"/>
      <c r="Z1080" s="280"/>
      <c r="AA1080" s="280"/>
      <c r="AB1080" s="280"/>
      <c r="AC1080" s="280"/>
      <c r="AD1080" s="280"/>
      <c r="AG1080" s="3"/>
      <c r="AH1080" s="3"/>
      <c r="AI1080" s="3"/>
      <c r="AJ1080" s="3"/>
      <c r="AK1080" s="3"/>
      <c r="AL1080" s="3"/>
      <c r="AM1080" s="3"/>
      <c r="AN1080" s="3"/>
      <c r="AO1080" s="3"/>
      <c r="AP1080" s="11"/>
      <c r="AQ1080" s="11"/>
      <c r="AR1080" s="3"/>
      <c r="AS1080" s="3"/>
      <c r="AT1080" s="3"/>
      <c r="AU1080" s="3"/>
      <c r="AV1080" s="3"/>
      <c r="AW1080" s="3"/>
      <c r="AX1080" s="11"/>
      <c r="AZ1080"/>
      <c r="BA1080"/>
      <c r="BB1080"/>
      <c r="BC1080"/>
    </row>
    <row r="1081" spans="1:55" s="282" customFormat="1" x14ac:dyDescent="0.25">
      <c r="A1081"/>
      <c r="B1081"/>
      <c r="C1081" s="3"/>
      <c r="D1081"/>
      <c r="E1081"/>
      <c r="F1081"/>
      <c r="G1081" s="3"/>
      <c r="H1081" s="3"/>
      <c r="I1081" s="3"/>
      <c r="J1081" s="288"/>
      <c r="L1081" s="288"/>
      <c r="M1081" s="288"/>
      <c r="N1081" s="288"/>
      <c r="O1081" s="288"/>
      <c r="P1081" s="288"/>
      <c r="Q1081" s="288"/>
      <c r="R1081" s="283"/>
      <c r="S1081" s="280"/>
      <c r="T1081" s="276"/>
      <c r="U1081" s="276"/>
      <c r="V1081" s="276"/>
      <c r="W1081" s="283"/>
      <c r="X1081" s="280"/>
      <c r="Y1081" s="280"/>
      <c r="Z1081" s="280"/>
      <c r="AA1081" s="280"/>
      <c r="AB1081" s="280"/>
      <c r="AC1081" s="280"/>
      <c r="AD1081" s="280"/>
      <c r="AG1081" s="3"/>
      <c r="AH1081" s="3"/>
      <c r="AI1081" s="3"/>
      <c r="AJ1081" s="3"/>
      <c r="AK1081" s="3"/>
      <c r="AL1081" s="3"/>
      <c r="AM1081" s="3"/>
      <c r="AN1081" s="3"/>
      <c r="AO1081" s="3"/>
      <c r="AP1081" s="11"/>
      <c r="AQ1081" s="11"/>
      <c r="AR1081" s="3"/>
      <c r="AS1081" s="3"/>
      <c r="AT1081" s="3"/>
      <c r="AU1081" s="3"/>
      <c r="AV1081" s="3"/>
      <c r="AW1081" s="3"/>
      <c r="AX1081" s="11"/>
      <c r="AZ1081"/>
      <c r="BA1081"/>
      <c r="BB1081"/>
      <c r="BC1081"/>
    </row>
    <row r="1082" spans="1:55" s="282" customFormat="1" x14ac:dyDescent="0.25">
      <c r="A1082"/>
      <c r="B1082"/>
      <c r="C1082" s="3"/>
      <c r="D1082"/>
      <c r="E1082"/>
      <c r="F1082"/>
      <c r="G1082" s="3"/>
      <c r="H1082" s="3"/>
      <c r="I1082" s="3"/>
      <c r="J1082" s="288"/>
      <c r="L1082" s="288"/>
      <c r="M1082" s="288"/>
      <c r="N1082" s="288"/>
      <c r="O1082" s="288"/>
      <c r="P1082" s="288"/>
      <c r="Q1082" s="288"/>
      <c r="R1082" s="283"/>
      <c r="S1082" s="280"/>
      <c r="T1082" s="276"/>
      <c r="U1082" s="276"/>
      <c r="V1082" s="276"/>
      <c r="W1082" s="283"/>
      <c r="X1082" s="280"/>
      <c r="Y1082" s="280"/>
      <c r="Z1082" s="280"/>
      <c r="AA1082" s="280"/>
      <c r="AB1082" s="280"/>
      <c r="AC1082" s="280"/>
      <c r="AD1082" s="280"/>
      <c r="AG1082" s="3"/>
      <c r="AH1082" s="3"/>
      <c r="AI1082" s="3"/>
      <c r="AJ1082" s="3"/>
      <c r="AK1082" s="3"/>
      <c r="AL1082" s="3"/>
      <c r="AM1082" s="3"/>
      <c r="AN1082" s="3"/>
      <c r="AO1082" s="3"/>
      <c r="AP1082" s="11"/>
      <c r="AQ1082" s="11"/>
      <c r="AR1082" s="3"/>
      <c r="AS1082" s="3"/>
      <c r="AT1082" s="3"/>
      <c r="AU1082" s="3"/>
      <c r="AV1082" s="3"/>
      <c r="AW1082" s="3"/>
      <c r="AX1082" s="11"/>
      <c r="AZ1082"/>
      <c r="BA1082"/>
      <c r="BB1082"/>
      <c r="BC1082"/>
    </row>
    <row r="1083" spans="1:55" s="282" customFormat="1" x14ac:dyDescent="0.25">
      <c r="A1083"/>
      <c r="B1083"/>
      <c r="C1083" s="3"/>
      <c r="D1083"/>
      <c r="E1083"/>
      <c r="F1083"/>
      <c r="G1083" s="3"/>
      <c r="H1083" s="3"/>
      <c r="I1083" s="3"/>
      <c r="J1083" s="288"/>
      <c r="L1083" s="288"/>
      <c r="M1083" s="288"/>
      <c r="N1083" s="288"/>
      <c r="O1083" s="288"/>
      <c r="P1083" s="288"/>
      <c r="Q1083" s="288"/>
      <c r="R1083" s="283"/>
      <c r="S1083" s="280"/>
      <c r="T1083" s="276"/>
      <c r="U1083" s="276"/>
      <c r="V1083" s="276"/>
      <c r="W1083" s="283"/>
      <c r="X1083" s="280"/>
      <c r="Y1083" s="280"/>
      <c r="Z1083" s="280"/>
      <c r="AA1083" s="280"/>
      <c r="AB1083" s="280"/>
      <c r="AC1083" s="280"/>
      <c r="AD1083" s="280"/>
      <c r="AG1083" s="3"/>
      <c r="AH1083" s="3"/>
      <c r="AI1083" s="3"/>
      <c r="AJ1083" s="3"/>
      <c r="AK1083" s="3"/>
      <c r="AL1083" s="3"/>
      <c r="AM1083" s="3"/>
      <c r="AN1083" s="3"/>
      <c r="AO1083" s="3"/>
      <c r="AP1083" s="11"/>
      <c r="AQ1083" s="11"/>
      <c r="AR1083" s="3"/>
      <c r="AS1083" s="3"/>
      <c r="AT1083" s="3"/>
      <c r="AU1083" s="3"/>
      <c r="AV1083" s="3"/>
      <c r="AW1083" s="3"/>
      <c r="AX1083" s="11"/>
      <c r="AZ1083"/>
      <c r="BA1083"/>
      <c r="BB1083"/>
      <c r="BC1083"/>
    </row>
    <row r="1084" spans="1:55" s="282" customFormat="1" x14ac:dyDescent="0.25">
      <c r="A1084"/>
      <c r="B1084"/>
      <c r="C1084" s="3"/>
      <c r="D1084"/>
      <c r="E1084"/>
      <c r="F1084"/>
      <c r="G1084" s="3"/>
      <c r="H1084" s="3"/>
      <c r="I1084" s="3"/>
      <c r="J1084" s="288"/>
      <c r="L1084" s="288"/>
      <c r="M1084" s="288"/>
      <c r="N1084" s="288"/>
      <c r="O1084" s="288"/>
      <c r="P1084" s="288"/>
      <c r="Q1084" s="288"/>
      <c r="R1084" s="283"/>
      <c r="S1084" s="280"/>
      <c r="T1084" s="276"/>
      <c r="U1084" s="276"/>
      <c r="V1084" s="276"/>
      <c r="W1084" s="283"/>
      <c r="X1084" s="280"/>
      <c r="Y1084" s="280"/>
      <c r="Z1084" s="280"/>
      <c r="AA1084" s="280"/>
      <c r="AB1084" s="280"/>
      <c r="AC1084" s="280"/>
      <c r="AD1084" s="280"/>
      <c r="AG1084" s="3"/>
      <c r="AH1084" s="3"/>
      <c r="AI1084" s="3"/>
      <c r="AJ1084" s="3"/>
      <c r="AK1084" s="3"/>
      <c r="AL1084" s="3"/>
      <c r="AM1084" s="3"/>
      <c r="AN1084" s="3"/>
      <c r="AO1084" s="3"/>
      <c r="AP1084" s="11"/>
      <c r="AQ1084" s="11"/>
      <c r="AR1084" s="3"/>
      <c r="AS1084" s="3"/>
      <c r="AT1084" s="3"/>
      <c r="AU1084" s="3"/>
      <c r="AV1084" s="3"/>
      <c r="AW1084" s="3"/>
      <c r="AX1084" s="11"/>
      <c r="AZ1084"/>
      <c r="BA1084"/>
      <c r="BB1084"/>
      <c r="BC1084"/>
    </row>
    <row r="1085" spans="1:55" s="282" customFormat="1" x14ac:dyDescent="0.25">
      <c r="A1085"/>
      <c r="B1085"/>
      <c r="C1085" s="3"/>
      <c r="D1085"/>
      <c r="E1085"/>
      <c r="F1085"/>
      <c r="G1085" s="3"/>
      <c r="H1085" s="3"/>
      <c r="I1085" s="3"/>
      <c r="J1085" s="288"/>
      <c r="L1085" s="288"/>
      <c r="M1085" s="288"/>
      <c r="N1085" s="288"/>
      <c r="O1085" s="288"/>
      <c r="P1085" s="288"/>
      <c r="Q1085" s="288"/>
      <c r="R1085" s="283"/>
      <c r="S1085" s="280"/>
      <c r="T1085" s="276"/>
      <c r="U1085" s="276"/>
      <c r="V1085" s="276"/>
      <c r="W1085" s="283"/>
      <c r="X1085" s="280"/>
      <c r="Y1085" s="280"/>
      <c r="Z1085" s="280"/>
      <c r="AA1085" s="280"/>
      <c r="AB1085" s="280"/>
      <c r="AC1085" s="280"/>
      <c r="AD1085" s="280"/>
      <c r="AG1085" s="3"/>
      <c r="AH1085" s="3"/>
      <c r="AI1085" s="3"/>
      <c r="AJ1085" s="3"/>
      <c r="AK1085" s="3"/>
      <c r="AL1085" s="3"/>
      <c r="AM1085" s="3"/>
      <c r="AN1085" s="3"/>
      <c r="AO1085" s="3"/>
      <c r="AP1085" s="11"/>
      <c r="AQ1085" s="11"/>
      <c r="AR1085" s="3"/>
      <c r="AS1085" s="3"/>
      <c r="AT1085" s="3"/>
      <c r="AU1085" s="3"/>
      <c r="AV1085" s="3"/>
      <c r="AW1085" s="3"/>
      <c r="AX1085" s="11"/>
      <c r="AZ1085"/>
      <c r="BA1085"/>
      <c r="BB1085"/>
      <c r="BC1085"/>
    </row>
    <row r="1086" spans="1:55" s="282" customFormat="1" x14ac:dyDescent="0.25">
      <c r="A1086"/>
      <c r="B1086"/>
      <c r="C1086" s="3"/>
      <c r="D1086"/>
      <c r="E1086"/>
      <c r="F1086"/>
      <c r="G1086" s="3"/>
      <c r="H1086" s="3"/>
      <c r="I1086" s="3"/>
      <c r="J1086" s="288"/>
      <c r="L1086" s="288"/>
      <c r="M1086" s="288"/>
      <c r="N1086" s="288"/>
      <c r="O1086" s="288"/>
      <c r="P1086" s="288"/>
      <c r="Q1086" s="288"/>
      <c r="R1086" s="283"/>
      <c r="S1086" s="280"/>
      <c r="T1086" s="276"/>
      <c r="U1086" s="276"/>
      <c r="V1086" s="276"/>
      <c r="W1086" s="283"/>
      <c r="X1086" s="280"/>
      <c r="Y1086" s="280"/>
      <c r="Z1086" s="280"/>
      <c r="AA1086" s="280"/>
      <c r="AB1086" s="280"/>
      <c r="AC1086" s="280"/>
      <c r="AD1086" s="280"/>
      <c r="AG1086" s="3"/>
      <c r="AH1086" s="3"/>
      <c r="AI1086" s="3"/>
      <c r="AJ1086" s="3"/>
      <c r="AK1086" s="3"/>
      <c r="AL1086" s="3"/>
      <c r="AM1086" s="3"/>
      <c r="AN1086" s="3"/>
      <c r="AO1086" s="3"/>
      <c r="AP1086" s="11"/>
      <c r="AQ1086" s="11"/>
      <c r="AR1086" s="3"/>
      <c r="AS1086" s="3"/>
      <c r="AT1086" s="3"/>
      <c r="AU1086" s="3"/>
      <c r="AV1086" s="3"/>
      <c r="AW1086" s="3"/>
      <c r="AX1086" s="11"/>
      <c r="AZ1086"/>
      <c r="BA1086"/>
      <c r="BB1086"/>
      <c r="BC1086"/>
    </row>
    <row r="1087" spans="1:55" s="282" customFormat="1" x14ac:dyDescent="0.25">
      <c r="A1087"/>
      <c r="B1087"/>
      <c r="C1087" s="3"/>
      <c r="D1087"/>
      <c r="E1087"/>
      <c r="F1087"/>
      <c r="G1087" s="3"/>
      <c r="H1087" s="3"/>
      <c r="I1087" s="3"/>
      <c r="J1087" s="288"/>
      <c r="L1087" s="288"/>
      <c r="M1087" s="288"/>
      <c r="N1087" s="288"/>
      <c r="O1087" s="288"/>
      <c r="P1087" s="288"/>
      <c r="Q1087" s="288"/>
      <c r="R1087" s="283"/>
      <c r="S1087" s="280"/>
      <c r="T1087" s="276"/>
      <c r="U1087" s="276"/>
      <c r="V1087" s="276"/>
      <c r="W1087" s="283"/>
      <c r="X1087" s="280"/>
      <c r="Y1087" s="280"/>
      <c r="Z1087" s="280"/>
      <c r="AA1087" s="280"/>
      <c r="AB1087" s="280"/>
      <c r="AC1087" s="280"/>
      <c r="AD1087" s="280"/>
      <c r="AG1087" s="3"/>
      <c r="AH1087" s="3"/>
      <c r="AI1087" s="3"/>
      <c r="AJ1087" s="3"/>
      <c r="AK1087" s="3"/>
      <c r="AL1087" s="3"/>
      <c r="AM1087" s="3"/>
      <c r="AN1087" s="3"/>
      <c r="AO1087" s="3"/>
      <c r="AP1087" s="11"/>
      <c r="AQ1087" s="11"/>
      <c r="AR1087" s="3"/>
      <c r="AS1087" s="3"/>
      <c r="AT1087" s="3"/>
      <c r="AU1087" s="3"/>
      <c r="AV1087" s="3"/>
      <c r="AW1087" s="3"/>
      <c r="AX1087" s="11"/>
      <c r="AZ1087"/>
      <c r="BA1087"/>
      <c r="BB1087"/>
      <c r="BC1087"/>
    </row>
    <row r="1088" spans="1:55" s="282" customFormat="1" x14ac:dyDescent="0.25">
      <c r="A1088"/>
      <c r="B1088"/>
      <c r="C1088" s="3"/>
      <c r="D1088"/>
      <c r="E1088"/>
      <c r="F1088"/>
      <c r="G1088" s="3"/>
      <c r="H1088" s="3"/>
      <c r="I1088" s="3"/>
      <c r="J1088" s="288"/>
      <c r="L1088" s="288"/>
      <c r="M1088" s="288"/>
      <c r="N1088" s="288"/>
      <c r="O1088" s="288"/>
      <c r="P1088" s="288"/>
      <c r="Q1088" s="288"/>
      <c r="R1088" s="283"/>
      <c r="S1088" s="280"/>
      <c r="T1088" s="276"/>
      <c r="U1088" s="276"/>
      <c r="V1088" s="276"/>
      <c r="W1088" s="283"/>
      <c r="X1088" s="280"/>
      <c r="Y1088" s="280"/>
      <c r="Z1088" s="280"/>
      <c r="AA1088" s="280"/>
      <c r="AB1088" s="280"/>
      <c r="AC1088" s="280"/>
      <c r="AD1088" s="280"/>
      <c r="AG1088" s="3"/>
      <c r="AH1088" s="3"/>
      <c r="AI1088" s="3"/>
      <c r="AJ1088" s="3"/>
      <c r="AK1088" s="3"/>
      <c r="AL1088" s="3"/>
      <c r="AM1088" s="3"/>
      <c r="AN1088" s="3"/>
      <c r="AO1088" s="3"/>
      <c r="AP1088" s="11"/>
      <c r="AQ1088" s="11"/>
      <c r="AR1088" s="3"/>
      <c r="AS1088" s="3"/>
      <c r="AT1088" s="3"/>
      <c r="AU1088" s="3"/>
      <c r="AV1088" s="3"/>
      <c r="AW1088" s="3"/>
      <c r="AX1088" s="11"/>
      <c r="AZ1088"/>
      <c r="BA1088"/>
      <c r="BB1088"/>
      <c r="BC1088"/>
    </row>
    <row r="1089" spans="1:55" s="282" customFormat="1" x14ac:dyDescent="0.25">
      <c r="A1089"/>
      <c r="B1089"/>
      <c r="C1089" s="3"/>
      <c r="D1089"/>
      <c r="E1089"/>
      <c r="F1089"/>
      <c r="G1089" s="3"/>
      <c r="H1089" s="3"/>
      <c r="I1089" s="3"/>
      <c r="J1089" s="288"/>
      <c r="L1089" s="288"/>
      <c r="M1089" s="288"/>
      <c r="N1089" s="288"/>
      <c r="O1089" s="288"/>
      <c r="P1089" s="288"/>
      <c r="Q1089" s="288"/>
      <c r="R1089" s="283"/>
      <c r="S1089" s="280"/>
      <c r="T1089" s="276"/>
      <c r="U1089" s="276"/>
      <c r="V1089" s="276"/>
      <c r="W1089" s="283"/>
      <c r="X1089" s="280"/>
      <c r="Y1089" s="280"/>
      <c r="Z1089" s="280"/>
      <c r="AA1089" s="280"/>
      <c r="AB1089" s="280"/>
      <c r="AC1089" s="280"/>
      <c r="AD1089" s="280"/>
      <c r="AG1089" s="3"/>
      <c r="AH1089" s="3"/>
      <c r="AI1089" s="3"/>
      <c r="AJ1089" s="3"/>
      <c r="AK1089" s="3"/>
      <c r="AL1089" s="3"/>
      <c r="AM1089" s="3"/>
      <c r="AN1089" s="3"/>
      <c r="AO1089" s="3"/>
      <c r="AP1089" s="11"/>
      <c r="AQ1089" s="11"/>
      <c r="AR1089" s="3"/>
      <c r="AS1089" s="3"/>
      <c r="AT1089" s="3"/>
      <c r="AU1089" s="3"/>
      <c r="AV1089" s="3"/>
      <c r="AW1089" s="3"/>
      <c r="AX1089" s="11"/>
      <c r="AZ1089"/>
      <c r="BA1089"/>
      <c r="BB1089"/>
      <c r="BC1089"/>
    </row>
    <row r="1090" spans="1:55" s="282" customFormat="1" x14ac:dyDescent="0.25">
      <c r="A1090"/>
      <c r="B1090"/>
      <c r="C1090" s="3"/>
      <c r="D1090"/>
      <c r="E1090"/>
      <c r="F1090"/>
      <c r="G1090" s="3"/>
      <c r="H1090" s="3"/>
      <c r="I1090" s="3"/>
      <c r="J1090" s="288"/>
      <c r="L1090" s="288"/>
      <c r="M1090" s="288"/>
      <c r="N1090" s="288"/>
      <c r="O1090" s="288"/>
      <c r="P1090" s="288"/>
      <c r="Q1090" s="288"/>
      <c r="R1090" s="283"/>
      <c r="S1090" s="280"/>
      <c r="T1090" s="276"/>
      <c r="U1090" s="276"/>
      <c r="V1090" s="276"/>
      <c r="W1090" s="283"/>
      <c r="X1090" s="280"/>
      <c r="Y1090" s="280"/>
      <c r="Z1090" s="280"/>
      <c r="AA1090" s="280"/>
      <c r="AB1090" s="280"/>
      <c r="AC1090" s="280"/>
      <c r="AD1090" s="280"/>
      <c r="AG1090" s="3"/>
      <c r="AH1090" s="3"/>
      <c r="AI1090" s="3"/>
      <c r="AJ1090" s="3"/>
      <c r="AK1090" s="3"/>
      <c r="AL1090" s="3"/>
      <c r="AM1090" s="3"/>
      <c r="AN1090" s="3"/>
      <c r="AO1090" s="3"/>
      <c r="AP1090" s="11"/>
      <c r="AQ1090" s="11"/>
      <c r="AR1090" s="3"/>
      <c r="AS1090" s="3"/>
      <c r="AT1090" s="3"/>
      <c r="AU1090" s="3"/>
      <c r="AV1090" s="3"/>
      <c r="AW1090" s="3"/>
      <c r="AX1090" s="11"/>
      <c r="AZ1090"/>
      <c r="BA1090"/>
      <c r="BB1090"/>
      <c r="BC1090"/>
    </row>
    <row r="1091" spans="1:55" s="282" customFormat="1" x14ac:dyDescent="0.25">
      <c r="A1091"/>
      <c r="B1091"/>
      <c r="C1091" s="3"/>
      <c r="D1091"/>
      <c r="E1091"/>
      <c r="F1091"/>
      <c r="G1091" s="3"/>
      <c r="H1091" s="3"/>
      <c r="I1091" s="3"/>
      <c r="J1091" s="288"/>
      <c r="L1091" s="288"/>
      <c r="M1091" s="288"/>
      <c r="N1091" s="288"/>
      <c r="O1091" s="288"/>
      <c r="P1091" s="288"/>
      <c r="Q1091" s="288"/>
      <c r="R1091" s="283"/>
      <c r="S1091" s="280"/>
      <c r="T1091" s="276"/>
      <c r="U1091" s="276"/>
      <c r="V1091" s="276"/>
      <c r="W1091" s="283"/>
      <c r="X1091" s="280"/>
      <c r="Y1091" s="280"/>
      <c r="Z1091" s="280"/>
      <c r="AA1091" s="280"/>
      <c r="AB1091" s="280"/>
      <c r="AC1091" s="280"/>
      <c r="AD1091" s="280"/>
      <c r="AG1091" s="3"/>
      <c r="AH1091" s="3"/>
      <c r="AI1091" s="3"/>
      <c r="AJ1091" s="3"/>
      <c r="AK1091" s="3"/>
      <c r="AL1091" s="3"/>
      <c r="AM1091" s="3"/>
      <c r="AN1091" s="3"/>
      <c r="AO1091" s="3"/>
      <c r="AP1091" s="11"/>
      <c r="AQ1091" s="11"/>
      <c r="AR1091" s="3"/>
      <c r="AS1091" s="3"/>
      <c r="AT1091" s="3"/>
      <c r="AU1091" s="3"/>
      <c r="AV1091" s="3"/>
      <c r="AW1091" s="3"/>
      <c r="AX1091" s="11"/>
      <c r="AZ1091"/>
      <c r="BA1091"/>
      <c r="BB1091"/>
      <c r="BC1091"/>
    </row>
    <row r="1092" spans="1:55" s="282" customFormat="1" x14ac:dyDescent="0.25">
      <c r="A1092"/>
      <c r="B1092"/>
      <c r="C1092" s="3"/>
      <c r="D1092"/>
      <c r="E1092"/>
      <c r="F1092"/>
      <c r="G1092" s="3"/>
      <c r="H1092" s="3"/>
      <c r="I1092" s="3"/>
      <c r="J1092" s="288"/>
      <c r="L1092" s="288"/>
      <c r="M1092" s="288"/>
      <c r="N1092" s="288"/>
      <c r="O1092" s="288"/>
      <c r="P1092" s="288"/>
      <c r="Q1092" s="288"/>
      <c r="R1092" s="283"/>
      <c r="S1092" s="280"/>
      <c r="T1092" s="276"/>
      <c r="U1092" s="276"/>
      <c r="V1092" s="276"/>
      <c r="W1092" s="283"/>
      <c r="X1092" s="280"/>
      <c r="Y1092" s="280"/>
      <c r="Z1092" s="280"/>
      <c r="AA1092" s="280"/>
      <c r="AB1092" s="280"/>
      <c r="AC1092" s="280"/>
      <c r="AD1092" s="280"/>
      <c r="AG1092" s="3"/>
      <c r="AH1092" s="3"/>
      <c r="AI1092" s="3"/>
      <c r="AJ1092" s="3"/>
      <c r="AK1092" s="3"/>
      <c r="AL1092" s="3"/>
      <c r="AM1092" s="3"/>
      <c r="AN1092" s="3"/>
      <c r="AO1092" s="3"/>
      <c r="AP1092" s="11"/>
      <c r="AQ1092" s="11"/>
      <c r="AR1092" s="3"/>
      <c r="AS1092" s="3"/>
      <c r="AT1092" s="3"/>
      <c r="AU1092" s="3"/>
      <c r="AV1092" s="3"/>
      <c r="AW1092" s="3"/>
      <c r="AX1092" s="11"/>
      <c r="AZ1092"/>
      <c r="BA1092"/>
      <c r="BB1092"/>
      <c r="BC1092"/>
    </row>
    <row r="1093" spans="1:55" s="282" customFormat="1" x14ac:dyDescent="0.25">
      <c r="A1093"/>
      <c r="B1093"/>
      <c r="C1093" s="3"/>
      <c r="D1093"/>
      <c r="E1093"/>
      <c r="F1093"/>
      <c r="G1093" s="3"/>
      <c r="H1093" s="3"/>
      <c r="I1093" s="3"/>
      <c r="J1093" s="288"/>
      <c r="L1093" s="288"/>
      <c r="M1093" s="288"/>
      <c r="N1093" s="288"/>
      <c r="O1093" s="288"/>
      <c r="P1093" s="288"/>
      <c r="Q1093" s="288"/>
      <c r="R1093" s="283"/>
      <c r="S1093" s="280"/>
      <c r="T1093" s="276"/>
      <c r="U1093" s="276"/>
      <c r="V1093" s="276"/>
      <c r="W1093" s="283"/>
      <c r="X1093" s="280"/>
      <c r="Y1093" s="280"/>
      <c r="Z1093" s="280"/>
      <c r="AA1093" s="280"/>
      <c r="AB1093" s="280"/>
      <c r="AC1093" s="280"/>
      <c r="AD1093" s="280"/>
      <c r="AG1093" s="3"/>
      <c r="AH1093" s="3"/>
      <c r="AI1093" s="3"/>
      <c r="AJ1093" s="3"/>
      <c r="AK1093" s="3"/>
      <c r="AL1093" s="3"/>
      <c r="AM1093" s="3"/>
      <c r="AN1093" s="3"/>
      <c r="AO1093" s="3"/>
      <c r="AP1093" s="11"/>
      <c r="AQ1093" s="11"/>
      <c r="AR1093" s="3"/>
      <c r="AS1093" s="3"/>
      <c r="AT1093" s="3"/>
      <c r="AU1093" s="3"/>
      <c r="AV1093" s="3"/>
      <c r="AW1093" s="3"/>
      <c r="AX1093" s="11"/>
      <c r="AZ1093"/>
      <c r="BA1093"/>
      <c r="BB1093"/>
      <c r="BC1093"/>
    </row>
    <row r="1094" spans="1:55" s="282" customFormat="1" x14ac:dyDescent="0.25">
      <c r="A1094"/>
      <c r="B1094"/>
      <c r="C1094" s="3"/>
      <c r="D1094"/>
      <c r="E1094"/>
      <c r="F1094"/>
      <c r="G1094" s="3"/>
      <c r="H1094" s="3"/>
      <c r="I1094" s="3"/>
      <c r="J1094" s="288"/>
      <c r="L1094" s="288"/>
      <c r="M1094" s="288"/>
      <c r="N1094" s="288"/>
      <c r="O1094" s="288"/>
      <c r="P1094" s="288"/>
      <c r="Q1094" s="288"/>
      <c r="R1094" s="283"/>
      <c r="S1094" s="280"/>
      <c r="T1094" s="276"/>
      <c r="U1094" s="276"/>
      <c r="V1094" s="276"/>
      <c r="W1094" s="283"/>
      <c r="X1094" s="280"/>
      <c r="Y1094" s="280"/>
      <c r="Z1094" s="280"/>
      <c r="AA1094" s="280"/>
      <c r="AB1094" s="280"/>
      <c r="AC1094" s="280"/>
      <c r="AD1094" s="280"/>
      <c r="AG1094" s="3"/>
      <c r="AH1094" s="3"/>
      <c r="AI1094" s="3"/>
      <c r="AJ1094" s="3"/>
      <c r="AK1094" s="3"/>
      <c r="AL1094" s="3"/>
      <c r="AM1094" s="3"/>
      <c r="AN1094" s="3"/>
      <c r="AO1094" s="3"/>
      <c r="AP1094" s="11"/>
      <c r="AQ1094" s="11"/>
      <c r="AR1094" s="3"/>
      <c r="AS1094" s="3"/>
      <c r="AT1094" s="3"/>
      <c r="AU1094" s="3"/>
      <c r="AV1094" s="3"/>
      <c r="AW1094" s="3"/>
      <c r="AX1094" s="11"/>
      <c r="AZ1094"/>
      <c r="BA1094"/>
      <c r="BB1094"/>
      <c r="BC1094"/>
    </row>
    <row r="1095" spans="1:55" s="282" customFormat="1" x14ac:dyDescent="0.25">
      <c r="A1095"/>
      <c r="B1095"/>
      <c r="C1095" s="3"/>
      <c r="D1095"/>
      <c r="E1095"/>
      <c r="F1095"/>
      <c r="G1095" s="3"/>
      <c r="H1095" s="3"/>
      <c r="I1095" s="3"/>
      <c r="J1095" s="288"/>
      <c r="L1095" s="288"/>
      <c r="M1095" s="288"/>
      <c r="N1095" s="288"/>
      <c r="O1095" s="288"/>
      <c r="P1095" s="288"/>
      <c r="Q1095" s="288"/>
      <c r="R1095" s="283"/>
      <c r="S1095" s="280"/>
      <c r="T1095" s="276"/>
      <c r="U1095" s="276"/>
      <c r="V1095" s="276"/>
      <c r="W1095" s="283"/>
      <c r="X1095" s="280"/>
      <c r="Y1095" s="280"/>
      <c r="Z1095" s="280"/>
      <c r="AA1095" s="280"/>
      <c r="AB1095" s="280"/>
      <c r="AC1095" s="280"/>
      <c r="AD1095" s="280"/>
      <c r="AG1095" s="3"/>
      <c r="AH1095" s="3"/>
      <c r="AI1095" s="3"/>
      <c r="AJ1095" s="3"/>
      <c r="AK1095" s="3"/>
      <c r="AL1095" s="3"/>
      <c r="AM1095" s="3"/>
      <c r="AN1095" s="3"/>
      <c r="AO1095" s="3"/>
      <c r="AP1095" s="11"/>
      <c r="AQ1095" s="11"/>
      <c r="AR1095" s="3"/>
      <c r="AS1095" s="3"/>
      <c r="AT1095" s="3"/>
      <c r="AU1095" s="3"/>
      <c r="AV1095" s="3"/>
      <c r="AW1095" s="3"/>
      <c r="AX1095" s="11"/>
      <c r="AZ1095"/>
      <c r="BA1095"/>
      <c r="BB1095"/>
      <c r="BC1095"/>
    </row>
    <row r="1096" spans="1:55" s="282" customFormat="1" x14ac:dyDescent="0.25">
      <c r="A1096"/>
      <c r="B1096"/>
      <c r="C1096" s="3"/>
      <c r="D1096"/>
      <c r="E1096"/>
      <c r="F1096"/>
      <c r="G1096" s="3"/>
      <c r="H1096" s="3"/>
      <c r="I1096" s="3"/>
      <c r="J1096" s="288"/>
      <c r="L1096" s="288"/>
      <c r="M1096" s="288"/>
      <c r="N1096" s="288"/>
      <c r="O1096" s="288"/>
      <c r="P1096" s="288"/>
      <c r="Q1096" s="288"/>
      <c r="R1096" s="283"/>
      <c r="S1096" s="280"/>
      <c r="T1096" s="276"/>
      <c r="U1096" s="276"/>
      <c r="V1096" s="276"/>
      <c r="W1096" s="283"/>
      <c r="X1096" s="280"/>
      <c r="Y1096" s="280"/>
      <c r="Z1096" s="280"/>
      <c r="AA1096" s="280"/>
      <c r="AB1096" s="280"/>
      <c r="AC1096" s="280"/>
      <c r="AD1096" s="280"/>
      <c r="AG1096" s="3"/>
      <c r="AH1096" s="3"/>
      <c r="AI1096" s="3"/>
      <c r="AJ1096" s="3"/>
      <c r="AK1096" s="3"/>
      <c r="AL1096" s="3"/>
      <c r="AM1096" s="3"/>
      <c r="AN1096" s="3"/>
      <c r="AO1096" s="3"/>
      <c r="AP1096" s="11"/>
      <c r="AQ1096" s="11"/>
      <c r="AR1096" s="3"/>
      <c r="AS1096" s="3"/>
      <c r="AT1096" s="3"/>
      <c r="AU1096" s="3"/>
      <c r="AV1096" s="3"/>
      <c r="AW1096" s="3"/>
      <c r="AX1096" s="11"/>
      <c r="AZ1096"/>
      <c r="BA1096"/>
      <c r="BB1096"/>
      <c r="BC1096"/>
    </row>
    <row r="1097" spans="1:55" s="282" customFormat="1" x14ac:dyDescent="0.25">
      <c r="A1097"/>
      <c r="B1097"/>
      <c r="C1097" s="3"/>
      <c r="D1097"/>
      <c r="E1097"/>
      <c r="F1097"/>
      <c r="G1097" s="3"/>
      <c r="H1097" s="3"/>
      <c r="I1097" s="3"/>
      <c r="J1097" s="288"/>
      <c r="L1097" s="288"/>
      <c r="M1097" s="288"/>
      <c r="N1097" s="288"/>
      <c r="O1097" s="288"/>
      <c r="P1097" s="288"/>
      <c r="Q1097" s="288"/>
      <c r="R1097" s="283"/>
      <c r="S1097" s="280"/>
      <c r="T1097" s="276"/>
      <c r="U1097" s="276"/>
      <c r="V1097" s="276"/>
      <c r="W1097" s="283"/>
      <c r="X1097" s="280"/>
      <c r="Y1097" s="280"/>
      <c r="Z1097" s="280"/>
      <c r="AA1097" s="280"/>
      <c r="AB1097" s="280"/>
      <c r="AC1097" s="280"/>
      <c r="AD1097" s="280"/>
      <c r="AG1097" s="3"/>
      <c r="AH1097" s="3"/>
      <c r="AI1097" s="3"/>
      <c r="AJ1097" s="3"/>
      <c r="AK1097" s="3"/>
      <c r="AL1097" s="3"/>
      <c r="AM1097" s="3"/>
      <c r="AN1097" s="3"/>
      <c r="AO1097" s="3"/>
      <c r="AP1097" s="11"/>
      <c r="AQ1097" s="11"/>
      <c r="AR1097" s="3"/>
      <c r="AS1097" s="3"/>
      <c r="AT1097" s="3"/>
      <c r="AU1097" s="3"/>
      <c r="AV1097" s="3"/>
      <c r="AW1097" s="3"/>
      <c r="AX1097" s="11"/>
      <c r="AZ1097"/>
      <c r="BA1097"/>
      <c r="BB1097"/>
      <c r="BC1097"/>
    </row>
    <row r="1098" spans="1:55" s="282" customFormat="1" x14ac:dyDescent="0.25">
      <c r="A1098"/>
      <c r="B1098"/>
      <c r="C1098" s="3"/>
      <c r="D1098"/>
      <c r="E1098"/>
      <c r="F1098"/>
      <c r="G1098" s="3"/>
      <c r="H1098" s="3"/>
      <c r="I1098" s="3"/>
      <c r="J1098" s="288"/>
      <c r="L1098" s="288"/>
      <c r="M1098" s="288"/>
      <c r="N1098" s="288"/>
      <c r="O1098" s="288"/>
      <c r="P1098" s="288"/>
      <c r="Q1098" s="288"/>
      <c r="R1098" s="283"/>
      <c r="S1098" s="280"/>
      <c r="T1098" s="276"/>
      <c r="U1098" s="276"/>
      <c r="V1098" s="276"/>
      <c r="W1098" s="283"/>
      <c r="X1098" s="280"/>
      <c r="Y1098" s="280"/>
      <c r="Z1098" s="280"/>
      <c r="AA1098" s="280"/>
      <c r="AB1098" s="280"/>
      <c r="AC1098" s="280"/>
      <c r="AD1098" s="280"/>
      <c r="AG1098" s="3"/>
      <c r="AH1098" s="3"/>
      <c r="AI1098" s="3"/>
      <c r="AJ1098" s="3"/>
      <c r="AK1098" s="3"/>
      <c r="AL1098" s="3"/>
      <c r="AM1098" s="3"/>
      <c r="AN1098" s="3"/>
      <c r="AO1098" s="3"/>
      <c r="AP1098" s="11"/>
      <c r="AQ1098" s="11"/>
      <c r="AR1098" s="3"/>
      <c r="AS1098" s="3"/>
      <c r="AT1098" s="3"/>
      <c r="AU1098" s="3"/>
      <c r="AV1098" s="3"/>
      <c r="AW1098" s="3"/>
      <c r="AX1098" s="11"/>
      <c r="AZ1098"/>
      <c r="BA1098"/>
      <c r="BB1098"/>
      <c r="BC1098"/>
    </row>
    <row r="1099" spans="1:55" s="282" customFormat="1" x14ac:dyDescent="0.25">
      <c r="A1099"/>
      <c r="B1099"/>
      <c r="C1099" s="3"/>
      <c r="D1099"/>
      <c r="E1099"/>
      <c r="F1099"/>
      <c r="G1099" s="3"/>
      <c r="H1099" s="3"/>
      <c r="I1099" s="3"/>
      <c r="J1099" s="288"/>
      <c r="L1099" s="288"/>
      <c r="M1099" s="288"/>
      <c r="N1099" s="288"/>
      <c r="O1099" s="288"/>
      <c r="P1099" s="288"/>
      <c r="Q1099" s="288"/>
      <c r="R1099" s="283"/>
      <c r="S1099" s="280"/>
      <c r="T1099" s="276"/>
      <c r="U1099" s="276"/>
      <c r="V1099" s="276"/>
      <c r="W1099" s="283"/>
      <c r="X1099" s="280"/>
      <c r="Y1099" s="280"/>
      <c r="Z1099" s="280"/>
      <c r="AA1099" s="280"/>
      <c r="AB1099" s="280"/>
      <c r="AC1099" s="280"/>
      <c r="AD1099" s="280"/>
      <c r="AG1099" s="3"/>
      <c r="AH1099" s="3"/>
      <c r="AI1099" s="3"/>
      <c r="AJ1099" s="3"/>
      <c r="AK1099" s="3"/>
      <c r="AL1099" s="3"/>
      <c r="AM1099" s="3"/>
      <c r="AN1099" s="3"/>
      <c r="AO1099" s="3"/>
      <c r="AP1099" s="11"/>
      <c r="AQ1099" s="11"/>
      <c r="AR1099" s="3"/>
      <c r="AS1099" s="3"/>
      <c r="AT1099" s="3"/>
      <c r="AU1099" s="3"/>
      <c r="AV1099" s="3"/>
      <c r="AW1099" s="3"/>
      <c r="AX1099" s="11"/>
      <c r="AZ1099"/>
      <c r="BA1099"/>
      <c r="BB1099"/>
      <c r="BC1099"/>
    </row>
    <row r="1100" spans="1:55" s="282" customFormat="1" x14ac:dyDescent="0.25">
      <c r="A1100"/>
      <c r="B1100"/>
      <c r="C1100" s="3"/>
      <c r="D1100"/>
      <c r="E1100"/>
      <c r="F1100"/>
      <c r="G1100" s="3"/>
      <c r="H1100" s="3"/>
      <c r="I1100" s="3"/>
      <c r="J1100" s="288"/>
      <c r="L1100" s="288"/>
      <c r="M1100" s="288"/>
      <c r="N1100" s="288"/>
      <c r="O1100" s="288"/>
      <c r="P1100" s="288"/>
      <c r="Q1100" s="288"/>
      <c r="R1100" s="283"/>
      <c r="S1100" s="280"/>
      <c r="T1100" s="276"/>
      <c r="U1100" s="276"/>
      <c r="V1100" s="276"/>
      <c r="W1100" s="283"/>
      <c r="X1100" s="280"/>
      <c r="Y1100" s="280"/>
      <c r="Z1100" s="280"/>
      <c r="AA1100" s="280"/>
      <c r="AB1100" s="280"/>
      <c r="AC1100" s="280"/>
      <c r="AD1100" s="280"/>
      <c r="AG1100" s="3"/>
      <c r="AH1100" s="3"/>
      <c r="AI1100" s="3"/>
      <c r="AJ1100" s="3"/>
      <c r="AK1100" s="3"/>
      <c r="AL1100" s="3"/>
      <c r="AM1100" s="3"/>
      <c r="AN1100" s="3"/>
      <c r="AO1100" s="3"/>
      <c r="AP1100" s="11"/>
      <c r="AQ1100" s="11"/>
      <c r="AR1100" s="3"/>
      <c r="AS1100" s="3"/>
      <c r="AT1100" s="3"/>
      <c r="AU1100" s="3"/>
      <c r="AV1100" s="3"/>
      <c r="AW1100" s="3"/>
      <c r="AX1100" s="11"/>
      <c r="AZ1100"/>
      <c r="BA1100"/>
      <c r="BB1100"/>
      <c r="BC1100"/>
    </row>
    <row r="1101" spans="1:55" s="282" customFormat="1" x14ac:dyDescent="0.25">
      <c r="A1101"/>
      <c r="B1101"/>
      <c r="C1101" s="3"/>
      <c r="D1101"/>
      <c r="E1101"/>
      <c r="F1101"/>
      <c r="G1101" s="3"/>
      <c r="H1101" s="3"/>
      <c r="I1101" s="3"/>
      <c r="J1101" s="288"/>
      <c r="L1101" s="288"/>
      <c r="M1101" s="288"/>
      <c r="N1101" s="288"/>
      <c r="O1101" s="288"/>
      <c r="P1101" s="288"/>
      <c r="Q1101" s="288"/>
      <c r="R1101" s="283"/>
      <c r="S1101" s="280"/>
      <c r="T1101" s="276"/>
      <c r="U1101" s="276"/>
      <c r="V1101" s="276"/>
      <c r="W1101" s="283"/>
      <c r="X1101" s="280"/>
      <c r="Y1101" s="280"/>
      <c r="Z1101" s="280"/>
      <c r="AA1101" s="280"/>
      <c r="AB1101" s="280"/>
      <c r="AC1101" s="280"/>
      <c r="AD1101" s="280"/>
      <c r="AG1101" s="3"/>
      <c r="AH1101" s="3"/>
      <c r="AI1101" s="3"/>
      <c r="AJ1101" s="3"/>
      <c r="AK1101" s="3"/>
      <c r="AL1101" s="3"/>
      <c r="AM1101" s="3"/>
      <c r="AN1101" s="3"/>
      <c r="AO1101" s="3"/>
      <c r="AP1101" s="11"/>
      <c r="AQ1101" s="11"/>
      <c r="AR1101" s="3"/>
      <c r="AS1101" s="3"/>
      <c r="AT1101" s="3"/>
      <c r="AU1101" s="3"/>
      <c r="AV1101" s="3"/>
      <c r="AW1101" s="3"/>
      <c r="AX1101" s="11"/>
      <c r="AZ1101"/>
      <c r="BA1101"/>
      <c r="BB1101"/>
      <c r="BC1101"/>
    </row>
    <row r="1102" spans="1:55" s="282" customFormat="1" x14ac:dyDescent="0.25">
      <c r="A1102"/>
      <c r="B1102"/>
      <c r="C1102" s="3"/>
      <c r="D1102"/>
      <c r="E1102"/>
      <c r="F1102"/>
      <c r="G1102" s="3"/>
      <c r="H1102" s="3"/>
      <c r="I1102" s="3"/>
      <c r="J1102" s="288"/>
      <c r="L1102" s="288"/>
      <c r="M1102" s="288"/>
      <c r="N1102" s="288"/>
      <c r="O1102" s="288"/>
      <c r="P1102" s="288"/>
      <c r="Q1102" s="288"/>
      <c r="R1102" s="283"/>
      <c r="S1102" s="280"/>
      <c r="T1102" s="276"/>
      <c r="U1102" s="276"/>
      <c r="V1102" s="276"/>
      <c r="W1102" s="283"/>
      <c r="X1102" s="280"/>
      <c r="Y1102" s="280"/>
      <c r="Z1102" s="280"/>
      <c r="AA1102" s="280"/>
      <c r="AB1102" s="280"/>
      <c r="AC1102" s="280"/>
      <c r="AD1102" s="280"/>
      <c r="AG1102" s="3"/>
      <c r="AH1102" s="3"/>
      <c r="AI1102" s="3"/>
      <c r="AJ1102" s="3"/>
      <c r="AK1102" s="3"/>
      <c r="AL1102" s="3"/>
      <c r="AM1102" s="3"/>
      <c r="AN1102" s="3"/>
      <c r="AO1102" s="3"/>
      <c r="AP1102" s="11"/>
      <c r="AQ1102" s="11"/>
      <c r="AR1102" s="3"/>
      <c r="AS1102" s="3"/>
      <c r="AT1102" s="3"/>
      <c r="AU1102" s="3"/>
      <c r="AV1102" s="3"/>
      <c r="AW1102" s="3"/>
      <c r="AX1102" s="11"/>
      <c r="AZ1102"/>
      <c r="BA1102"/>
      <c r="BB1102"/>
      <c r="BC1102"/>
    </row>
    <row r="1103" spans="1:55" s="282" customFormat="1" x14ac:dyDescent="0.25">
      <c r="A1103"/>
      <c r="B1103"/>
      <c r="C1103" s="3"/>
      <c r="D1103"/>
      <c r="E1103"/>
      <c r="F1103"/>
      <c r="G1103" s="3"/>
      <c r="H1103" s="3"/>
      <c r="I1103" s="3"/>
      <c r="J1103" s="288"/>
      <c r="L1103" s="288"/>
      <c r="M1103" s="288"/>
      <c r="N1103" s="288"/>
      <c r="O1103" s="288"/>
      <c r="P1103" s="288"/>
      <c r="Q1103" s="288"/>
      <c r="R1103" s="283"/>
      <c r="S1103" s="280"/>
      <c r="T1103" s="276"/>
      <c r="U1103" s="276"/>
      <c r="V1103" s="276"/>
      <c r="W1103" s="283"/>
      <c r="X1103" s="280"/>
      <c r="Y1103" s="280"/>
      <c r="Z1103" s="280"/>
      <c r="AA1103" s="280"/>
      <c r="AB1103" s="280"/>
      <c r="AC1103" s="280"/>
      <c r="AD1103" s="280"/>
      <c r="AG1103" s="3"/>
      <c r="AH1103" s="3"/>
      <c r="AI1103" s="3"/>
      <c r="AJ1103" s="3"/>
      <c r="AK1103" s="3"/>
      <c r="AL1103" s="3"/>
      <c r="AM1103" s="3"/>
      <c r="AN1103" s="3"/>
      <c r="AO1103" s="3"/>
      <c r="AP1103" s="11"/>
      <c r="AQ1103" s="11"/>
      <c r="AR1103" s="3"/>
      <c r="AS1103" s="3"/>
      <c r="AT1103" s="3"/>
      <c r="AU1103" s="3"/>
      <c r="AV1103" s="3"/>
      <c r="AW1103" s="3"/>
      <c r="AX1103" s="11"/>
      <c r="AZ1103"/>
      <c r="BA1103"/>
      <c r="BB1103"/>
      <c r="BC1103"/>
    </row>
    <row r="1104" spans="1:55" s="282" customFormat="1" x14ac:dyDescent="0.25">
      <c r="A1104"/>
      <c r="B1104"/>
      <c r="C1104" s="3"/>
      <c r="D1104"/>
      <c r="E1104"/>
      <c r="F1104"/>
      <c r="G1104" s="3"/>
      <c r="H1104" s="3"/>
      <c r="I1104" s="3"/>
      <c r="J1104" s="288"/>
      <c r="L1104" s="288"/>
      <c r="M1104" s="288"/>
      <c r="N1104" s="288"/>
      <c r="O1104" s="288"/>
      <c r="P1104" s="288"/>
      <c r="Q1104" s="288"/>
      <c r="R1104" s="283"/>
      <c r="S1104" s="280"/>
      <c r="T1104" s="276"/>
      <c r="U1104" s="276"/>
      <c r="V1104" s="276"/>
      <c r="W1104" s="283"/>
      <c r="X1104" s="280"/>
      <c r="Y1104" s="280"/>
      <c r="Z1104" s="280"/>
      <c r="AA1104" s="280"/>
      <c r="AB1104" s="280"/>
      <c r="AC1104" s="280"/>
      <c r="AD1104" s="280"/>
      <c r="AG1104" s="3"/>
      <c r="AH1104" s="3"/>
      <c r="AI1104" s="3"/>
      <c r="AJ1104" s="3"/>
      <c r="AK1104" s="3"/>
      <c r="AL1104" s="3"/>
      <c r="AM1104" s="3"/>
      <c r="AN1104" s="3"/>
      <c r="AO1104" s="3"/>
      <c r="AP1104" s="11"/>
      <c r="AQ1104" s="11"/>
      <c r="AR1104" s="3"/>
      <c r="AS1104" s="3"/>
      <c r="AT1104" s="3"/>
      <c r="AU1104" s="3"/>
      <c r="AV1104" s="3"/>
      <c r="AW1104" s="3"/>
      <c r="AX1104" s="11"/>
      <c r="AZ1104"/>
      <c r="BA1104"/>
      <c r="BB1104"/>
      <c r="BC1104"/>
    </row>
    <row r="1105" spans="1:55" s="282" customFormat="1" x14ac:dyDescent="0.25">
      <c r="A1105"/>
      <c r="B1105"/>
      <c r="C1105" s="3"/>
      <c r="D1105"/>
      <c r="E1105"/>
      <c r="F1105"/>
      <c r="G1105" s="3"/>
      <c r="H1105" s="3"/>
      <c r="I1105" s="3"/>
      <c r="J1105" s="288"/>
      <c r="L1105" s="288"/>
      <c r="M1105" s="288"/>
      <c r="N1105" s="288"/>
      <c r="O1105" s="288"/>
      <c r="P1105" s="288"/>
      <c r="Q1105" s="288"/>
      <c r="R1105" s="283"/>
      <c r="S1105" s="280"/>
      <c r="T1105" s="276"/>
      <c r="U1105" s="276"/>
      <c r="V1105" s="276"/>
      <c r="W1105" s="283"/>
      <c r="X1105" s="280"/>
      <c r="Y1105" s="280"/>
      <c r="Z1105" s="280"/>
      <c r="AA1105" s="280"/>
      <c r="AB1105" s="280"/>
      <c r="AC1105" s="280"/>
      <c r="AD1105" s="280"/>
      <c r="AG1105" s="3"/>
      <c r="AH1105" s="3"/>
      <c r="AI1105" s="3"/>
      <c r="AJ1105" s="3"/>
      <c r="AK1105" s="3"/>
      <c r="AL1105" s="3"/>
      <c r="AM1105" s="3"/>
      <c r="AN1105" s="3"/>
      <c r="AO1105" s="3"/>
      <c r="AP1105" s="11"/>
      <c r="AQ1105" s="11"/>
      <c r="AR1105" s="3"/>
      <c r="AS1105" s="3"/>
      <c r="AT1105" s="3"/>
      <c r="AU1105" s="3"/>
      <c r="AV1105" s="3"/>
      <c r="AW1105" s="3"/>
      <c r="AX1105" s="11"/>
      <c r="AZ1105"/>
      <c r="BA1105"/>
      <c r="BB1105"/>
      <c r="BC1105"/>
    </row>
    <row r="1106" spans="1:55" s="282" customFormat="1" x14ac:dyDescent="0.25">
      <c r="A1106"/>
      <c r="B1106"/>
      <c r="C1106" s="3"/>
      <c r="D1106"/>
      <c r="E1106"/>
      <c r="F1106"/>
      <c r="G1106" s="3"/>
      <c r="H1106" s="3"/>
      <c r="I1106" s="3"/>
      <c r="J1106" s="288"/>
      <c r="L1106" s="288"/>
      <c r="M1106" s="288"/>
      <c r="N1106" s="288"/>
      <c r="O1106" s="288"/>
      <c r="P1106" s="288"/>
      <c r="Q1106" s="288"/>
      <c r="R1106" s="283"/>
      <c r="S1106" s="280"/>
      <c r="T1106" s="276"/>
      <c r="U1106" s="276"/>
      <c r="V1106" s="276"/>
      <c r="W1106" s="283"/>
      <c r="X1106" s="280"/>
      <c r="Y1106" s="280"/>
      <c r="Z1106" s="280"/>
      <c r="AA1106" s="280"/>
      <c r="AB1106" s="280"/>
      <c r="AC1106" s="280"/>
      <c r="AD1106" s="280"/>
      <c r="AG1106" s="3"/>
      <c r="AH1106" s="3"/>
      <c r="AI1106" s="3"/>
      <c r="AJ1106" s="3"/>
      <c r="AK1106" s="3"/>
      <c r="AL1106" s="3"/>
      <c r="AM1106" s="3"/>
      <c r="AN1106" s="3"/>
      <c r="AO1106" s="3"/>
      <c r="AP1106" s="11"/>
      <c r="AQ1106" s="11"/>
      <c r="AR1106" s="3"/>
      <c r="AS1106" s="3"/>
      <c r="AT1106" s="3"/>
      <c r="AU1106" s="3"/>
      <c r="AV1106" s="3"/>
      <c r="AW1106" s="3"/>
      <c r="AX1106" s="11"/>
      <c r="AZ1106"/>
      <c r="BA1106"/>
      <c r="BB1106"/>
      <c r="BC1106"/>
    </row>
    <row r="1107" spans="1:55" s="282" customFormat="1" x14ac:dyDescent="0.25">
      <c r="A1107"/>
      <c r="B1107"/>
      <c r="C1107" s="3"/>
      <c r="D1107"/>
      <c r="E1107"/>
      <c r="F1107"/>
      <c r="G1107" s="3"/>
      <c r="H1107" s="3"/>
      <c r="I1107" s="3"/>
      <c r="J1107" s="288"/>
      <c r="L1107" s="288"/>
      <c r="M1107" s="288"/>
      <c r="N1107" s="288"/>
      <c r="O1107" s="288"/>
      <c r="P1107" s="288"/>
      <c r="Q1107" s="288"/>
      <c r="R1107" s="283"/>
      <c r="S1107" s="280"/>
      <c r="T1107" s="276"/>
      <c r="U1107" s="276"/>
      <c r="V1107" s="276"/>
      <c r="W1107" s="283"/>
      <c r="X1107" s="280"/>
      <c r="Y1107" s="280"/>
      <c r="Z1107" s="280"/>
      <c r="AA1107" s="280"/>
      <c r="AB1107" s="280"/>
      <c r="AC1107" s="280"/>
      <c r="AD1107" s="280"/>
      <c r="AG1107" s="3"/>
      <c r="AH1107" s="3"/>
      <c r="AI1107" s="3"/>
      <c r="AJ1107" s="3"/>
      <c r="AK1107" s="3"/>
      <c r="AL1107" s="3"/>
      <c r="AM1107" s="3"/>
      <c r="AN1107" s="3"/>
      <c r="AO1107" s="3"/>
      <c r="AP1107" s="11"/>
      <c r="AQ1107" s="11"/>
      <c r="AR1107" s="3"/>
      <c r="AS1107" s="3"/>
      <c r="AT1107" s="3"/>
      <c r="AU1107" s="3"/>
      <c r="AV1107" s="3"/>
      <c r="AW1107" s="3"/>
      <c r="AX1107" s="11"/>
      <c r="AZ1107"/>
      <c r="BA1107"/>
      <c r="BB1107"/>
      <c r="BC1107"/>
    </row>
    <row r="1108" spans="1:55" s="282" customFormat="1" x14ac:dyDescent="0.25">
      <c r="A1108"/>
      <c r="B1108"/>
      <c r="C1108" s="3"/>
      <c r="D1108"/>
      <c r="E1108"/>
      <c r="F1108"/>
      <c r="G1108" s="3"/>
      <c r="H1108" s="3"/>
      <c r="I1108" s="3"/>
      <c r="J1108" s="288"/>
      <c r="L1108" s="288"/>
      <c r="M1108" s="288"/>
      <c r="N1108" s="288"/>
      <c r="O1108" s="288"/>
      <c r="P1108" s="288"/>
      <c r="Q1108" s="288"/>
      <c r="R1108" s="283"/>
      <c r="S1108" s="280"/>
      <c r="T1108" s="276"/>
      <c r="U1108" s="276"/>
      <c r="V1108" s="276"/>
      <c r="W1108" s="283"/>
      <c r="X1108" s="280"/>
      <c r="Y1108" s="280"/>
      <c r="Z1108" s="280"/>
      <c r="AA1108" s="280"/>
      <c r="AB1108" s="280"/>
      <c r="AC1108" s="280"/>
      <c r="AD1108" s="280"/>
      <c r="AG1108" s="3"/>
      <c r="AH1108" s="3"/>
      <c r="AI1108" s="3"/>
      <c r="AJ1108" s="3"/>
      <c r="AK1108" s="3"/>
      <c r="AL1108" s="3"/>
      <c r="AM1108" s="3"/>
      <c r="AN1108" s="3"/>
      <c r="AO1108" s="3"/>
      <c r="AP1108" s="11"/>
      <c r="AQ1108" s="11"/>
      <c r="AR1108" s="3"/>
      <c r="AS1108" s="3"/>
      <c r="AT1108" s="3"/>
      <c r="AU1108" s="3"/>
      <c r="AV1108" s="3"/>
      <c r="AW1108" s="3"/>
      <c r="AX1108" s="11"/>
      <c r="AZ1108"/>
      <c r="BA1108"/>
      <c r="BB1108"/>
      <c r="BC1108"/>
    </row>
    <row r="1109" spans="1:55" s="282" customFormat="1" x14ac:dyDescent="0.25">
      <c r="A1109"/>
      <c r="B1109"/>
      <c r="C1109" s="3"/>
      <c r="D1109"/>
      <c r="E1109"/>
      <c r="F1109"/>
      <c r="G1109" s="3"/>
      <c r="H1109" s="3"/>
      <c r="I1109" s="3"/>
      <c r="J1109" s="288"/>
      <c r="L1109" s="288"/>
      <c r="M1109" s="288"/>
      <c r="N1109" s="288"/>
      <c r="O1109" s="288"/>
      <c r="P1109" s="288"/>
      <c r="Q1109" s="288"/>
      <c r="R1109" s="283"/>
      <c r="S1109" s="280"/>
      <c r="T1109" s="276"/>
      <c r="U1109" s="276"/>
      <c r="V1109" s="276"/>
      <c r="W1109" s="283"/>
      <c r="X1109" s="280"/>
      <c r="Y1109" s="280"/>
      <c r="Z1109" s="280"/>
      <c r="AA1109" s="280"/>
      <c r="AB1109" s="280"/>
      <c r="AC1109" s="280"/>
      <c r="AD1109" s="280"/>
      <c r="AG1109" s="3"/>
      <c r="AH1109" s="3"/>
      <c r="AI1109" s="3"/>
      <c r="AJ1109" s="3"/>
      <c r="AK1109" s="3"/>
      <c r="AL1109" s="3"/>
      <c r="AM1109" s="3"/>
      <c r="AN1109" s="3"/>
      <c r="AO1109" s="3"/>
      <c r="AP1109" s="11"/>
      <c r="AQ1109" s="11"/>
      <c r="AR1109" s="3"/>
      <c r="AS1109" s="3"/>
      <c r="AT1109" s="3"/>
      <c r="AU1109" s="3"/>
      <c r="AV1109" s="3"/>
      <c r="AW1109" s="3"/>
      <c r="AX1109" s="11"/>
      <c r="AZ1109"/>
      <c r="BA1109"/>
      <c r="BB1109"/>
      <c r="BC1109"/>
    </row>
    <row r="1110" spans="1:55" s="282" customFormat="1" x14ac:dyDescent="0.25">
      <c r="A1110"/>
      <c r="B1110"/>
      <c r="C1110" s="3"/>
      <c r="D1110"/>
      <c r="E1110"/>
      <c r="F1110"/>
      <c r="G1110" s="3"/>
      <c r="H1110" s="3"/>
      <c r="I1110" s="3"/>
      <c r="J1110" s="288"/>
      <c r="L1110" s="288"/>
      <c r="M1110" s="288"/>
      <c r="N1110" s="288"/>
      <c r="O1110" s="288"/>
      <c r="P1110" s="288"/>
      <c r="Q1110" s="288"/>
      <c r="R1110" s="283"/>
      <c r="S1110" s="280"/>
      <c r="T1110" s="276"/>
      <c r="U1110" s="276"/>
      <c r="V1110" s="276"/>
      <c r="W1110" s="283"/>
      <c r="X1110" s="280"/>
      <c r="Y1110" s="280"/>
      <c r="Z1110" s="280"/>
      <c r="AA1110" s="280"/>
      <c r="AB1110" s="280"/>
      <c r="AC1110" s="280"/>
      <c r="AD1110" s="280"/>
      <c r="AG1110" s="3"/>
      <c r="AH1110" s="3"/>
      <c r="AI1110" s="3"/>
      <c r="AJ1110" s="3"/>
      <c r="AK1110" s="3"/>
      <c r="AL1110" s="3"/>
      <c r="AM1110" s="3"/>
      <c r="AN1110" s="3"/>
      <c r="AO1110" s="3"/>
      <c r="AP1110" s="11"/>
      <c r="AQ1110" s="11"/>
      <c r="AR1110" s="3"/>
      <c r="AS1110" s="3"/>
      <c r="AT1110" s="3"/>
      <c r="AU1110" s="3"/>
      <c r="AV1110" s="3"/>
      <c r="AW1110" s="3"/>
      <c r="AX1110" s="11"/>
      <c r="AZ1110"/>
      <c r="BA1110"/>
      <c r="BB1110"/>
      <c r="BC1110"/>
    </row>
    <row r="1111" spans="1:55" s="282" customFormat="1" x14ac:dyDescent="0.25">
      <c r="A1111"/>
      <c r="B1111"/>
      <c r="C1111" s="3"/>
      <c r="D1111"/>
      <c r="E1111"/>
      <c r="F1111"/>
      <c r="G1111" s="3"/>
      <c r="H1111" s="3"/>
      <c r="I1111" s="3"/>
      <c r="J1111" s="288"/>
      <c r="L1111" s="288"/>
      <c r="M1111" s="288"/>
      <c r="N1111" s="288"/>
      <c r="O1111" s="288"/>
      <c r="P1111" s="288"/>
      <c r="Q1111" s="288"/>
      <c r="R1111" s="283"/>
      <c r="S1111" s="280"/>
      <c r="T1111" s="276"/>
      <c r="U1111" s="276"/>
      <c r="V1111" s="276"/>
      <c r="W1111" s="283"/>
      <c r="X1111" s="280"/>
      <c r="Y1111" s="280"/>
      <c r="Z1111" s="280"/>
      <c r="AA1111" s="280"/>
      <c r="AB1111" s="280"/>
      <c r="AC1111" s="280"/>
      <c r="AD1111" s="280"/>
      <c r="AG1111" s="3"/>
      <c r="AH1111" s="3"/>
      <c r="AI1111" s="3"/>
      <c r="AJ1111" s="3"/>
      <c r="AK1111" s="3"/>
      <c r="AL1111" s="3"/>
      <c r="AM1111" s="3"/>
      <c r="AN1111" s="3"/>
      <c r="AO1111" s="3"/>
      <c r="AP1111" s="11"/>
      <c r="AQ1111" s="11"/>
      <c r="AR1111" s="3"/>
      <c r="AS1111" s="3"/>
      <c r="AT1111" s="3"/>
      <c r="AU1111" s="3"/>
      <c r="AV1111" s="3"/>
      <c r="AW1111" s="3"/>
      <c r="AX1111" s="11"/>
      <c r="AZ1111"/>
      <c r="BA1111"/>
      <c r="BB1111"/>
      <c r="BC1111"/>
    </row>
    <row r="1112" spans="1:55" s="282" customFormat="1" x14ac:dyDescent="0.25">
      <c r="A1112"/>
      <c r="B1112"/>
      <c r="C1112" s="3"/>
      <c r="D1112"/>
      <c r="E1112"/>
      <c r="F1112"/>
      <c r="G1112" s="3"/>
      <c r="H1112" s="3"/>
      <c r="I1112" s="3"/>
      <c r="J1112" s="288"/>
      <c r="L1112" s="288"/>
      <c r="M1112" s="288"/>
      <c r="N1112" s="288"/>
      <c r="O1112" s="288"/>
      <c r="P1112" s="288"/>
      <c r="Q1112" s="288"/>
      <c r="R1112" s="283"/>
      <c r="S1112" s="280"/>
      <c r="T1112" s="276"/>
      <c r="U1112" s="276"/>
      <c r="V1112" s="276"/>
      <c r="W1112" s="283"/>
      <c r="X1112" s="280"/>
      <c r="Y1112" s="280"/>
      <c r="Z1112" s="280"/>
      <c r="AA1112" s="280"/>
      <c r="AB1112" s="280"/>
      <c r="AC1112" s="280"/>
      <c r="AD1112" s="280"/>
      <c r="AG1112" s="3"/>
      <c r="AH1112" s="3"/>
      <c r="AI1112" s="3"/>
      <c r="AJ1112" s="3"/>
      <c r="AK1112" s="3"/>
      <c r="AL1112" s="3"/>
      <c r="AM1112" s="3"/>
      <c r="AN1112" s="3"/>
      <c r="AO1112" s="3"/>
      <c r="AP1112" s="11"/>
      <c r="AQ1112" s="11"/>
      <c r="AR1112" s="3"/>
      <c r="AS1112" s="3"/>
      <c r="AT1112" s="3"/>
      <c r="AU1112" s="3"/>
      <c r="AV1112" s="3"/>
      <c r="AW1112" s="3"/>
      <c r="AX1112" s="11"/>
      <c r="AZ1112"/>
      <c r="BA1112"/>
      <c r="BB1112"/>
      <c r="BC1112"/>
    </row>
    <row r="1113" spans="1:55" s="282" customFormat="1" x14ac:dyDescent="0.25">
      <c r="A1113"/>
      <c r="B1113"/>
      <c r="C1113" s="3"/>
      <c r="D1113"/>
      <c r="E1113"/>
      <c r="F1113"/>
      <c r="G1113" s="3"/>
      <c r="H1113" s="3"/>
      <c r="I1113" s="3"/>
      <c r="J1113" s="288"/>
      <c r="L1113" s="288"/>
      <c r="M1113" s="288"/>
      <c r="N1113" s="288"/>
      <c r="O1113" s="288"/>
      <c r="P1113" s="288"/>
      <c r="Q1113" s="288"/>
      <c r="R1113" s="283"/>
      <c r="S1113" s="280"/>
      <c r="T1113" s="276"/>
      <c r="U1113" s="276"/>
      <c r="V1113" s="276"/>
      <c r="W1113" s="283"/>
      <c r="X1113" s="280"/>
      <c r="Y1113" s="280"/>
      <c r="Z1113" s="280"/>
      <c r="AA1113" s="280"/>
      <c r="AB1113" s="280"/>
      <c r="AC1113" s="280"/>
      <c r="AD1113" s="280"/>
      <c r="AG1113" s="3"/>
      <c r="AH1113" s="3"/>
      <c r="AI1113" s="3"/>
      <c r="AJ1113" s="3"/>
      <c r="AK1113" s="3"/>
      <c r="AL1113" s="3"/>
      <c r="AM1113" s="3"/>
      <c r="AN1113" s="3"/>
      <c r="AO1113" s="3"/>
      <c r="AP1113" s="11"/>
      <c r="AQ1113" s="11"/>
      <c r="AR1113" s="3"/>
      <c r="AS1113" s="3"/>
      <c r="AT1113" s="3"/>
      <c r="AU1113" s="3"/>
      <c r="AV1113" s="3"/>
      <c r="AW1113" s="3"/>
      <c r="AX1113" s="11"/>
      <c r="AZ1113"/>
      <c r="BA1113"/>
      <c r="BB1113"/>
      <c r="BC1113"/>
    </row>
    <row r="1114" spans="1:55" s="282" customFormat="1" x14ac:dyDescent="0.25">
      <c r="A1114"/>
      <c r="B1114"/>
      <c r="C1114" s="3"/>
      <c r="D1114"/>
      <c r="E1114"/>
      <c r="F1114"/>
      <c r="G1114" s="3"/>
      <c r="H1114" s="3"/>
      <c r="I1114" s="3"/>
      <c r="J1114" s="288"/>
      <c r="L1114" s="288"/>
      <c r="M1114" s="288"/>
      <c r="N1114" s="288"/>
      <c r="O1114" s="288"/>
      <c r="P1114" s="288"/>
      <c r="Q1114" s="288"/>
      <c r="R1114" s="283"/>
      <c r="S1114" s="280"/>
      <c r="T1114" s="276"/>
      <c r="U1114" s="276"/>
      <c r="V1114" s="276"/>
      <c r="W1114" s="283"/>
      <c r="X1114" s="280"/>
      <c r="Y1114" s="280"/>
      <c r="Z1114" s="280"/>
      <c r="AA1114" s="280"/>
      <c r="AB1114" s="280"/>
      <c r="AC1114" s="280"/>
      <c r="AD1114" s="280"/>
      <c r="AG1114" s="3"/>
      <c r="AH1114" s="3"/>
      <c r="AI1114" s="3"/>
      <c r="AJ1114" s="3"/>
      <c r="AK1114" s="3"/>
      <c r="AL1114" s="3"/>
      <c r="AM1114" s="3"/>
      <c r="AN1114" s="3"/>
      <c r="AO1114" s="3"/>
      <c r="AP1114" s="11"/>
      <c r="AQ1114" s="11"/>
      <c r="AR1114" s="3"/>
      <c r="AS1114" s="3"/>
      <c r="AT1114" s="3"/>
      <c r="AU1114" s="3"/>
      <c r="AV1114" s="3"/>
      <c r="AW1114" s="3"/>
      <c r="AX1114" s="11"/>
      <c r="AZ1114"/>
      <c r="BA1114"/>
      <c r="BB1114"/>
      <c r="BC1114"/>
    </row>
    <row r="1115" spans="1:55" s="282" customFormat="1" x14ac:dyDescent="0.25">
      <c r="A1115"/>
      <c r="B1115"/>
      <c r="C1115" s="3"/>
      <c r="D1115"/>
      <c r="E1115"/>
      <c r="F1115"/>
      <c r="G1115" s="3"/>
      <c r="H1115" s="3"/>
      <c r="I1115" s="3"/>
      <c r="J1115" s="288"/>
      <c r="L1115" s="288"/>
      <c r="M1115" s="288"/>
      <c r="N1115" s="288"/>
      <c r="O1115" s="288"/>
      <c r="P1115" s="288"/>
      <c r="Q1115" s="288"/>
      <c r="R1115" s="283"/>
      <c r="S1115" s="280"/>
      <c r="T1115" s="276"/>
      <c r="U1115" s="276"/>
      <c r="V1115" s="276"/>
      <c r="W1115" s="283"/>
      <c r="X1115" s="280"/>
      <c r="Y1115" s="280"/>
      <c r="Z1115" s="280"/>
      <c r="AA1115" s="280"/>
      <c r="AB1115" s="280"/>
      <c r="AC1115" s="280"/>
      <c r="AD1115" s="280"/>
      <c r="AG1115" s="3"/>
      <c r="AH1115" s="3"/>
      <c r="AI1115" s="3"/>
      <c r="AJ1115" s="3"/>
      <c r="AK1115" s="3"/>
      <c r="AL1115" s="3"/>
      <c r="AM1115" s="3"/>
      <c r="AN1115" s="3"/>
      <c r="AO1115" s="3"/>
      <c r="AP1115" s="11"/>
      <c r="AQ1115" s="11"/>
      <c r="AR1115" s="3"/>
      <c r="AS1115" s="3"/>
      <c r="AT1115" s="3"/>
      <c r="AU1115" s="3"/>
      <c r="AV1115" s="3"/>
      <c r="AW1115" s="3"/>
      <c r="AX1115" s="11"/>
      <c r="AZ1115"/>
      <c r="BA1115"/>
      <c r="BB1115"/>
      <c r="BC1115"/>
    </row>
    <row r="1116" spans="1:55" s="282" customFormat="1" x14ac:dyDescent="0.25">
      <c r="A1116"/>
      <c r="B1116"/>
      <c r="C1116" s="3"/>
      <c r="D1116"/>
      <c r="E1116"/>
      <c r="F1116"/>
      <c r="G1116" s="3"/>
      <c r="H1116" s="3"/>
      <c r="I1116" s="3"/>
      <c r="J1116" s="288"/>
      <c r="L1116" s="288"/>
      <c r="M1116" s="288"/>
      <c r="N1116" s="288"/>
      <c r="O1116" s="288"/>
      <c r="P1116" s="288"/>
      <c r="Q1116" s="288"/>
      <c r="R1116" s="283"/>
      <c r="S1116" s="280"/>
      <c r="T1116" s="276"/>
      <c r="U1116" s="276"/>
      <c r="V1116" s="276"/>
      <c r="W1116" s="283"/>
      <c r="X1116" s="280"/>
      <c r="Y1116" s="280"/>
      <c r="Z1116" s="280"/>
      <c r="AA1116" s="280"/>
      <c r="AB1116" s="280"/>
      <c r="AC1116" s="280"/>
      <c r="AD1116" s="280"/>
      <c r="AG1116" s="3"/>
      <c r="AH1116" s="3"/>
      <c r="AI1116" s="3"/>
      <c r="AJ1116" s="3"/>
      <c r="AK1116" s="3"/>
      <c r="AL1116" s="3"/>
      <c r="AM1116" s="3"/>
      <c r="AN1116" s="3"/>
      <c r="AO1116" s="3"/>
      <c r="AP1116" s="11"/>
      <c r="AQ1116" s="11"/>
      <c r="AR1116" s="3"/>
      <c r="AS1116" s="3"/>
      <c r="AT1116" s="3"/>
      <c r="AU1116" s="3"/>
      <c r="AV1116" s="3"/>
      <c r="AW1116" s="3"/>
      <c r="AX1116" s="11"/>
      <c r="AZ1116"/>
      <c r="BA1116"/>
      <c r="BB1116"/>
      <c r="BC1116"/>
    </row>
    <row r="1117" spans="1:55" s="282" customFormat="1" x14ac:dyDescent="0.25">
      <c r="A1117"/>
      <c r="B1117"/>
      <c r="C1117" s="3"/>
      <c r="D1117"/>
      <c r="E1117"/>
      <c r="F1117"/>
      <c r="G1117" s="3"/>
      <c r="H1117" s="3"/>
      <c r="I1117" s="3"/>
      <c r="J1117" s="288"/>
      <c r="L1117" s="288"/>
      <c r="M1117" s="288"/>
      <c r="N1117" s="288"/>
      <c r="O1117" s="288"/>
      <c r="P1117" s="288"/>
      <c r="Q1117" s="288"/>
      <c r="R1117" s="283"/>
      <c r="S1117" s="280"/>
      <c r="T1117" s="276"/>
      <c r="U1117" s="276"/>
      <c r="V1117" s="276"/>
      <c r="W1117" s="283"/>
      <c r="X1117" s="280"/>
      <c r="Y1117" s="280"/>
      <c r="Z1117" s="280"/>
      <c r="AA1117" s="280"/>
      <c r="AB1117" s="280"/>
      <c r="AC1117" s="280"/>
      <c r="AD1117" s="280"/>
      <c r="AG1117" s="3"/>
      <c r="AH1117" s="3"/>
      <c r="AI1117" s="3"/>
      <c r="AJ1117" s="3"/>
      <c r="AK1117" s="3"/>
      <c r="AL1117" s="3"/>
      <c r="AM1117" s="3"/>
      <c r="AN1117" s="3"/>
      <c r="AO1117" s="3"/>
      <c r="AP1117" s="11"/>
      <c r="AQ1117" s="11"/>
      <c r="AR1117" s="3"/>
      <c r="AS1117" s="3"/>
      <c r="AT1117" s="3"/>
      <c r="AU1117" s="3"/>
      <c r="AV1117" s="3"/>
      <c r="AW1117" s="3"/>
      <c r="AX1117" s="11"/>
      <c r="AZ1117"/>
      <c r="BA1117"/>
      <c r="BB1117"/>
      <c r="BC1117"/>
    </row>
    <row r="1118" spans="1:55" s="282" customFormat="1" x14ac:dyDescent="0.25">
      <c r="A1118"/>
      <c r="B1118"/>
      <c r="C1118" s="3"/>
      <c r="D1118"/>
      <c r="E1118"/>
      <c r="F1118"/>
      <c r="G1118" s="3"/>
      <c r="H1118" s="3"/>
      <c r="I1118" s="3"/>
      <c r="J1118" s="288"/>
      <c r="L1118" s="288"/>
      <c r="M1118" s="288"/>
      <c r="N1118" s="288"/>
      <c r="O1118" s="288"/>
      <c r="P1118" s="288"/>
      <c r="Q1118" s="288"/>
      <c r="R1118" s="283"/>
      <c r="S1118" s="280"/>
      <c r="T1118" s="276"/>
      <c r="U1118" s="276"/>
      <c r="V1118" s="276"/>
      <c r="W1118" s="283"/>
      <c r="X1118" s="280"/>
      <c r="Y1118" s="280"/>
      <c r="Z1118" s="280"/>
      <c r="AA1118" s="280"/>
      <c r="AB1118" s="280"/>
      <c r="AC1118" s="280"/>
      <c r="AD1118" s="280"/>
      <c r="AG1118" s="3"/>
      <c r="AH1118" s="3"/>
      <c r="AI1118" s="3"/>
      <c r="AJ1118" s="3"/>
      <c r="AK1118" s="3"/>
      <c r="AL1118" s="3"/>
      <c r="AM1118" s="3"/>
      <c r="AN1118" s="3"/>
      <c r="AO1118" s="3"/>
      <c r="AP1118" s="11"/>
      <c r="AQ1118" s="11"/>
      <c r="AR1118" s="3"/>
      <c r="AS1118" s="3"/>
      <c r="AT1118" s="3"/>
      <c r="AU1118" s="3"/>
      <c r="AV1118" s="3"/>
      <c r="AW1118" s="3"/>
      <c r="AX1118" s="11"/>
      <c r="AZ1118"/>
      <c r="BA1118"/>
      <c r="BB1118"/>
      <c r="BC1118"/>
    </row>
    <row r="1119" spans="1:55" s="282" customFormat="1" x14ac:dyDescent="0.25">
      <c r="A1119"/>
      <c r="B1119"/>
      <c r="C1119" s="3"/>
      <c r="D1119"/>
      <c r="E1119"/>
      <c r="F1119"/>
      <c r="G1119" s="3"/>
      <c r="H1119" s="3"/>
      <c r="I1119" s="3"/>
      <c r="J1119" s="288"/>
      <c r="L1119" s="288"/>
      <c r="M1119" s="288"/>
      <c r="N1119" s="288"/>
      <c r="O1119" s="288"/>
      <c r="P1119" s="288"/>
      <c r="Q1119" s="288"/>
      <c r="R1119" s="283"/>
      <c r="S1119" s="280"/>
      <c r="T1119" s="276"/>
      <c r="U1119" s="276"/>
      <c r="V1119" s="276"/>
      <c r="W1119" s="283"/>
      <c r="X1119" s="280"/>
      <c r="Y1119" s="280"/>
      <c r="Z1119" s="280"/>
      <c r="AA1119" s="280"/>
      <c r="AB1119" s="280"/>
      <c r="AC1119" s="280"/>
      <c r="AD1119" s="280"/>
      <c r="AG1119" s="3"/>
      <c r="AH1119" s="3"/>
      <c r="AI1119" s="3"/>
      <c r="AJ1119" s="3"/>
      <c r="AK1119" s="3"/>
      <c r="AL1119" s="3"/>
      <c r="AM1119" s="3"/>
      <c r="AN1119" s="3"/>
      <c r="AO1119" s="3"/>
      <c r="AP1119" s="11"/>
      <c r="AQ1119" s="11"/>
      <c r="AR1119" s="3"/>
      <c r="AS1119" s="3"/>
      <c r="AT1119" s="3"/>
      <c r="AU1119" s="3"/>
      <c r="AV1119" s="3"/>
      <c r="AW1119" s="3"/>
      <c r="AX1119" s="11"/>
      <c r="AZ1119"/>
      <c r="BA1119"/>
      <c r="BB1119"/>
      <c r="BC1119"/>
    </row>
    <row r="1120" spans="1:55" s="282" customFormat="1" x14ac:dyDescent="0.25">
      <c r="A1120"/>
      <c r="B1120"/>
      <c r="C1120" s="3"/>
      <c r="D1120"/>
      <c r="E1120"/>
      <c r="F1120"/>
      <c r="G1120" s="3"/>
      <c r="H1120" s="3"/>
      <c r="I1120" s="3"/>
      <c r="J1120" s="288"/>
      <c r="L1120" s="288"/>
      <c r="M1120" s="288"/>
      <c r="N1120" s="288"/>
      <c r="O1120" s="288"/>
      <c r="P1120" s="288"/>
      <c r="Q1120" s="288"/>
      <c r="R1120" s="283"/>
      <c r="S1120" s="280"/>
      <c r="T1120" s="276"/>
      <c r="U1120" s="276"/>
      <c r="V1120" s="276"/>
      <c r="W1120" s="283"/>
      <c r="X1120" s="280"/>
      <c r="Y1120" s="280"/>
      <c r="Z1120" s="280"/>
      <c r="AA1120" s="280"/>
      <c r="AB1120" s="280"/>
      <c r="AC1120" s="280"/>
      <c r="AD1120" s="280"/>
      <c r="AG1120" s="3"/>
      <c r="AH1120" s="3"/>
      <c r="AI1120" s="3"/>
      <c r="AJ1120" s="3"/>
      <c r="AK1120" s="3"/>
      <c r="AL1120" s="3"/>
      <c r="AM1120" s="3"/>
      <c r="AN1120" s="3"/>
      <c r="AO1120" s="3"/>
      <c r="AP1120" s="11"/>
      <c r="AQ1120" s="11"/>
      <c r="AR1120" s="3"/>
      <c r="AS1120" s="3"/>
      <c r="AT1120" s="3"/>
      <c r="AU1120" s="3"/>
      <c r="AV1120" s="3"/>
      <c r="AW1120" s="3"/>
      <c r="AX1120" s="11"/>
      <c r="AZ1120"/>
      <c r="BA1120"/>
      <c r="BB1120"/>
      <c r="BC1120"/>
    </row>
    <row r="1121" spans="1:55" s="282" customFormat="1" x14ac:dyDescent="0.25">
      <c r="A1121"/>
      <c r="B1121"/>
      <c r="C1121" s="3"/>
      <c r="D1121"/>
      <c r="E1121"/>
      <c r="F1121"/>
      <c r="G1121" s="3"/>
      <c r="H1121" s="3"/>
      <c r="I1121" s="3"/>
      <c r="J1121" s="288"/>
      <c r="L1121" s="288"/>
      <c r="M1121" s="288"/>
      <c r="N1121" s="288"/>
      <c r="O1121" s="288"/>
      <c r="P1121" s="288"/>
      <c r="Q1121" s="288"/>
      <c r="R1121" s="283"/>
      <c r="S1121" s="280"/>
      <c r="T1121" s="276"/>
      <c r="U1121" s="276"/>
      <c r="V1121" s="276"/>
      <c r="W1121" s="283"/>
      <c r="X1121" s="280"/>
      <c r="Y1121" s="280"/>
      <c r="Z1121" s="280"/>
      <c r="AA1121" s="280"/>
      <c r="AB1121" s="280"/>
      <c r="AC1121" s="280"/>
      <c r="AD1121" s="280"/>
      <c r="AG1121" s="3"/>
      <c r="AH1121" s="3"/>
      <c r="AI1121" s="3"/>
      <c r="AJ1121" s="3"/>
      <c r="AK1121" s="3"/>
      <c r="AL1121" s="3"/>
      <c r="AM1121" s="3"/>
      <c r="AN1121" s="3"/>
      <c r="AO1121" s="3"/>
      <c r="AP1121" s="11"/>
      <c r="AQ1121" s="11"/>
      <c r="AR1121" s="3"/>
      <c r="AS1121" s="3"/>
      <c r="AT1121" s="3"/>
      <c r="AU1121" s="3"/>
      <c r="AV1121" s="3"/>
      <c r="AW1121" s="3"/>
      <c r="AX1121" s="11"/>
      <c r="AZ1121"/>
      <c r="BA1121"/>
      <c r="BB1121"/>
      <c r="BC1121"/>
    </row>
    <row r="1122" spans="1:55" s="282" customFormat="1" x14ac:dyDescent="0.25">
      <c r="A1122"/>
      <c r="B1122"/>
      <c r="C1122" s="3"/>
      <c r="D1122"/>
      <c r="E1122"/>
      <c r="F1122"/>
      <c r="G1122" s="3"/>
      <c r="H1122" s="3"/>
      <c r="I1122" s="3"/>
      <c r="J1122" s="288"/>
      <c r="L1122" s="288"/>
      <c r="M1122" s="288"/>
      <c r="N1122" s="288"/>
      <c r="O1122" s="288"/>
      <c r="P1122" s="288"/>
      <c r="Q1122" s="288"/>
      <c r="R1122" s="283"/>
      <c r="S1122" s="280"/>
      <c r="T1122" s="276"/>
      <c r="U1122" s="276"/>
      <c r="V1122" s="276"/>
      <c r="W1122" s="283"/>
      <c r="X1122" s="280"/>
      <c r="Y1122" s="280"/>
      <c r="Z1122" s="280"/>
      <c r="AA1122" s="280"/>
      <c r="AB1122" s="280"/>
      <c r="AC1122" s="280"/>
      <c r="AD1122" s="280"/>
      <c r="AG1122" s="3"/>
      <c r="AH1122" s="3"/>
      <c r="AI1122" s="3"/>
      <c r="AJ1122" s="3"/>
      <c r="AK1122" s="3"/>
      <c r="AL1122" s="3"/>
      <c r="AM1122" s="3"/>
      <c r="AN1122" s="3"/>
      <c r="AO1122" s="3"/>
      <c r="AP1122" s="11"/>
      <c r="AQ1122" s="11"/>
      <c r="AR1122" s="3"/>
      <c r="AS1122" s="3"/>
      <c r="AT1122" s="3"/>
      <c r="AU1122" s="3"/>
      <c r="AV1122" s="3"/>
      <c r="AW1122" s="3"/>
      <c r="AX1122" s="11"/>
      <c r="AZ1122"/>
      <c r="BA1122"/>
      <c r="BB1122"/>
      <c r="BC1122"/>
    </row>
    <row r="1123" spans="1:55" s="282" customFormat="1" x14ac:dyDescent="0.25">
      <c r="A1123"/>
      <c r="B1123"/>
      <c r="C1123" s="3"/>
      <c r="D1123"/>
      <c r="E1123"/>
      <c r="F1123"/>
      <c r="G1123" s="3"/>
      <c r="H1123" s="3"/>
      <c r="I1123" s="3"/>
      <c r="J1123" s="288"/>
      <c r="L1123" s="288"/>
      <c r="M1123" s="288"/>
      <c r="N1123" s="288"/>
      <c r="O1123" s="288"/>
      <c r="P1123" s="288"/>
      <c r="Q1123" s="288"/>
      <c r="R1123" s="283"/>
      <c r="S1123" s="280"/>
      <c r="T1123" s="276"/>
      <c r="U1123" s="276"/>
      <c r="V1123" s="276"/>
      <c r="W1123" s="283"/>
      <c r="X1123" s="280"/>
      <c r="Y1123" s="280"/>
      <c r="Z1123" s="280"/>
      <c r="AA1123" s="280"/>
      <c r="AB1123" s="280"/>
      <c r="AC1123" s="280"/>
      <c r="AD1123" s="280"/>
      <c r="AG1123" s="3"/>
      <c r="AH1123" s="3"/>
      <c r="AI1123" s="3"/>
      <c r="AJ1123" s="3"/>
      <c r="AK1123" s="3"/>
      <c r="AL1123" s="3"/>
      <c r="AM1123" s="3"/>
      <c r="AN1123" s="3"/>
      <c r="AO1123" s="3"/>
      <c r="AP1123" s="11"/>
      <c r="AQ1123" s="11"/>
      <c r="AR1123" s="3"/>
      <c r="AS1123" s="3"/>
      <c r="AT1123" s="3"/>
      <c r="AU1123" s="3"/>
      <c r="AV1123" s="3"/>
      <c r="AW1123" s="3"/>
      <c r="AX1123" s="11"/>
      <c r="AZ1123"/>
      <c r="BA1123"/>
      <c r="BB1123"/>
      <c r="BC1123"/>
    </row>
    <row r="1124" spans="1:55" s="282" customFormat="1" x14ac:dyDescent="0.25">
      <c r="A1124"/>
      <c r="B1124"/>
      <c r="C1124" s="3"/>
      <c r="D1124"/>
      <c r="E1124"/>
      <c r="F1124"/>
      <c r="G1124" s="3"/>
      <c r="H1124" s="3"/>
      <c r="I1124" s="3"/>
      <c r="J1124" s="288"/>
      <c r="L1124" s="288"/>
      <c r="M1124" s="288"/>
      <c r="N1124" s="288"/>
      <c r="O1124" s="288"/>
      <c r="P1124" s="288"/>
      <c r="Q1124" s="288"/>
      <c r="R1124" s="283"/>
      <c r="S1124" s="280"/>
      <c r="T1124" s="276"/>
      <c r="U1124" s="276"/>
      <c r="V1124" s="276"/>
      <c r="W1124" s="283"/>
      <c r="X1124" s="280"/>
      <c r="Y1124" s="280"/>
      <c r="Z1124" s="280"/>
      <c r="AA1124" s="280"/>
      <c r="AB1124" s="280"/>
      <c r="AC1124" s="280"/>
      <c r="AD1124" s="280"/>
      <c r="AG1124" s="3"/>
      <c r="AH1124" s="3"/>
      <c r="AI1124" s="3"/>
      <c r="AJ1124" s="3"/>
      <c r="AK1124" s="3"/>
      <c r="AL1124" s="3"/>
      <c r="AM1124" s="3"/>
      <c r="AN1124" s="3"/>
      <c r="AO1124" s="3"/>
      <c r="AP1124" s="11"/>
      <c r="AQ1124" s="11"/>
      <c r="AR1124" s="3"/>
      <c r="AS1124" s="3"/>
      <c r="AT1124" s="3"/>
      <c r="AU1124" s="3"/>
      <c r="AV1124" s="3"/>
      <c r="AW1124" s="3"/>
      <c r="AX1124" s="11"/>
      <c r="AZ1124"/>
      <c r="BA1124"/>
      <c r="BB1124"/>
      <c r="BC1124"/>
    </row>
    <row r="1125" spans="1:55" s="282" customFormat="1" x14ac:dyDescent="0.25">
      <c r="A1125"/>
      <c r="B1125"/>
      <c r="C1125" s="3"/>
      <c r="D1125"/>
      <c r="E1125"/>
      <c r="F1125"/>
      <c r="G1125" s="3"/>
      <c r="H1125" s="3"/>
      <c r="I1125" s="3"/>
      <c r="J1125" s="288"/>
      <c r="L1125" s="288"/>
      <c r="M1125" s="288"/>
      <c r="N1125" s="288"/>
      <c r="O1125" s="288"/>
      <c r="P1125" s="288"/>
      <c r="Q1125" s="288"/>
      <c r="R1125" s="283"/>
      <c r="S1125" s="280"/>
      <c r="T1125" s="276"/>
      <c r="U1125" s="276"/>
      <c r="V1125" s="276"/>
      <c r="W1125" s="283"/>
      <c r="X1125" s="280"/>
      <c r="Y1125" s="280"/>
      <c r="Z1125" s="280"/>
      <c r="AA1125" s="280"/>
      <c r="AB1125" s="280"/>
      <c r="AC1125" s="280"/>
      <c r="AD1125" s="280"/>
      <c r="AG1125" s="3"/>
      <c r="AH1125" s="3"/>
      <c r="AI1125" s="3"/>
      <c r="AJ1125" s="3"/>
      <c r="AK1125" s="3"/>
      <c r="AL1125" s="3"/>
      <c r="AM1125" s="3"/>
      <c r="AN1125" s="3"/>
      <c r="AO1125" s="3"/>
      <c r="AP1125" s="11"/>
      <c r="AQ1125" s="11"/>
      <c r="AR1125" s="3"/>
      <c r="AS1125" s="3"/>
      <c r="AT1125" s="3"/>
      <c r="AU1125" s="3"/>
      <c r="AV1125" s="3"/>
      <c r="AW1125" s="3"/>
      <c r="AX1125" s="11"/>
      <c r="AZ1125"/>
      <c r="BA1125"/>
      <c r="BB1125"/>
      <c r="BC1125"/>
    </row>
    <row r="1126" spans="1:55" s="282" customFormat="1" x14ac:dyDescent="0.25">
      <c r="A1126"/>
      <c r="B1126"/>
      <c r="C1126" s="3"/>
      <c r="D1126"/>
      <c r="E1126"/>
      <c r="F1126"/>
      <c r="G1126" s="3"/>
      <c r="H1126" s="3"/>
      <c r="I1126" s="3"/>
      <c r="J1126" s="288"/>
      <c r="L1126" s="288"/>
      <c r="M1126" s="288"/>
      <c r="N1126" s="288"/>
      <c r="O1126" s="288"/>
      <c r="P1126" s="288"/>
      <c r="Q1126" s="288"/>
      <c r="R1126" s="283"/>
      <c r="S1126" s="280"/>
      <c r="T1126" s="276"/>
      <c r="U1126" s="276"/>
      <c r="V1126" s="276"/>
      <c r="W1126" s="283"/>
      <c r="X1126" s="280"/>
      <c r="Y1126" s="280"/>
      <c r="Z1126" s="280"/>
      <c r="AA1126" s="280"/>
      <c r="AB1126" s="280"/>
      <c r="AC1126" s="280"/>
      <c r="AD1126" s="280"/>
      <c r="AG1126" s="3"/>
      <c r="AH1126" s="3"/>
      <c r="AI1126" s="3"/>
      <c r="AJ1126" s="3"/>
      <c r="AK1126" s="3"/>
      <c r="AL1126" s="3"/>
      <c r="AM1126" s="3"/>
      <c r="AN1126" s="3"/>
      <c r="AO1126" s="3"/>
      <c r="AP1126" s="11"/>
      <c r="AQ1126" s="11"/>
      <c r="AR1126" s="3"/>
      <c r="AS1126" s="3"/>
      <c r="AT1126" s="3"/>
      <c r="AU1126" s="3"/>
      <c r="AV1126" s="3"/>
      <c r="AW1126" s="3"/>
      <c r="AX1126" s="11"/>
      <c r="AZ1126"/>
      <c r="BA1126"/>
      <c r="BB1126"/>
      <c r="BC1126"/>
    </row>
    <row r="1127" spans="1:55" s="282" customFormat="1" x14ac:dyDescent="0.25">
      <c r="A1127"/>
      <c r="B1127"/>
      <c r="C1127" s="3"/>
      <c r="D1127"/>
      <c r="E1127"/>
      <c r="F1127"/>
      <c r="G1127" s="3"/>
      <c r="H1127" s="3"/>
      <c r="I1127" s="3"/>
      <c r="J1127" s="288"/>
      <c r="L1127" s="288"/>
      <c r="M1127" s="288"/>
      <c r="N1127" s="288"/>
      <c r="O1127" s="288"/>
      <c r="P1127" s="288"/>
      <c r="Q1127" s="288"/>
      <c r="R1127" s="283"/>
      <c r="S1127" s="280"/>
      <c r="T1127" s="276"/>
      <c r="U1127" s="276"/>
      <c r="V1127" s="276"/>
      <c r="W1127" s="283"/>
      <c r="X1127" s="280"/>
      <c r="Y1127" s="280"/>
      <c r="Z1127" s="280"/>
      <c r="AA1127" s="280"/>
      <c r="AB1127" s="280"/>
      <c r="AC1127" s="280"/>
      <c r="AD1127" s="280"/>
      <c r="AG1127" s="3"/>
      <c r="AH1127" s="3"/>
      <c r="AI1127" s="3"/>
      <c r="AJ1127" s="3"/>
      <c r="AK1127" s="3"/>
      <c r="AL1127" s="3"/>
      <c r="AM1127" s="3"/>
      <c r="AN1127" s="3"/>
      <c r="AO1127" s="3"/>
      <c r="AP1127" s="11"/>
      <c r="AQ1127" s="11"/>
      <c r="AR1127" s="3"/>
      <c r="AS1127" s="3"/>
      <c r="AT1127" s="3"/>
      <c r="AU1127" s="3"/>
      <c r="AV1127" s="3"/>
      <c r="AW1127" s="3"/>
      <c r="AX1127" s="11"/>
      <c r="AZ1127"/>
      <c r="BA1127"/>
      <c r="BB1127"/>
      <c r="BC1127"/>
    </row>
    <row r="1128" spans="1:55" s="282" customFormat="1" x14ac:dyDescent="0.25">
      <c r="A1128"/>
      <c r="B1128"/>
      <c r="C1128" s="3"/>
      <c r="D1128"/>
      <c r="E1128"/>
      <c r="F1128"/>
      <c r="G1128" s="3"/>
      <c r="H1128" s="3"/>
      <c r="I1128" s="3"/>
      <c r="J1128" s="288"/>
      <c r="L1128" s="288"/>
      <c r="M1128" s="288"/>
      <c r="N1128" s="288"/>
      <c r="O1128" s="288"/>
      <c r="P1128" s="288"/>
      <c r="Q1128" s="288"/>
      <c r="R1128" s="283"/>
      <c r="S1128" s="280"/>
      <c r="T1128" s="276"/>
      <c r="U1128" s="276"/>
      <c r="V1128" s="276"/>
      <c r="W1128" s="283"/>
      <c r="X1128" s="280"/>
      <c r="Y1128" s="280"/>
      <c r="Z1128" s="280"/>
      <c r="AA1128" s="280"/>
      <c r="AB1128" s="280"/>
      <c r="AC1128" s="280"/>
      <c r="AD1128" s="280"/>
      <c r="AG1128" s="3"/>
      <c r="AH1128" s="3"/>
      <c r="AI1128" s="3"/>
      <c r="AJ1128" s="3"/>
      <c r="AK1128" s="3"/>
      <c r="AL1128" s="3"/>
      <c r="AM1128" s="3"/>
      <c r="AN1128" s="3"/>
      <c r="AO1128" s="3"/>
      <c r="AP1128" s="11"/>
      <c r="AQ1128" s="11"/>
      <c r="AR1128" s="3"/>
      <c r="AS1128" s="3"/>
      <c r="AT1128" s="3"/>
      <c r="AU1128" s="3"/>
      <c r="AV1128" s="3"/>
      <c r="AW1128" s="3"/>
      <c r="AX1128" s="11"/>
      <c r="AZ1128"/>
      <c r="BA1128"/>
      <c r="BB1128"/>
      <c r="BC1128"/>
    </row>
    <row r="1129" spans="1:55" s="282" customFormat="1" x14ac:dyDescent="0.25">
      <c r="A1129"/>
      <c r="B1129"/>
      <c r="C1129" s="3"/>
      <c r="D1129"/>
      <c r="E1129"/>
      <c r="F1129"/>
      <c r="G1129" s="3"/>
      <c r="H1129" s="3"/>
      <c r="I1129" s="3"/>
      <c r="J1129" s="288"/>
      <c r="L1129" s="288"/>
      <c r="M1129" s="288"/>
      <c r="N1129" s="288"/>
      <c r="O1129" s="288"/>
      <c r="P1129" s="288"/>
      <c r="Q1129" s="288"/>
      <c r="R1129" s="283"/>
      <c r="S1129" s="280"/>
      <c r="T1129" s="276"/>
      <c r="U1129" s="276"/>
      <c r="V1129" s="276"/>
      <c r="W1129" s="283"/>
      <c r="X1129" s="280"/>
      <c r="Y1129" s="280"/>
      <c r="Z1129" s="280"/>
      <c r="AA1129" s="280"/>
      <c r="AB1129" s="280"/>
      <c r="AC1129" s="280"/>
      <c r="AD1129" s="280"/>
      <c r="AG1129" s="3"/>
      <c r="AH1129" s="3"/>
      <c r="AI1129" s="3"/>
      <c r="AJ1129" s="3"/>
      <c r="AK1129" s="3"/>
      <c r="AL1129" s="3"/>
      <c r="AM1129" s="3"/>
      <c r="AN1129" s="3"/>
      <c r="AO1129" s="3"/>
      <c r="AP1129" s="11"/>
      <c r="AQ1129" s="11"/>
      <c r="AR1129" s="3"/>
      <c r="AS1129" s="3"/>
      <c r="AT1129" s="3"/>
      <c r="AU1129" s="3"/>
      <c r="AV1129" s="3"/>
      <c r="AW1129" s="3"/>
      <c r="AX1129" s="11"/>
      <c r="AZ1129"/>
      <c r="BA1129"/>
      <c r="BB1129"/>
      <c r="BC1129"/>
    </row>
    <row r="1130" spans="1:55" s="282" customFormat="1" x14ac:dyDescent="0.25">
      <c r="A1130"/>
      <c r="B1130"/>
      <c r="C1130" s="3"/>
      <c r="D1130"/>
      <c r="E1130"/>
      <c r="F1130"/>
      <c r="G1130" s="3"/>
      <c r="H1130" s="3"/>
      <c r="I1130" s="3"/>
      <c r="J1130" s="288"/>
      <c r="L1130" s="288"/>
      <c r="M1130" s="288"/>
      <c r="N1130" s="288"/>
      <c r="O1130" s="288"/>
      <c r="P1130" s="288"/>
      <c r="Q1130" s="288"/>
      <c r="R1130" s="283"/>
      <c r="S1130" s="280"/>
      <c r="T1130" s="276"/>
      <c r="U1130" s="276"/>
      <c r="V1130" s="276"/>
      <c r="W1130" s="283"/>
      <c r="X1130" s="280"/>
      <c r="Y1130" s="280"/>
      <c r="Z1130" s="280"/>
      <c r="AA1130" s="280"/>
      <c r="AB1130" s="280"/>
      <c r="AC1130" s="280"/>
      <c r="AD1130" s="280"/>
      <c r="AG1130" s="3"/>
      <c r="AH1130" s="3"/>
      <c r="AI1130" s="3"/>
      <c r="AJ1130" s="3"/>
      <c r="AK1130" s="3"/>
      <c r="AL1130" s="3"/>
      <c r="AM1130" s="3"/>
      <c r="AN1130" s="3"/>
      <c r="AO1130" s="3"/>
      <c r="AP1130" s="11"/>
      <c r="AQ1130" s="11"/>
      <c r="AR1130" s="3"/>
      <c r="AS1130" s="3"/>
      <c r="AT1130" s="3"/>
      <c r="AU1130" s="3"/>
      <c r="AV1130" s="3"/>
      <c r="AW1130" s="3"/>
      <c r="AX1130" s="11"/>
      <c r="AZ1130"/>
      <c r="BA1130"/>
      <c r="BB1130"/>
      <c r="BC1130"/>
    </row>
    <row r="1131" spans="1:55" s="282" customFormat="1" x14ac:dyDescent="0.25">
      <c r="A1131"/>
      <c r="B1131"/>
      <c r="C1131" s="3"/>
      <c r="D1131"/>
      <c r="E1131"/>
      <c r="F1131"/>
      <c r="G1131" s="3"/>
      <c r="H1131" s="3"/>
      <c r="I1131" s="3"/>
      <c r="J1131" s="288"/>
      <c r="L1131" s="288"/>
      <c r="M1131" s="288"/>
      <c r="N1131" s="288"/>
      <c r="O1131" s="288"/>
      <c r="P1131" s="288"/>
      <c r="Q1131" s="288"/>
      <c r="R1131" s="283"/>
      <c r="S1131" s="280"/>
      <c r="T1131" s="276"/>
      <c r="U1131" s="276"/>
      <c r="V1131" s="276"/>
      <c r="W1131" s="283"/>
      <c r="X1131" s="280"/>
      <c r="Y1131" s="280"/>
      <c r="Z1131" s="280"/>
      <c r="AA1131" s="280"/>
      <c r="AB1131" s="280"/>
      <c r="AC1131" s="280"/>
      <c r="AD1131" s="280"/>
      <c r="AG1131" s="3"/>
      <c r="AH1131" s="3"/>
      <c r="AI1131" s="3"/>
      <c r="AJ1131" s="3"/>
      <c r="AK1131" s="3"/>
      <c r="AL1131" s="3"/>
      <c r="AM1131" s="3"/>
      <c r="AN1131" s="3"/>
      <c r="AO1131" s="3"/>
      <c r="AP1131" s="11"/>
      <c r="AQ1131" s="11"/>
      <c r="AR1131" s="3"/>
      <c r="AS1131" s="3"/>
      <c r="AT1131" s="3"/>
      <c r="AU1131" s="3"/>
      <c r="AV1131" s="3"/>
      <c r="AW1131" s="3"/>
      <c r="AX1131" s="11"/>
      <c r="AZ1131"/>
      <c r="BA1131"/>
      <c r="BB1131"/>
      <c r="BC1131"/>
    </row>
    <row r="1132" spans="1:55" s="282" customFormat="1" x14ac:dyDescent="0.25">
      <c r="A1132"/>
      <c r="B1132"/>
      <c r="C1132" s="3"/>
      <c r="D1132"/>
      <c r="E1132"/>
      <c r="F1132"/>
      <c r="G1132" s="3"/>
      <c r="H1132" s="3"/>
      <c r="I1132" s="3"/>
      <c r="J1132" s="288"/>
      <c r="L1132" s="288"/>
      <c r="M1132" s="288"/>
      <c r="N1132" s="288"/>
      <c r="O1132" s="288"/>
      <c r="P1132" s="288"/>
      <c r="Q1132" s="288"/>
      <c r="R1132" s="283"/>
      <c r="S1132" s="280"/>
      <c r="T1132" s="276"/>
      <c r="U1132" s="276"/>
      <c r="V1132" s="276"/>
      <c r="W1132" s="283"/>
      <c r="X1132" s="280"/>
      <c r="Y1132" s="280"/>
      <c r="Z1132" s="280"/>
      <c r="AA1132" s="280"/>
      <c r="AB1132" s="280"/>
      <c r="AC1132" s="280"/>
      <c r="AD1132" s="280"/>
      <c r="AG1132" s="3"/>
      <c r="AH1132" s="3"/>
      <c r="AI1132" s="3"/>
      <c r="AJ1132" s="3"/>
      <c r="AK1132" s="3"/>
      <c r="AL1132" s="3"/>
      <c r="AM1132" s="3"/>
      <c r="AN1132" s="3"/>
      <c r="AO1132" s="3"/>
      <c r="AP1132" s="11"/>
      <c r="AQ1132" s="11"/>
      <c r="AR1132" s="3"/>
      <c r="AS1132" s="3"/>
      <c r="AT1132" s="3"/>
      <c r="AU1132" s="3"/>
      <c r="AV1132" s="3"/>
      <c r="AW1132" s="3"/>
      <c r="AX1132" s="11"/>
      <c r="AZ1132"/>
      <c r="BA1132"/>
      <c r="BB1132"/>
      <c r="BC1132"/>
    </row>
    <row r="1133" spans="1:55" s="282" customFormat="1" x14ac:dyDescent="0.25">
      <c r="A1133"/>
      <c r="B1133"/>
      <c r="C1133" s="3"/>
      <c r="D1133"/>
      <c r="E1133"/>
      <c r="F1133"/>
      <c r="G1133" s="3"/>
      <c r="H1133" s="3"/>
      <c r="I1133" s="3"/>
      <c r="J1133" s="288"/>
      <c r="L1133" s="288"/>
      <c r="M1133" s="288"/>
      <c r="N1133" s="288"/>
      <c r="O1133" s="288"/>
      <c r="P1133" s="288"/>
      <c r="Q1133" s="288"/>
      <c r="R1133" s="283"/>
      <c r="S1133" s="280"/>
      <c r="T1133" s="276"/>
      <c r="U1133" s="276"/>
      <c r="V1133" s="276"/>
      <c r="W1133" s="283"/>
      <c r="X1133" s="280"/>
      <c r="Y1133" s="280"/>
      <c r="Z1133" s="280"/>
      <c r="AA1133" s="280"/>
      <c r="AB1133" s="280"/>
      <c r="AC1133" s="280"/>
      <c r="AD1133" s="280"/>
      <c r="AG1133" s="3"/>
      <c r="AH1133" s="3"/>
      <c r="AI1133" s="3"/>
      <c r="AJ1133" s="3"/>
      <c r="AK1133" s="3"/>
      <c r="AL1133" s="3"/>
      <c r="AM1133" s="3"/>
      <c r="AN1133" s="3"/>
      <c r="AO1133" s="3"/>
      <c r="AP1133" s="11"/>
      <c r="AQ1133" s="11"/>
      <c r="AR1133" s="3"/>
      <c r="AS1133" s="3"/>
      <c r="AT1133" s="3"/>
      <c r="AU1133" s="3"/>
      <c r="AV1133" s="3"/>
      <c r="AW1133" s="3"/>
      <c r="AX1133" s="11"/>
      <c r="AZ1133"/>
      <c r="BA1133"/>
      <c r="BB1133"/>
      <c r="BC1133"/>
    </row>
    <row r="1134" spans="1:55" s="282" customFormat="1" x14ac:dyDescent="0.25">
      <c r="A1134"/>
      <c r="B1134"/>
      <c r="C1134" s="3"/>
      <c r="D1134"/>
      <c r="E1134"/>
      <c r="F1134"/>
      <c r="G1134" s="3"/>
      <c r="H1134" s="3"/>
      <c r="I1134" s="3"/>
      <c r="J1134" s="288"/>
      <c r="L1134" s="288"/>
      <c r="M1134" s="288"/>
      <c r="N1134" s="288"/>
      <c r="O1134" s="288"/>
      <c r="P1134" s="288"/>
      <c r="Q1134" s="288"/>
      <c r="R1134" s="283"/>
      <c r="S1134" s="280"/>
      <c r="T1134" s="276"/>
      <c r="U1134" s="276"/>
      <c r="V1134" s="276"/>
      <c r="W1134" s="283"/>
      <c r="X1134" s="280"/>
      <c r="Y1134" s="280"/>
      <c r="Z1134" s="280"/>
      <c r="AA1134" s="280"/>
      <c r="AB1134" s="280"/>
      <c r="AC1134" s="280"/>
      <c r="AD1134" s="280"/>
      <c r="AG1134" s="3"/>
      <c r="AH1134" s="3"/>
      <c r="AI1134" s="3"/>
      <c r="AJ1134" s="3"/>
      <c r="AK1134" s="3"/>
      <c r="AL1134" s="3"/>
      <c r="AM1134" s="3"/>
      <c r="AN1134" s="3"/>
      <c r="AO1134" s="3"/>
      <c r="AP1134" s="11"/>
      <c r="AQ1134" s="11"/>
      <c r="AR1134" s="3"/>
      <c r="AS1134" s="3"/>
      <c r="AT1134" s="3"/>
      <c r="AU1134" s="3"/>
      <c r="AV1134" s="3"/>
      <c r="AW1134" s="3"/>
      <c r="AX1134" s="11"/>
      <c r="AZ1134"/>
      <c r="BA1134"/>
      <c r="BB1134"/>
      <c r="BC1134"/>
    </row>
    <row r="1135" spans="1:55" s="282" customFormat="1" x14ac:dyDescent="0.25">
      <c r="A1135"/>
      <c r="B1135"/>
      <c r="C1135" s="3"/>
      <c r="D1135"/>
      <c r="E1135"/>
      <c r="F1135"/>
      <c r="G1135" s="3"/>
      <c r="H1135" s="3"/>
      <c r="I1135" s="3"/>
      <c r="J1135" s="288"/>
      <c r="L1135" s="288"/>
      <c r="M1135" s="288"/>
      <c r="N1135" s="288"/>
      <c r="O1135" s="288"/>
      <c r="P1135" s="288"/>
      <c r="Q1135" s="288"/>
      <c r="R1135" s="283"/>
      <c r="S1135" s="280"/>
      <c r="T1135" s="276"/>
      <c r="U1135" s="276"/>
      <c r="V1135" s="276"/>
      <c r="W1135" s="283"/>
      <c r="X1135" s="280"/>
      <c r="Y1135" s="280"/>
      <c r="Z1135" s="280"/>
      <c r="AA1135" s="280"/>
      <c r="AB1135" s="280"/>
      <c r="AC1135" s="280"/>
      <c r="AD1135" s="280"/>
      <c r="AG1135" s="3"/>
      <c r="AH1135" s="3"/>
      <c r="AI1135" s="3"/>
      <c r="AJ1135" s="3"/>
      <c r="AK1135" s="3"/>
      <c r="AL1135" s="3"/>
      <c r="AM1135" s="3"/>
      <c r="AN1135" s="3"/>
      <c r="AO1135" s="3"/>
      <c r="AP1135" s="11"/>
      <c r="AQ1135" s="11"/>
      <c r="AR1135" s="3"/>
      <c r="AS1135" s="3"/>
      <c r="AT1135" s="3"/>
      <c r="AU1135" s="3"/>
      <c r="AV1135" s="3"/>
      <c r="AW1135" s="3"/>
      <c r="AX1135" s="11"/>
      <c r="AZ1135"/>
      <c r="BA1135"/>
      <c r="BB1135"/>
      <c r="BC1135"/>
    </row>
    <row r="1136" spans="1:55" s="282" customFormat="1" x14ac:dyDescent="0.25">
      <c r="A1136"/>
      <c r="B1136"/>
      <c r="C1136" s="3"/>
      <c r="D1136"/>
      <c r="E1136"/>
      <c r="F1136"/>
      <c r="G1136" s="3"/>
      <c r="H1136" s="3"/>
      <c r="I1136" s="3"/>
      <c r="J1136" s="288"/>
      <c r="L1136" s="288"/>
      <c r="M1136" s="288"/>
      <c r="N1136" s="288"/>
      <c r="O1136" s="288"/>
      <c r="P1136" s="288"/>
      <c r="Q1136" s="288"/>
      <c r="R1136" s="283"/>
      <c r="S1136" s="280"/>
      <c r="T1136" s="276"/>
      <c r="U1136" s="276"/>
      <c r="V1136" s="276"/>
      <c r="W1136" s="283"/>
      <c r="X1136" s="280"/>
      <c r="Y1136" s="280"/>
      <c r="Z1136" s="280"/>
      <c r="AA1136" s="280"/>
      <c r="AB1136" s="280"/>
      <c r="AC1136" s="280"/>
      <c r="AD1136" s="280"/>
      <c r="AG1136" s="3"/>
      <c r="AH1136" s="3"/>
      <c r="AI1136" s="3"/>
      <c r="AJ1136" s="3"/>
      <c r="AK1136" s="3"/>
      <c r="AL1136" s="3"/>
      <c r="AM1136" s="3"/>
      <c r="AN1136" s="3"/>
      <c r="AO1136" s="3"/>
      <c r="AP1136" s="11"/>
      <c r="AQ1136" s="11"/>
      <c r="AR1136" s="3"/>
      <c r="AS1136" s="3"/>
      <c r="AT1136" s="3"/>
      <c r="AU1136" s="3"/>
      <c r="AV1136" s="3"/>
      <c r="AW1136" s="3"/>
      <c r="AX1136" s="11"/>
      <c r="AZ1136"/>
      <c r="BA1136"/>
      <c r="BB1136"/>
      <c r="BC1136"/>
    </row>
    <row r="1137" spans="1:55" s="282" customFormat="1" x14ac:dyDescent="0.25">
      <c r="A1137"/>
      <c r="B1137"/>
      <c r="C1137" s="3"/>
      <c r="D1137"/>
      <c r="E1137"/>
      <c r="F1137"/>
      <c r="G1137" s="3"/>
      <c r="H1137" s="3"/>
      <c r="I1137" s="3"/>
      <c r="J1137" s="288"/>
      <c r="L1137" s="288"/>
      <c r="M1137" s="288"/>
      <c r="N1137" s="288"/>
      <c r="O1137" s="288"/>
      <c r="P1137" s="288"/>
      <c r="Q1137" s="288"/>
      <c r="R1137" s="283"/>
      <c r="S1137" s="280"/>
      <c r="T1137" s="276"/>
      <c r="U1137" s="276"/>
      <c r="V1137" s="276"/>
      <c r="W1137" s="283"/>
      <c r="X1137" s="280"/>
      <c r="Y1137" s="280"/>
      <c r="Z1137" s="280"/>
      <c r="AA1137" s="280"/>
      <c r="AB1137" s="280"/>
      <c r="AC1137" s="280"/>
      <c r="AD1137" s="280"/>
      <c r="AG1137" s="3"/>
      <c r="AH1137" s="3"/>
      <c r="AI1137" s="3"/>
      <c r="AJ1137" s="3"/>
      <c r="AK1137" s="3"/>
      <c r="AL1137" s="3"/>
      <c r="AM1137" s="3"/>
      <c r="AN1137" s="3"/>
      <c r="AO1137" s="3"/>
      <c r="AP1137" s="11"/>
      <c r="AQ1137" s="11"/>
      <c r="AR1137" s="3"/>
      <c r="AS1137" s="3"/>
      <c r="AT1137" s="3"/>
      <c r="AU1137" s="3"/>
      <c r="AV1137" s="3"/>
      <c r="AW1137" s="3"/>
      <c r="AX1137" s="11"/>
      <c r="AZ1137"/>
      <c r="BA1137"/>
      <c r="BB1137"/>
      <c r="BC1137"/>
    </row>
    <row r="1138" spans="1:55" s="282" customFormat="1" x14ac:dyDescent="0.25">
      <c r="A1138"/>
      <c r="B1138"/>
      <c r="C1138" s="3"/>
      <c r="D1138"/>
      <c r="E1138"/>
      <c r="F1138"/>
      <c r="G1138" s="3"/>
      <c r="H1138" s="3"/>
      <c r="I1138" s="3"/>
      <c r="J1138" s="288"/>
      <c r="L1138" s="288"/>
      <c r="M1138" s="288"/>
      <c r="N1138" s="288"/>
      <c r="O1138" s="288"/>
      <c r="P1138" s="288"/>
      <c r="Q1138" s="288"/>
      <c r="R1138" s="283"/>
      <c r="S1138" s="280"/>
      <c r="T1138" s="276"/>
      <c r="U1138" s="276"/>
      <c r="V1138" s="276"/>
      <c r="W1138" s="283"/>
      <c r="X1138" s="280"/>
      <c r="Y1138" s="280"/>
      <c r="Z1138" s="280"/>
      <c r="AA1138" s="280"/>
      <c r="AB1138" s="280"/>
      <c r="AC1138" s="280"/>
      <c r="AD1138" s="280"/>
      <c r="AG1138" s="3"/>
      <c r="AH1138" s="3"/>
      <c r="AI1138" s="3"/>
      <c r="AJ1138" s="3"/>
      <c r="AK1138" s="3"/>
      <c r="AL1138" s="3"/>
      <c r="AM1138" s="3"/>
      <c r="AN1138" s="3"/>
      <c r="AO1138" s="3"/>
      <c r="AP1138" s="11"/>
      <c r="AQ1138" s="11"/>
      <c r="AR1138" s="3"/>
      <c r="AS1138" s="3"/>
      <c r="AT1138" s="3"/>
      <c r="AU1138" s="3"/>
      <c r="AV1138" s="3"/>
      <c r="AW1138" s="3"/>
      <c r="AX1138" s="11"/>
      <c r="AZ1138"/>
      <c r="BA1138"/>
      <c r="BB1138"/>
      <c r="BC1138"/>
    </row>
    <row r="1139" spans="1:55" s="282" customFormat="1" x14ac:dyDescent="0.25">
      <c r="A1139"/>
      <c r="B1139"/>
      <c r="C1139" s="3"/>
      <c r="D1139"/>
      <c r="E1139"/>
      <c r="F1139"/>
      <c r="G1139" s="3"/>
      <c r="H1139" s="3"/>
      <c r="I1139" s="3"/>
      <c r="J1139" s="288"/>
      <c r="L1139" s="288"/>
      <c r="M1139" s="288"/>
      <c r="N1139" s="288"/>
      <c r="O1139" s="288"/>
      <c r="P1139" s="288"/>
      <c r="Q1139" s="288"/>
      <c r="R1139" s="283"/>
      <c r="S1139" s="280"/>
      <c r="T1139" s="276"/>
      <c r="U1139" s="276"/>
      <c r="V1139" s="276"/>
      <c r="W1139" s="283"/>
      <c r="X1139" s="280"/>
      <c r="Y1139" s="280"/>
      <c r="Z1139" s="280"/>
      <c r="AA1139" s="280"/>
      <c r="AB1139" s="280"/>
      <c r="AC1139" s="280"/>
      <c r="AD1139" s="280"/>
      <c r="AG1139" s="3"/>
      <c r="AH1139" s="3"/>
      <c r="AI1139" s="3"/>
      <c r="AJ1139" s="3"/>
      <c r="AK1139" s="3"/>
      <c r="AL1139" s="3"/>
      <c r="AM1139" s="3"/>
      <c r="AN1139" s="3"/>
      <c r="AO1139" s="3"/>
      <c r="AP1139" s="11"/>
      <c r="AQ1139" s="11"/>
      <c r="AR1139" s="3"/>
      <c r="AS1139" s="3"/>
      <c r="AT1139" s="3"/>
      <c r="AU1139" s="3"/>
      <c r="AV1139" s="3"/>
      <c r="AW1139" s="3"/>
      <c r="AX1139" s="11"/>
      <c r="AZ1139"/>
      <c r="BA1139"/>
      <c r="BB1139"/>
      <c r="BC1139"/>
    </row>
    <row r="1140" spans="1:55" s="282" customFormat="1" x14ac:dyDescent="0.25">
      <c r="A1140"/>
      <c r="B1140"/>
      <c r="C1140" s="3"/>
      <c r="D1140"/>
      <c r="E1140"/>
      <c r="F1140"/>
      <c r="G1140" s="3"/>
      <c r="H1140" s="3"/>
      <c r="I1140" s="3"/>
      <c r="J1140" s="288"/>
      <c r="L1140" s="288"/>
      <c r="M1140" s="288"/>
      <c r="N1140" s="288"/>
      <c r="O1140" s="288"/>
      <c r="P1140" s="288"/>
      <c r="Q1140" s="288"/>
      <c r="R1140" s="283"/>
      <c r="S1140" s="280"/>
      <c r="T1140" s="276"/>
      <c r="U1140" s="276"/>
      <c r="V1140" s="276"/>
      <c r="W1140" s="283"/>
      <c r="X1140" s="280"/>
      <c r="Y1140" s="280"/>
      <c r="Z1140" s="280"/>
      <c r="AA1140" s="280"/>
      <c r="AB1140" s="280"/>
      <c r="AC1140" s="280"/>
      <c r="AD1140" s="280"/>
      <c r="AG1140" s="3"/>
      <c r="AH1140" s="3"/>
      <c r="AI1140" s="3"/>
      <c r="AJ1140" s="3"/>
      <c r="AK1140" s="3"/>
      <c r="AL1140" s="3"/>
      <c r="AM1140" s="3"/>
      <c r="AN1140" s="3"/>
      <c r="AO1140" s="3"/>
      <c r="AP1140" s="11"/>
      <c r="AQ1140" s="11"/>
      <c r="AR1140" s="3"/>
      <c r="AS1140" s="3"/>
      <c r="AT1140" s="3"/>
      <c r="AU1140" s="3"/>
      <c r="AV1140" s="3"/>
      <c r="AW1140" s="3"/>
      <c r="AX1140" s="11"/>
      <c r="AZ1140"/>
      <c r="BA1140"/>
      <c r="BB1140"/>
      <c r="BC1140"/>
    </row>
    <row r="1141" spans="1:55" s="282" customFormat="1" x14ac:dyDescent="0.25">
      <c r="A1141"/>
      <c r="B1141"/>
      <c r="C1141" s="3"/>
      <c r="D1141"/>
      <c r="E1141"/>
      <c r="F1141"/>
      <c r="G1141" s="3"/>
      <c r="H1141" s="3"/>
      <c r="I1141" s="3"/>
      <c r="J1141" s="288"/>
      <c r="L1141" s="288"/>
      <c r="M1141" s="288"/>
      <c r="N1141" s="288"/>
      <c r="O1141" s="288"/>
      <c r="P1141" s="288"/>
      <c r="Q1141" s="288"/>
      <c r="R1141" s="283"/>
      <c r="S1141" s="280"/>
      <c r="T1141" s="276"/>
      <c r="U1141" s="276"/>
      <c r="V1141" s="276"/>
      <c r="W1141" s="283"/>
      <c r="X1141" s="280"/>
      <c r="Y1141" s="280"/>
      <c r="Z1141" s="280"/>
      <c r="AA1141" s="280"/>
      <c r="AB1141" s="280"/>
      <c r="AC1141" s="280"/>
      <c r="AD1141" s="280"/>
      <c r="AG1141" s="3"/>
      <c r="AH1141" s="3"/>
      <c r="AI1141" s="3"/>
      <c r="AJ1141" s="3"/>
      <c r="AK1141" s="3"/>
      <c r="AL1141" s="3"/>
      <c r="AM1141" s="3"/>
      <c r="AN1141" s="3"/>
      <c r="AO1141" s="3"/>
      <c r="AP1141" s="11"/>
      <c r="AQ1141" s="11"/>
      <c r="AR1141" s="3"/>
      <c r="AS1141" s="3"/>
      <c r="AT1141" s="3"/>
      <c r="AU1141" s="3"/>
      <c r="AV1141" s="3"/>
      <c r="AW1141" s="3"/>
      <c r="AX1141" s="11"/>
      <c r="AZ1141"/>
      <c r="BA1141"/>
      <c r="BB1141"/>
      <c r="BC1141"/>
    </row>
    <row r="1142" spans="1:55" s="282" customFormat="1" x14ac:dyDescent="0.25">
      <c r="A1142"/>
      <c r="B1142"/>
      <c r="C1142" s="3"/>
      <c r="D1142"/>
      <c r="E1142"/>
      <c r="F1142"/>
      <c r="G1142" s="3"/>
      <c r="H1142" s="3"/>
      <c r="I1142" s="3"/>
      <c r="J1142" s="288"/>
      <c r="L1142" s="288"/>
      <c r="M1142" s="288"/>
      <c r="N1142" s="288"/>
      <c r="O1142" s="288"/>
      <c r="P1142" s="288"/>
      <c r="Q1142" s="288"/>
      <c r="R1142" s="283"/>
      <c r="S1142" s="280"/>
      <c r="T1142" s="276"/>
      <c r="U1142" s="276"/>
      <c r="V1142" s="276"/>
      <c r="W1142" s="283"/>
      <c r="X1142" s="280"/>
      <c r="Y1142" s="280"/>
      <c r="Z1142" s="280"/>
      <c r="AA1142" s="280"/>
      <c r="AB1142" s="280"/>
      <c r="AC1142" s="280"/>
      <c r="AD1142" s="280"/>
      <c r="AG1142" s="3"/>
      <c r="AH1142" s="3"/>
      <c r="AI1142" s="3"/>
      <c r="AJ1142" s="3"/>
      <c r="AK1142" s="3"/>
      <c r="AL1142" s="3"/>
      <c r="AM1142" s="3"/>
      <c r="AN1142" s="3"/>
      <c r="AO1142" s="3"/>
      <c r="AP1142" s="11"/>
      <c r="AQ1142" s="11"/>
      <c r="AR1142" s="3"/>
      <c r="AS1142" s="3"/>
      <c r="AT1142" s="3"/>
      <c r="AU1142" s="3"/>
      <c r="AV1142" s="3"/>
      <c r="AW1142" s="3"/>
      <c r="AX1142" s="11"/>
      <c r="AZ1142"/>
      <c r="BA1142"/>
      <c r="BB1142"/>
      <c r="BC1142"/>
    </row>
    <row r="1143" spans="1:55" s="282" customFormat="1" x14ac:dyDescent="0.25">
      <c r="A1143"/>
      <c r="B1143"/>
      <c r="C1143" s="3"/>
      <c r="D1143"/>
      <c r="E1143"/>
      <c r="F1143"/>
      <c r="G1143" s="3"/>
      <c r="H1143" s="3"/>
      <c r="I1143" s="3"/>
      <c r="J1143" s="288"/>
      <c r="L1143" s="288"/>
      <c r="M1143" s="288"/>
      <c r="N1143" s="288"/>
      <c r="O1143" s="288"/>
      <c r="P1143" s="288"/>
      <c r="Q1143" s="288"/>
      <c r="R1143" s="283"/>
      <c r="S1143" s="280"/>
      <c r="T1143" s="276"/>
      <c r="U1143" s="276"/>
      <c r="V1143" s="276"/>
      <c r="W1143" s="283"/>
      <c r="X1143" s="280"/>
      <c r="Y1143" s="280"/>
      <c r="Z1143" s="280"/>
      <c r="AA1143" s="280"/>
      <c r="AB1143" s="280"/>
      <c r="AC1143" s="280"/>
      <c r="AD1143" s="280"/>
      <c r="AG1143" s="3"/>
      <c r="AH1143" s="3"/>
      <c r="AI1143" s="3"/>
      <c r="AJ1143" s="3"/>
      <c r="AK1143" s="3"/>
      <c r="AL1143" s="3"/>
      <c r="AM1143" s="3"/>
      <c r="AN1143" s="3"/>
      <c r="AO1143" s="3"/>
      <c r="AP1143" s="11"/>
      <c r="AQ1143" s="11"/>
      <c r="AR1143" s="3"/>
      <c r="AS1143" s="3"/>
      <c r="AT1143" s="3"/>
      <c r="AU1143" s="3"/>
      <c r="AV1143" s="3"/>
      <c r="AW1143" s="3"/>
      <c r="AX1143" s="11"/>
      <c r="AZ1143"/>
      <c r="BA1143"/>
      <c r="BB1143"/>
      <c r="BC1143"/>
    </row>
    <row r="1144" spans="1:55" s="282" customFormat="1" x14ac:dyDescent="0.25">
      <c r="A1144"/>
      <c r="B1144"/>
      <c r="C1144" s="3"/>
      <c r="D1144"/>
      <c r="E1144"/>
      <c r="F1144"/>
      <c r="G1144" s="3"/>
      <c r="H1144" s="3"/>
      <c r="I1144" s="3"/>
      <c r="J1144" s="288"/>
      <c r="L1144" s="288"/>
      <c r="M1144" s="288"/>
      <c r="N1144" s="288"/>
      <c r="O1144" s="288"/>
      <c r="P1144" s="288"/>
      <c r="Q1144" s="288"/>
      <c r="R1144" s="283"/>
      <c r="S1144" s="280"/>
      <c r="T1144" s="276"/>
      <c r="U1144" s="276"/>
      <c r="V1144" s="276"/>
      <c r="W1144" s="283"/>
      <c r="X1144" s="280"/>
      <c r="Y1144" s="280"/>
      <c r="Z1144" s="280"/>
      <c r="AA1144" s="280"/>
      <c r="AB1144" s="280"/>
      <c r="AC1144" s="280"/>
      <c r="AD1144" s="280"/>
      <c r="AG1144" s="3"/>
      <c r="AH1144" s="3"/>
      <c r="AI1144" s="3"/>
      <c r="AJ1144" s="3"/>
      <c r="AK1144" s="3"/>
      <c r="AL1144" s="3"/>
      <c r="AM1144" s="3"/>
      <c r="AN1144" s="3"/>
      <c r="AO1144" s="3"/>
      <c r="AP1144" s="11"/>
      <c r="AQ1144" s="11"/>
      <c r="AR1144" s="3"/>
      <c r="AS1144" s="3"/>
      <c r="AT1144" s="3"/>
      <c r="AU1144" s="3"/>
      <c r="AV1144" s="3"/>
      <c r="AW1144" s="3"/>
      <c r="AX1144" s="11"/>
      <c r="AZ1144"/>
      <c r="BA1144"/>
      <c r="BB1144"/>
      <c r="BC1144"/>
    </row>
    <row r="1145" spans="1:55" s="282" customFormat="1" x14ac:dyDescent="0.25">
      <c r="A1145"/>
      <c r="B1145"/>
      <c r="C1145" s="3"/>
      <c r="D1145"/>
      <c r="E1145"/>
      <c r="F1145"/>
      <c r="G1145" s="3"/>
      <c r="H1145" s="3"/>
      <c r="I1145" s="3"/>
      <c r="J1145" s="288"/>
      <c r="L1145" s="288"/>
      <c r="M1145" s="288"/>
      <c r="N1145" s="288"/>
      <c r="O1145" s="288"/>
      <c r="P1145" s="288"/>
      <c r="Q1145" s="288"/>
      <c r="R1145" s="283"/>
      <c r="S1145" s="280"/>
      <c r="T1145" s="276"/>
      <c r="U1145" s="276"/>
      <c r="V1145" s="276"/>
      <c r="W1145" s="283"/>
      <c r="X1145" s="280"/>
      <c r="Y1145" s="280"/>
      <c r="Z1145" s="280"/>
      <c r="AA1145" s="280"/>
      <c r="AB1145" s="280"/>
      <c r="AC1145" s="280"/>
      <c r="AD1145" s="280"/>
      <c r="AG1145" s="3"/>
      <c r="AH1145" s="3"/>
      <c r="AI1145" s="3"/>
      <c r="AJ1145" s="3"/>
      <c r="AK1145" s="3"/>
      <c r="AL1145" s="3"/>
      <c r="AM1145" s="3"/>
      <c r="AN1145" s="3"/>
      <c r="AO1145" s="3"/>
      <c r="AP1145" s="11"/>
      <c r="AQ1145" s="11"/>
      <c r="AR1145" s="3"/>
      <c r="AS1145" s="3"/>
      <c r="AT1145" s="3"/>
      <c r="AU1145" s="3"/>
      <c r="AV1145" s="3"/>
      <c r="AW1145" s="3"/>
      <c r="AX1145" s="11"/>
      <c r="AZ1145"/>
      <c r="BA1145"/>
      <c r="BB1145"/>
      <c r="BC1145"/>
    </row>
    <row r="1146" spans="1:55" s="282" customFormat="1" x14ac:dyDescent="0.25">
      <c r="A1146"/>
      <c r="B1146"/>
      <c r="C1146" s="3"/>
      <c r="D1146"/>
      <c r="E1146"/>
      <c r="F1146"/>
      <c r="G1146" s="3"/>
      <c r="H1146" s="3"/>
      <c r="I1146" s="3"/>
      <c r="J1146" s="288"/>
      <c r="L1146" s="288"/>
      <c r="M1146" s="288"/>
      <c r="N1146" s="288"/>
      <c r="O1146" s="288"/>
      <c r="P1146" s="288"/>
      <c r="Q1146" s="288"/>
      <c r="R1146" s="283"/>
      <c r="S1146" s="280"/>
      <c r="T1146" s="276"/>
      <c r="U1146" s="276"/>
      <c r="V1146" s="276"/>
      <c r="W1146" s="283"/>
      <c r="X1146" s="280"/>
      <c r="Y1146" s="280"/>
      <c r="Z1146" s="280"/>
      <c r="AA1146" s="280"/>
      <c r="AB1146" s="280"/>
      <c r="AC1146" s="280"/>
      <c r="AD1146" s="280"/>
      <c r="AG1146" s="3"/>
      <c r="AH1146" s="3"/>
      <c r="AI1146" s="3"/>
      <c r="AJ1146" s="3"/>
      <c r="AK1146" s="3"/>
      <c r="AL1146" s="3"/>
      <c r="AM1146" s="3"/>
      <c r="AN1146" s="3"/>
      <c r="AO1146" s="3"/>
      <c r="AP1146" s="11"/>
      <c r="AQ1146" s="11"/>
      <c r="AR1146" s="3"/>
      <c r="AS1146" s="3"/>
      <c r="AT1146" s="3"/>
      <c r="AU1146" s="3"/>
      <c r="AV1146" s="3"/>
      <c r="AW1146" s="3"/>
      <c r="AX1146" s="11"/>
      <c r="AZ1146"/>
      <c r="BA1146"/>
      <c r="BB1146"/>
      <c r="BC1146"/>
    </row>
    <row r="1147" spans="1:55" s="282" customFormat="1" x14ac:dyDescent="0.25">
      <c r="A1147"/>
      <c r="B1147"/>
      <c r="C1147" s="3"/>
      <c r="D1147"/>
      <c r="E1147"/>
      <c r="F1147"/>
      <c r="G1147" s="3"/>
      <c r="H1147" s="3"/>
      <c r="I1147" s="3"/>
      <c r="J1147" s="288"/>
      <c r="L1147" s="288"/>
      <c r="M1147" s="288"/>
      <c r="N1147" s="288"/>
      <c r="O1147" s="288"/>
      <c r="P1147" s="288"/>
      <c r="Q1147" s="288"/>
      <c r="R1147" s="283"/>
      <c r="S1147" s="280"/>
      <c r="T1147" s="276"/>
      <c r="U1147" s="276"/>
      <c r="V1147" s="276"/>
      <c r="W1147" s="283"/>
      <c r="X1147" s="280"/>
      <c r="Y1147" s="280"/>
      <c r="Z1147" s="280"/>
      <c r="AA1147" s="280"/>
      <c r="AB1147" s="280"/>
      <c r="AC1147" s="280"/>
      <c r="AD1147" s="280"/>
      <c r="AG1147" s="3"/>
      <c r="AH1147" s="3"/>
      <c r="AI1147" s="3"/>
      <c r="AJ1147" s="3"/>
      <c r="AK1147" s="3"/>
      <c r="AL1147" s="3"/>
      <c r="AM1147" s="3"/>
      <c r="AN1147" s="3"/>
      <c r="AO1147" s="3"/>
      <c r="AP1147" s="11"/>
      <c r="AQ1147" s="11"/>
      <c r="AR1147" s="3"/>
      <c r="AS1147" s="3"/>
      <c r="AT1147" s="3"/>
      <c r="AU1147" s="3"/>
      <c r="AV1147" s="3"/>
      <c r="AW1147" s="3"/>
      <c r="AX1147" s="11"/>
      <c r="AZ1147"/>
      <c r="BA1147"/>
      <c r="BB1147"/>
      <c r="BC1147"/>
    </row>
    <row r="1148" spans="1:55" s="282" customFormat="1" x14ac:dyDescent="0.25">
      <c r="A1148"/>
      <c r="B1148"/>
      <c r="C1148" s="3"/>
      <c r="D1148"/>
      <c r="E1148"/>
      <c r="F1148"/>
      <c r="G1148" s="3"/>
      <c r="H1148" s="3"/>
      <c r="I1148" s="3"/>
      <c r="J1148" s="288"/>
      <c r="L1148" s="288"/>
      <c r="M1148" s="288"/>
      <c r="N1148" s="288"/>
      <c r="O1148" s="288"/>
      <c r="P1148" s="288"/>
      <c r="Q1148" s="288"/>
      <c r="R1148" s="283"/>
      <c r="S1148" s="280"/>
      <c r="T1148" s="276"/>
      <c r="U1148" s="276"/>
      <c r="V1148" s="276"/>
      <c r="W1148" s="283"/>
      <c r="X1148" s="280"/>
      <c r="Y1148" s="280"/>
      <c r="Z1148" s="280"/>
      <c r="AA1148" s="280"/>
      <c r="AB1148" s="280"/>
      <c r="AC1148" s="280"/>
      <c r="AD1148" s="280"/>
      <c r="AG1148" s="3"/>
      <c r="AH1148" s="3"/>
      <c r="AI1148" s="3"/>
      <c r="AJ1148" s="3"/>
      <c r="AK1148" s="3"/>
      <c r="AL1148" s="3"/>
      <c r="AM1148" s="3"/>
      <c r="AN1148" s="3"/>
      <c r="AO1148" s="3"/>
      <c r="AP1148" s="11"/>
      <c r="AQ1148" s="11"/>
      <c r="AR1148" s="3"/>
      <c r="AS1148" s="3"/>
      <c r="AT1148" s="3"/>
      <c r="AU1148" s="3"/>
      <c r="AV1148" s="3"/>
      <c r="AW1148" s="3"/>
      <c r="AX1148" s="11"/>
      <c r="AZ1148"/>
      <c r="BA1148"/>
      <c r="BB1148"/>
      <c r="BC1148"/>
    </row>
    <row r="1149" spans="1:55" s="282" customFormat="1" x14ac:dyDescent="0.25">
      <c r="A1149"/>
      <c r="B1149"/>
      <c r="C1149" s="3"/>
      <c r="D1149"/>
      <c r="E1149"/>
      <c r="F1149"/>
      <c r="G1149" s="3"/>
      <c r="H1149" s="3"/>
      <c r="I1149" s="3"/>
      <c r="J1149" s="288"/>
      <c r="L1149" s="288"/>
      <c r="M1149" s="288"/>
      <c r="N1149" s="288"/>
      <c r="O1149" s="288"/>
      <c r="P1149" s="288"/>
      <c r="Q1149" s="288"/>
      <c r="R1149" s="283"/>
      <c r="S1149" s="280"/>
      <c r="T1149" s="276"/>
      <c r="U1149" s="276"/>
      <c r="V1149" s="276"/>
      <c r="W1149" s="283"/>
      <c r="X1149" s="280"/>
      <c r="Y1149" s="280"/>
      <c r="Z1149" s="280"/>
      <c r="AA1149" s="280"/>
      <c r="AB1149" s="280"/>
      <c r="AC1149" s="280"/>
      <c r="AD1149" s="280"/>
      <c r="AG1149" s="3"/>
      <c r="AH1149" s="3"/>
      <c r="AI1149" s="3"/>
      <c r="AJ1149" s="3"/>
      <c r="AK1149" s="3"/>
      <c r="AL1149" s="3"/>
      <c r="AM1149" s="3"/>
      <c r="AN1149" s="3"/>
      <c r="AO1149" s="3"/>
      <c r="AP1149" s="11"/>
      <c r="AQ1149" s="11"/>
      <c r="AR1149" s="3"/>
      <c r="AS1149" s="3"/>
      <c r="AT1149" s="3"/>
      <c r="AU1149" s="3"/>
      <c r="AV1149" s="3"/>
      <c r="AW1149" s="3"/>
      <c r="AX1149" s="11"/>
      <c r="AZ1149"/>
      <c r="BA1149"/>
      <c r="BB1149"/>
      <c r="BC1149"/>
    </row>
    <row r="1150" spans="1:55" s="282" customFormat="1" x14ac:dyDescent="0.25">
      <c r="A1150"/>
      <c r="B1150"/>
      <c r="C1150" s="3"/>
      <c r="D1150"/>
      <c r="E1150"/>
      <c r="F1150"/>
      <c r="G1150" s="3"/>
      <c r="H1150" s="3"/>
      <c r="I1150" s="3"/>
      <c r="J1150" s="288"/>
      <c r="L1150" s="288"/>
      <c r="M1150" s="288"/>
      <c r="N1150" s="288"/>
      <c r="O1150" s="288"/>
      <c r="P1150" s="288"/>
      <c r="Q1150" s="288"/>
      <c r="R1150" s="283"/>
      <c r="S1150" s="280"/>
      <c r="T1150" s="276"/>
      <c r="U1150" s="276"/>
      <c r="V1150" s="276"/>
      <c r="W1150" s="283"/>
      <c r="X1150" s="280"/>
      <c r="Y1150" s="280"/>
      <c r="Z1150" s="280"/>
      <c r="AA1150" s="280"/>
      <c r="AB1150" s="280"/>
      <c r="AC1150" s="280"/>
      <c r="AD1150" s="280"/>
      <c r="AG1150" s="3"/>
      <c r="AH1150" s="3"/>
      <c r="AI1150" s="3"/>
      <c r="AJ1150" s="3"/>
      <c r="AK1150" s="3"/>
      <c r="AL1150" s="3"/>
      <c r="AM1150" s="3"/>
      <c r="AN1150" s="3"/>
      <c r="AO1150" s="3"/>
      <c r="AP1150" s="11"/>
      <c r="AQ1150" s="11"/>
      <c r="AR1150" s="3"/>
      <c r="AS1150" s="3"/>
      <c r="AT1150" s="3"/>
      <c r="AU1150" s="3"/>
      <c r="AV1150" s="3"/>
      <c r="AW1150" s="3"/>
      <c r="AX1150" s="11"/>
      <c r="AZ1150"/>
      <c r="BA1150"/>
      <c r="BB1150"/>
      <c r="BC1150"/>
    </row>
    <row r="1151" spans="1:55" s="282" customFormat="1" x14ac:dyDescent="0.25">
      <c r="A1151"/>
      <c r="B1151"/>
      <c r="C1151" s="3"/>
      <c r="D1151"/>
      <c r="E1151"/>
      <c r="F1151"/>
      <c r="G1151" s="3"/>
      <c r="H1151" s="3"/>
      <c r="I1151" s="3"/>
      <c r="J1151" s="288"/>
      <c r="L1151" s="288"/>
      <c r="M1151" s="288"/>
      <c r="N1151" s="288"/>
      <c r="O1151" s="288"/>
      <c r="P1151" s="288"/>
      <c r="Q1151" s="288"/>
      <c r="R1151" s="283"/>
      <c r="S1151" s="280"/>
      <c r="T1151" s="276"/>
      <c r="U1151" s="276"/>
      <c r="V1151" s="276"/>
      <c r="W1151" s="283"/>
      <c r="X1151" s="280"/>
      <c r="Y1151" s="280"/>
      <c r="Z1151" s="280"/>
      <c r="AA1151" s="280"/>
      <c r="AB1151" s="280"/>
      <c r="AC1151" s="280"/>
      <c r="AD1151" s="280"/>
      <c r="AG1151" s="3"/>
      <c r="AH1151" s="3"/>
      <c r="AI1151" s="3"/>
      <c r="AJ1151" s="3"/>
      <c r="AK1151" s="3"/>
      <c r="AL1151" s="3"/>
      <c r="AM1151" s="3"/>
      <c r="AN1151" s="3"/>
      <c r="AO1151" s="3"/>
      <c r="AP1151" s="11"/>
      <c r="AQ1151" s="11"/>
      <c r="AR1151" s="3"/>
      <c r="AS1151" s="3"/>
      <c r="AT1151" s="3"/>
      <c r="AU1151" s="3"/>
      <c r="AV1151" s="3"/>
      <c r="AW1151" s="3"/>
      <c r="AX1151" s="11"/>
      <c r="AZ1151"/>
      <c r="BA1151"/>
      <c r="BB1151"/>
      <c r="BC1151"/>
    </row>
    <row r="1152" spans="1:55" s="282" customFormat="1" x14ac:dyDescent="0.25">
      <c r="A1152"/>
      <c r="B1152"/>
      <c r="C1152" s="3"/>
      <c r="D1152"/>
      <c r="E1152"/>
      <c r="F1152"/>
      <c r="G1152" s="3"/>
      <c r="H1152" s="3"/>
      <c r="I1152" s="3"/>
      <c r="J1152" s="288"/>
      <c r="L1152" s="288"/>
      <c r="M1152" s="288"/>
      <c r="N1152" s="288"/>
      <c r="O1152" s="288"/>
      <c r="P1152" s="288"/>
      <c r="Q1152" s="288"/>
      <c r="R1152" s="283"/>
      <c r="S1152" s="280"/>
      <c r="T1152" s="276"/>
      <c r="U1152" s="276"/>
      <c r="V1152" s="276"/>
      <c r="W1152" s="283"/>
      <c r="X1152" s="280"/>
      <c r="Y1152" s="280"/>
      <c r="Z1152" s="280"/>
      <c r="AA1152" s="280"/>
      <c r="AB1152" s="280"/>
      <c r="AC1152" s="280"/>
      <c r="AD1152" s="280"/>
      <c r="AG1152" s="3"/>
      <c r="AH1152" s="3"/>
      <c r="AI1152" s="3"/>
      <c r="AJ1152" s="3"/>
      <c r="AK1152" s="3"/>
      <c r="AL1152" s="3"/>
      <c r="AM1152" s="3"/>
      <c r="AN1152" s="3"/>
      <c r="AO1152" s="3"/>
      <c r="AP1152" s="11"/>
      <c r="AQ1152" s="11"/>
      <c r="AR1152" s="3"/>
      <c r="AS1152" s="3"/>
      <c r="AT1152" s="3"/>
      <c r="AU1152" s="3"/>
      <c r="AV1152" s="3"/>
      <c r="AW1152" s="3"/>
      <c r="AX1152" s="11"/>
      <c r="AZ1152"/>
      <c r="BA1152"/>
      <c r="BB1152"/>
      <c r="BC1152"/>
    </row>
    <row r="1153" spans="1:55" s="282" customFormat="1" x14ac:dyDescent="0.25">
      <c r="A1153"/>
      <c r="B1153"/>
      <c r="C1153" s="3"/>
      <c r="D1153"/>
      <c r="E1153"/>
      <c r="F1153"/>
      <c r="G1153" s="3"/>
      <c r="H1153" s="3"/>
      <c r="I1153" s="3"/>
      <c r="J1153" s="288"/>
      <c r="L1153" s="288"/>
      <c r="M1153" s="288"/>
      <c r="N1153" s="288"/>
      <c r="O1153" s="288"/>
      <c r="P1153" s="288"/>
      <c r="Q1153" s="288"/>
      <c r="R1153" s="283"/>
      <c r="S1153" s="280"/>
      <c r="T1153" s="276"/>
      <c r="U1153" s="276"/>
      <c r="V1153" s="276"/>
      <c r="W1153" s="283"/>
      <c r="X1153" s="280"/>
      <c r="Y1153" s="280"/>
      <c r="Z1153" s="280"/>
      <c r="AA1153" s="280"/>
      <c r="AB1153" s="280"/>
      <c r="AC1153" s="280"/>
      <c r="AD1153" s="280"/>
      <c r="AG1153" s="3"/>
      <c r="AH1153" s="3"/>
      <c r="AI1153" s="3"/>
      <c r="AJ1153" s="3"/>
      <c r="AK1153" s="3"/>
      <c r="AL1153" s="3"/>
      <c r="AM1153" s="3"/>
      <c r="AN1153" s="3"/>
      <c r="AO1153" s="3"/>
      <c r="AP1153" s="11"/>
      <c r="AQ1153" s="11"/>
      <c r="AR1153" s="3"/>
      <c r="AS1153" s="3"/>
      <c r="AT1153" s="3"/>
      <c r="AU1153" s="3"/>
      <c r="AV1153" s="3"/>
      <c r="AW1153" s="3"/>
      <c r="AX1153" s="11"/>
      <c r="AZ1153"/>
      <c r="BA1153"/>
      <c r="BB1153"/>
      <c r="BC1153"/>
    </row>
    <row r="1154" spans="1:55" s="282" customFormat="1" x14ac:dyDescent="0.25">
      <c r="A1154"/>
      <c r="B1154"/>
      <c r="C1154" s="3"/>
      <c r="D1154"/>
      <c r="E1154"/>
      <c r="F1154"/>
      <c r="G1154" s="3"/>
      <c r="H1154" s="3"/>
      <c r="I1154" s="3"/>
      <c r="J1154" s="288"/>
      <c r="L1154" s="288"/>
      <c r="M1154" s="288"/>
      <c r="N1154" s="288"/>
      <c r="O1154" s="288"/>
      <c r="P1154" s="288"/>
      <c r="Q1154" s="288"/>
      <c r="R1154" s="283"/>
      <c r="S1154" s="280"/>
      <c r="T1154" s="276"/>
      <c r="U1154" s="276"/>
      <c r="V1154" s="276"/>
      <c r="W1154" s="283"/>
      <c r="X1154" s="280"/>
      <c r="Y1154" s="280"/>
      <c r="Z1154" s="280"/>
      <c r="AA1154" s="280"/>
      <c r="AB1154" s="280"/>
      <c r="AC1154" s="280"/>
      <c r="AD1154" s="280"/>
      <c r="AG1154" s="3"/>
      <c r="AH1154" s="3"/>
      <c r="AI1154" s="3"/>
      <c r="AJ1154" s="3"/>
      <c r="AK1154" s="3"/>
      <c r="AL1154" s="3"/>
      <c r="AM1154" s="3"/>
      <c r="AN1154" s="3"/>
      <c r="AO1154" s="3"/>
      <c r="AP1154" s="11"/>
      <c r="AQ1154" s="11"/>
      <c r="AR1154" s="3"/>
      <c r="AS1154" s="3"/>
      <c r="AT1154" s="3"/>
      <c r="AU1154" s="3"/>
      <c r="AV1154" s="3"/>
      <c r="AW1154" s="3"/>
      <c r="AX1154" s="11"/>
      <c r="AZ1154"/>
      <c r="BA1154"/>
      <c r="BB1154"/>
      <c r="BC1154"/>
    </row>
    <row r="1155" spans="1:55" s="282" customFormat="1" x14ac:dyDescent="0.25">
      <c r="A1155"/>
      <c r="B1155"/>
      <c r="C1155" s="3"/>
      <c r="D1155"/>
      <c r="E1155"/>
      <c r="F1155"/>
      <c r="G1155" s="3"/>
      <c r="H1155" s="3"/>
      <c r="I1155" s="3"/>
      <c r="J1155" s="288"/>
      <c r="L1155" s="288"/>
      <c r="M1155" s="288"/>
      <c r="N1155" s="288"/>
      <c r="O1155" s="288"/>
      <c r="P1155" s="288"/>
      <c r="Q1155" s="288"/>
      <c r="R1155" s="283"/>
      <c r="S1155" s="280"/>
      <c r="T1155" s="276"/>
      <c r="U1155" s="276"/>
      <c r="V1155" s="276"/>
      <c r="W1155" s="283"/>
      <c r="X1155" s="280"/>
      <c r="Y1155" s="280"/>
      <c r="Z1155" s="280"/>
      <c r="AA1155" s="280"/>
      <c r="AB1155" s="280"/>
      <c r="AC1155" s="280"/>
      <c r="AD1155" s="280"/>
      <c r="AG1155" s="3"/>
      <c r="AH1155" s="3"/>
      <c r="AI1155" s="3"/>
      <c r="AJ1155" s="3"/>
      <c r="AK1155" s="3"/>
      <c r="AL1155" s="3"/>
      <c r="AM1155" s="3"/>
      <c r="AN1155" s="3"/>
      <c r="AO1155" s="3"/>
      <c r="AP1155" s="11"/>
      <c r="AQ1155" s="11"/>
      <c r="AR1155" s="3"/>
      <c r="AS1155" s="3"/>
      <c r="AT1155" s="3"/>
      <c r="AU1155" s="3"/>
      <c r="AV1155" s="3"/>
      <c r="AW1155" s="3"/>
      <c r="AX1155" s="11"/>
      <c r="AZ1155"/>
      <c r="BA1155"/>
      <c r="BB1155"/>
      <c r="BC1155"/>
    </row>
    <row r="1156" spans="1:55" s="282" customFormat="1" x14ac:dyDescent="0.25">
      <c r="A1156"/>
      <c r="B1156"/>
      <c r="C1156" s="3"/>
      <c r="D1156"/>
      <c r="E1156"/>
      <c r="F1156"/>
      <c r="G1156" s="3"/>
      <c r="H1156" s="3"/>
      <c r="I1156" s="3"/>
      <c r="J1156" s="288"/>
      <c r="L1156" s="288"/>
      <c r="M1156" s="288"/>
      <c r="N1156" s="288"/>
      <c r="O1156" s="288"/>
      <c r="P1156" s="288"/>
      <c r="Q1156" s="288"/>
      <c r="R1156" s="283"/>
      <c r="S1156" s="280"/>
      <c r="T1156" s="276"/>
      <c r="U1156" s="276"/>
      <c r="V1156" s="276"/>
      <c r="W1156" s="283"/>
      <c r="X1156" s="280"/>
      <c r="Y1156" s="280"/>
      <c r="Z1156" s="280"/>
      <c r="AA1156" s="280"/>
      <c r="AB1156" s="280"/>
      <c r="AC1156" s="280"/>
      <c r="AD1156" s="280"/>
      <c r="AG1156" s="3"/>
      <c r="AH1156" s="3"/>
      <c r="AI1156" s="3"/>
      <c r="AJ1156" s="3"/>
      <c r="AK1156" s="3"/>
      <c r="AL1156" s="3"/>
      <c r="AM1156" s="3"/>
      <c r="AN1156" s="3"/>
      <c r="AO1156" s="3"/>
      <c r="AP1156" s="11"/>
      <c r="AQ1156" s="11"/>
      <c r="AR1156" s="3"/>
      <c r="AS1156" s="3"/>
      <c r="AT1156" s="3"/>
      <c r="AU1156" s="3"/>
      <c r="AV1156" s="3"/>
      <c r="AW1156" s="3"/>
      <c r="AX1156" s="11"/>
      <c r="AZ1156"/>
      <c r="BA1156"/>
      <c r="BB1156"/>
      <c r="BC1156"/>
    </row>
    <row r="1157" spans="1:55" s="282" customFormat="1" x14ac:dyDescent="0.25">
      <c r="A1157"/>
      <c r="B1157"/>
      <c r="C1157" s="3"/>
      <c r="D1157"/>
      <c r="E1157"/>
      <c r="F1157"/>
      <c r="G1157" s="3"/>
      <c r="H1157" s="3"/>
      <c r="I1157" s="3"/>
      <c r="J1157" s="288"/>
      <c r="L1157" s="288"/>
      <c r="M1157" s="288"/>
      <c r="N1157" s="288"/>
      <c r="O1157" s="288"/>
      <c r="P1157" s="288"/>
      <c r="Q1157" s="288"/>
      <c r="R1157" s="283"/>
      <c r="S1157" s="280"/>
      <c r="T1157" s="276"/>
      <c r="U1157" s="276"/>
      <c r="V1157" s="276"/>
      <c r="W1157" s="283"/>
      <c r="X1157" s="280"/>
      <c r="Y1157" s="280"/>
      <c r="Z1157" s="280"/>
      <c r="AA1157" s="280"/>
      <c r="AB1157" s="280"/>
      <c r="AC1157" s="280"/>
      <c r="AD1157" s="280"/>
      <c r="AG1157" s="3"/>
      <c r="AH1157" s="3"/>
      <c r="AI1157" s="3"/>
      <c r="AJ1157" s="3"/>
      <c r="AK1157" s="3"/>
      <c r="AL1157" s="3"/>
      <c r="AM1157" s="3"/>
      <c r="AN1157" s="3"/>
      <c r="AO1157" s="3"/>
      <c r="AP1157" s="11"/>
      <c r="AQ1157" s="11"/>
      <c r="AR1157" s="3"/>
      <c r="AS1157" s="3"/>
      <c r="AT1157" s="3"/>
      <c r="AU1157" s="3"/>
      <c r="AV1157" s="3"/>
      <c r="AW1157" s="3"/>
      <c r="AX1157" s="11"/>
      <c r="AZ1157"/>
      <c r="BA1157"/>
      <c r="BB1157"/>
      <c r="BC1157"/>
    </row>
    <row r="1158" spans="1:55" s="282" customFormat="1" x14ac:dyDescent="0.25">
      <c r="A1158"/>
      <c r="B1158"/>
      <c r="C1158" s="3"/>
      <c r="D1158"/>
      <c r="E1158"/>
      <c r="F1158"/>
      <c r="G1158" s="3"/>
      <c r="H1158" s="3"/>
      <c r="I1158" s="3"/>
      <c r="J1158" s="288"/>
      <c r="L1158" s="288"/>
      <c r="M1158" s="288"/>
      <c r="N1158" s="288"/>
      <c r="O1158" s="288"/>
      <c r="P1158" s="288"/>
      <c r="Q1158" s="288"/>
      <c r="R1158" s="283"/>
      <c r="S1158" s="280"/>
      <c r="T1158" s="276"/>
      <c r="U1158" s="276"/>
      <c r="V1158" s="276"/>
      <c r="W1158" s="283"/>
      <c r="X1158" s="280"/>
      <c r="Y1158" s="280"/>
      <c r="Z1158" s="280"/>
      <c r="AA1158" s="280"/>
      <c r="AB1158" s="280"/>
      <c r="AC1158" s="280"/>
      <c r="AD1158" s="280"/>
      <c r="AG1158" s="3"/>
      <c r="AH1158" s="3"/>
      <c r="AI1158" s="3"/>
      <c r="AJ1158" s="3"/>
      <c r="AK1158" s="3"/>
      <c r="AL1158" s="3"/>
      <c r="AM1158" s="3"/>
      <c r="AN1158" s="3"/>
      <c r="AO1158" s="3"/>
      <c r="AP1158" s="11"/>
      <c r="AQ1158" s="11"/>
      <c r="AR1158" s="3"/>
      <c r="AS1158" s="3"/>
      <c r="AT1158" s="3"/>
      <c r="AU1158" s="3"/>
      <c r="AV1158" s="3"/>
      <c r="AW1158" s="3"/>
      <c r="AX1158" s="11"/>
      <c r="AZ1158"/>
      <c r="BA1158"/>
      <c r="BB1158"/>
      <c r="BC1158"/>
    </row>
    <row r="1159" spans="1:55" s="282" customFormat="1" x14ac:dyDescent="0.25">
      <c r="A1159"/>
      <c r="B1159"/>
      <c r="C1159" s="3"/>
      <c r="D1159"/>
      <c r="E1159"/>
      <c r="F1159"/>
      <c r="G1159" s="3"/>
      <c r="H1159" s="3"/>
      <c r="I1159" s="3"/>
      <c r="J1159" s="288"/>
      <c r="L1159" s="288"/>
      <c r="M1159" s="288"/>
      <c r="N1159" s="288"/>
      <c r="O1159" s="288"/>
      <c r="P1159" s="288"/>
      <c r="Q1159" s="288"/>
      <c r="R1159" s="283"/>
      <c r="S1159" s="280"/>
      <c r="T1159" s="276"/>
      <c r="U1159" s="276"/>
      <c r="V1159" s="276"/>
      <c r="W1159" s="283"/>
      <c r="X1159" s="280"/>
      <c r="Y1159" s="280"/>
      <c r="Z1159" s="280"/>
      <c r="AA1159" s="280"/>
      <c r="AB1159" s="280"/>
      <c r="AC1159" s="280"/>
      <c r="AD1159" s="280"/>
      <c r="AG1159" s="3"/>
      <c r="AH1159" s="3"/>
      <c r="AI1159" s="3"/>
      <c r="AJ1159" s="3"/>
      <c r="AK1159" s="3"/>
      <c r="AL1159" s="3"/>
      <c r="AM1159" s="3"/>
      <c r="AN1159" s="3"/>
      <c r="AO1159" s="3"/>
      <c r="AP1159" s="11"/>
      <c r="AQ1159" s="11"/>
      <c r="AR1159" s="3"/>
      <c r="AS1159" s="3"/>
      <c r="AT1159" s="3"/>
      <c r="AU1159" s="3"/>
      <c r="AV1159" s="3"/>
      <c r="AW1159" s="3"/>
      <c r="AX1159" s="11"/>
      <c r="AZ1159"/>
      <c r="BA1159"/>
      <c r="BB1159"/>
      <c r="BC1159"/>
    </row>
    <row r="1160" spans="1:55" s="282" customFormat="1" x14ac:dyDescent="0.25">
      <c r="A1160"/>
      <c r="B1160"/>
      <c r="C1160" s="3"/>
      <c r="D1160"/>
      <c r="E1160"/>
      <c r="F1160"/>
      <c r="G1160" s="3"/>
      <c r="H1160" s="3"/>
      <c r="I1160" s="3"/>
      <c r="J1160" s="288"/>
      <c r="L1160" s="288"/>
      <c r="M1160" s="288"/>
      <c r="N1160" s="288"/>
      <c r="O1160" s="288"/>
      <c r="P1160" s="288"/>
      <c r="Q1160" s="288"/>
      <c r="R1160" s="283"/>
      <c r="S1160" s="280"/>
      <c r="T1160" s="276"/>
      <c r="U1160" s="276"/>
      <c r="V1160" s="276"/>
      <c r="W1160" s="283"/>
      <c r="X1160" s="280"/>
      <c r="Y1160" s="280"/>
      <c r="Z1160" s="280"/>
      <c r="AA1160" s="280"/>
      <c r="AB1160" s="280"/>
      <c r="AC1160" s="280"/>
      <c r="AD1160" s="280"/>
      <c r="AG1160" s="3"/>
      <c r="AH1160" s="3"/>
      <c r="AI1160" s="3"/>
      <c r="AJ1160" s="3"/>
      <c r="AK1160" s="3"/>
      <c r="AL1160" s="3"/>
      <c r="AM1160" s="3"/>
      <c r="AN1160" s="3"/>
      <c r="AO1160" s="3"/>
      <c r="AP1160" s="11"/>
      <c r="AQ1160" s="11"/>
      <c r="AR1160" s="3"/>
      <c r="AS1160" s="3"/>
      <c r="AT1160" s="3"/>
      <c r="AU1160" s="3"/>
      <c r="AV1160" s="3"/>
      <c r="AW1160" s="3"/>
      <c r="AX1160" s="11"/>
      <c r="AZ1160"/>
      <c r="BA1160"/>
      <c r="BB1160"/>
      <c r="BC1160"/>
    </row>
    <row r="1161" spans="1:55" s="282" customFormat="1" x14ac:dyDescent="0.25">
      <c r="A1161"/>
      <c r="B1161"/>
      <c r="C1161" s="3"/>
      <c r="D1161"/>
      <c r="E1161"/>
      <c r="F1161"/>
      <c r="G1161" s="3"/>
      <c r="H1161" s="3"/>
      <c r="I1161" s="3"/>
      <c r="J1161" s="288"/>
      <c r="L1161" s="288"/>
      <c r="M1161" s="288"/>
      <c r="N1161" s="288"/>
      <c r="O1161" s="288"/>
      <c r="P1161" s="288"/>
      <c r="Q1161" s="288"/>
      <c r="R1161" s="283"/>
      <c r="S1161" s="280"/>
      <c r="T1161" s="276"/>
      <c r="U1161" s="276"/>
      <c r="V1161" s="276"/>
      <c r="W1161" s="283"/>
      <c r="X1161" s="280"/>
      <c r="Y1161" s="280"/>
      <c r="Z1161" s="280"/>
      <c r="AA1161" s="280"/>
      <c r="AB1161" s="280"/>
      <c r="AC1161" s="280"/>
      <c r="AD1161" s="280"/>
      <c r="AG1161" s="3"/>
      <c r="AH1161" s="3"/>
      <c r="AI1161" s="3"/>
      <c r="AJ1161" s="3"/>
      <c r="AK1161" s="3"/>
      <c r="AL1161" s="3"/>
      <c r="AM1161" s="3"/>
      <c r="AN1161" s="3"/>
      <c r="AO1161" s="3"/>
      <c r="AP1161" s="11"/>
      <c r="AQ1161" s="11"/>
      <c r="AR1161" s="3"/>
      <c r="AS1161" s="3"/>
      <c r="AT1161" s="3"/>
      <c r="AU1161" s="3"/>
      <c r="AV1161" s="3"/>
      <c r="AW1161" s="3"/>
      <c r="AX1161" s="11"/>
      <c r="AZ1161"/>
      <c r="BA1161"/>
      <c r="BB1161"/>
      <c r="BC1161"/>
    </row>
    <row r="1162" spans="1:55" s="282" customFormat="1" x14ac:dyDescent="0.25">
      <c r="A1162"/>
      <c r="B1162"/>
      <c r="C1162" s="3"/>
      <c r="D1162"/>
      <c r="E1162"/>
      <c r="F1162"/>
      <c r="G1162" s="3"/>
      <c r="H1162" s="3"/>
      <c r="I1162" s="3"/>
      <c r="J1162" s="288"/>
      <c r="L1162" s="288"/>
      <c r="M1162" s="288"/>
      <c r="N1162" s="288"/>
      <c r="O1162" s="288"/>
      <c r="P1162" s="288"/>
      <c r="Q1162" s="288"/>
      <c r="R1162" s="283"/>
      <c r="S1162" s="280"/>
      <c r="T1162" s="276"/>
      <c r="U1162" s="276"/>
      <c r="V1162" s="276"/>
      <c r="W1162" s="283"/>
      <c r="X1162" s="280"/>
      <c r="Y1162" s="280"/>
      <c r="Z1162" s="280"/>
      <c r="AA1162" s="280"/>
      <c r="AB1162" s="280"/>
      <c r="AC1162" s="280"/>
      <c r="AD1162" s="280"/>
      <c r="AG1162" s="3"/>
      <c r="AH1162" s="3"/>
      <c r="AI1162" s="3"/>
      <c r="AJ1162" s="3"/>
      <c r="AK1162" s="3"/>
      <c r="AL1162" s="3"/>
      <c r="AM1162" s="3"/>
      <c r="AN1162" s="3"/>
      <c r="AO1162" s="3"/>
      <c r="AP1162" s="11"/>
      <c r="AQ1162" s="11"/>
      <c r="AR1162" s="3"/>
      <c r="AS1162" s="3"/>
      <c r="AT1162" s="3"/>
      <c r="AU1162" s="3"/>
      <c r="AV1162" s="3"/>
      <c r="AW1162" s="3"/>
      <c r="AX1162" s="11"/>
      <c r="AZ1162"/>
      <c r="BA1162"/>
      <c r="BB1162"/>
      <c r="BC1162"/>
    </row>
    <row r="1163" spans="1:55" s="282" customFormat="1" x14ac:dyDescent="0.25">
      <c r="A1163"/>
      <c r="B1163"/>
      <c r="C1163" s="3"/>
      <c r="D1163"/>
      <c r="E1163"/>
      <c r="F1163"/>
      <c r="G1163" s="3"/>
      <c r="H1163" s="3"/>
      <c r="I1163" s="3"/>
      <c r="J1163" s="288"/>
      <c r="L1163" s="288"/>
      <c r="M1163" s="288"/>
      <c r="N1163" s="288"/>
      <c r="O1163" s="288"/>
      <c r="P1163" s="288"/>
      <c r="Q1163" s="288"/>
      <c r="R1163" s="283"/>
      <c r="S1163" s="280"/>
      <c r="T1163" s="276"/>
      <c r="U1163" s="276"/>
      <c r="V1163" s="276"/>
      <c r="W1163" s="283"/>
      <c r="X1163" s="280"/>
      <c r="Y1163" s="280"/>
      <c r="Z1163" s="280"/>
      <c r="AA1163" s="280"/>
      <c r="AB1163" s="280"/>
      <c r="AC1163" s="280"/>
      <c r="AD1163" s="280"/>
      <c r="AG1163" s="3"/>
      <c r="AH1163" s="3"/>
      <c r="AI1163" s="3"/>
      <c r="AJ1163" s="3"/>
      <c r="AK1163" s="3"/>
      <c r="AL1163" s="3"/>
      <c r="AM1163" s="3"/>
      <c r="AN1163" s="3"/>
      <c r="AO1163" s="3"/>
      <c r="AP1163" s="11"/>
      <c r="AQ1163" s="11"/>
      <c r="AR1163" s="3"/>
      <c r="AS1163" s="3"/>
      <c r="AT1163" s="3"/>
      <c r="AU1163" s="3"/>
      <c r="AV1163" s="3"/>
      <c r="AW1163" s="3"/>
      <c r="AX1163" s="11"/>
      <c r="AZ1163"/>
      <c r="BA1163"/>
      <c r="BB1163"/>
      <c r="BC1163"/>
    </row>
    <row r="1164" spans="1:55" s="282" customFormat="1" x14ac:dyDescent="0.25">
      <c r="A1164"/>
      <c r="B1164"/>
      <c r="C1164" s="3"/>
      <c r="D1164"/>
      <c r="E1164"/>
      <c r="F1164"/>
      <c r="G1164" s="3"/>
      <c r="H1164" s="3"/>
      <c r="I1164" s="3"/>
      <c r="J1164" s="288"/>
      <c r="L1164" s="288"/>
      <c r="M1164" s="288"/>
      <c r="N1164" s="288"/>
      <c r="O1164" s="288"/>
      <c r="P1164" s="288"/>
      <c r="Q1164" s="288"/>
      <c r="R1164" s="283"/>
      <c r="S1164" s="280"/>
      <c r="T1164" s="276"/>
      <c r="U1164" s="276"/>
      <c r="V1164" s="276"/>
      <c r="W1164" s="283"/>
      <c r="X1164" s="280"/>
      <c r="Y1164" s="280"/>
      <c r="Z1164" s="280"/>
      <c r="AA1164" s="280"/>
      <c r="AB1164" s="280"/>
      <c r="AC1164" s="280"/>
      <c r="AD1164" s="280"/>
      <c r="AG1164" s="3"/>
      <c r="AH1164" s="3"/>
      <c r="AI1164" s="3"/>
      <c r="AJ1164" s="3"/>
      <c r="AK1164" s="3"/>
      <c r="AL1164" s="3"/>
      <c r="AM1164" s="3"/>
      <c r="AN1164" s="3"/>
      <c r="AO1164" s="3"/>
      <c r="AP1164" s="11"/>
      <c r="AQ1164" s="11"/>
      <c r="AR1164" s="3"/>
      <c r="AS1164" s="3"/>
      <c r="AT1164" s="3"/>
      <c r="AU1164" s="3"/>
      <c r="AV1164" s="3"/>
      <c r="AW1164" s="3"/>
      <c r="AX1164" s="11"/>
      <c r="AZ1164"/>
      <c r="BA1164"/>
      <c r="BB1164"/>
      <c r="BC1164"/>
    </row>
    <row r="1165" spans="1:55" s="282" customFormat="1" x14ac:dyDescent="0.25">
      <c r="A1165"/>
      <c r="B1165"/>
      <c r="C1165" s="3"/>
      <c r="D1165"/>
      <c r="E1165"/>
      <c r="F1165"/>
      <c r="G1165" s="3"/>
      <c r="H1165" s="3"/>
      <c r="I1165" s="3"/>
      <c r="J1165" s="288"/>
      <c r="L1165" s="288"/>
      <c r="M1165" s="288"/>
      <c r="N1165" s="288"/>
      <c r="O1165" s="288"/>
      <c r="P1165" s="288"/>
      <c r="Q1165" s="288"/>
      <c r="R1165" s="283"/>
      <c r="S1165" s="280"/>
      <c r="T1165" s="276"/>
      <c r="U1165" s="276"/>
      <c r="V1165" s="276"/>
      <c r="W1165" s="283"/>
      <c r="X1165" s="280"/>
      <c r="Y1165" s="280"/>
      <c r="Z1165" s="280"/>
      <c r="AA1165" s="280"/>
      <c r="AB1165" s="280"/>
      <c r="AC1165" s="280"/>
      <c r="AD1165" s="280"/>
      <c r="AG1165" s="3"/>
      <c r="AH1165" s="3"/>
      <c r="AI1165" s="3"/>
      <c r="AJ1165" s="3"/>
      <c r="AK1165" s="3"/>
      <c r="AL1165" s="3"/>
      <c r="AM1165" s="3"/>
      <c r="AN1165" s="3"/>
      <c r="AO1165" s="3"/>
      <c r="AP1165" s="11"/>
      <c r="AQ1165" s="11"/>
      <c r="AR1165" s="3"/>
      <c r="AS1165" s="3"/>
      <c r="AT1165" s="3"/>
      <c r="AU1165" s="3"/>
      <c r="AV1165" s="3"/>
      <c r="AW1165" s="3"/>
      <c r="AX1165" s="11"/>
      <c r="AZ1165"/>
      <c r="BA1165"/>
      <c r="BB1165"/>
      <c r="BC1165"/>
    </row>
    <row r="1166" spans="1:55" s="282" customFormat="1" x14ac:dyDescent="0.25">
      <c r="A1166"/>
      <c r="B1166"/>
      <c r="C1166" s="3"/>
      <c r="D1166"/>
      <c r="E1166"/>
      <c r="F1166"/>
      <c r="G1166" s="3"/>
      <c r="H1166" s="3"/>
      <c r="I1166" s="3"/>
      <c r="J1166" s="288"/>
      <c r="L1166" s="288"/>
      <c r="M1166" s="288"/>
      <c r="N1166" s="288"/>
      <c r="O1166" s="288"/>
      <c r="P1166" s="288"/>
      <c r="Q1166" s="288"/>
      <c r="R1166" s="283"/>
      <c r="S1166" s="280"/>
      <c r="T1166" s="276"/>
      <c r="U1166" s="276"/>
      <c r="V1166" s="276"/>
      <c r="W1166" s="283"/>
      <c r="X1166" s="280"/>
      <c r="Y1166" s="280"/>
      <c r="Z1166" s="280"/>
      <c r="AA1166" s="280"/>
      <c r="AB1166" s="280"/>
      <c r="AC1166" s="280"/>
      <c r="AD1166" s="280"/>
      <c r="AG1166" s="3"/>
      <c r="AH1166" s="3"/>
      <c r="AI1166" s="3"/>
      <c r="AJ1166" s="3"/>
      <c r="AK1166" s="3"/>
      <c r="AL1166" s="3"/>
      <c r="AM1166" s="3"/>
      <c r="AN1166" s="3"/>
      <c r="AO1166" s="3"/>
      <c r="AP1166" s="11"/>
      <c r="AQ1166" s="11"/>
      <c r="AR1166" s="3"/>
      <c r="AS1166" s="3"/>
      <c r="AT1166" s="3"/>
      <c r="AU1166" s="3"/>
      <c r="AV1166" s="3"/>
      <c r="AW1166" s="3"/>
      <c r="AX1166" s="11"/>
      <c r="AZ1166"/>
      <c r="BA1166"/>
      <c r="BB1166"/>
      <c r="BC1166"/>
    </row>
    <row r="1167" spans="1:55" s="282" customFormat="1" x14ac:dyDescent="0.25">
      <c r="A1167"/>
      <c r="B1167"/>
      <c r="C1167" s="3"/>
      <c r="D1167"/>
      <c r="E1167"/>
      <c r="F1167"/>
      <c r="G1167" s="3"/>
      <c r="H1167" s="3"/>
      <c r="I1167" s="3"/>
      <c r="J1167" s="288"/>
      <c r="L1167" s="288"/>
      <c r="M1167" s="288"/>
      <c r="N1167" s="288"/>
      <c r="O1167" s="288"/>
      <c r="P1167" s="288"/>
      <c r="Q1167" s="288"/>
      <c r="R1167" s="283"/>
      <c r="S1167" s="280"/>
      <c r="T1167" s="276"/>
      <c r="U1167" s="276"/>
      <c r="V1167" s="276"/>
      <c r="W1167" s="283"/>
      <c r="X1167" s="280"/>
      <c r="Y1167" s="280"/>
      <c r="Z1167" s="280"/>
      <c r="AA1167" s="280"/>
      <c r="AB1167" s="280"/>
      <c r="AC1167" s="280"/>
      <c r="AD1167" s="280"/>
      <c r="AG1167" s="3"/>
      <c r="AH1167" s="3"/>
      <c r="AI1167" s="3"/>
      <c r="AJ1167" s="3"/>
      <c r="AK1167" s="3"/>
      <c r="AL1167" s="3"/>
      <c r="AM1167" s="3"/>
      <c r="AN1167" s="3"/>
      <c r="AO1167" s="3"/>
      <c r="AP1167" s="11"/>
      <c r="AQ1167" s="11"/>
      <c r="AR1167" s="3"/>
      <c r="AS1167" s="3"/>
      <c r="AT1167" s="3"/>
      <c r="AU1167" s="3"/>
      <c r="AV1167" s="3"/>
      <c r="AW1167" s="3"/>
      <c r="AX1167" s="11"/>
      <c r="AZ1167"/>
      <c r="BA1167"/>
      <c r="BB1167"/>
      <c r="BC1167"/>
    </row>
    <row r="1168" spans="1:55" s="282" customFormat="1" x14ac:dyDescent="0.25">
      <c r="A1168"/>
      <c r="B1168"/>
      <c r="C1168" s="3"/>
      <c r="D1168"/>
      <c r="E1168"/>
      <c r="F1168"/>
      <c r="G1168" s="3"/>
      <c r="H1168" s="3"/>
      <c r="I1168" s="3"/>
      <c r="J1168" s="288"/>
      <c r="L1168" s="288"/>
      <c r="M1168" s="288"/>
      <c r="N1168" s="288"/>
      <c r="O1168" s="288"/>
      <c r="P1168" s="288"/>
      <c r="Q1168" s="288"/>
      <c r="R1168" s="283"/>
      <c r="S1168" s="280"/>
      <c r="T1168" s="276"/>
      <c r="U1168" s="276"/>
      <c r="V1168" s="276"/>
      <c r="W1168" s="283"/>
      <c r="X1168" s="280"/>
      <c r="Y1168" s="280"/>
      <c r="Z1168" s="280"/>
      <c r="AA1168" s="280"/>
      <c r="AB1168" s="280"/>
      <c r="AC1168" s="280"/>
      <c r="AD1168" s="280"/>
      <c r="AG1168" s="3"/>
      <c r="AH1168" s="3"/>
      <c r="AI1168" s="3"/>
      <c r="AJ1168" s="3"/>
      <c r="AK1168" s="3"/>
      <c r="AL1168" s="3"/>
      <c r="AM1168" s="3"/>
      <c r="AN1168" s="3"/>
      <c r="AO1168" s="3"/>
      <c r="AP1168" s="11"/>
      <c r="AQ1168" s="11"/>
      <c r="AR1168" s="3"/>
      <c r="AS1168" s="3"/>
      <c r="AT1168" s="3"/>
      <c r="AU1168" s="3"/>
      <c r="AV1168" s="3"/>
      <c r="AW1168" s="3"/>
      <c r="AX1168" s="11"/>
      <c r="AZ1168"/>
      <c r="BA1168"/>
      <c r="BB1168"/>
      <c r="BC1168"/>
    </row>
    <row r="1169" spans="1:55" s="282" customFormat="1" x14ac:dyDescent="0.25">
      <c r="A1169"/>
      <c r="B1169"/>
      <c r="C1169" s="3"/>
      <c r="D1169"/>
      <c r="E1169"/>
      <c r="F1169"/>
      <c r="G1169" s="3"/>
      <c r="H1169" s="3"/>
      <c r="I1169" s="3"/>
      <c r="J1169" s="288"/>
      <c r="L1169" s="288"/>
      <c r="M1169" s="288"/>
      <c r="N1169" s="288"/>
      <c r="O1169" s="288"/>
      <c r="P1169" s="288"/>
      <c r="Q1169" s="288"/>
      <c r="R1169" s="283"/>
      <c r="S1169" s="280"/>
      <c r="T1169" s="276"/>
      <c r="U1169" s="276"/>
      <c r="V1169" s="276"/>
      <c r="W1169" s="283"/>
      <c r="X1169" s="280"/>
      <c r="Y1169" s="280"/>
      <c r="Z1169" s="280"/>
      <c r="AA1169" s="280"/>
      <c r="AB1169" s="280"/>
      <c r="AC1169" s="280"/>
      <c r="AD1169" s="280"/>
      <c r="AG1169" s="3"/>
      <c r="AH1169" s="3"/>
      <c r="AI1169" s="3"/>
      <c r="AJ1169" s="3"/>
      <c r="AK1169" s="3"/>
      <c r="AL1169" s="3"/>
      <c r="AM1169" s="3"/>
      <c r="AN1169" s="3"/>
      <c r="AO1169" s="3"/>
      <c r="AP1169" s="11"/>
      <c r="AQ1169" s="11"/>
      <c r="AR1169" s="3"/>
      <c r="AS1169" s="3"/>
      <c r="AT1169" s="3"/>
      <c r="AU1169" s="3"/>
      <c r="AV1169" s="3"/>
      <c r="AW1169" s="3"/>
      <c r="AX1169" s="11"/>
      <c r="AZ1169"/>
      <c r="BA1169"/>
      <c r="BB1169"/>
      <c r="BC1169"/>
    </row>
    <row r="1170" spans="1:55" s="282" customFormat="1" x14ac:dyDescent="0.25">
      <c r="A1170"/>
      <c r="B1170"/>
      <c r="C1170" s="3"/>
      <c r="D1170"/>
      <c r="E1170"/>
      <c r="F1170"/>
      <c r="G1170" s="3"/>
      <c r="H1170" s="3"/>
      <c r="I1170" s="3"/>
      <c r="J1170" s="288"/>
      <c r="L1170" s="288"/>
      <c r="M1170" s="288"/>
      <c r="N1170" s="288"/>
      <c r="O1170" s="288"/>
      <c r="P1170" s="288"/>
      <c r="Q1170" s="288"/>
      <c r="R1170" s="283"/>
      <c r="S1170" s="280"/>
      <c r="T1170" s="276"/>
      <c r="U1170" s="276"/>
      <c r="V1170" s="276"/>
      <c r="W1170" s="283"/>
      <c r="X1170" s="280"/>
      <c r="Y1170" s="280"/>
      <c r="Z1170" s="280"/>
      <c r="AA1170" s="280"/>
      <c r="AB1170" s="280"/>
      <c r="AC1170" s="280"/>
      <c r="AD1170" s="280"/>
      <c r="AG1170" s="3"/>
      <c r="AH1170" s="3"/>
      <c r="AI1170" s="3"/>
      <c r="AJ1170" s="3"/>
      <c r="AK1170" s="3"/>
      <c r="AL1170" s="3"/>
      <c r="AM1170" s="3"/>
      <c r="AN1170" s="3"/>
      <c r="AO1170" s="3"/>
      <c r="AP1170" s="11"/>
      <c r="AQ1170" s="11"/>
      <c r="AR1170" s="3"/>
      <c r="AS1170" s="3"/>
      <c r="AT1170" s="3"/>
      <c r="AU1170" s="3"/>
      <c r="AV1170" s="3"/>
      <c r="AW1170" s="3"/>
      <c r="AX1170" s="11"/>
      <c r="AZ1170"/>
      <c r="BA1170"/>
      <c r="BB1170"/>
      <c r="BC1170"/>
    </row>
    <row r="1171" spans="1:55" s="282" customFormat="1" x14ac:dyDescent="0.25">
      <c r="A1171"/>
      <c r="B1171"/>
      <c r="C1171" s="3"/>
      <c r="D1171"/>
      <c r="E1171"/>
      <c r="F1171"/>
      <c r="G1171" s="3"/>
      <c r="H1171" s="3"/>
      <c r="I1171" s="3"/>
      <c r="J1171" s="288"/>
      <c r="L1171" s="288"/>
      <c r="M1171" s="288"/>
      <c r="N1171" s="288"/>
      <c r="O1171" s="288"/>
      <c r="P1171" s="288"/>
      <c r="Q1171" s="288"/>
      <c r="R1171" s="283"/>
      <c r="S1171" s="280"/>
      <c r="T1171" s="276"/>
      <c r="U1171" s="276"/>
      <c r="V1171" s="276"/>
      <c r="W1171" s="283"/>
      <c r="X1171" s="280"/>
      <c r="Y1171" s="280"/>
      <c r="Z1171" s="280"/>
      <c r="AA1171" s="280"/>
      <c r="AB1171" s="280"/>
      <c r="AC1171" s="280"/>
      <c r="AD1171" s="280"/>
      <c r="AG1171" s="3"/>
      <c r="AH1171" s="3"/>
      <c r="AI1171" s="3"/>
      <c r="AJ1171" s="3"/>
      <c r="AK1171" s="3"/>
      <c r="AL1171" s="3"/>
      <c r="AM1171" s="3"/>
      <c r="AN1171" s="3"/>
      <c r="AO1171" s="3"/>
      <c r="AP1171" s="11"/>
      <c r="AQ1171" s="11"/>
      <c r="AR1171" s="3"/>
      <c r="AS1171" s="3"/>
      <c r="AT1171" s="3"/>
      <c r="AU1171" s="3"/>
      <c r="AV1171" s="3"/>
      <c r="AW1171" s="3"/>
      <c r="AX1171" s="11"/>
      <c r="AZ1171"/>
      <c r="BA1171"/>
      <c r="BB1171"/>
      <c r="BC1171"/>
    </row>
    <row r="1172" spans="1:55" s="282" customFormat="1" x14ac:dyDescent="0.25">
      <c r="A1172"/>
      <c r="B1172"/>
      <c r="C1172" s="3"/>
      <c r="D1172"/>
      <c r="E1172"/>
      <c r="F1172"/>
      <c r="G1172" s="3"/>
      <c r="H1172" s="3"/>
      <c r="I1172" s="3"/>
      <c r="J1172" s="288"/>
      <c r="L1172" s="288"/>
      <c r="M1172" s="288"/>
      <c r="N1172" s="288"/>
      <c r="O1172" s="288"/>
      <c r="P1172" s="288"/>
      <c r="Q1172" s="288"/>
      <c r="R1172" s="283"/>
      <c r="S1172" s="280"/>
      <c r="T1172" s="276"/>
      <c r="U1172" s="276"/>
      <c r="V1172" s="276"/>
      <c r="W1172" s="283"/>
      <c r="X1172" s="280"/>
      <c r="Y1172" s="280"/>
      <c r="Z1172" s="280"/>
      <c r="AA1172" s="280"/>
      <c r="AB1172" s="280"/>
      <c r="AC1172" s="280"/>
      <c r="AD1172" s="280"/>
      <c r="AG1172" s="3"/>
      <c r="AH1172" s="3"/>
      <c r="AI1172" s="3"/>
      <c r="AJ1172" s="3"/>
      <c r="AK1172" s="3"/>
      <c r="AL1172" s="3"/>
      <c r="AM1172" s="3"/>
      <c r="AN1172" s="3"/>
      <c r="AO1172" s="3"/>
      <c r="AP1172" s="11"/>
      <c r="AQ1172" s="11"/>
      <c r="AR1172" s="3"/>
      <c r="AS1172" s="3"/>
      <c r="AT1172" s="3"/>
      <c r="AU1172" s="3"/>
      <c r="AV1172" s="3"/>
      <c r="AW1172" s="3"/>
      <c r="AX1172" s="11"/>
      <c r="AZ1172"/>
      <c r="BA1172"/>
      <c r="BB1172"/>
      <c r="BC1172"/>
    </row>
    <row r="1173" spans="1:55" s="282" customFormat="1" x14ac:dyDescent="0.25">
      <c r="A1173"/>
      <c r="B1173"/>
      <c r="C1173" s="3"/>
      <c r="D1173"/>
      <c r="E1173"/>
      <c r="F1173"/>
      <c r="G1173" s="3"/>
      <c r="H1173" s="3"/>
      <c r="I1173" s="3"/>
      <c r="J1173" s="288"/>
      <c r="L1173" s="288"/>
      <c r="M1173" s="288"/>
      <c r="N1173" s="288"/>
      <c r="O1173" s="288"/>
      <c r="P1173" s="288"/>
      <c r="Q1173" s="288"/>
      <c r="R1173" s="283"/>
      <c r="S1173" s="280"/>
      <c r="T1173" s="276"/>
      <c r="U1173" s="276"/>
      <c r="V1173" s="276"/>
      <c r="W1173" s="283"/>
      <c r="X1173" s="280"/>
      <c r="Y1173" s="280"/>
      <c r="Z1173" s="280"/>
      <c r="AA1173" s="280"/>
      <c r="AB1173" s="280"/>
      <c r="AC1173" s="280"/>
      <c r="AD1173" s="280"/>
      <c r="AG1173" s="3"/>
      <c r="AH1173" s="3"/>
      <c r="AI1173" s="3"/>
      <c r="AJ1173" s="3"/>
      <c r="AK1173" s="3"/>
      <c r="AL1173" s="3"/>
      <c r="AM1173" s="3"/>
      <c r="AN1173" s="3"/>
      <c r="AO1173" s="3"/>
      <c r="AP1173" s="11"/>
      <c r="AQ1173" s="11"/>
      <c r="AR1173" s="3"/>
      <c r="AS1173" s="3"/>
      <c r="AT1173" s="3"/>
      <c r="AU1173" s="3"/>
      <c r="AV1173" s="3"/>
      <c r="AW1173" s="3"/>
      <c r="AX1173" s="11"/>
      <c r="AZ1173"/>
      <c r="BA1173"/>
      <c r="BB1173"/>
      <c r="BC1173"/>
    </row>
    <row r="1174" spans="1:55" s="282" customFormat="1" x14ac:dyDescent="0.25">
      <c r="A1174"/>
      <c r="B1174"/>
      <c r="C1174" s="3"/>
      <c r="D1174"/>
      <c r="E1174"/>
      <c r="F1174"/>
      <c r="G1174" s="3"/>
      <c r="H1174" s="3"/>
      <c r="I1174" s="3"/>
      <c r="J1174" s="288"/>
      <c r="L1174" s="288"/>
      <c r="M1174" s="288"/>
      <c r="N1174" s="288"/>
      <c r="O1174" s="288"/>
      <c r="P1174" s="288"/>
      <c r="Q1174" s="288"/>
      <c r="R1174" s="283"/>
      <c r="S1174" s="280"/>
      <c r="T1174" s="276"/>
      <c r="U1174" s="276"/>
      <c r="V1174" s="276"/>
      <c r="W1174" s="283"/>
      <c r="X1174" s="280"/>
      <c r="Y1174" s="280"/>
      <c r="Z1174" s="280"/>
      <c r="AA1174" s="280"/>
      <c r="AB1174" s="280"/>
      <c r="AC1174" s="280"/>
      <c r="AD1174" s="280"/>
      <c r="AG1174" s="3"/>
      <c r="AH1174" s="3"/>
      <c r="AI1174" s="3"/>
      <c r="AJ1174" s="3"/>
      <c r="AK1174" s="3"/>
      <c r="AL1174" s="3"/>
      <c r="AM1174" s="3"/>
      <c r="AN1174" s="3"/>
      <c r="AO1174" s="3"/>
      <c r="AP1174" s="11"/>
      <c r="AQ1174" s="11"/>
      <c r="AR1174" s="3"/>
      <c r="AS1174" s="3"/>
      <c r="AT1174" s="3"/>
      <c r="AU1174" s="3"/>
      <c r="AV1174" s="3"/>
      <c r="AW1174" s="3"/>
      <c r="AX1174" s="11"/>
      <c r="AZ1174"/>
      <c r="BA1174"/>
      <c r="BB1174"/>
      <c r="BC1174"/>
    </row>
    <row r="1175" spans="1:55" s="282" customFormat="1" x14ac:dyDescent="0.25">
      <c r="A1175"/>
      <c r="B1175"/>
      <c r="C1175" s="3"/>
      <c r="D1175"/>
      <c r="E1175"/>
      <c r="F1175"/>
      <c r="G1175" s="3"/>
      <c r="H1175" s="3"/>
      <c r="I1175" s="3"/>
      <c r="J1175" s="288"/>
      <c r="L1175" s="288"/>
      <c r="M1175" s="288"/>
      <c r="N1175" s="288"/>
      <c r="O1175" s="288"/>
      <c r="P1175" s="288"/>
      <c r="Q1175" s="288"/>
      <c r="R1175" s="283"/>
      <c r="S1175" s="280"/>
      <c r="T1175" s="276"/>
      <c r="U1175" s="276"/>
      <c r="V1175" s="276"/>
      <c r="W1175" s="283"/>
      <c r="X1175" s="280"/>
      <c r="Y1175" s="280"/>
      <c r="Z1175" s="280"/>
      <c r="AA1175" s="280"/>
      <c r="AB1175" s="280"/>
      <c r="AC1175" s="280"/>
      <c r="AD1175" s="280"/>
      <c r="AG1175" s="3"/>
      <c r="AH1175" s="3"/>
      <c r="AI1175" s="3"/>
      <c r="AJ1175" s="3"/>
      <c r="AK1175" s="3"/>
      <c r="AL1175" s="3"/>
      <c r="AM1175" s="3"/>
      <c r="AN1175" s="3"/>
      <c r="AO1175" s="3"/>
      <c r="AP1175" s="11"/>
      <c r="AQ1175" s="11"/>
      <c r="AR1175" s="3"/>
      <c r="AS1175" s="3"/>
      <c r="AT1175" s="3"/>
      <c r="AU1175" s="3"/>
      <c r="AV1175" s="3"/>
      <c r="AW1175" s="3"/>
      <c r="AX1175" s="11"/>
      <c r="AZ1175"/>
      <c r="BA1175"/>
      <c r="BB1175"/>
      <c r="BC1175"/>
    </row>
    <row r="1176" spans="1:55" s="282" customFormat="1" x14ac:dyDescent="0.25">
      <c r="A1176"/>
      <c r="B1176"/>
      <c r="C1176" s="3"/>
      <c r="D1176"/>
      <c r="E1176"/>
      <c r="F1176"/>
      <c r="G1176" s="3"/>
      <c r="H1176" s="3"/>
      <c r="I1176" s="3"/>
      <c r="J1176" s="288"/>
      <c r="L1176" s="288"/>
      <c r="M1176" s="288"/>
      <c r="N1176" s="288"/>
      <c r="O1176" s="288"/>
      <c r="P1176" s="288"/>
      <c r="Q1176" s="288"/>
      <c r="R1176" s="283"/>
      <c r="S1176" s="280"/>
      <c r="T1176" s="276"/>
      <c r="U1176" s="276"/>
      <c r="V1176" s="276"/>
      <c r="W1176" s="283"/>
      <c r="X1176" s="280"/>
      <c r="Y1176" s="280"/>
      <c r="Z1176" s="280"/>
      <c r="AA1176" s="280"/>
      <c r="AB1176" s="280"/>
      <c r="AC1176" s="280"/>
      <c r="AD1176" s="280"/>
      <c r="AG1176" s="3"/>
      <c r="AH1176" s="3"/>
      <c r="AI1176" s="3"/>
      <c r="AJ1176" s="3"/>
      <c r="AK1176" s="3"/>
      <c r="AL1176" s="3"/>
      <c r="AM1176" s="3"/>
      <c r="AN1176" s="3"/>
      <c r="AO1176" s="3"/>
      <c r="AP1176" s="11"/>
      <c r="AQ1176" s="11"/>
      <c r="AR1176" s="3"/>
      <c r="AS1176" s="3"/>
      <c r="AT1176" s="3"/>
      <c r="AU1176" s="3"/>
      <c r="AV1176" s="3"/>
      <c r="AW1176" s="3"/>
      <c r="AX1176" s="11"/>
      <c r="AZ1176"/>
      <c r="BA1176"/>
      <c r="BB1176"/>
      <c r="BC1176"/>
    </row>
    <row r="1177" spans="1:55" s="282" customFormat="1" x14ac:dyDescent="0.25">
      <c r="A1177"/>
      <c r="B1177"/>
      <c r="C1177" s="3"/>
      <c r="D1177"/>
      <c r="E1177"/>
      <c r="F1177"/>
      <c r="G1177" s="3"/>
      <c r="H1177" s="3"/>
      <c r="I1177" s="3"/>
      <c r="J1177" s="288"/>
      <c r="L1177" s="288"/>
      <c r="M1177" s="288"/>
      <c r="N1177" s="288"/>
      <c r="O1177" s="288"/>
      <c r="P1177" s="288"/>
      <c r="Q1177" s="288"/>
      <c r="R1177" s="283"/>
      <c r="S1177" s="280"/>
      <c r="T1177" s="276"/>
      <c r="U1177" s="276"/>
      <c r="V1177" s="276"/>
      <c r="W1177" s="283"/>
      <c r="X1177" s="280"/>
      <c r="Y1177" s="280"/>
      <c r="Z1177" s="280"/>
      <c r="AA1177" s="280"/>
      <c r="AB1177" s="280"/>
      <c r="AC1177" s="280"/>
      <c r="AD1177" s="280"/>
      <c r="AG1177" s="3"/>
      <c r="AH1177" s="3"/>
      <c r="AI1177" s="3"/>
      <c r="AJ1177" s="3"/>
      <c r="AK1177" s="3"/>
      <c r="AL1177" s="3"/>
      <c r="AM1177" s="3"/>
      <c r="AN1177" s="3"/>
      <c r="AO1177" s="3"/>
      <c r="AP1177" s="11"/>
      <c r="AQ1177" s="11"/>
      <c r="AR1177" s="3"/>
      <c r="AS1177" s="3"/>
      <c r="AT1177" s="3"/>
      <c r="AU1177" s="3"/>
      <c r="AV1177" s="3"/>
      <c r="AW1177" s="3"/>
      <c r="AX1177" s="11"/>
      <c r="AZ1177"/>
      <c r="BA1177"/>
      <c r="BB1177"/>
      <c r="BC1177"/>
    </row>
    <row r="1178" spans="1:55" s="282" customFormat="1" x14ac:dyDescent="0.25">
      <c r="A1178"/>
      <c r="B1178"/>
      <c r="C1178" s="3"/>
      <c r="D1178"/>
      <c r="E1178"/>
      <c r="F1178"/>
      <c r="G1178" s="3"/>
      <c r="H1178" s="3"/>
      <c r="I1178" s="3"/>
      <c r="J1178" s="288"/>
      <c r="L1178" s="288"/>
      <c r="M1178" s="288"/>
      <c r="N1178" s="288"/>
      <c r="O1178" s="288"/>
      <c r="P1178" s="288"/>
      <c r="Q1178" s="288"/>
      <c r="R1178" s="283"/>
      <c r="S1178" s="280"/>
      <c r="T1178" s="276"/>
      <c r="U1178" s="276"/>
      <c r="V1178" s="276"/>
      <c r="W1178" s="283"/>
      <c r="X1178" s="280"/>
      <c r="Y1178" s="280"/>
      <c r="Z1178" s="280"/>
      <c r="AA1178" s="280"/>
      <c r="AB1178" s="280"/>
      <c r="AC1178" s="280"/>
      <c r="AD1178" s="280"/>
      <c r="AG1178" s="3"/>
      <c r="AH1178" s="3"/>
      <c r="AI1178" s="3"/>
      <c r="AJ1178" s="3"/>
      <c r="AK1178" s="3"/>
      <c r="AL1178" s="3"/>
      <c r="AM1178" s="3"/>
      <c r="AN1178" s="3"/>
      <c r="AO1178" s="3"/>
      <c r="AP1178" s="11"/>
      <c r="AQ1178" s="11"/>
      <c r="AR1178" s="3"/>
      <c r="AS1178" s="3"/>
      <c r="AT1178" s="3"/>
      <c r="AU1178" s="3"/>
      <c r="AV1178" s="3"/>
      <c r="AW1178" s="3"/>
      <c r="AX1178" s="11"/>
      <c r="AZ1178"/>
      <c r="BA1178"/>
      <c r="BB1178"/>
      <c r="BC1178"/>
    </row>
    <row r="1179" spans="1:55" s="282" customFormat="1" x14ac:dyDescent="0.25">
      <c r="A1179"/>
      <c r="B1179"/>
      <c r="C1179" s="3"/>
      <c r="D1179"/>
      <c r="E1179"/>
      <c r="F1179"/>
      <c r="G1179" s="3"/>
      <c r="H1179" s="3"/>
      <c r="I1179" s="3"/>
      <c r="J1179" s="288"/>
      <c r="L1179" s="288"/>
      <c r="M1179" s="288"/>
      <c r="N1179" s="288"/>
      <c r="O1179" s="288"/>
      <c r="P1179" s="288"/>
      <c r="Q1179" s="288"/>
      <c r="R1179" s="283"/>
      <c r="S1179" s="280"/>
      <c r="T1179" s="276"/>
      <c r="U1179" s="276"/>
      <c r="V1179" s="276"/>
      <c r="W1179" s="283"/>
      <c r="X1179" s="280"/>
      <c r="Y1179" s="280"/>
      <c r="Z1179" s="280"/>
      <c r="AA1179" s="280"/>
      <c r="AB1179" s="280"/>
      <c r="AC1179" s="280"/>
      <c r="AD1179" s="280"/>
      <c r="AG1179" s="3"/>
      <c r="AH1179" s="3"/>
      <c r="AI1179" s="3"/>
      <c r="AJ1179" s="3"/>
      <c r="AK1179" s="3"/>
      <c r="AL1179" s="3"/>
      <c r="AM1179" s="3"/>
      <c r="AN1179" s="3"/>
      <c r="AO1179" s="3"/>
      <c r="AP1179" s="11"/>
      <c r="AQ1179" s="11"/>
      <c r="AR1179" s="3"/>
      <c r="AS1179" s="3"/>
      <c r="AT1179" s="3"/>
      <c r="AU1179" s="3"/>
      <c r="AV1179" s="3"/>
      <c r="AW1179" s="3"/>
      <c r="AX1179" s="11"/>
      <c r="AZ1179"/>
      <c r="BA1179"/>
      <c r="BB1179"/>
      <c r="BC1179"/>
    </row>
    <row r="1180" spans="1:55" s="282" customFormat="1" x14ac:dyDescent="0.25">
      <c r="A1180"/>
      <c r="B1180"/>
      <c r="C1180" s="3"/>
      <c r="D1180"/>
      <c r="E1180"/>
      <c r="F1180"/>
      <c r="G1180" s="3"/>
      <c r="H1180" s="3"/>
      <c r="I1180" s="3"/>
      <c r="J1180" s="288"/>
      <c r="L1180" s="288"/>
      <c r="M1180" s="288"/>
      <c r="N1180" s="288"/>
      <c r="O1180" s="288"/>
      <c r="P1180" s="288"/>
      <c r="Q1180" s="288"/>
      <c r="R1180" s="283"/>
      <c r="S1180" s="280"/>
      <c r="T1180" s="276"/>
      <c r="U1180" s="276"/>
      <c r="V1180" s="276"/>
      <c r="W1180" s="283"/>
      <c r="X1180" s="280"/>
      <c r="Y1180" s="280"/>
      <c r="Z1180" s="280"/>
      <c r="AA1180" s="280"/>
      <c r="AB1180" s="280"/>
      <c r="AC1180" s="280"/>
      <c r="AD1180" s="280"/>
      <c r="AG1180" s="3"/>
      <c r="AH1180" s="3"/>
      <c r="AI1180" s="3"/>
      <c r="AJ1180" s="3"/>
      <c r="AK1180" s="3"/>
      <c r="AL1180" s="3"/>
      <c r="AM1180" s="3"/>
      <c r="AN1180" s="3"/>
      <c r="AO1180" s="3"/>
      <c r="AP1180" s="11"/>
      <c r="AQ1180" s="11"/>
      <c r="AR1180" s="3"/>
      <c r="AS1180" s="3"/>
      <c r="AT1180" s="3"/>
      <c r="AU1180" s="3"/>
      <c r="AV1180" s="3"/>
      <c r="AW1180" s="3"/>
      <c r="AX1180" s="11"/>
      <c r="AZ1180"/>
      <c r="BA1180"/>
      <c r="BB1180"/>
      <c r="BC1180"/>
    </row>
    <row r="1181" spans="1:55" s="282" customFormat="1" x14ac:dyDescent="0.25">
      <c r="A1181"/>
      <c r="B1181"/>
      <c r="C1181" s="3"/>
      <c r="D1181"/>
      <c r="E1181"/>
      <c r="F1181"/>
      <c r="G1181" s="3"/>
      <c r="H1181" s="3"/>
      <c r="I1181" s="3"/>
      <c r="J1181" s="288"/>
      <c r="L1181" s="288"/>
      <c r="M1181" s="288"/>
      <c r="N1181" s="288"/>
      <c r="O1181" s="288"/>
      <c r="P1181" s="288"/>
      <c r="Q1181" s="288"/>
      <c r="R1181" s="283"/>
      <c r="S1181" s="280"/>
      <c r="T1181" s="276"/>
      <c r="U1181" s="276"/>
      <c r="V1181" s="276"/>
      <c r="W1181" s="283"/>
      <c r="X1181" s="280"/>
      <c r="Y1181" s="280"/>
      <c r="Z1181" s="280"/>
      <c r="AA1181" s="280"/>
      <c r="AB1181" s="280"/>
      <c r="AC1181" s="280"/>
      <c r="AD1181" s="280"/>
      <c r="AG1181" s="3"/>
      <c r="AH1181" s="3"/>
      <c r="AI1181" s="3"/>
      <c r="AJ1181" s="3"/>
      <c r="AK1181" s="3"/>
      <c r="AL1181" s="3"/>
      <c r="AM1181" s="3"/>
      <c r="AN1181" s="3"/>
      <c r="AO1181" s="3"/>
      <c r="AP1181" s="11"/>
      <c r="AQ1181" s="11"/>
      <c r="AR1181" s="3"/>
      <c r="AS1181" s="3"/>
      <c r="AT1181" s="3"/>
      <c r="AU1181" s="3"/>
      <c r="AV1181" s="3"/>
      <c r="AW1181" s="3"/>
      <c r="AX1181" s="11"/>
      <c r="AZ1181"/>
      <c r="BA1181"/>
      <c r="BB1181"/>
      <c r="BC1181"/>
    </row>
    <row r="1182" spans="1:55" s="282" customFormat="1" x14ac:dyDescent="0.25">
      <c r="A1182"/>
      <c r="B1182"/>
      <c r="C1182" s="3"/>
      <c r="D1182"/>
      <c r="E1182"/>
      <c r="F1182"/>
      <c r="G1182" s="3"/>
      <c r="H1182" s="3"/>
      <c r="I1182" s="3"/>
      <c r="J1182" s="288"/>
      <c r="L1182" s="288"/>
      <c r="M1182" s="288"/>
      <c r="N1182" s="288"/>
      <c r="O1182" s="288"/>
      <c r="P1182" s="288"/>
      <c r="Q1182" s="288"/>
      <c r="R1182" s="283"/>
      <c r="S1182" s="280"/>
      <c r="T1182" s="276"/>
      <c r="U1182" s="276"/>
      <c r="V1182" s="276"/>
      <c r="W1182" s="283"/>
      <c r="X1182" s="280"/>
      <c r="Y1182" s="280"/>
      <c r="Z1182" s="280"/>
      <c r="AA1182" s="280"/>
      <c r="AB1182" s="280"/>
      <c r="AC1182" s="280"/>
      <c r="AD1182" s="280"/>
      <c r="AG1182" s="3"/>
      <c r="AH1182" s="3"/>
      <c r="AI1182" s="3"/>
      <c r="AJ1182" s="3"/>
      <c r="AK1182" s="3"/>
      <c r="AL1182" s="3"/>
      <c r="AM1182" s="3"/>
      <c r="AN1182" s="3"/>
      <c r="AO1182" s="3"/>
      <c r="AP1182" s="11"/>
      <c r="AQ1182" s="11"/>
      <c r="AR1182" s="3"/>
      <c r="AS1182" s="3"/>
      <c r="AT1182" s="3"/>
      <c r="AU1182" s="3"/>
      <c r="AV1182" s="3"/>
      <c r="AW1182" s="3"/>
      <c r="AX1182" s="11"/>
      <c r="AZ1182"/>
      <c r="BA1182"/>
      <c r="BB1182"/>
      <c r="BC1182"/>
    </row>
    <row r="1183" spans="1:55" s="282" customFormat="1" x14ac:dyDescent="0.25">
      <c r="A1183"/>
      <c r="B1183"/>
      <c r="C1183" s="3"/>
      <c r="D1183"/>
      <c r="E1183"/>
      <c r="F1183"/>
      <c r="G1183" s="3"/>
      <c r="H1183" s="3"/>
      <c r="I1183" s="3"/>
      <c r="J1183" s="288"/>
      <c r="L1183" s="288"/>
      <c r="M1183" s="288"/>
      <c r="N1183" s="288"/>
      <c r="O1183" s="288"/>
      <c r="P1183" s="288"/>
      <c r="Q1183" s="288"/>
      <c r="R1183" s="283"/>
      <c r="S1183" s="280"/>
      <c r="T1183" s="276"/>
      <c r="U1183" s="276"/>
      <c r="V1183" s="276"/>
      <c r="W1183" s="283"/>
      <c r="X1183" s="280"/>
      <c r="Y1183" s="280"/>
      <c r="Z1183" s="280"/>
      <c r="AA1183" s="280"/>
      <c r="AB1183" s="280"/>
      <c r="AC1183" s="280"/>
      <c r="AD1183" s="280"/>
      <c r="AG1183" s="3"/>
      <c r="AH1183" s="3"/>
      <c r="AI1183" s="3"/>
      <c r="AJ1183" s="3"/>
      <c r="AK1183" s="3"/>
      <c r="AL1183" s="3"/>
      <c r="AM1183" s="3"/>
      <c r="AN1183" s="3"/>
      <c r="AO1183" s="3"/>
      <c r="AP1183" s="11"/>
      <c r="AQ1183" s="11"/>
      <c r="AR1183" s="3"/>
      <c r="AS1183" s="3"/>
      <c r="AT1183" s="3"/>
      <c r="AU1183" s="3"/>
      <c r="AV1183" s="3"/>
      <c r="AW1183" s="3"/>
      <c r="AX1183" s="11"/>
      <c r="AZ1183"/>
      <c r="BA1183"/>
      <c r="BB1183"/>
      <c r="BC1183"/>
    </row>
    <row r="1184" spans="1:55" s="282" customFormat="1" x14ac:dyDescent="0.25">
      <c r="A1184"/>
      <c r="B1184"/>
      <c r="C1184" s="3"/>
      <c r="D1184"/>
      <c r="E1184"/>
      <c r="F1184"/>
      <c r="G1184" s="3"/>
      <c r="H1184" s="3"/>
      <c r="I1184" s="3"/>
      <c r="J1184" s="288"/>
      <c r="L1184" s="288"/>
      <c r="M1184" s="288"/>
      <c r="N1184" s="288"/>
      <c r="O1184" s="288"/>
      <c r="P1184" s="288"/>
      <c r="Q1184" s="288"/>
      <c r="R1184" s="283"/>
      <c r="S1184" s="280"/>
      <c r="T1184" s="276"/>
      <c r="U1184" s="276"/>
      <c r="V1184" s="276"/>
      <c r="W1184" s="283"/>
      <c r="X1184" s="280"/>
      <c r="Y1184" s="280"/>
      <c r="Z1184" s="280"/>
      <c r="AA1184" s="280"/>
      <c r="AB1184" s="280"/>
      <c r="AC1184" s="280"/>
      <c r="AD1184" s="280"/>
      <c r="AG1184" s="3"/>
      <c r="AH1184" s="3"/>
      <c r="AI1184" s="3"/>
      <c r="AJ1184" s="3"/>
      <c r="AK1184" s="3"/>
      <c r="AL1184" s="3"/>
      <c r="AM1184" s="3"/>
      <c r="AN1184" s="3"/>
      <c r="AO1184" s="3"/>
      <c r="AP1184" s="11"/>
      <c r="AQ1184" s="11"/>
      <c r="AR1184" s="3"/>
      <c r="AS1184" s="3"/>
      <c r="AT1184" s="3"/>
      <c r="AU1184" s="3"/>
      <c r="AV1184" s="3"/>
      <c r="AW1184" s="3"/>
      <c r="AX1184" s="11"/>
      <c r="AZ1184"/>
      <c r="BA1184"/>
      <c r="BB1184"/>
      <c r="BC1184"/>
    </row>
    <row r="1185" spans="1:55" s="282" customFormat="1" x14ac:dyDescent="0.25">
      <c r="A1185"/>
      <c r="B1185"/>
      <c r="C1185" s="3"/>
      <c r="D1185"/>
      <c r="E1185"/>
      <c r="F1185"/>
      <c r="G1185" s="3"/>
      <c r="H1185" s="3"/>
      <c r="I1185" s="3"/>
      <c r="J1185" s="288"/>
      <c r="L1185" s="288"/>
      <c r="M1185" s="288"/>
      <c r="N1185" s="288"/>
      <c r="O1185" s="288"/>
      <c r="P1185" s="288"/>
      <c r="Q1185" s="288"/>
      <c r="R1185" s="283"/>
      <c r="S1185" s="280"/>
      <c r="T1185" s="276"/>
      <c r="U1185" s="276"/>
      <c r="V1185" s="276"/>
      <c r="W1185" s="283"/>
      <c r="X1185" s="280"/>
      <c r="Y1185" s="280"/>
      <c r="Z1185" s="280"/>
      <c r="AA1185" s="280"/>
      <c r="AB1185" s="280"/>
      <c r="AC1185" s="280"/>
      <c r="AD1185" s="280"/>
      <c r="AG1185" s="3"/>
      <c r="AH1185" s="3"/>
      <c r="AI1185" s="3"/>
      <c r="AJ1185" s="3"/>
      <c r="AK1185" s="3"/>
      <c r="AL1185" s="3"/>
      <c r="AM1185" s="3"/>
      <c r="AN1185" s="3"/>
      <c r="AO1185" s="3"/>
      <c r="AP1185" s="11"/>
      <c r="AQ1185" s="11"/>
      <c r="AR1185" s="3"/>
      <c r="AS1185" s="3"/>
      <c r="AT1185" s="3"/>
      <c r="AU1185" s="3"/>
      <c r="AV1185" s="3"/>
      <c r="AW1185" s="3"/>
      <c r="AX1185" s="11"/>
      <c r="AZ1185"/>
      <c r="BA1185"/>
      <c r="BB1185"/>
      <c r="BC1185"/>
    </row>
    <row r="1186" spans="1:55" s="282" customFormat="1" x14ac:dyDescent="0.25">
      <c r="A1186"/>
      <c r="B1186"/>
      <c r="C1186" s="3"/>
      <c r="D1186"/>
      <c r="E1186"/>
      <c r="F1186"/>
      <c r="G1186" s="3"/>
      <c r="H1186" s="3"/>
      <c r="I1186" s="3"/>
      <c r="J1186" s="288"/>
      <c r="L1186" s="288"/>
      <c r="M1186" s="288"/>
      <c r="N1186" s="288"/>
      <c r="O1186" s="288"/>
      <c r="P1186" s="288"/>
      <c r="Q1186" s="288"/>
      <c r="R1186" s="283"/>
      <c r="S1186" s="280"/>
      <c r="T1186" s="276"/>
      <c r="U1186" s="276"/>
      <c r="V1186" s="276"/>
      <c r="W1186" s="283"/>
      <c r="X1186" s="280"/>
      <c r="Y1186" s="280"/>
      <c r="Z1186" s="280"/>
      <c r="AA1186" s="280"/>
      <c r="AB1186" s="280"/>
      <c r="AC1186" s="280"/>
      <c r="AD1186" s="280"/>
      <c r="AG1186" s="3"/>
      <c r="AH1186" s="3"/>
      <c r="AI1186" s="3"/>
      <c r="AJ1186" s="3"/>
      <c r="AK1186" s="3"/>
      <c r="AL1186" s="3"/>
      <c r="AM1186" s="3"/>
      <c r="AN1186" s="3"/>
      <c r="AO1186" s="3"/>
      <c r="AP1186" s="11"/>
      <c r="AQ1186" s="11"/>
      <c r="AR1186" s="3"/>
      <c r="AS1186" s="3"/>
      <c r="AT1186" s="3"/>
      <c r="AU1186" s="3"/>
      <c r="AV1186" s="3"/>
      <c r="AW1186" s="3"/>
      <c r="AX1186" s="11"/>
      <c r="AZ1186"/>
      <c r="BA1186"/>
      <c r="BB1186"/>
      <c r="BC1186"/>
    </row>
    <row r="1187" spans="1:55" s="282" customFormat="1" x14ac:dyDescent="0.25">
      <c r="A1187"/>
      <c r="B1187"/>
      <c r="C1187" s="3"/>
      <c r="D1187"/>
      <c r="E1187"/>
      <c r="F1187"/>
      <c r="G1187" s="3"/>
      <c r="H1187" s="3"/>
      <c r="I1187" s="3"/>
      <c r="J1187" s="288"/>
      <c r="L1187" s="288"/>
      <c r="M1187" s="288"/>
      <c r="N1187" s="288"/>
      <c r="O1187" s="288"/>
      <c r="P1187" s="288"/>
      <c r="Q1187" s="288"/>
      <c r="R1187" s="283"/>
      <c r="S1187" s="280"/>
      <c r="T1187" s="276"/>
      <c r="U1187" s="276"/>
      <c r="V1187" s="276"/>
      <c r="W1187" s="283"/>
      <c r="X1187" s="280"/>
      <c r="Y1187" s="280"/>
      <c r="Z1187" s="280"/>
      <c r="AA1187" s="280"/>
      <c r="AB1187" s="280"/>
      <c r="AC1187" s="280"/>
      <c r="AD1187" s="280"/>
      <c r="AG1187" s="3"/>
      <c r="AH1187" s="3"/>
      <c r="AI1187" s="3"/>
      <c r="AJ1187" s="3"/>
      <c r="AK1187" s="3"/>
      <c r="AL1187" s="3"/>
      <c r="AM1187" s="3"/>
      <c r="AN1187" s="3"/>
      <c r="AO1187" s="3"/>
      <c r="AP1187" s="11"/>
      <c r="AQ1187" s="11"/>
      <c r="AR1187" s="3"/>
      <c r="AS1187" s="3"/>
      <c r="AT1187" s="3"/>
      <c r="AU1187" s="3"/>
      <c r="AV1187" s="3"/>
      <c r="AW1187" s="3"/>
      <c r="AX1187" s="11"/>
      <c r="AZ1187"/>
      <c r="BA1187"/>
      <c r="BB1187"/>
      <c r="BC1187"/>
    </row>
    <row r="1188" spans="1:55" s="282" customFormat="1" x14ac:dyDescent="0.25">
      <c r="A1188"/>
      <c r="B1188"/>
      <c r="C1188" s="3"/>
      <c r="D1188"/>
      <c r="E1188"/>
      <c r="F1188"/>
      <c r="G1188" s="3"/>
      <c r="H1188" s="3"/>
      <c r="I1188" s="3"/>
      <c r="J1188" s="288"/>
      <c r="L1188" s="288"/>
      <c r="M1188" s="288"/>
      <c r="N1188" s="288"/>
      <c r="O1188" s="288"/>
      <c r="P1188" s="288"/>
      <c r="Q1188" s="288"/>
      <c r="R1188" s="283"/>
      <c r="S1188" s="280"/>
      <c r="T1188" s="276"/>
      <c r="U1188" s="276"/>
      <c r="V1188" s="276"/>
      <c r="W1188" s="283"/>
      <c r="X1188" s="280"/>
      <c r="Y1188" s="280"/>
      <c r="Z1188" s="280"/>
      <c r="AA1188" s="280"/>
      <c r="AB1188" s="280"/>
      <c r="AC1188" s="280"/>
      <c r="AD1188" s="280"/>
      <c r="AG1188" s="3"/>
      <c r="AH1188" s="3"/>
      <c r="AI1188" s="3"/>
      <c r="AJ1188" s="3"/>
      <c r="AK1188" s="3"/>
      <c r="AL1188" s="3"/>
      <c r="AM1188" s="3"/>
      <c r="AN1188" s="3"/>
      <c r="AO1188" s="3"/>
      <c r="AP1188" s="11"/>
      <c r="AQ1188" s="11"/>
      <c r="AR1188" s="3"/>
      <c r="AS1188" s="3"/>
      <c r="AT1188" s="3"/>
      <c r="AU1188" s="3"/>
      <c r="AV1188" s="3"/>
      <c r="AW1188" s="3"/>
      <c r="AX1188" s="11"/>
      <c r="AZ1188"/>
      <c r="BA1188"/>
      <c r="BB1188"/>
      <c r="BC1188"/>
    </row>
    <row r="1189" spans="1:55" s="282" customFormat="1" x14ac:dyDescent="0.25">
      <c r="A1189"/>
      <c r="B1189"/>
      <c r="C1189" s="3"/>
      <c r="D1189"/>
      <c r="E1189"/>
      <c r="F1189"/>
      <c r="G1189" s="3"/>
      <c r="H1189" s="3"/>
      <c r="I1189" s="3"/>
      <c r="J1189" s="288"/>
      <c r="L1189" s="288"/>
      <c r="M1189" s="288"/>
      <c r="N1189" s="288"/>
      <c r="O1189" s="288"/>
      <c r="P1189" s="288"/>
      <c r="Q1189" s="288"/>
      <c r="R1189" s="283"/>
      <c r="S1189" s="280"/>
      <c r="T1189" s="276"/>
      <c r="U1189" s="276"/>
      <c r="V1189" s="276"/>
      <c r="W1189" s="283"/>
      <c r="X1189" s="280"/>
      <c r="Y1189" s="280"/>
      <c r="Z1189" s="280"/>
      <c r="AA1189" s="280"/>
      <c r="AB1189" s="280"/>
      <c r="AC1189" s="280"/>
      <c r="AD1189" s="280"/>
      <c r="AG1189" s="3"/>
      <c r="AH1189" s="3"/>
      <c r="AI1189" s="3"/>
      <c r="AJ1189" s="3"/>
      <c r="AK1189" s="3"/>
      <c r="AL1189" s="3"/>
      <c r="AM1189" s="3"/>
      <c r="AN1189" s="3"/>
      <c r="AO1189" s="3"/>
      <c r="AP1189" s="11"/>
      <c r="AQ1189" s="11"/>
      <c r="AR1189" s="3"/>
      <c r="AS1189" s="3"/>
      <c r="AT1189" s="3"/>
      <c r="AU1189" s="3"/>
      <c r="AV1189" s="3"/>
      <c r="AW1189" s="3"/>
      <c r="AX1189" s="11"/>
      <c r="AZ1189"/>
      <c r="BA1189"/>
      <c r="BB1189"/>
      <c r="BC1189"/>
    </row>
    <row r="1190" spans="1:55" s="282" customFormat="1" x14ac:dyDescent="0.25">
      <c r="A1190"/>
      <c r="B1190"/>
      <c r="C1190" s="3"/>
      <c r="D1190"/>
      <c r="E1190"/>
      <c r="F1190"/>
      <c r="G1190" s="3"/>
      <c r="H1190" s="3"/>
      <c r="I1190" s="3"/>
      <c r="J1190" s="288"/>
      <c r="L1190" s="288"/>
      <c r="M1190" s="288"/>
      <c r="N1190" s="288"/>
      <c r="O1190" s="288"/>
      <c r="P1190" s="288"/>
      <c r="Q1190" s="288"/>
      <c r="R1190" s="283"/>
      <c r="S1190" s="280"/>
      <c r="T1190" s="276"/>
      <c r="U1190" s="276"/>
      <c r="V1190" s="276"/>
      <c r="W1190" s="283"/>
      <c r="X1190" s="280"/>
      <c r="Y1190" s="280"/>
      <c r="Z1190" s="280"/>
      <c r="AA1190" s="280"/>
      <c r="AB1190" s="280"/>
      <c r="AC1190" s="280"/>
      <c r="AD1190" s="280"/>
      <c r="AG1190" s="3"/>
      <c r="AH1190" s="3"/>
      <c r="AI1190" s="3"/>
      <c r="AJ1190" s="3"/>
      <c r="AK1190" s="3"/>
      <c r="AL1190" s="3"/>
      <c r="AM1190" s="3"/>
      <c r="AN1190" s="3"/>
      <c r="AO1190" s="3"/>
      <c r="AP1190" s="11"/>
      <c r="AQ1190" s="11"/>
      <c r="AR1190" s="3"/>
      <c r="AS1190" s="3"/>
      <c r="AT1190" s="3"/>
      <c r="AU1190" s="3"/>
      <c r="AV1190" s="3"/>
      <c r="AW1190" s="3"/>
      <c r="AX1190" s="11"/>
      <c r="AZ1190"/>
      <c r="BA1190"/>
      <c r="BB1190"/>
      <c r="BC1190"/>
    </row>
    <row r="1191" spans="1:55" s="282" customFormat="1" x14ac:dyDescent="0.25">
      <c r="A1191"/>
      <c r="B1191"/>
      <c r="C1191" s="3"/>
      <c r="D1191"/>
      <c r="E1191"/>
      <c r="F1191"/>
      <c r="G1191" s="3"/>
      <c r="H1191" s="3"/>
      <c r="I1191" s="3"/>
      <c r="J1191" s="288"/>
      <c r="L1191" s="288"/>
      <c r="M1191" s="288"/>
      <c r="N1191" s="288"/>
      <c r="O1191" s="288"/>
      <c r="P1191" s="288"/>
      <c r="Q1191" s="288"/>
      <c r="R1191" s="283"/>
      <c r="S1191" s="280"/>
      <c r="T1191" s="276"/>
      <c r="U1191" s="276"/>
      <c r="V1191" s="276"/>
      <c r="W1191" s="283"/>
      <c r="X1191" s="280"/>
      <c r="Y1191" s="280"/>
      <c r="Z1191" s="280"/>
      <c r="AA1191" s="280"/>
      <c r="AB1191" s="280"/>
      <c r="AC1191" s="280"/>
      <c r="AD1191" s="280"/>
      <c r="AG1191" s="3"/>
      <c r="AH1191" s="3"/>
      <c r="AI1191" s="3"/>
      <c r="AJ1191" s="3"/>
      <c r="AK1191" s="3"/>
      <c r="AL1191" s="3"/>
      <c r="AM1191" s="3"/>
      <c r="AN1191" s="3"/>
      <c r="AO1191" s="3"/>
      <c r="AP1191" s="11"/>
      <c r="AQ1191" s="11"/>
      <c r="AR1191" s="3"/>
      <c r="AS1191" s="3"/>
      <c r="AT1191" s="3"/>
      <c r="AU1191" s="3"/>
      <c r="AV1191" s="3"/>
      <c r="AW1191" s="3"/>
      <c r="AX1191" s="11"/>
      <c r="AZ1191"/>
      <c r="BA1191"/>
      <c r="BB1191"/>
      <c r="BC1191"/>
    </row>
    <row r="1192" spans="1:55" s="282" customFormat="1" x14ac:dyDescent="0.25">
      <c r="A1192"/>
      <c r="B1192"/>
      <c r="C1192" s="3"/>
      <c r="D1192"/>
      <c r="E1192"/>
      <c r="F1192"/>
      <c r="G1192" s="3"/>
      <c r="H1192" s="3"/>
      <c r="I1192" s="3"/>
      <c r="J1192" s="288"/>
      <c r="L1192" s="288"/>
      <c r="M1192" s="288"/>
      <c r="N1192" s="288"/>
      <c r="O1192" s="288"/>
      <c r="P1192" s="288"/>
      <c r="Q1192" s="288"/>
      <c r="R1192" s="283"/>
      <c r="S1192" s="280"/>
      <c r="T1192" s="276"/>
      <c r="U1192" s="276"/>
      <c r="V1192" s="276"/>
      <c r="W1192" s="283"/>
      <c r="X1192" s="280"/>
      <c r="Y1192" s="280"/>
      <c r="Z1192" s="280"/>
      <c r="AA1192" s="280"/>
      <c r="AB1192" s="280"/>
      <c r="AC1192" s="280"/>
      <c r="AD1192" s="280"/>
      <c r="AG1192" s="3"/>
      <c r="AH1192" s="3"/>
      <c r="AI1192" s="3"/>
      <c r="AJ1192" s="3"/>
      <c r="AK1192" s="3"/>
      <c r="AL1192" s="3"/>
      <c r="AM1192" s="3"/>
      <c r="AN1192" s="3"/>
      <c r="AO1192" s="3"/>
      <c r="AP1192" s="11"/>
      <c r="AQ1192" s="11"/>
      <c r="AR1192" s="3"/>
      <c r="AS1192" s="3"/>
      <c r="AT1192" s="3"/>
      <c r="AU1192" s="3"/>
      <c r="AV1192" s="3"/>
      <c r="AW1192" s="3"/>
      <c r="AX1192" s="11"/>
      <c r="AZ1192"/>
      <c r="BA1192"/>
      <c r="BB1192"/>
      <c r="BC1192"/>
    </row>
    <row r="1193" spans="1:55" s="282" customFormat="1" x14ac:dyDescent="0.25">
      <c r="A1193"/>
      <c r="B1193"/>
      <c r="C1193" s="3"/>
      <c r="D1193"/>
      <c r="E1193"/>
      <c r="F1193"/>
      <c r="G1193" s="3"/>
      <c r="H1193" s="3"/>
      <c r="I1193" s="3"/>
      <c r="J1193" s="288"/>
      <c r="L1193" s="288"/>
      <c r="M1193" s="288"/>
      <c r="N1193" s="288"/>
      <c r="O1193" s="288"/>
      <c r="P1193" s="288"/>
      <c r="Q1193" s="288"/>
      <c r="R1193" s="283"/>
      <c r="S1193" s="280"/>
      <c r="T1193" s="276"/>
      <c r="U1193" s="276"/>
      <c r="V1193" s="276"/>
      <c r="W1193" s="283"/>
      <c r="X1193" s="280"/>
      <c r="Y1193" s="280"/>
      <c r="Z1193" s="280"/>
      <c r="AA1193" s="280"/>
      <c r="AB1193" s="280"/>
      <c r="AC1193" s="280"/>
      <c r="AD1193" s="280"/>
      <c r="AG1193" s="3"/>
      <c r="AH1193" s="3"/>
      <c r="AI1193" s="3"/>
      <c r="AJ1193" s="3"/>
      <c r="AK1193" s="3"/>
      <c r="AL1193" s="3"/>
      <c r="AM1193" s="3"/>
      <c r="AN1193" s="3"/>
      <c r="AO1193" s="3"/>
      <c r="AP1193" s="11"/>
      <c r="AQ1193" s="11"/>
      <c r="AR1193" s="3"/>
      <c r="AS1193" s="3"/>
      <c r="AT1193" s="3"/>
      <c r="AU1193" s="3"/>
      <c r="AV1193" s="3"/>
      <c r="AW1193" s="3"/>
      <c r="AX1193" s="11"/>
      <c r="AZ1193"/>
      <c r="BA1193"/>
      <c r="BB1193"/>
      <c r="BC1193"/>
    </row>
    <row r="1194" spans="1:55" s="282" customFormat="1" x14ac:dyDescent="0.25">
      <c r="A1194"/>
      <c r="B1194"/>
      <c r="C1194" s="3"/>
      <c r="D1194"/>
      <c r="E1194"/>
      <c r="F1194"/>
      <c r="G1194" s="3"/>
      <c r="H1194" s="3"/>
      <c r="I1194" s="3"/>
      <c r="J1194" s="288"/>
      <c r="L1194" s="288"/>
      <c r="M1194" s="288"/>
      <c r="N1194" s="288"/>
      <c r="O1194" s="288"/>
      <c r="P1194" s="288"/>
      <c r="Q1194" s="288"/>
      <c r="R1194" s="283"/>
      <c r="S1194" s="280"/>
      <c r="T1194" s="276"/>
      <c r="U1194" s="276"/>
      <c r="V1194" s="276"/>
      <c r="W1194" s="283"/>
      <c r="X1194" s="280"/>
      <c r="Y1194" s="280"/>
      <c r="Z1194" s="280"/>
      <c r="AA1194" s="280"/>
      <c r="AB1194" s="280"/>
      <c r="AC1194" s="280"/>
      <c r="AD1194" s="280"/>
      <c r="AG1194" s="3"/>
      <c r="AH1194" s="3"/>
      <c r="AI1194" s="3"/>
      <c r="AJ1194" s="3"/>
      <c r="AK1194" s="3"/>
      <c r="AL1194" s="3"/>
      <c r="AM1194" s="3"/>
      <c r="AN1194" s="3"/>
      <c r="AO1194" s="3"/>
      <c r="AP1194" s="11"/>
      <c r="AQ1194" s="11"/>
      <c r="AR1194" s="3"/>
      <c r="AS1194" s="3"/>
      <c r="AT1194" s="3"/>
      <c r="AU1194" s="3"/>
      <c r="AV1194" s="3"/>
      <c r="AW1194" s="3"/>
      <c r="AX1194" s="11"/>
      <c r="AZ1194"/>
      <c r="BA1194"/>
      <c r="BB1194"/>
      <c r="BC1194"/>
    </row>
    <row r="1195" spans="1:55" s="282" customFormat="1" x14ac:dyDescent="0.25">
      <c r="A1195"/>
      <c r="B1195"/>
      <c r="C1195" s="3"/>
      <c r="D1195"/>
      <c r="E1195"/>
      <c r="F1195"/>
      <c r="G1195" s="3"/>
      <c r="H1195" s="3"/>
      <c r="I1195" s="3"/>
      <c r="J1195" s="288"/>
      <c r="L1195" s="288"/>
      <c r="M1195" s="288"/>
      <c r="N1195" s="288"/>
      <c r="O1195" s="288"/>
      <c r="P1195" s="288"/>
      <c r="Q1195" s="288"/>
      <c r="R1195" s="283"/>
      <c r="S1195" s="280"/>
      <c r="T1195" s="276"/>
      <c r="U1195" s="276"/>
      <c r="V1195" s="276"/>
      <c r="W1195" s="283"/>
      <c r="X1195" s="280"/>
      <c r="Y1195" s="280"/>
      <c r="Z1195" s="280"/>
      <c r="AA1195" s="280"/>
      <c r="AB1195" s="280"/>
      <c r="AC1195" s="280"/>
      <c r="AD1195" s="280"/>
      <c r="AG1195" s="3"/>
      <c r="AH1195" s="3"/>
      <c r="AI1195" s="3"/>
      <c r="AJ1195" s="3"/>
      <c r="AK1195" s="3"/>
      <c r="AL1195" s="3"/>
      <c r="AM1195" s="3"/>
      <c r="AN1195" s="3"/>
      <c r="AO1195" s="3"/>
      <c r="AP1195" s="11"/>
      <c r="AQ1195" s="11"/>
      <c r="AR1195" s="3"/>
      <c r="AS1195" s="3"/>
      <c r="AT1195" s="3"/>
      <c r="AU1195" s="3"/>
      <c r="AV1195" s="3"/>
      <c r="AW1195" s="3"/>
      <c r="AX1195" s="11"/>
      <c r="AZ1195"/>
      <c r="BA1195"/>
      <c r="BB1195"/>
      <c r="BC1195"/>
    </row>
    <row r="1196" spans="1:55" s="282" customFormat="1" x14ac:dyDescent="0.25">
      <c r="A1196"/>
      <c r="B1196"/>
      <c r="C1196" s="3"/>
      <c r="D1196"/>
      <c r="E1196"/>
      <c r="F1196"/>
      <c r="G1196" s="3"/>
      <c r="H1196" s="3"/>
      <c r="I1196" s="3"/>
      <c r="J1196" s="288"/>
      <c r="L1196" s="288"/>
      <c r="M1196" s="288"/>
      <c r="N1196" s="288"/>
      <c r="O1196" s="288"/>
      <c r="P1196" s="288"/>
      <c r="Q1196" s="288"/>
      <c r="R1196" s="283"/>
      <c r="S1196" s="280"/>
      <c r="T1196" s="276"/>
      <c r="U1196" s="276"/>
      <c r="V1196" s="276"/>
      <c r="W1196" s="283"/>
      <c r="X1196" s="280"/>
      <c r="Y1196" s="280"/>
      <c r="Z1196" s="280"/>
      <c r="AA1196" s="280"/>
      <c r="AB1196" s="280"/>
      <c r="AC1196" s="280"/>
      <c r="AD1196" s="280"/>
      <c r="AG1196" s="3"/>
      <c r="AH1196" s="3"/>
      <c r="AI1196" s="3"/>
      <c r="AJ1196" s="3"/>
      <c r="AK1196" s="3"/>
      <c r="AL1196" s="3"/>
      <c r="AM1196" s="3"/>
      <c r="AN1196" s="3"/>
      <c r="AO1196" s="3"/>
      <c r="AP1196" s="11"/>
      <c r="AQ1196" s="11"/>
      <c r="AR1196" s="3"/>
      <c r="AS1196" s="3"/>
      <c r="AT1196" s="3"/>
      <c r="AU1196" s="3"/>
      <c r="AV1196" s="3"/>
      <c r="AW1196" s="3"/>
      <c r="AX1196" s="11"/>
      <c r="AZ1196"/>
      <c r="BA1196"/>
      <c r="BB1196"/>
      <c r="BC1196"/>
    </row>
    <row r="1197" spans="1:55" s="282" customFormat="1" x14ac:dyDescent="0.25">
      <c r="A1197"/>
      <c r="B1197"/>
      <c r="C1197" s="3"/>
      <c r="D1197"/>
      <c r="E1197"/>
      <c r="F1197"/>
      <c r="G1197" s="3"/>
      <c r="H1197" s="3"/>
      <c r="I1197" s="3"/>
      <c r="J1197" s="288"/>
      <c r="L1197" s="288"/>
      <c r="M1197" s="288"/>
      <c r="N1197" s="288"/>
      <c r="O1197" s="288"/>
      <c r="P1197" s="288"/>
      <c r="Q1197" s="288"/>
      <c r="R1197" s="283"/>
      <c r="S1197" s="280"/>
      <c r="T1197" s="276"/>
      <c r="U1197" s="276"/>
      <c r="V1197" s="276"/>
      <c r="W1197" s="283"/>
      <c r="X1197" s="280"/>
      <c r="Y1197" s="280"/>
      <c r="Z1197" s="280"/>
      <c r="AA1197" s="280"/>
      <c r="AB1197" s="280"/>
      <c r="AC1197" s="280"/>
      <c r="AD1197" s="280"/>
      <c r="AG1197" s="3"/>
      <c r="AH1197" s="3"/>
      <c r="AI1197" s="3"/>
      <c r="AJ1197" s="3"/>
      <c r="AK1197" s="3"/>
      <c r="AL1197" s="3"/>
      <c r="AM1197" s="3"/>
      <c r="AN1197" s="3"/>
      <c r="AO1197" s="3"/>
      <c r="AP1197" s="11"/>
      <c r="AQ1197" s="11"/>
      <c r="AR1197" s="3"/>
      <c r="AS1197" s="3"/>
      <c r="AT1197" s="3"/>
      <c r="AU1197" s="3"/>
      <c r="AV1197" s="3"/>
      <c r="AW1197" s="3"/>
      <c r="AX1197" s="11"/>
      <c r="AZ1197"/>
      <c r="BA1197"/>
      <c r="BB1197"/>
      <c r="BC1197"/>
    </row>
    <row r="1198" spans="1:55" s="282" customFormat="1" x14ac:dyDescent="0.25">
      <c r="A1198"/>
      <c r="B1198"/>
      <c r="C1198" s="3"/>
      <c r="D1198"/>
      <c r="E1198"/>
      <c r="F1198"/>
      <c r="G1198" s="3"/>
      <c r="H1198" s="3"/>
      <c r="I1198" s="3"/>
      <c r="J1198" s="288"/>
      <c r="L1198" s="288"/>
      <c r="M1198" s="288"/>
      <c r="N1198" s="288"/>
      <c r="O1198" s="288"/>
      <c r="P1198" s="288"/>
      <c r="Q1198" s="288"/>
      <c r="R1198" s="283"/>
      <c r="S1198" s="280"/>
      <c r="T1198" s="276"/>
      <c r="U1198" s="276"/>
      <c r="V1198" s="276"/>
      <c r="W1198" s="283"/>
      <c r="X1198" s="280"/>
      <c r="Y1198" s="280"/>
      <c r="Z1198" s="280"/>
      <c r="AA1198" s="280"/>
      <c r="AB1198" s="280"/>
      <c r="AC1198" s="280"/>
      <c r="AD1198" s="280"/>
      <c r="AG1198" s="3"/>
      <c r="AH1198" s="3"/>
      <c r="AI1198" s="3"/>
      <c r="AJ1198" s="3"/>
      <c r="AK1198" s="3"/>
      <c r="AL1198" s="3"/>
      <c r="AM1198" s="3"/>
      <c r="AN1198" s="3"/>
      <c r="AO1198" s="3"/>
      <c r="AP1198" s="11"/>
      <c r="AQ1198" s="11"/>
      <c r="AR1198" s="3"/>
      <c r="AS1198" s="3"/>
      <c r="AT1198" s="3"/>
      <c r="AU1198" s="3"/>
      <c r="AV1198" s="3"/>
      <c r="AW1198" s="3"/>
      <c r="AX1198" s="11"/>
      <c r="AZ1198"/>
      <c r="BA1198"/>
      <c r="BB1198"/>
      <c r="BC1198"/>
    </row>
    <row r="1199" spans="1:55" s="282" customFormat="1" x14ac:dyDescent="0.25">
      <c r="A1199"/>
      <c r="B1199"/>
      <c r="C1199" s="3"/>
      <c r="D1199"/>
      <c r="E1199"/>
      <c r="F1199"/>
      <c r="G1199" s="3"/>
      <c r="H1199" s="3"/>
      <c r="I1199" s="3"/>
      <c r="J1199" s="288"/>
      <c r="L1199" s="288"/>
      <c r="M1199" s="288"/>
      <c r="N1199" s="288"/>
      <c r="O1199" s="288"/>
      <c r="P1199" s="288"/>
      <c r="Q1199" s="288"/>
      <c r="R1199" s="283"/>
      <c r="S1199" s="280"/>
      <c r="T1199" s="276"/>
      <c r="U1199" s="276"/>
      <c r="V1199" s="276"/>
      <c r="W1199" s="283"/>
      <c r="X1199" s="280"/>
      <c r="Y1199" s="280"/>
      <c r="Z1199" s="280"/>
      <c r="AA1199" s="280"/>
      <c r="AB1199" s="280"/>
      <c r="AC1199" s="280"/>
      <c r="AD1199" s="280"/>
      <c r="AG1199" s="3"/>
      <c r="AH1199" s="3"/>
      <c r="AI1199" s="3"/>
      <c r="AJ1199" s="3"/>
      <c r="AK1199" s="3"/>
      <c r="AL1199" s="3"/>
      <c r="AM1199" s="3"/>
      <c r="AN1199" s="3"/>
      <c r="AO1199" s="3"/>
      <c r="AP1199" s="11"/>
      <c r="AQ1199" s="11"/>
      <c r="AR1199" s="3"/>
      <c r="AS1199" s="3"/>
      <c r="AT1199" s="3"/>
      <c r="AU1199" s="3"/>
      <c r="AV1199" s="3"/>
      <c r="AW1199" s="3"/>
      <c r="AX1199" s="11"/>
      <c r="AZ1199"/>
      <c r="BA1199"/>
      <c r="BB1199"/>
      <c r="BC1199"/>
    </row>
    <row r="1200" spans="1:55" s="282" customFormat="1" x14ac:dyDescent="0.25">
      <c r="A1200"/>
      <c r="B1200"/>
      <c r="C1200" s="3"/>
      <c r="D1200"/>
      <c r="E1200"/>
      <c r="F1200"/>
      <c r="G1200" s="3"/>
      <c r="H1200" s="3"/>
      <c r="I1200" s="3"/>
      <c r="J1200" s="288"/>
      <c r="L1200" s="288"/>
      <c r="M1200" s="288"/>
      <c r="N1200" s="288"/>
      <c r="O1200" s="288"/>
      <c r="P1200" s="288"/>
      <c r="Q1200" s="288"/>
      <c r="R1200" s="283"/>
      <c r="S1200" s="280"/>
      <c r="T1200" s="276"/>
      <c r="U1200" s="276"/>
      <c r="V1200" s="276"/>
      <c r="W1200" s="283"/>
      <c r="X1200" s="280"/>
      <c r="Y1200" s="280"/>
      <c r="Z1200" s="280"/>
      <c r="AA1200" s="280"/>
      <c r="AB1200" s="280"/>
      <c r="AC1200" s="280"/>
      <c r="AD1200" s="280"/>
      <c r="AG1200" s="3"/>
      <c r="AH1200" s="3"/>
      <c r="AI1200" s="3"/>
      <c r="AJ1200" s="3"/>
      <c r="AK1200" s="3"/>
      <c r="AL1200" s="3"/>
      <c r="AM1200" s="3"/>
      <c r="AN1200" s="3"/>
      <c r="AO1200" s="3"/>
      <c r="AP1200" s="11"/>
      <c r="AQ1200" s="11"/>
      <c r="AR1200" s="3"/>
      <c r="AS1200" s="3"/>
      <c r="AT1200" s="3"/>
      <c r="AU1200" s="3"/>
      <c r="AV1200" s="3"/>
      <c r="AW1200" s="3"/>
      <c r="AX1200" s="11"/>
      <c r="AZ1200"/>
      <c r="BA1200"/>
      <c r="BB1200"/>
      <c r="BC1200"/>
    </row>
    <row r="1201" spans="1:55" s="282" customFormat="1" x14ac:dyDescent="0.25">
      <c r="A1201"/>
      <c r="B1201"/>
      <c r="C1201" s="3"/>
      <c r="D1201"/>
      <c r="E1201"/>
      <c r="F1201"/>
      <c r="G1201" s="3"/>
      <c r="H1201" s="3"/>
      <c r="I1201" s="3"/>
      <c r="J1201" s="288"/>
      <c r="L1201" s="288"/>
      <c r="M1201" s="288"/>
      <c r="N1201" s="288"/>
      <c r="O1201" s="288"/>
      <c r="P1201" s="288"/>
      <c r="Q1201" s="288"/>
      <c r="R1201" s="283"/>
      <c r="S1201" s="280"/>
      <c r="T1201" s="276"/>
      <c r="U1201" s="276"/>
      <c r="V1201" s="276"/>
      <c r="W1201" s="283"/>
      <c r="X1201" s="280"/>
      <c r="Y1201" s="280"/>
      <c r="Z1201" s="280"/>
      <c r="AA1201" s="280"/>
      <c r="AB1201" s="280"/>
      <c r="AC1201" s="280"/>
      <c r="AD1201" s="280"/>
      <c r="AG1201" s="3"/>
      <c r="AH1201" s="3"/>
      <c r="AI1201" s="3"/>
      <c r="AJ1201" s="3"/>
      <c r="AK1201" s="3"/>
      <c r="AL1201" s="3"/>
      <c r="AM1201" s="3"/>
      <c r="AN1201" s="3"/>
      <c r="AO1201" s="3"/>
      <c r="AP1201" s="11"/>
      <c r="AQ1201" s="11"/>
      <c r="AR1201" s="3"/>
      <c r="AS1201" s="3"/>
      <c r="AT1201" s="3"/>
      <c r="AU1201" s="3"/>
      <c r="AV1201" s="3"/>
      <c r="AW1201" s="3"/>
      <c r="AX1201" s="11"/>
      <c r="AZ1201"/>
      <c r="BA1201"/>
      <c r="BB1201"/>
      <c r="BC1201"/>
    </row>
    <row r="1202" spans="1:55" s="282" customFormat="1" x14ac:dyDescent="0.25">
      <c r="A1202"/>
      <c r="B1202"/>
      <c r="C1202" s="3"/>
      <c r="D1202"/>
      <c r="E1202"/>
      <c r="F1202"/>
      <c r="G1202" s="3"/>
      <c r="H1202" s="3"/>
      <c r="I1202" s="3"/>
      <c r="J1202" s="288"/>
      <c r="L1202" s="288"/>
      <c r="M1202" s="288"/>
      <c r="N1202" s="288"/>
      <c r="O1202" s="288"/>
      <c r="P1202" s="288"/>
      <c r="Q1202" s="288"/>
      <c r="R1202" s="283"/>
      <c r="S1202" s="280"/>
      <c r="T1202" s="276"/>
      <c r="U1202" s="276"/>
      <c r="V1202" s="276"/>
      <c r="W1202" s="283"/>
      <c r="X1202" s="280"/>
      <c r="Y1202" s="280"/>
      <c r="Z1202" s="280"/>
      <c r="AA1202" s="280"/>
      <c r="AB1202" s="280"/>
      <c r="AC1202" s="280"/>
      <c r="AD1202" s="280"/>
      <c r="AG1202" s="3"/>
      <c r="AH1202" s="3"/>
      <c r="AI1202" s="3"/>
      <c r="AJ1202" s="3"/>
      <c r="AK1202" s="3"/>
      <c r="AL1202" s="3"/>
      <c r="AM1202" s="3"/>
      <c r="AN1202" s="3"/>
      <c r="AO1202" s="3"/>
      <c r="AP1202" s="11"/>
      <c r="AQ1202" s="11"/>
      <c r="AR1202" s="3"/>
      <c r="AS1202" s="3"/>
      <c r="AT1202" s="3"/>
      <c r="AU1202" s="3"/>
      <c r="AV1202" s="3"/>
      <c r="AW1202" s="3"/>
      <c r="AX1202" s="11"/>
      <c r="AZ1202"/>
      <c r="BA1202"/>
      <c r="BB1202"/>
      <c r="BC1202"/>
    </row>
    <row r="1203" spans="1:55" s="282" customFormat="1" x14ac:dyDescent="0.25">
      <c r="A1203"/>
      <c r="B1203"/>
      <c r="C1203" s="3"/>
      <c r="D1203"/>
      <c r="E1203"/>
      <c r="F1203"/>
      <c r="G1203" s="3"/>
      <c r="H1203" s="3"/>
      <c r="I1203" s="3"/>
      <c r="J1203" s="288"/>
      <c r="L1203" s="288"/>
      <c r="M1203" s="288"/>
      <c r="N1203" s="288"/>
      <c r="O1203" s="288"/>
      <c r="P1203" s="288"/>
      <c r="Q1203" s="288"/>
      <c r="R1203" s="283"/>
      <c r="S1203" s="280"/>
      <c r="T1203" s="276"/>
      <c r="U1203" s="276"/>
      <c r="V1203" s="276"/>
      <c r="W1203" s="283"/>
      <c r="X1203" s="280"/>
      <c r="Y1203" s="280"/>
      <c r="Z1203" s="280"/>
      <c r="AA1203" s="280"/>
      <c r="AB1203" s="280"/>
      <c r="AC1203" s="280"/>
      <c r="AD1203" s="280"/>
      <c r="AG1203" s="3"/>
      <c r="AH1203" s="3"/>
      <c r="AI1203" s="3"/>
      <c r="AJ1203" s="3"/>
      <c r="AK1203" s="3"/>
      <c r="AL1203" s="3"/>
      <c r="AM1203" s="3"/>
      <c r="AN1203" s="3"/>
      <c r="AO1203" s="3"/>
      <c r="AP1203" s="11"/>
      <c r="AQ1203" s="11"/>
      <c r="AR1203" s="3"/>
      <c r="AS1203" s="3"/>
      <c r="AT1203" s="3"/>
      <c r="AU1203" s="3"/>
      <c r="AV1203" s="3"/>
      <c r="AW1203" s="3"/>
      <c r="AX1203" s="11"/>
      <c r="AZ1203"/>
      <c r="BA1203"/>
      <c r="BB1203"/>
      <c r="BC1203"/>
    </row>
    <row r="1204" spans="1:55" s="282" customFormat="1" x14ac:dyDescent="0.25">
      <c r="A1204"/>
      <c r="B1204"/>
      <c r="C1204" s="3"/>
      <c r="D1204"/>
      <c r="E1204"/>
      <c r="F1204"/>
      <c r="G1204" s="3"/>
      <c r="H1204" s="3"/>
      <c r="I1204" s="3"/>
      <c r="J1204" s="288"/>
      <c r="L1204" s="288"/>
      <c r="M1204" s="288"/>
      <c r="N1204" s="288"/>
      <c r="O1204" s="288"/>
      <c r="P1204" s="288"/>
      <c r="Q1204" s="288"/>
      <c r="R1204" s="283"/>
      <c r="S1204" s="280"/>
      <c r="T1204" s="276"/>
      <c r="U1204" s="276"/>
      <c r="V1204" s="276"/>
      <c r="W1204" s="283"/>
      <c r="X1204" s="280"/>
      <c r="Y1204" s="280"/>
      <c r="Z1204" s="280"/>
      <c r="AA1204" s="280"/>
      <c r="AB1204" s="280"/>
      <c r="AC1204" s="280"/>
      <c r="AD1204" s="280"/>
      <c r="AG1204" s="3"/>
      <c r="AH1204" s="3"/>
      <c r="AI1204" s="3"/>
      <c r="AJ1204" s="3"/>
      <c r="AK1204" s="3"/>
      <c r="AL1204" s="3"/>
      <c r="AM1204" s="3"/>
      <c r="AN1204" s="3"/>
      <c r="AO1204" s="3"/>
      <c r="AP1204" s="11"/>
      <c r="AQ1204" s="11"/>
      <c r="AR1204" s="3"/>
      <c r="AS1204" s="3"/>
      <c r="AT1204" s="3"/>
      <c r="AU1204" s="3"/>
      <c r="AV1204" s="3"/>
      <c r="AW1204" s="3"/>
      <c r="AX1204" s="11"/>
      <c r="AZ1204"/>
      <c r="BA1204"/>
      <c r="BB1204"/>
      <c r="BC1204"/>
    </row>
    <row r="1205" spans="1:55" s="282" customFormat="1" x14ac:dyDescent="0.25">
      <c r="A1205"/>
      <c r="B1205"/>
      <c r="C1205" s="3"/>
      <c r="D1205"/>
      <c r="E1205"/>
      <c r="F1205"/>
      <c r="G1205" s="3"/>
      <c r="H1205" s="3"/>
      <c r="I1205" s="3"/>
      <c r="J1205" s="288"/>
      <c r="L1205" s="288"/>
      <c r="M1205" s="288"/>
      <c r="N1205" s="288"/>
      <c r="O1205" s="288"/>
      <c r="P1205" s="288"/>
      <c r="Q1205" s="288"/>
      <c r="R1205" s="283"/>
      <c r="S1205" s="280"/>
      <c r="T1205" s="276"/>
      <c r="U1205" s="276"/>
      <c r="V1205" s="276"/>
      <c r="W1205" s="283"/>
      <c r="X1205" s="280"/>
      <c r="Y1205" s="280"/>
      <c r="Z1205" s="280"/>
      <c r="AA1205" s="280"/>
      <c r="AB1205" s="280"/>
      <c r="AC1205" s="280"/>
      <c r="AD1205" s="280"/>
      <c r="AG1205" s="3"/>
      <c r="AH1205" s="3"/>
      <c r="AI1205" s="3"/>
      <c r="AJ1205" s="3"/>
      <c r="AK1205" s="3"/>
      <c r="AL1205" s="3"/>
      <c r="AM1205" s="3"/>
      <c r="AN1205" s="3"/>
      <c r="AO1205" s="3"/>
      <c r="AP1205" s="11"/>
      <c r="AQ1205" s="11"/>
      <c r="AR1205" s="3"/>
      <c r="AS1205" s="3"/>
      <c r="AT1205" s="3"/>
      <c r="AU1205" s="3"/>
      <c r="AV1205" s="3"/>
      <c r="AW1205" s="3"/>
      <c r="AX1205" s="11"/>
      <c r="AZ1205"/>
      <c r="BA1205"/>
      <c r="BB1205"/>
      <c r="BC1205"/>
    </row>
    <row r="1206" spans="1:55" s="282" customFormat="1" x14ac:dyDescent="0.25">
      <c r="A1206"/>
      <c r="B1206"/>
      <c r="C1206" s="3"/>
      <c r="D1206"/>
      <c r="E1206"/>
      <c r="F1206"/>
      <c r="G1206" s="3"/>
      <c r="H1206" s="3"/>
      <c r="I1206" s="3"/>
      <c r="J1206" s="288"/>
      <c r="L1206" s="288"/>
      <c r="M1206" s="288"/>
      <c r="N1206" s="288"/>
      <c r="O1206" s="288"/>
      <c r="P1206" s="288"/>
      <c r="Q1206" s="288"/>
      <c r="R1206" s="283"/>
      <c r="S1206" s="280"/>
      <c r="T1206" s="276"/>
      <c r="U1206" s="276"/>
      <c r="V1206" s="276"/>
      <c r="W1206" s="283"/>
      <c r="X1206" s="280"/>
      <c r="Y1206" s="280"/>
      <c r="Z1206" s="280"/>
      <c r="AA1206" s="280"/>
      <c r="AB1206" s="280"/>
      <c r="AC1206" s="280"/>
      <c r="AD1206" s="280"/>
      <c r="AG1206" s="3"/>
      <c r="AH1206" s="3"/>
      <c r="AI1206" s="3"/>
      <c r="AJ1206" s="3"/>
      <c r="AK1206" s="3"/>
      <c r="AL1206" s="3"/>
      <c r="AM1206" s="3"/>
      <c r="AN1206" s="3"/>
      <c r="AO1206" s="3"/>
      <c r="AP1206" s="11"/>
      <c r="AQ1206" s="11"/>
      <c r="AR1206" s="3"/>
      <c r="AS1206" s="3"/>
      <c r="AT1206" s="3"/>
      <c r="AU1206" s="3"/>
      <c r="AV1206" s="3"/>
      <c r="AW1206" s="3"/>
      <c r="AX1206" s="11"/>
      <c r="AZ1206"/>
      <c r="BA1206"/>
      <c r="BB1206"/>
      <c r="BC1206"/>
    </row>
    <row r="1207" spans="1:55" s="282" customFormat="1" x14ac:dyDescent="0.25">
      <c r="A1207"/>
      <c r="B1207"/>
      <c r="C1207" s="3"/>
      <c r="D1207"/>
      <c r="E1207"/>
      <c r="F1207"/>
      <c r="G1207" s="3"/>
      <c r="H1207" s="3"/>
      <c r="I1207" s="3"/>
      <c r="J1207" s="288"/>
      <c r="L1207" s="288"/>
      <c r="M1207" s="288"/>
      <c r="N1207" s="288"/>
      <c r="O1207" s="288"/>
      <c r="P1207" s="288"/>
      <c r="Q1207" s="288"/>
      <c r="R1207" s="283"/>
      <c r="S1207" s="280"/>
      <c r="T1207" s="276"/>
      <c r="U1207" s="276"/>
      <c r="V1207" s="276"/>
      <c r="W1207" s="283"/>
      <c r="X1207" s="280"/>
      <c r="Y1207" s="280"/>
      <c r="Z1207" s="280"/>
      <c r="AA1207" s="280"/>
      <c r="AB1207" s="280"/>
      <c r="AC1207" s="280"/>
      <c r="AD1207" s="280"/>
      <c r="AG1207" s="3"/>
      <c r="AH1207" s="3"/>
      <c r="AI1207" s="3"/>
      <c r="AJ1207" s="3"/>
      <c r="AK1207" s="3"/>
      <c r="AL1207" s="3"/>
      <c r="AM1207" s="3"/>
      <c r="AN1207" s="3"/>
      <c r="AO1207" s="3"/>
      <c r="AP1207" s="11"/>
      <c r="AQ1207" s="11"/>
      <c r="AR1207" s="3"/>
      <c r="AS1207" s="3"/>
      <c r="AT1207" s="3"/>
      <c r="AU1207" s="3"/>
      <c r="AV1207" s="3"/>
      <c r="AW1207" s="3"/>
      <c r="AX1207" s="11"/>
      <c r="AZ1207"/>
      <c r="BA1207"/>
      <c r="BB1207"/>
      <c r="BC1207"/>
    </row>
    <row r="1208" spans="1:55" s="282" customFormat="1" x14ac:dyDescent="0.25">
      <c r="A1208"/>
      <c r="B1208"/>
      <c r="C1208" s="3"/>
      <c r="D1208"/>
      <c r="E1208"/>
      <c r="F1208"/>
      <c r="G1208" s="3"/>
      <c r="H1208" s="3"/>
      <c r="I1208" s="3"/>
      <c r="J1208" s="288"/>
      <c r="L1208" s="288"/>
      <c r="M1208" s="288"/>
      <c r="N1208" s="288"/>
      <c r="O1208" s="288"/>
      <c r="P1208" s="288"/>
      <c r="Q1208" s="288"/>
      <c r="R1208" s="283"/>
      <c r="S1208" s="280"/>
      <c r="T1208" s="276"/>
      <c r="U1208" s="276"/>
      <c r="V1208" s="276"/>
      <c r="W1208" s="283"/>
      <c r="X1208" s="280"/>
      <c r="Y1208" s="280"/>
      <c r="Z1208" s="280"/>
      <c r="AA1208" s="280"/>
      <c r="AB1208" s="280"/>
      <c r="AC1208" s="280"/>
      <c r="AD1208" s="280"/>
      <c r="AG1208" s="3"/>
      <c r="AH1208" s="3"/>
      <c r="AI1208" s="3"/>
      <c r="AJ1208" s="3"/>
      <c r="AK1208" s="3"/>
      <c r="AL1208" s="3"/>
      <c r="AM1208" s="3"/>
      <c r="AN1208" s="3"/>
      <c r="AO1208" s="3"/>
      <c r="AP1208" s="11"/>
      <c r="AQ1208" s="11"/>
      <c r="AR1208" s="3"/>
      <c r="AS1208" s="3"/>
      <c r="AT1208" s="3"/>
      <c r="AU1208" s="3"/>
      <c r="AV1208" s="3"/>
      <c r="AW1208" s="3"/>
      <c r="AX1208" s="11"/>
      <c r="AZ1208"/>
      <c r="BA1208"/>
      <c r="BB1208"/>
      <c r="BC1208"/>
    </row>
    <row r="1209" spans="1:55" s="282" customFormat="1" x14ac:dyDescent="0.25">
      <c r="A1209"/>
      <c r="B1209"/>
      <c r="C1209" s="3"/>
      <c r="D1209"/>
      <c r="E1209"/>
      <c r="F1209"/>
      <c r="G1209" s="3"/>
      <c r="H1209" s="3"/>
      <c r="I1209" s="3"/>
      <c r="J1209" s="288"/>
      <c r="L1209" s="288"/>
      <c r="M1209" s="288"/>
      <c r="N1209" s="288"/>
      <c r="O1209" s="288"/>
      <c r="P1209" s="288"/>
      <c r="Q1209" s="288"/>
      <c r="R1209" s="283"/>
      <c r="S1209" s="280"/>
      <c r="T1209" s="276"/>
      <c r="U1209" s="276"/>
      <c r="V1209" s="276"/>
      <c r="W1209" s="283"/>
      <c r="X1209" s="280"/>
      <c r="Y1209" s="280"/>
      <c r="Z1209" s="280"/>
      <c r="AA1209" s="280"/>
      <c r="AB1209" s="280"/>
      <c r="AC1209" s="280"/>
      <c r="AD1209" s="280"/>
      <c r="AG1209" s="3"/>
      <c r="AH1209" s="3"/>
      <c r="AI1209" s="3"/>
      <c r="AJ1209" s="3"/>
      <c r="AK1209" s="3"/>
      <c r="AL1209" s="3"/>
      <c r="AM1209" s="3"/>
      <c r="AN1209" s="3"/>
      <c r="AO1209" s="3"/>
      <c r="AP1209" s="11"/>
      <c r="AQ1209" s="11"/>
      <c r="AR1209" s="3"/>
      <c r="AS1209" s="3"/>
      <c r="AT1209" s="3"/>
      <c r="AU1209" s="3"/>
      <c r="AV1209" s="3"/>
      <c r="AW1209" s="3"/>
      <c r="AX1209" s="11"/>
      <c r="AZ1209"/>
      <c r="BA1209"/>
      <c r="BB1209"/>
      <c r="BC1209"/>
    </row>
    <row r="1210" spans="1:55" s="282" customFormat="1" x14ac:dyDescent="0.25">
      <c r="A1210"/>
      <c r="B1210"/>
      <c r="C1210" s="3"/>
      <c r="D1210"/>
      <c r="E1210"/>
      <c r="F1210"/>
      <c r="G1210" s="3"/>
      <c r="H1210" s="3"/>
      <c r="I1210" s="3"/>
      <c r="J1210" s="288"/>
      <c r="L1210" s="288"/>
      <c r="M1210" s="288"/>
      <c r="N1210" s="288"/>
      <c r="O1210" s="288"/>
      <c r="P1210" s="288"/>
      <c r="Q1210" s="288"/>
      <c r="R1210" s="283"/>
      <c r="S1210" s="280"/>
      <c r="T1210" s="276"/>
      <c r="U1210" s="276"/>
      <c r="V1210" s="276"/>
      <c r="W1210" s="283"/>
      <c r="X1210" s="280"/>
      <c r="Y1210" s="280"/>
      <c r="Z1210" s="280"/>
      <c r="AA1210" s="280"/>
      <c r="AB1210" s="280"/>
      <c r="AC1210" s="280"/>
      <c r="AD1210" s="280"/>
      <c r="AG1210" s="3"/>
      <c r="AH1210" s="3"/>
      <c r="AI1210" s="3"/>
      <c r="AJ1210" s="3"/>
      <c r="AK1210" s="3"/>
      <c r="AL1210" s="3"/>
      <c r="AM1210" s="3"/>
      <c r="AN1210" s="3"/>
      <c r="AO1210" s="3"/>
      <c r="AP1210" s="11"/>
      <c r="AQ1210" s="11"/>
      <c r="AR1210" s="3"/>
      <c r="AS1210" s="3"/>
      <c r="AT1210" s="3"/>
      <c r="AU1210" s="3"/>
      <c r="AV1210" s="3"/>
      <c r="AW1210" s="3"/>
      <c r="AX1210" s="11"/>
      <c r="AZ1210"/>
      <c r="BA1210"/>
      <c r="BB1210"/>
      <c r="BC1210"/>
    </row>
    <row r="1211" spans="1:55" s="282" customFormat="1" x14ac:dyDescent="0.25">
      <c r="A1211"/>
      <c r="B1211"/>
      <c r="C1211" s="3"/>
      <c r="D1211"/>
      <c r="E1211"/>
      <c r="F1211"/>
      <c r="G1211" s="3"/>
      <c r="H1211" s="3"/>
      <c r="I1211" s="3"/>
      <c r="J1211" s="288"/>
      <c r="L1211" s="288"/>
      <c r="M1211" s="288"/>
      <c r="N1211" s="288"/>
      <c r="O1211" s="288"/>
      <c r="P1211" s="288"/>
      <c r="Q1211" s="288"/>
      <c r="R1211" s="283"/>
      <c r="S1211" s="280"/>
      <c r="T1211" s="276"/>
      <c r="U1211" s="276"/>
      <c r="V1211" s="276"/>
      <c r="W1211" s="283"/>
      <c r="X1211" s="280"/>
      <c r="Y1211" s="280"/>
      <c r="Z1211" s="280"/>
      <c r="AA1211" s="280"/>
      <c r="AB1211" s="280"/>
      <c r="AC1211" s="280"/>
      <c r="AD1211" s="280"/>
      <c r="AG1211" s="3"/>
      <c r="AH1211" s="3"/>
      <c r="AI1211" s="3"/>
      <c r="AJ1211" s="3"/>
      <c r="AK1211" s="3"/>
      <c r="AL1211" s="3"/>
      <c r="AM1211" s="3"/>
      <c r="AN1211" s="3"/>
      <c r="AO1211" s="3"/>
      <c r="AP1211" s="11"/>
      <c r="AQ1211" s="11"/>
      <c r="AR1211" s="3"/>
      <c r="AS1211" s="3"/>
      <c r="AT1211" s="3"/>
      <c r="AU1211" s="3"/>
      <c r="AV1211" s="3"/>
      <c r="AW1211" s="3"/>
      <c r="AX1211" s="11"/>
      <c r="AZ1211"/>
      <c r="BA1211"/>
      <c r="BB1211"/>
      <c r="BC1211"/>
    </row>
    <row r="1212" spans="1:55" s="282" customFormat="1" x14ac:dyDescent="0.25">
      <c r="A1212"/>
      <c r="B1212"/>
      <c r="C1212" s="3"/>
      <c r="D1212"/>
      <c r="E1212"/>
      <c r="F1212"/>
      <c r="G1212" s="3"/>
      <c r="H1212" s="3"/>
      <c r="I1212" s="3"/>
      <c r="J1212" s="288"/>
      <c r="L1212" s="288"/>
      <c r="M1212" s="288"/>
      <c r="N1212" s="288"/>
      <c r="O1212" s="288"/>
      <c r="P1212" s="288"/>
      <c r="Q1212" s="288"/>
      <c r="R1212" s="283"/>
      <c r="S1212" s="280"/>
      <c r="T1212" s="276"/>
      <c r="U1212" s="276"/>
      <c r="V1212" s="276"/>
      <c r="W1212" s="283"/>
      <c r="X1212" s="280"/>
      <c r="Y1212" s="280"/>
      <c r="Z1212" s="280"/>
      <c r="AA1212" s="280"/>
      <c r="AB1212" s="280"/>
      <c r="AC1212" s="280"/>
      <c r="AD1212" s="280"/>
      <c r="AG1212" s="3"/>
      <c r="AH1212" s="3"/>
      <c r="AI1212" s="3"/>
      <c r="AJ1212" s="3"/>
      <c r="AK1212" s="3"/>
      <c r="AL1212" s="3"/>
      <c r="AM1212" s="3"/>
      <c r="AN1212" s="3"/>
      <c r="AO1212" s="3"/>
      <c r="AP1212" s="11"/>
      <c r="AQ1212" s="11"/>
      <c r="AR1212" s="3"/>
      <c r="AS1212" s="3"/>
      <c r="AT1212" s="3"/>
      <c r="AU1212" s="3"/>
      <c r="AV1212" s="3"/>
      <c r="AW1212" s="3"/>
      <c r="AX1212" s="11"/>
      <c r="AZ1212"/>
      <c r="BA1212"/>
      <c r="BB1212"/>
      <c r="BC1212"/>
    </row>
    <row r="1213" spans="1:55" s="282" customFormat="1" x14ac:dyDescent="0.25">
      <c r="A1213"/>
      <c r="B1213"/>
      <c r="C1213" s="3"/>
      <c r="D1213"/>
      <c r="E1213"/>
      <c r="F1213"/>
      <c r="G1213" s="3"/>
      <c r="H1213" s="3"/>
      <c r="I1213" s="3"/>
      <c r="J1213" s="288"/>
      <c r="L1213" s="288"/>
      <c r="M1213" s="288"/>
      <c r="N1213" s="288"/>
      <c r="O1213" s="288"/>
      <c r="P1213" s="288"/>
      <c r="Q1213" s="288"/>
      <c r="R1213" s="283"/>
      <c r="S1213" s="280"/>
      <c r="T1213" s="276"/>
      <c r="U1213" s="276"/>
      <c r="V1213" s="276"/>
      <c r="W1213" s="283"/>
      <c r="X1213" s="280"/>
      <c r="Y1213" s="280"/>
      <c r="Z1213" s="280"/>
      <c r="AA1213" s="280"/>
      <c r="AB1213" s="280"/>
      <c r="AC1213" s="280"/>
      <c r="AD1213" s="280"/>
      <c r="AG1213" s="3"/>
      <c r="AH1213" s="3"/>
      <c r="AI1213" s="3"/>
      <c r="AJ1213" s="3"/>
      <c r="AK1213" s="3"/>
      <c r="AL1213" s="3"/>
      <c r="AM1213" s="3"/>
      <c r="AN1213" s="3"/>
      <c r="AO1213" s="3"/>
      <c r="AP1213" s="11"/>
      <c r="AQ1213" s="11"/>
      <c r="AR1213" s="3"/>
      <c r="AS1213" s="3"/>
      <c r="AT1213" s="3"/>
      <c r="AU1213" s="3"/>
      <c r="AV1213" s="3"/>
      <c r="AW1213" s="3"/>
      <c r="AX1213" s="11"/>
      <c r="AZ1213"/>
      <c r="BA1213"/>
      <c r="BB1213"/>
      <c r="BC1213"/>
    </row>
    <row r="1214" spans="1:55" s="282" customFormat="1" x14ac:dyDescent="0.25">
      <c r="A1214"/>
      <c r="B1214"/>
      <c r="C1214" s="3"/>
      <c r="D1214"/>
      <c r="E1214"/>
      <c r="F1214"/>
      <c r="G1214" s="3"/>
      <c r="H1214" s="3"/>
      <c r="I1214" s="3"/>
      <c r="J1214" s="288"/>
      <c r="L1214" s="288"/>
      <c r="M1214" s="288"/>
      <c r="N1214" s="288"/>
      <c r="O1214" s="288"/>
      <c r="P1214" s="288"/>
      <c r="Q1214" s="288"/>
      <c r="R1214" s="283"/>
      <c r="S1214" s="280"/>
      <c r="T1214" s="276"/>
      <c r="U1214" s="276"/>
      <c r="V1214" s="276"/>
      <c r="W1214" s="283"/>
      <c r="X1214" s="280"/>
      <c r="Y1214" s="280"/>
      <c r="Z1214" s="280"/>
      <c r="AA1214" s="280"/>
      <c r="AB1214" s="280"/>
      <c r="AC1214" s="280"/>
      <c r="AD1214" s="280"/>
      <c r="AG1214" s="3"/>
      <c r="AH1214" s="3"/>
      <c r="AI1214" s="3"/>
      <c r="AJ1214" s="3"/>
      <c r="AK1214" s="3"/>
      <c r="AL1214" s="3"/>
      <c r="AM1214" s="3"/>
      <c r="AN1214" s="3"/>
      <c r="AO1214" s="3"/>
      <c r="AP1214" s="11"/>
      <c r="AQ1214" s="11"/>
      <c r="AR1214" s="3"/>
      <c r="AS1214" s="3"/>
      <c r="AT1214" s="3"/>
      <c r="AU1214" s="3"/>
      <c r="AV1214" s="3"/>
      <c r="AW1214" s="3"/>
      <c r="AX1214" s="11"/>
      <c r="AZ1214"/>
      <c r="BA1214"/>
      <c r="BB1214"/>
      <c r="BC1214"/>
    </row>
    <row r="1215" spans="1:55" s="282" customFormat="1" x14ac:dyDescent="0.25">
      <c r="A1215"/>
      <c r="B1215"/>
      <c r="C1215" s="3"/>
      <c r="D1215"/>
      <c r="E1215"/>
      <c r="F1215"/>
      <c r="G1215" s="3"/>
      <c r="H1215" s="3"/>
      <c r="I1215" s="3"/>
      <c r="J1215" s="288"/>
      <c r="L1215" s="288"/>
      <c r="M1215" s="288"/>
      <c r="N1215" s="288"/>
      <c r="O1215" s="288"/>
      <c r="P1215" s="288"/>
      <c r="Q1215" s="288"/>
      <c r="R1215" s="283"/>
      <c r="S1215" s="280"/>
      <c r="T1215" s="276"/>
      <c r="U1215" s="276"/>
      <c r="V1215" s="276"/>
      <c r="W1215" s="283"/>
      <c r="X1215" s="280"/>
      <c r="Y1215" s="280"/>
      <c r="Z1215" s="280"/>
      <c r="AA1215" s="280"/>
      <c r="AB1215" s="280"/>
      <c r="AC1215" s="280"/>
      <c r="AD1215" s="280"/>
      <c r="AG1215" s="3"/>
      <c r="AH1215" s="3"/>
      <c r="AI1215" s="3"/>
      <c r="AJ1215" s="3"/>
      <c r="AK1215" s="3"/>
      <c r="AL1215" s="3"/>
      <c r="AM1215" s="3"/>
      <c r="AN1215" s="3"/>
      <c r="AO1215" s="3"/>
      <c r="AP1215" s="11"/>
      <c r="AQ1215" s="11"/>
      <c r="AR1215" s="3"/>
      <c r="AS1215" s="3"/>
      <c r="AT1215" s="3"/>
      <c r="AU1215" s="3"/>
      <c r="AV1215" s="3"/>
      <c r="AW1215" s="3"/>
      <c r="AX1215" s="11"/>
      <c r="AZ1215"/>
      <c r="BA1215"/>
      <c r="BB1215"/>
      <c r="BC1215"/>
    </row>
    <row r="1216" spans="1:55" s="282" customFormat="1" x14ac:dyDescent="0.25">
      <c r="A1216"/>
      <c r="B1216"/>
      <c r="C1216" s="3"/>
      <c r="D1216"/>
      <c r="E1216"/>
      <c r="F1216"/>
      <c r="G1216" s="3"/>
      <c r="H1216" s="3"/>
      <c r="I1216" s="3"/>
      <c r="J1216" s="288"/>
      <c r="L1216" s="288"/>
      <c r="M1216" s="288"/>
      <c r="N1216" s="288"/>
      <c r="O1216" s="288"/>
      <c r="P1216" s="288"/>
      <c r="Q1216" s="288"/>
      <c r="R1216" s="283"/>
      <c r="S1216" s="280"/>
      <c r="T1216" s="276"/>
      <c r="U1216" s="276"/>
      <c r="V1216" s="276"/>
      <c r="W1216" s="283"/>
      <c r="X1216" s="280"/>
      <c r="Y1216" s="280"/>
      <c r="Z1216" s="280"/>
      <c r="AA1216" s="280"/>
      <c r="AB1216" s="280"/>
      <c r="AC1216" s="280"/>
      <c r="AD1216" s="280"/>
      <c r="AG1216" s="3"/>
      <c r="AH1216" s="3"/>
      <c r="AI1216" s="3"/>
      <c r="AJ1216" s="3"/>
      <c r="AK1216" s="3"/>
      <c r="AL1216" s="3"/>
      <c r="AM1216" s="3"/>
      <c r="AN1216" s="3"/>
      <c r="AO1216" s="3"/>
      <c r="AP1216" s="11"/>
      <c r="AQ1216" s="11"/>
      <c r="AR1216" s="3"/>
      <c r="AS1216" s="3"/>
      <c r="AT1216" s="3"/>
      <c r="AU1216" s="3"/>
      <c r="AV1216" s="3"/>
      <c r="AW1216" s="3"/>
      <c r="AX1216" s="11"/>
      <c r="AZ1216"/>
      <c r="BA1216"/>
      <c r="BB1216"/>
      <c r="BC1216"/>
    </row>
    <row r="1217" spans="1:55" s="282" customFormat="1" x14ac:dyDescent="0.25">
      <c r="A1217"/>
      <c r="B1217"/>
      <c r="C1217" s="3"/>
      <c r="D1217"/>
      <c r="E1217"/>
      <c r="F1217"/>
      <c r="G1217" s="3"/>
      <c r="H1217" s="3"/>
      <c r="I1217" s="3"/>
      <c r="J1217" s="288"/>
      <c r="L1217" s="288"/>
      <c r="M1217" s="288"/>
      <c r="N1217" s="288"/>
      <c r="O1217" s="288"/>
      <c r="P1217" s="288"/>
      <c r="Q1217" s="288"/>
      <c r="R1217" s="283"/>
      <c r="S1217" s="280"/>
      <c r="T1217" s="276"/>
      <c r="U1217" s="276"/>
      <c r="V1217" s="276"/>
      <c r="W1217" s="283"/>
      <c r="X1217" s="280"/>
      <c r="Y1217" s="280"/>
      <c r="Z1217" s="280"/>
      <c r="AA1217" s="280"/>
      <c r="AB1217" s="280"/>
      <c r="AC1217" s="280"/>
      <c r="AD1217" s="280"/>
      <c r="AG1217" s="3"/>
      <c r="AH1217" s="3"/>
      <c r="AI1217" s="3"/>
      <c r="AJ1217" s="3"/>
      <c r="AK1217" s="3"/>
      <c r="AL1217" s="3"/>
      <c r="AM1217" s="3"/>
      <c r="AN1217" s="3"/>
      <c r="AO1217" s="3"/>
      <c r="AP1217" s="11"/>
      <c r="AQ1217" s="11"/>
      <c r="AR1217" s="3"/>
      <c r="AS1217" s="3"/>
      <c r="AT1217" s="3"/>
      <c r="AU1217" s="3"/>
      <c r="AV1217" s="3"/>
      <c r="AW1217" s="3"/>
      <c r="AX1217" s="11"/>
      <c r="AZ1217"/>
      <c r="BA1217"/>
      <c r="BB1217"/>
      <c r="BC1217"/>
    </row>
    <row r="1218" spans="1:55" s="282" customFormat="1" x14ac:dyDescent="0.25">
      <c r="A1218"/>
      <c r="B1218"/>
      <c r="C1218" s="3"/>
      <c r="D1218"/>
      <c r="E1218"/>
      <c r="F1218"/>
      <c r="G1218" s="3"/>
      <c r="H1218" s="3"/>
      <c r="I1218" s="3"/>
      <c r="J1218" s="288"/>
      <c r="L1218" s="288"/>
      <c r="M1218" s="288"/>
      <c r="N1218" s="288"/>
      <c r="O1218" s="288"/>
      <c r="P1218" s="288"/>
      <c r="Q1218" s="288"/>
      <c r="R1218" s="283"/>
      <c r="S1218" s="280"/>
      <c r="T1218" s="276"/>
      <c r="U1218" s="276"/>
      <c r="V1218" s="276"/>
      <c r="W1218" s="283"/>
      <c r="X1218" s="280"/>
      <c r="Y1218" s="280"/>
      <c r="Z1218" s="280"/>
      <c r="AA1218" s="280"/>
      <c r="AB1218" s="280"/>
      <c r="AC1218" s="280"/>
      <c r="AD1218" s="280"/>
      <c r="AG1218" s="3"/>
      <c r="AH1218" s="3"/>
      <c r="AI1218" s="3"/>
      <c r="AJ1218" s="3"/>
      <c r="AK1218" s="3"/>
      <c r="AL1218" s="3"/>
      <c r="AM1218" s="3"/>
      <c r="AN1218" s="3"/>
      <c r="AO1218" s="3"/>
      <c r="AP1218" s="11"/>
      <c r="AQ1218" s="11"/>
      <c r="AR1218" s="3"/>
      <c r="AS1218" s="3"/>
      <c r="AT1218" s="3"/>
      <c r="AU1218" s="3"/>
      <c r="AV1218" s="3"/>
      <c r="AW1218" s="3"/>
      <c r="AX1218" s="11"/>
      <c r="AZ1218"/>
      <c r="BA1218"/>
      <c r="BB1218"/>
      <c r="BC1218"/>
    </row>
    <row r="1219" spans="1:55" s="282" customFormat="1" x14ac:dyDescent="0.25">
      <c r="A1219"/>
      <c r="B1219"/>
      <c r="C1219" s="3"/>
      <c r="D1219"/>
      <c r="E1219"/>
      <c r="F1219"/>
      <c r="G1219" s="3"/>
      <c r="H1219" s="3"/>
      <c r="I1219" s="3"/>
      <c r="J1219" s="288"/>
      <c r="L1219" s="288"/>
      <c r="M1219" s="288"/>
      <c r="N1219" s="288"/>
      <c r="O1219" s="288"/>
      <c r="P1219" s="288"/>
      <c r="Q1219" s="288"/>
      <c r="R1219" s="283"/>
      <c r="S1219" s="280"/>
      <c r="T1219" s="276"/>
      <c r="U1219" s="276"/>
      <c r="V1219" s="276"/>
      <c r="W1219" s="283"/>
      <c r="X1219" s="280"/>
      <c r="Y1219" s="280"/>
      <c r="Z1219" s="280"/>
      <c r="AA1219" s="280"/>
      <c r="AB1219" s="280"/>
      <c r="AC1219" s="280"/>
      <c r="AD1219" s="280"/>
      <c r="AG1219" s="3"/>
      <c r="AH1219" s="3"/>
      <c r="AI1219" s="3"/>
      <c r="AJ1219" s="3"/>
      <c r="AK1219" s="3"/>
      <c r="AL1219" s="3"/>
      <c r="AM1219" s="3"/>
      <c r="AN1219" s="3"/>
      <c r="AO1219" s="3"/>
      <c r="AP1219" s="11"/>
      <c r="AQ1219" s="11"/>
      <c r="AR1219" s="3"/>
      <c r="AS1219" s="3"/>
      <c r="AT1219" s="3"/>
      <c r="AU1219" s="3"/>
      <c r="AV1219" s="3"/>
      <c r="AW1219" s="3"/>
      <c r="AX1219" s="11"/>
      <c r="AZ1219"/>
      <c r="BA1219"/>
      <c r="BB1219"/>
      <c r="BC1219"/>
    </row>
    <row r="1220" spans="1:55" s="282" customFormat="1" x14ac:dyDescent="0.25">
      <c r="A1220"/>
      <c r="B1220"/>
      <c r="C1220" s="3"/>
      <c r="D1220"/>
      <c r="E1220"/>
      <c r="F1220"/>
      <c r="G1220" s="3"/>
      <c r="H1220" s="3"/>
      <c r="I1220" s="3"/>
      <c r="J1220" s="288"/>
      <c r="L1220" s="288"/>
      <c r="M1220" s="288"/>
      <c r="N1220" s="288"/>
      <c r="O1220" s="288"/>
      <c r="P1220" s="288"/>
      <c r="Q1220" s="288"/>
      <c r="R1220" s="283"/>
      <c r="S1220" s="280"/>
      <c r="T1220" s="276"/>
      <c r="U1220" s="276"/>
      <c r="V1220" s="276"/>
      <c r="W1220" s="283"/>
      <c r="X1220" s="280"/>
      <c r="Y1220" s="280"/>
      <c r="Z1220" s="280"/>
      <c r="AA1220" s="280"/>
      <c r="AB1220" s="280"/>
      <c r="AC1220" s="280"/>
      <c r="AD1220" s="280"/>
      <c r="AG1220" s="3"/>
      <c r="AH1220" s="3"/>
      <c r="AI1220" s="3"/>
      <c r="AJ1220" s="3"/>
      <c r="AK1220" s="3"/>
      <c r="AL1220" s="3"/>
      <c r="AM1220" s="3"/>
      <c r="AN1220" s="3"/>
      <c r="AO1220" s="3"/>
      <c r="AP1220" s="11"/>
      <c r="AQ1220" s="11"/>
      <c r="AR1220" s="3"/>
      <c r="AS1220" s="3"/>
      <c r="AT1220" s="3"/>
      <c r="AU1220" s="3"/>
      <c r="AV1220" s="3"/>
      <c r="AW1220" s="3"/>
      <c r="AX1220" s="11"/>
      <c r="AZ1220"/>
      <c r="BA1220"/>
      <c r="BB1220"/>
      <c r="BC1220"/>
    </row>
    <row r="1221" spans="1:55" s="282" customFormat="1" x14ac:dyDescent="0.25">
      <c r="A1221"/>
      <c r="B1221"/>
      <c r="C1221" s="3"/>
      <c r="D1221"/>
      <c r="E1221"/>
      <c r="F1221"/>
      <c r="G1221" s="3"/>
      <c r="H1221" s="3"/>
      <c r="I1221" s="3"/>
      <c r="J1221" s="288"/>
      <c r="L1221" s="288"/>
      <c r="M1221" s="288"/>
      <c r="N1221" s="288"/>
      <c r="O1221" s="288"/>
      <c r="P1221" s="288"/>
      <c r="Q1221" s="288"/>
      <c r="R1221" s="283"/>
      <c r="S1221" s="280"/>
      <c r="T1221" s="276"/>
      <c r="U1221" s="276"/>
      <c r="V1221" s="276"/>
      <c r="W1221" s="283"/>
      <c r="X1221" s="280"/>
      <c r="Y1221" s="280"/>
      <c r="Z1221" s="280"/>
      <c r="AA1221" s="280"/>
      <c r="AB1221" s="280"/>
      <c r="AC1221" s="280"/>
      <c r="AD1221" s="280"/>
      <c r="AG1221" s="3"/>
      <c r="AH1221" s="3"/>
      <c r="AI1221" s="3"/>
      <c r="AJ1221" s="3"/>
      <c r="AK1221" s="3"/>
      <c r="AL1221" s="3"/>
      <c r="AM1221" s="3"/>
      <c r="AN1221" s="3"/>
      <c r="AO1221" s="3"/>
      <c r="AP1221" s="11"/>
      <c r="AQ1221" s="11"/>
      <c r="AR1221" s="3"/>
      <c r="AS1221" s="3"/>
      <c r="AT1221" s="3"/>
      <c r="AU1221" s="3"/>
      <c r="AV1221" s="3"/>
      <c r="AW1221" s="3"/>
      <c r="AX1221" s="11"/>
      <c r="AZ1221"/>
      <c r="BA1221"/>
      <c r="BB1221"/>
      <c r="BC1221"/>
    </row>
    <row r="1222" spans="1:55" s="282" customFormat="1" x14ac:dyDescent="0.25">
      <c r="A1222"/>
      <c r="B1222"/>
      <c r="C1222" s="3"/>
      <c r="D1222"/>
      <c r="E1222"/>
      <c r="F1222"/>
      <c r="G1222" s="3"/>
      <c r="H1222" s="3"/>
      <c r="I1222" s="3"/>
      <c r="J1222" s="288"/>
      <c r="L1222" s="288"/>
      <c r="M1222" s="288"/>
      <c r="N1222" s="288"/>
      <c r="O1222" s="288"/>
      <c r="P1222" s="288"/>
      <c r="Q1222" s="288"/>
      <c r="R1222" s="283"/>
      <c r="S1222" s="280"/>
      <c r="T1222" s="276"/>
      <c r="U1222" s="276"/>
      <c r="V1222" s="276"/>
      <c r="W1222" s="283"/>
      <c r="X1222" s="280"/>
      <c r="Y1222" s="280"/>
      <c r="Z1222" s="280"/>
      <c r="AA1222" s="280"/>
      <c r="AB1222" s="280"/>
      <c r="AC1222" s="280"/>
      <c r="AD1222" s="280"/>
      <c r="AG1222" s="3"/>
      <c r="AH1222" s="3"/>
      <c r="AI1222" s="3"/>
      <c r="AJ1222" s="3"/>
      <c r="AK1222" s="3"/>
      <c r="AL1222" s="3"/>
      <c r="AM1222" s="3"/>
      <c r="AN1222" s="3"/>
      <c r="AO1222" s="3"/>
      <c r="AP1222" s="11"/>
      <c r="AQ1222" s="11"/>
      <c r="AR1222" s="3"/>
      <c r="AS1222" s="3"/>
      <c r="AT1222" s="3"/>
      <c r="AU1222" s="3"/>
      <c r="AV1222" s="3"/>
      <c r="AW1222" s="3"/>
      <c r="AX1222" s="11"/>
      <c r="AZ1222"/>
      <c r="BA1222"/>
      <c r="BB1222"/>
      <c r="BC1222"/>
    </row>
    <row r="1223" spans="1:55" s="282" customFormat="1" x14ac:dyDescent="0.25">
      <c r="A1223"/>
      <c r="B1223"/>
      <c r="C1223" s="3"/>
      <c r="D1223"/>
      <c r="E1223"/>
      <c r="F1223"/>
      <c r="G1223" s="3"/>
      <c r="H1223" s="3"/>
      <c r="I1223" s="3"/>
      <c r="J1223" s="288"/>
      <c r="L1223" s="288"/>
      <c r="M1223" s="288"/>
      <c r="N1223" s="288"/>
      <c r="O1223" s="288"/>
      <c r="P1223" s="288"/>
      <c r="Q1223" s="288"/>
      <c r="R1223" s="283"/>
      <c r="S1223" s="280"/>
      <c r="T1223" s="276"/>
      <c r="U1223" s="276"/>
      <c r="V1223" s="276"/>
      <c r="W1223" s="283"/>
      <c r="X1223" s="280"/>
      <c r="Y1223" s="280"/>
      <c r="Z1223" s="280"/>
      <c r="AA1223" s="280"/>
      <c r="AB1223" s="280"/>
      <c r="AC1223" s="280"/>
      <c r="AD1223" s="280"/>
      <c r="AG1223" s="3"/>
      <c r="AH1223" s="3"/>
      <c r="AI1223" s="3"/>
      <c r="AJ1223" s="3"/>
      <c r="AK1223" s="3"/>
      <c r="AL1223" s="3"/>
      <c r="AM1223" s="3"/>
      <c r="AN1223" s="3"/>
      <c r="AO1223" s="3"/>
      <c r="AP1223" s="11"/>
      <c r="AQ1223" s="11"/>
      <c r="AR1223" s="3"/>
      <c r="AS1223" s="3"/>
      <c r="AT1223" s="3"/>
      <c r="AU1223" s="3"/>
      <c r="AV1223" s="3"/>
      <c r="AW1223" s="3"/>
      <c r="AX1223" s="11"/>
      <c r="AZ1223"/>
      <c r="BA1223"/>
      <c r="BB1223"/>
      <c r="BC1223"/>
    </row>
    <row r="1224" spans="1:55" s="282" customFormat="1" x14ac:dyDescent="0.25">
      <c r="A1224"/>
      <c r="B1224"/>
      <c r="C1224" s="3"/>
      <c r="D1224"/>
      <c r="E1224"/>
      <c r="F1224"/>
      <c r="G1224" s="3"/>
      <c r="H1224" s="3"/>
      <c r="I1224" s="3"/>
      <c r="J1224" s="288"/>
      <c r="L1224" s="288"/>
      <c r="M1224" s="288"/>
      <c r="N1224" s="288"/>
      <c r="O1224" s="288"/>
      <c r="P1224" s="288"/>
      <c r="Q1224" s="288"/>
      <c r="R1224" s="283"/>
      <c r="S1224" s="280"/>
      <c r="T1224" s="276"/>
      <c r="U1224" s="276"/>
      <c r="V1224" s="276"/>
      <c r="W1224" s="283"/>
      <c r="X1224" s="280"/>
      <c r="Y1224" s="280"/>
      <c r="Z1224" s="280"/>
      <c r="AA1224" s="280"/>
      <c r="AB1224" s="280"/>
      <c r="AC1224" s="280"/>
      <c r="AD1224" s="280"/>
      <c r="AG1224" s="3"/>
      <c r="AH1224" s="3"/>
      <c r="AI1224" s="3"/>
      <c r="AJ1224" s="3"/>
      <c r="AK1224" s="3"/>
      <c r="AL1224" s="3"/>
      <c r="AM1224" s="3"/>
      <c r="AN1224" s="3"/>
      <c r="AO1224" s="3"/>
      <c r="AP1224" s="11"/>
      <c r="AQ1224" s="11"/>
      <c r="AR1224" s="3"/>
      <c r="AS1224" s="3"/>
      <c r="AT1224" s="3"/>
      <c r="AU1224" s="3"/>
      <c r="AV1224" s="3"/>
      <c r="AW1224" s="3"/>
      <c r="AX1224" s="11"/>
      <c r="AZ1224"/>
      <c r="BA1224"/>
      <c r="BB1224"/>
      <c r="BC1224"/>
    </row>
    <row r="1225" spans="1:55" s="282" customFormat="1" x14ac:dyDescent="0.25">
      <c r="A1225"/>
      <c r="B1225"/>
      <c r="C1225" s="3"/>
      <c r="D1225"/>
      <c r="E1225"/>
      <c r="F1225"/>
      <c r="G1225" s="3"/>
      <c r="H1225" s="3"/>
      <c r="I1225" s="3"/>
      <c r="J1225" s="288"/>
      <c r="L1225" s="288"/>
      <c r="M1225" s="288"/>
      <c r="N1225" s="288"/>
      <c r="O1225" s="288"/>
      <c r="P1225" s="288"/>
      <c r="Q1225" s="288"/>
      <c r="R1225" s="283"/>
      <c r="S1225" s="280"/>
      <c r="T1225" s="276"/>
      <c r="U1225" s="276"/>
      <c r="V1225" s="276"/>
      <c r="W1225" s="283"/>
      <c r="X1225" s="280"/>
      <c r="Y1225" s="280"/>
      <c r="Z1225" s="280"/>
      <c r="AA1225" s="280"/>
      <c r="AB1225" s="280"/>
      <c r="AC1225" s="280"/>
      <c r="AD1225" s="280"/>
      <c r="AG1225" s="3"/>
      <c r="AH1225" s="3"/>
      <c r="AI1225" s="3"/>
      <c r="AJ1225" s="3"/>
      <c r="AK1225" s="3"/>
      <c r="AL1225" s="3"/>
      <c r="AM1225" s="3"/>
      <c r="AN1225" s="3"/>
      <c r="AO1225" s="3"/>
      <c r="AP1225" s="11"/>
      <c r="AQ1225" s="11"/>
      <c r="AR1225" s="3"/>
      <c r="AS1225" s="3"/>
      <c r="AT1225" s="3"/>
      <c r="AU1225" s="3"/>
      <c r="AV1225" s="3"/>
      <c r="AW1225" s="3"/>
      <c r="AX1225" s="11"/>
      <c r="AZ1225"/>
      <c r="BA1225"/>
      <c r="BB1225"/>
      <c r="BC1225"/>
    </row>
    <row r="1226" spans="1:55" s="282" customFormat="1" x14ac:dyDescent="0.25">
      <c r="A1226"/>
      <c r="B1226"/>
      <c r="C1226" s="3"/>
      <c r="D1226"/>
      <c r="E1226"/>
      <c r="F1226"/>
      <c r="G1226" s="3"/>
      <c r="H1226" s="3"/>
      <c r="I1226" s="3"/>
      <c r="J1226" s="288"/>
      <c r="L1226" s="288"/>
      <c r="M1226" s="288"/>
      <c r="N1226" s="288"/>
      <c r="O1226" s="288"/>
      <c r="P1226" s="288"/>
      <c r="Q1226" s="288"/>
      <c r="R1226" s="283"/>
      <c r="S1226" s="280"/>
      <c r="T1226" s="276"/>
      <c r="U1226" s="276"/>
      <c r="V1226" s="276"/>
      <c r="W1226" s="283"/>
      <c r="X1226" s="280"/>
      <c r="Y1226" s="280"/>
      <c r="Z1226" s="280"/>
      <c r="AA1226" s="280"/>
      <c r="AB1226" s="280"/>
      <c r="AC1226" s="280"/>
      <c r="AD1226" s="280"/>
      <c r="AG1226" s="3"/>
      <c r="AH1226" s="3"/>
      <c r="AI1226" s="3"/>
      <c r="AJ1226" s="3"/>
      <c r="AK1226" s="3"/>
      <c r="AL1226" s="3"/>
      <c r="AM1226" s="3"/>
      <c r="AN1226" s="3"/>
      <c r="AO1226" s="3"/>
      <c r="AP1226" s="11"/>
      <c r="AQ1226" s="11"/>
      <c r="AR1226" s="3"/>
      <c r="AS1226" s="3"/>
      <c r="AT1226" s="3"/>
      <c r="AU1226" s="3"/>
      <c r="AV1226" s="3"/>
      <c r="AW1226" s="3"/>
      <c r="AX1226" s="11"/>
      <c r="AZ1226"/>
      <c r="BA1226"/>
      <c r="BB1226"/>
      <c r="BC1226"/>
    </row>
    <row r="1227" spans="1:55" s="282" customFormat="1" x14ac:dyDescent="0.25">
      <c r="A1227"/>
      <c r="B1227"/>
      <c r="C1227" s="3"/>
      <c r="D1227"/>
      <c r="E1227"/>
      <c r="F1227"/>
      <c r="G1227" s="3"/>
      <c r="H1227" s="3"/>
      <c r="I1227" s="3"/>
      <c r="J1227" s="288"/>
      <c r="L1227" s="288"/>
      <c r="M1227" s="288"/>
      <c r="N1227" s="288"/>
      <c r="O1227" s="288"/>
      <c r="P1227" s="288"/>
      <c r="Q1227" s="288"/>
      <c r="R1227" s="283"/>
      <c r="S1227" s="280"/>
      <c r="T1227" s="276"/>
      <c r="U1227" s="276"/>
      <c r="V1227" s="276"/>
      <c r="W1227" s="283"/>
      <c r="X1227" s="280"/>
      <c r="Y1227" s="280"/>
      <c r="Z1227" s="280"/>
      <c r="AA1227" s="280"/>
      <c r="AB1227" s="280"/>
      <c r="AC1227" s="280"/>
      <c r="AD1227" s="280"/>
      <c r="AG1227" s="3"/>
      <c r="AH1227" s="3"/>
      <c r="AI1227" s="3"/>
      <c r="AJ1227" s="3"/>
      <c r="AK1227" s="3"/>
      <c r="AL1227" s="3"/>
      <c r="AM1227" s="3"/>
      <c r="AN1227" s="3"/>
      <c r="AO1227" s="3"/>
      <c r="AP1227" s="11"/>
      <c r="AQ1227" s="11"/>
      <c r="AR1227" s="3"/>
      <c r="AS1227" s="3"/>
      <c r="AT1227" s="3"/>
      <c r="AU1227" s="3"/>
      <c r="AV1227" s="3"/>
      <c r="AW1227" s="3"/>
      <c r="AX1227" s="11"/>
      <c r="AZ1227"/>
      <c r="BA1227"/>
      <c r="BB1227"/>
      <c r="BC1227"/>
    </row>
    <row r="1228" spans="1:55" s="282" customFormat="1" x14ac:dyDescent="0.25">
      <c r="A1228"/>
      <c r="B1228"/>
      <c r="C1228" s="3"/>
      <c r="D1228"/>
      <c r="E1228"/>
      <c r="F1228"/>
      <c r="G1228" s="3"/>
      <c r="H1228" s="3"/>
      <c r="I1228" s="3"/>
      <c r="J1228" s="288"/>
      <c r="L1228" s="288"/>
      <c r="M1228" s="288"/>
      <c r="N1228" s="288"/>
      <c r="O1228" s="288"/>
      <c r="P1228" s="288"/>
      <c r="Q1228" s="288"/>
      <c r="R1228" s="283"/>
      <c r="S1228" s="280"/>
      <c r="T1228" s="276"/>
      <c r="U1228" s="276"/>
      <c r="V1228" s="276"/>
      <c r="W1228" s="283"/>
      <c r="X1228" s="280"/>
      <c r="Y1228" s="280"/>
      <c r="Z1228" s="280"/>
      <c r="AA1228" s="280"/>
      <c r="AB1228" s="280"/>
      <c r="AC1228" s="280"/>
      <c r="AD1228" s="280"/>
      <c r="AG1228" s="3"/>
      <c r="AH1228" s="3"/>
      <c r="AI1228" s="3"/>
      <c r="AJ1228" s="3"/>
      <c r="AK1228" s="3"/>
      <c r="AL1228" s="3"/>
      <c r="AM1228" s="3"/>
      <c r="AN1228" s="3"/>
      <c r="AO1228" s="3"/>
      <c r="AP1228" s="11"/>
      <c r="AQ1228" s="11"/>
      <c r="AR1228" s="3"/>
      <c r="AS1228" s="3"/>
      <c r="AT1228" s="3"/>
      <c r="AU1228" s="3"/>
      <c r="AV1228" s="3"/>
      <c r="AW1228" s="3"/>
      <c r="AX1228" s="11"/>
      <c r="AZ1228"/>
      <c r="BA1228"/>
      <c r="BB1228"/>
      <c r="BC1228"/>
    </row>
    <row r="1229" spans="1:55" s="282" customFormat="1" x14ac:dyDescent="0.25">
      <c r="A1229"/>
      <c r="B1229"/>
      <c r="C1229" s="3"/>
      <c r="D1229"/>
      <c r="E1229"/>
      <c r="F1229"/>
      <c r="G1229" s="3"/>
      <c r="H1229" s="3"/>
      <c r="I1229" s="3"/>
      <c r="J1229" s="288"/>
      <c r="L1229" s="288"/>
      <c r="M1229" s="288"/>
      <c r="N1229" s="288"/>
      <c r="O1229" s="288"/>
      <c r="P1229" s="288"/>
      <c r="Q1229" s="288"/>
      <c r="R1229" s="283"/>
      <c r="S1229" s="280"/>
      <c r="T1229" s="276"/>
      <c r="U1229" s="276"/>
      <c r="V1229" s="276"/>
      <c r="W1229" s="283"/>
      <c r="X1229" s="280"/>
      <c r="Y1229" s="280"/>
      <c r="Z1229" s="280"/>
      <c r="AA1229" s="280"/>
      <c r="AB1229" s="280"/>
      <c r="AC1229" s="280"/>
      <c r="AD1229" s="280"/>
      <c r="AG1229" s="3"/>
      <c r="AH1229" s="3"/>
      <c r="AI1229" s="3"/>
      <c r="AJ1229" s="3"/>
      <c r="AK1229" s="3"/>
      <c r="AL1229" s="3"/>
      <c r="AM1229" s="3"/>
      <c r="AN1229" s="3"/>
      <c r="AO1229" s="3"/>
      <c r="AP1229" s="11"/>
      <c r="AQ1229" s="11"/>
      <c r="AR1229" s="3"/>
      <c r="AS1229" s="3"/>
      <c r="AT1229" s="3"/>
      <c r="AU1229" s="3"/>
      <c r="AV1229" s="3"/>
      <c r="AW1229" s="3"/>
      <c r="AX1229" s="11"/>
      <c r="AZ1229"/>
      <c r="BA1229"/>
      <c r="BB1229"/>
      <c r="BC1229"/>
    </row>
    <row r="1230" spans="1:55" s="282" customFormat="1" x14ac:dyDescent="0.25">
      <c r="A1230"/>
      <c r="B1230"/>
      <c r="C1230" s="3"/>
      <c r="D1230"/>
      <c r="E1230"/>
      <c r="F1230"/>
      <c r="G1230" s="3"/>
      <c r="H1230" s="3"/>
      <c r="I1230" s="3"/>
      <c r="J1230" s="288"/>
      <c r="L1230" s="288"/>
      <c r="M1230" s="288"/>
      <c r="N1230" s="288"/>
      <c r="O1230" s="288"/>
      <c r="P1230" s="288"/>
      <c r="Q1230" s="288"/>
      <c r="R1230" s="283"/>
      <c r="S1230" s="280"/>
      <c r="T1230" s="276"/>
      <c r="U1230" s="276"/>
      <c r="V1230" s="276"/>
      <c r="W1230" s="283"/>
      <c r="X1230" s="280"/>
      <c r="Y1230" s="280"/>
      <c r="Z1230" s="280"/>
      <c r="AA1230" s="280"/>
      <c r="AB1230" s="280"/>
      <c r="AC1230" s="280"/>
      <c r="AD1230" s="280"/>
      <c r="AG1230" s="3"/>
      <c r="AH1230" s="3"/>
      <c r="AI1230" s="3"/>
      <c r="AJ1230" s="3"/>
      <c r="AK1230" s="3"/>
      <c r="AL1230" s="3"/>
      <c r="AM1230" s="3"/>
      <c r="AN1230" s="3"/>
      <c r="AO1230" s="3"/>
      <c r="AP1230" s="11"/>
      <c r="AQ1230" s="11"/>
      <c r="AR1230" s="3"/>
      <c r="AS1230" s="3"/>
      <c r="AT1230" s="3"/>
      <c r="AU1230" s="3"/>
      <c r="AV1230" s="3"/>
      <c r="AW1230" s="3"/>
      <c r="AX1230" s="11"/>
      <c r="AZ1230"/>
      <c r="BA1230"/>
      <c r="BB1230"/>
      <c r="BC1230"/>
    </row>
    <row r="1231" spans="1:55" s="282" customFormat="1" x14ac:dyDescent="0.25">
      <c r="A1231"/>
      <c r="B1231"/>
      <c r="C1231" s="3"/>
      <c r="D1231"/>
      <c r="E1231"/>
      <c r="F1231"/>
      <c r="G1231" s="3"/>
      <c r="H1231" s="3"/>
      <c r="I1231" s="3"/>
      <c r="J1231" s="288"/>
      <c r="L1231" s="288"/>
      <c r="M1231" s="288"/>
      <c r="N1231" s="288"/>
      <c r="O1231" s="288"/>
      <c r="P1231" s="288"/>
      <c r="Q1231" s="288"/>
      <c r="R1231" s="283"/>
      <c r="S1231" s="280"/>
      <c r="T1231" s="276"/>
      <c r="U1231" s="276"/>
      <c r="V1231" s="276"/>
      <c r="W1231" s="283"/>
      <c r="X1231" s="280"/>
      <c r="Y1231" s="280"/>
      <c r="Z1231" s="280"/>
      <c r="AA1231" s="280"/>
      <c r="AB1231" s="280"/>
      <c r="AC1231" s="280"/>
      <c r="AD1231" s="280"/>
      <c r="AG1231" s="3"/>
      <c r="AH1231" s="3"/>
      <c r="AI1231" s="3"/>
      <c r="AJ1231" s="3"/>
      <c r="AK1231" s="3"/>
      <c r="AL1231" s="3"/>
      <c r="AM1231" s="3"/>
      <c r="AN1231" s="3"/>
      <c r="AO1231" s="3"/>
      <c r="AP1231" s="11"/>
      <c r="AQ1231" s="11"/>
      <c r="AR1231" s="3"/>
      <c r="AS1231" s="3"/>
      <c r="AT1231" s="3"/>
      <c r="AU1231" s="3"/>
      <c r="AV1231" s="3"/>
      <c r="AW1231" s="3"/>
      <c r="AX1231" s="11"/>
      <c r="AZ1231"/>
      <c r="BA1231"/>
      <c r="BB1231"/>
      <c r="BC1231"/>
    </row>
    <row r="1232" spans="1:55" s="282" customFormat="1" x14ac:dyDescent="0.25">
      <c r="A1232"/>
      <c r="B1232"/>
      <c r="C1232" s="3"/>
      <c r="D1232"/>
      <c r="E1232"/>
      <c r="F1232"/>
      <c r="G1232" s="3"/>
      <c r="H1232" s="3"/>
      <c r="I1232" s="3"/>
      <c r="J1232" s="288"/>
      <c r="L1232" s="288"/>
      <c r="M1232" s="288"/>
      <c r="N1232" s="288"/>
      <c r="O1232" s="288"/>
      <c r="P1232" s="288"/>
      <c r="Q1232" s="288"/>
      <c r="R1232" s="283"/>
      <c r="S1232" s="280"/>
      <c r="T1232" s="276"/>
      <c r="U1232" s="276"/>
      <c r="V1232" s="276"/>
      <c r="W1232" s="283"/>
      <c r="X1232" s="280"/>
      <c r="Y1232" s="280"/>
      <c r="Z1232" s="280"/>
      <c r="AA1232" s="280"/>
      <c r="AB1232" s="280"/>
      <c r="AC1232" s="280"/>
      <c r="AD1232" s="280"/>
      <c r="AG1232" s="3"/>
      <c r="AH1232" s="3"/>
      <c r="AI1232" s="3"/>
      <c r="AJ1232" s="3"/>
      <c r="AK1232" s="3"/>
      <c r="AL1232" s="3"/>
      <c r="AM1232" s="3"/>
      <c r="AN1232" s="3"/>
      <c r="AO1232" s="3"/>
      <c r="AP1232" s="11"/>
      <c r="AQ1232" s="11"/>
      <c r="AR1232" s="3"/>
      <c r="AS1232" s="3"/>
      <c r="AT1232" s="3"/>
      <c r="AU1232" s="3"/>
      <c r="AV1232" s="3"/>
      <c r="AW1232" s="3"/>
      <c r="AX1232" s="11"/>
      <c r="AZ1232"/>
      <c r="BA1232"/>
      <c r="BB1232"/>
      <c r="BC1232"/>
    </row>
    <row r="1233" spans="1:55" s="282" customFormat="1" x14ac:dyDescent="0.25">
      <c r="A1233"/>
      <c r="B1233"/>
      <c r="C1233" s="3"/>
      <c r="D1233"/>
      <c r="E1233"/>
      <c r="F1233"/>
      <c r="G1233" s="3"/>
      <c r="H1233" s="3"/>
      <c r="I1233" s="3"/>
      <c r="J1233" s="288"/>
      <c r="L1233" s="288"/>
      <c r="M1233" s="288"/>
      <c r="N1233" s="288"/>
      <c r="O1233" s="288"/>
      <c r="P1233" s="288"/>
      <c r="Q1233" s="288"/>
      <c r="R1233" s="283"/>
      <c r="S1233" s="280"/>
      <c r="T1233" s="276"/>
      <c r="U1233" s="276"/>
      <c r="V1233" s="276"/>
      <c r="W1233" s="283"/>
      <c r="X1233" s="280"/>
      <c r="Y1233" s="280"/>
      <c r="Z1233" s="280"/>
      <c r="AA1233" s="280"/>
      <c r="AB1233" s="280"/>
      <c r="AC1233" s="280"/>
      <c r="AD1233" s="280"/>
      <c r="AG1233" s="3"/>
      <c r="AH1233" s="3"/>
      <c r="AI1233" s="3"/>
      <c r="AJ1233" s="3"/>
      <c r="AK1233" s="3"/>
      <c r="AL1233" s="3"/>
      <c r="AM1233" s="3"/>
      <c r="AN1233" s="3"/>
      <c r="AO1233" s="3"/>
      <c r="AP1233" s="11"/>
      <c r="AQ1233" s="11"/>
      <c r="AR1233" s="3"/>
      <c r="AS1233" s="3"/>
      <c r="AT1233" s="3"/>
      <c r="AU1233" s="3"/>
      <c r="AV1233" s="3"/>
      <c r="AW1233" s="3"/>
      <c r="AX1233" s="11"/>
      <c r="AZ1233"/>
      <c r="BA1233"/>
      <c r="BB1233"/>
      <c r="BC1233"/>
    </row>
    <row r="1234" spans="1:55" s="282" customFormat="1" x14ac:dyDescent="0.25">
      <c r="A1234"/>
      <c r="B1234"/>
      <c r="C1234" s="3"/>
      <c r="D1234"/>
      <c r="E1234"/>
      <c r="F1234"/>
      <c r="G1234" s="3"/>
      <c r="H1234" s="3"/>
      <c r="I1234" s="3"/>
      <c r="J1234" s="288"/>
      <c r="L1234" s="288"/>
      <c r="M1234" s="288"/>
      <c r="N1234" s="288"/>
      <c r="O1234" s="288"/>
      <c r="P1234" s="288"/>
      <c r="Q1234" s="288"/>
      <c r="R1234" s="283"/>
      <c r="S1234" s="280"/>
      <c r="T1234" s="276"/>
      <c r="U1234" s="276"/>
      <c r="V1234" s="276"/>
      <c r="W1234" s="283"/>
      <c r="X1234" s="280"/>
      <c r="Y1234" s="280"/>
      <c r="Z1234" s="280"/>
      <c r="AA1234" s="280"/>
      <c r="AB1234" s="280"/>
      <c r="AC1234" s="280"/>
      <c r="AD1234" s="280"/>
      <c r="AG1234" s="3"/>
      <c r="AH1234" s="3"/>
      <c r="AI1234" s="3"/>
      <c r="AJ1234" s="3"/>
      <c r="AK1234" s="3"/>
      <c r="AL1234" s="3"/>
      <c r="AM1234" s="3"/>
      <c r="AN1234" s="3"/>
      <c r="AO1234" s="3"/>
      <c r="AP1234" s="11"/>
      <c r="AQ1234" s="11"/>
      <c r="AR1234" s="3"/>
      <c r="AS1234" s="3"/>
      <c r="AT1234" s="3"/>
      <c r="AU1234" s="3"/>
      <c r="AV1234" s="3"/>
      <c r="AW1234" s="3"/>
      <c r="AX1234" s="11"/>
      <c r="AZ1234"/>
      <c r="BA1234"/>
      <c r="BB1234"/>
      <c r="BC1234"/>
    </row>
    <row r="1235" spans="1:55" s="282" customFormat="1" x14ac:dyDescent="0.25">
      <c r="A1235"/>
      <c r="B1235"/>
      <c r="C1235" s="3"/>
      <c r="D1235"/>
      <c r="E1235"/>
      <c r="F1235"/>
      <c r="G1235" s="3"/>
      <c r="H1235" s="3"/>
      <c r="I1235" s="3"/>
      <c r="J1235" s="288"/>
      <c r="L1235" s="288"/>
      <c r="M1235" s="288"/>
      <c r="N1235" s="288"/>
      <c r="O1235" s="288"/>
      <c r="P1235" s="288"/>
      <c r="Q1235" s="288"/>
      <c r="R1235" s="283"/>
      <c r="S1235" s="280"/>
      <c r="T1235" s="276"/>
      <c r="U1235" s="276"/>
      <c r="V1235" s="276"/>
      <c r="W1235" s="283"/>
      <c r="X1235" s="280"/>
      <c r="Y1235" s="280"/>
      <c r="Z1235" s="280"/>
      <c r="AA1235" s="280"/>
      <c r="AB1235" s="280"/>
      <c r="AC1235" s="280"/>
      <c r="AD1235" s="280"/>
      <c r="AG1235" s="3"/>
      <c r="AH1235" s="3"/>
      <c r="AI1235" s="3"/>
      <c r="AJ1235" s="3"/>
      <c r="AK1235" s="3"/>
      <c r="AL1235" s="3"/>
      <c r="AM1235" s="3"/>
      <c r="AN1235" s="3"/>
      <c r="AO1235" s="3"/>
      <c r="AP1235" s="11"/>
      <c r="AQ1235" s="11"/>
      <c r="AR1235" s="3"/>
      <c r="AS1235" s="3"/>
      <c r="AT1235" s="3"/>
      <c r="AU1235" s="3"/>
      <c r="AV1235" s="3"/>
      <c r="AW1235" s="3"/>
      <c r="AX1235" s="11"/>
      <c r="AZ1235"/>
      <c r="BA1235"/>
      <c r="BB1235"/>
      <c r="BC1235"/>
    </row>
    <row r="1236" spans="1:55" s="282" customFormat="1" x14ac:dyDescent="0.25">
      <c r="A1236"/>
      <c r="B1236"/>
      <c r="C1236" s="3"/>
      <c r="D1236"/>
      <c r="E1236"/>
      <c r="F1236"/>
      <c r="G1236" s="3"/>
      <c r="H1236" s="3"/>
      <c r="I1236" s="3"/>
      <c r="J1236" s="288"/>
      <c r="L1236" s="288"/>
      <c r="M1236" s="288"/>
      <c r="N1236" s="288"/>
      <c r="O1236" s="288"/>
      <c r="P1236" s="288"/>
      <c r="Q1236" s="288"/>
      <c r="R1236" s="283"/>
      <c r="S1236" s="280"/>
      <c r="T1236" s="276"/>
      <c r="U1236" s="276"/>
      <c r="V1236" s="276"/>
      <c r="W1236" s="283"/>
      <c r="X1236" s="280"/>
      <c r="Y1236" s="280"/>
      <c r="Z1236" s="280"/>
      <c r="AA1236" s="280"/>
      <c r="AB1236" s="280"/>
      <c r="AC1236" s="280"/>
      <c r="AD1236" s="280"/>
      <c r="AG1236" s="3"/>
      <c r="AH1236" s="3"/>
      <c r="AI1236" s="3"/>
      <c r="AJ1236" s="3"/>
      <c r="AK1236" s="3"/>
      <c r="AL1236" s="3"/>
      <c r="AM1236" s="3"/>
      <c r="AN1236" s="3"/>
      <c r="AO1236" s="3"/>
      <c r="AP1236" s="11"/>
      <c r="AQ1236" s="11"/>
      <c r="AR1236" s="3"/>
      <c r="AS1236" s="3"/>
      <c r="AT1236" s="3"/>
      <c r="AU1236" s="3"/>
      <c r="AV1236" s="3"/>
      <c r="AW1236" s="3"/>
      <c r="AX1236" s="11"/>
      <c r="AZ1236"/>
      <c r="BA1236"/>
      <c r="BB1236"/>
      <c r="BC1236"/>
    </row>
    <row r="1237" spans="1:55" s="282" customFormat="1" x14ac:dyDescent="0.25">
      <c r="A1237"/>
      <c r="B1237"/>
      <c r="C1237" s="3"/>
      <c r="D1237"/>
      <c r="E1237"/>
      <c r="F1237"/>
      <c r="G1237" s="3"/>
      <c r="H1237" s="3"/>
      <c r="I1237" s="3"/>
      <c r="J1237" s="288"/>
      <c r="L1237" s="288"/>
      <c r="M1237" s="288"/>
      <c r="N1237" s="288"/>
      <c r="O1237" s="288"/>
      <c r="P1237" s="288"/>
      <c r="Q1237" s="288"/>
      <c r="R1237" s="283"/>
      <c r="S1237" s="280"/>
      <c r="T1237" s="276"/>
      <c r="U1237" s="276"/>
      <c r="V1237" s="276"/>
      <c r="W1237" s="283"/>
      <c r="X1237" s="280"/>
      <c r="Y1237" s="280"/>
      <c r="Z1237" s="280"/>
      <c r="AA1237" s="280"/>
      <c r="AB1237" s="280"/>
      <c r="AC1237" s="280"/>
      <c r="AD1237" s="280"/>
      <c r="AG1237" s="3"/>
      <c r="AH1237" s="3"/>
      <c r="AI1237" s="3"/>
      <c r="AJ1237" s="3"/>
      <c r="AK1237" s="3"/>
      <c r="AL1237" s="3"/>
      <c r="AM1237" s="3"/>
      <c r="AN1237" s="3"/>
      <c r="AO1237" s="3"/>
      <c r="AP1237" s="11"/>
      <c r="AQ1237" s="11"/>
      <c r="AR1237" s="3"/>
      <c r="AS1237" s="3"/>
      <c r="AT1237" s="3"/>
      <c r="AU1237" s="3"/>
      <c r="AV1237" s="3"/>
      <c r="AW1237" s="3"/>
      <c r="AX1237" s="11"/>
      <c r="AZ1237"/>
      <c r="BA1237"/>
      <c r="BB1237"/>
      <c r="BC1237"/>
    </row>
    <row r="1238" spans="1:55" s="282" customFormat="1" x14ac:dyDescent="0.25">
      <c r="A1238"/>
      <c r="B1238"/>
      <c r="C1238" s="3"/>
      <c r="D1238"/>
      <c r="E1238"/>
      <c r="F1238"/>
      <c r="G1238" s="3"/>
      <c r="H1238" s="3"/>
      <c r="I1238" s="3"/>
      <c r="J1238" s="288"/>
      <c r="L1238" s="288"/>
      <c r="M1238" s="288"/>
      <c r="N1238" s="288"/>
      <c r="O1238" s="288"/>
      <c r="P1238" s="288"/>
      <c r="Q1238" s="288"/>
      <c r="R1238" s="283"/>
      <c r="S1238" s="280"/>
      <c r="T1238" s="276"/>
      <c r="U1238" s="276"/>
      <c r="V1238" s="276"/>
      <c r="W1238" s="283"/>
      <c r="X1238" s="280"/>
      <c r="Y1238" s="280"/>
      <c r="Z1238" s="280"/>
      <c r="AA1238" s="280"/>
      <c r="AB1238" s="280"/>
      <c r="AC1238" s="280"/>
      <c r="AD1238" s="280"/>
      <c r="AG1238" s="3"/>
      <c r="AH1238" s="3"/>
      <c r="AI1238" s="3"/>
      <c r="AJ1238" s="3"/>
      <c r="AK1238" s="3"/>
      <c r="AL1238" s="3"/>
      <c r="AM1238" s="3"/>
      <c r="AN1238" s="3"/>
      <c r="AO1238" s="3"/>
      <c r="AP1238" s="11"/>
      <c r="AQ1238" s="11"/>
      <c r="AR1238" s="3"/>
      <c r="AS1238" s="3"/>
      <c r="AT1238" s="3"/>
      <c r="AU1238" s="3"/>
      <c r="AV1238" s="3"/>
      <c r="AW1238" s="3"/>
      <c r="AX1238" s="11"/>
      <c r="AZ1238"/>
      <c r="BA1238"/>
      <c r="BB1238"/>
      <c r="BC1238"/>
    </row>
    <row r="1239" spans="1:55" s="282" customFormat="1" x14ac:dyDescent="0.25">
      <c r="A1239"/>
      <c r="B1239"/>
      <c r="C1239" s="3"/>
      <c r="D1239"/>
      <c r="E1239"/>
      <c r="F1239"/>
      <c r="G1239" s="3"/>
      <c r="H1239" s="3"/>
      <c r="I1239" s="3"/>
      <c r="J1239" s="288"/>
      <c r="L1239" s="288"/>
      <c r="M1239" s="288"/>
      <c r="N1239" s="288"/>
      <c r="O1239" s="288"/>
      <c r="P1239" s="288"/>
      <c r="Q1239" s="288"/>
      <c r="R1239" s="283"/>
      <c r="S1239" s="280"/>
      <c r="T1239" s="276"/>
      <c r="U1239" s="276"/>
      <c r="V1239" s="276"/>
      <c r="W1239" s="283"/>
      <c r="X1239" s="280"/>
      <c r="Y1239" s="280"/>
      <c r="Z1239" s="280"/>
      <c r="AA1239" s="280"/>
      <c r="AB1239" s="280"/>
      <c r="AC1239" s="280"/>
      <c r="AD1239" s="280"/>
      <c r="AG1239" s="3"/>
      <c r="AH1239" s="3"/>
      <c r="AI1239" s="3"/>
      <c r="AJ1239" s="3"/>
      <c r="AK1239" s="3"/>
      <c r="AL1239" s="3"/>
      <c r="AM1239" s="3"/>
      <c r="AN1239" s="3"/>
      <c r="AO1239" s="3"/>
      <c r="AP1239" s="11"/>
      <c r="AQ1239" s="11"/>
      <c r="AR1239" s="3"/>
      <c r="AS1239" s="3"/>
      <c r="AT1239" s="3"/>
      <c r="AU1239" s="3"/>
      <c r="AV1239" s="3"/>
      <c r="AW1239" s="3"/>
      <c r="AX1239" s="11"/>
      <c r="AZ1239"/>
      <c r="BA1239"/>
      <c r="BB1239"/>
      <c r="BC1239"/>
    </row>
    <row r="1240" spans="1:55" s="282" customFormat="1" x14ac:dyDescent="0.25">
      <c r="A1240"/>
      <c r="B1240"/>
      <c r="C1240" s="3"/>
      <c r="D1240"/>
      <c r="E1240"/>
      <c r="F1240"/>
      <c r="G1240" s="3"/>
      <c r="H1240" s="3"/>
      <c r="I1240" s="3"/>
      <c r="J1240" s="288"/>
      <c r="L1240" s="288"/>
      <c r="M1240" s="288"/>
      <c r="N1240" s="288"/>
      <c r="O1240" s="288"/>
      <c r="P1240" s="288"/>
      <c r="Q1240" s="288"/>
      <c r="R1240" s="283"/>
      <c r="S1240" s="280"/>
      <c r="T1240" s="276"/>
      <c r="U1240" s="276"/>
      <c r="V1240" s="276"/>
      <c r="W1240" s="283"/>
      <c r="X1240" s="280"/>
      <c r="Y1240" s="280"/>
      <c r="Z1240" s="280"/>
      <c r="AA1240" s="280"/>
      <c r="AB1240" s="280"/>
      <c r="AC1240" s="280"/>
      <c r="AD1240" s="280"/>
      <c r="AG1240" s="3"/>
      <c r="AH1240" s="3"/>
      <c r="AI1240" s="3"/>
      <c r="AJ1240" s="3"/>
      <c r="AK1240" s="3"/>
      <c r="AL1240" s="3"/>
      <c r="AM1240" s="3"/>
      <c r="AN1240" s="3"/>
      <c r="AO1240" s="3"/>
      <c r="AP1240" s="11"/>
      <c r="AQ1240" s="11"/>
      <c r="AR1240" s="3"/>
      <c r="AS1240" s="3"/>
      <c r="AT1240" s="3"/>
      <c r="AU1240" s="3"/>
      <c r="AV1240" s="3"/>
      <c r="AW1240" s="3"/>
      <c r="AX1240" s="11"/>
      <c r="AZ1240"/>
      <c r="BA1240"/>
      <c r="BB1240"/>
      <c r="BC1240"/>
    </row>
    <row r="1241" spans="1:55" s="282" customFormat="1" x14ac:dyDescent="0.25">
      <c r="A1241"/>
      <c r="B1241"/>
      <c r="C1241" s="3"/>
      <c r="D1241"/>
      <c r="E1241"/>
      <c r="F1241"/>
      <c r="G1241" s="3"/>
      <c r="H1241" s="3"/>
      <c r="I1241" s="3"/>
      <c r="J1241" s="288"/>
      <c r="L1241" s="288"/>
      <c r="M1241" s="288"/>
      <c r="N1241" s="288"/>
      <c r="O1241" s="288"/>
      <c r="P1241" s="288"/>
      <c r="Q1241" s="288"/>
      <c r="R1241" s="283"/>
      <c r="S1241" s="280"/>
      <c r="T1241" s="276"/>
      <c r="U1241" s="276"/>
      <c r="V1241" s="276"/>
      <c r="W1241" s="283"/>
      <c r="X1241" s="280"/>
      <c r="Y1241" s="280"/>
      <c r="Z1241" s="280"/>
      <c r="AA1241" s="280"/>
      <c r="AB1241" s="280"/>
      <c r="AC1241" s="280"/>
      <c r="AD1241" s="280"/>
      <c r="AG1241" s="3"/>
      <c r="AH1241" s="3"/>
      <c r="AI1241" s="3"/>
      <c r="AJ1241" s="3"/>
      <c r="AK1241" s="3"/>
      <c r="AL1241" s="3"/>
      <c r="AM1241" s="3"/>
      <c r="AN1241" s="3"/>
      <c r="AO1241" s="3"/>
      <c r="AP1241" s="11"/>
      <c r="AQ1241" s="11"/>
      <c r="AR1241" s="3"/>
      <c r="AS1241" s="3"/>
      <c r="AT1241" s="3"/>
      <c r="AU1241" s="3"/>
      <c r="AV1241" s="3"/>
      <c r="AW1241" s="3"/>
      <c r="AX1241" s="11"/>
      <c r="AZ1241"/>
      <c r="BA1241"/>
      <c r="BB1241"/>
      <c r="BC1241"/>
    </row>
    <row r="1242" spans="1:55" s="282" customFormat="1" x14ac:dyDescent="0.25">
      <c r="A1242"/>
      <c r="B1242"/>
      <c r="C1242" s="3"/>
      <c r="D1242"/>
      <c r="E1242"/>
      <c r="F1242"/>
      <c r="G1242" s="3"/>
      <c r="H1242" s="3"/>
      <c r="I1242" s="3"/>
      <c r="J1242" s="288"/>
      <c r="L1242" s="288"/>
      <c r="M1242" s="288"/>
      <c r="N1242" s="288"/>
      <c r="O1242" s="288"/>
      <c r="P1242" s="288"/>
      <c r="Q1242" s="288"/>
      <c r="R1242" s="283"/>
      <c r="S1242" s="280"/>
      <c r="T1242" s="276"/>
      <c r="U1242" s="276"/>
      <c r="V1242" s="276"/>
      <c r="W1242" s="283"/>
      <c r="X1242" s="280"/>
      <c r="Y1242" s="280"/>
      <c r="Z1242" s="280"/>
      <c r="AA1242" s="280"/>
      <c r="AB1242" s="280"/>
      <c r="AC1242" s="280"/>
      <c r="AD1242" s="280"/>
      <c r="AG1242" s="3"/>
      <c r="AH1242" s="3"/>
      <c r="AI1242" s="3"/>
      <c r="AJ1242" s="3"/>
      <c r="AK1242" s="3"/>
      <c r="AL1242" s="3"/>
      <c r="AM1242" s="3"/>
      <c r="AN1242" s="3"/>
      <c r="AO1242" s="3"/>
      <c r="AP1242" s="11"/>
      <c r="AQ1242" s="11"/>
      <c r="AR1242" s="3"/>
      <c r="AS1242" s="3"/>
      <c r="AT1242" s="3"/>
      <c r="AU1242" s="3"/>
      <c r="AV1242" s="3"/>
      <c r="AW1242" s="3"/>
      <c r="AX1242" s="11"/>
      <c r="AZ1242"/>
      <c r="BA1242"/>
      <c r="BB1242"/>
      <c r="BC1242"/>
    </row>
    <row r="1243" spans="1:55" s="282" customFormat="1" x14ac:dyDescent="0.25">
      <c r="A1243"/>
      <c r="B1243"/>
      <c r="C1243" s="3"/>
      <c r="D1243"/>
      <c r="E1243"/>
      <c r="F1243"/>
      <c r="G1243" s="3"/>
      <c r="H1243" s="3"/>
      <c r="I1243" s="3"/>
      <c r="J1243" s="288"/>
      <c r="L1243" s="288"/>
      <c r="M1243" s="288"/>
      <c r="N1243" s="288"/>
      <c r="O1243" s="288"/>
      <c r="P1243" s="288"/>
      <c r="Q1243" s="288"/>
      <c r="R1243" s="283"/>
      <c r="S1243" s="280"/>
      <c r="T1243" s="276"/>
      <c r="U1243" s="276"/>
      <c r="V1243" s="276"/>
      <c r="W1243" s="283"/>
      <c r="X1243" s="280"/>
      <c r="Y1243" s="280"/>
      <c r="Z1243" s="280"/>
      <c r="AA1243" s="280"/>
      <c r="AB1243" s="280"/>
      <c r="AC1243" s="280"/>
      <c r="AD1243" s="280"/>
      <c r="AG1243" s="3"/>
      <c r="AH1243" s="3"/>
      <c r="AI1243" s="3"/>
      <c r="AJ1243" s="3"/>
      <c r="AK1243" s="3"/>
      <c r="AL1243" s="3"/>
      <c r="AM1243" s="3"/>
      <c r="AN1243" s="3"/>
      <c r="AO1243" s="3"/>
      <c r="AP1243" s="11"/>
      <c r="AQ1243" s="11"/>
      <c r="AR1243" s="3"/>
      <c r="AS1243" s="3"/>
      <c r="AT1243" s="3"/>
      <c r="AU1243" s="3"/>
      <c r="AV1243" s="3"/>
      <c r="AW1243" s="3"/>
      <c r="AX1243" s="11"/>
      <c r="AZ1243"/>
      <c r="BA1243"/>
      <c r="BB1243"/>
      <c r="BC1243"/>
    </row>
    <row r="1244" spans="1:55" s="282" customFormat="1" x14ac:dyDescent="0.25">
      <c r="A1244"/>
      <c r="B1244"/>
      <c r="C1244" s="3"/>
      <c r="D1244"/>
      <c r="E1244"/>
      <c r="F1244"/>
      <c r="G1244" s="3"/>
      <c r="H1244" s="3"/>
      <c r="I1244" s="3"/>
      <c r="J1244" s="288"/>
      <c r="L1244" s="288"/>
      <c r="M1244" s="288"/>
      <c r="N1244" s="288"/>
      <c r="O1244" s="288"/>
      <c r="P1244" s="288"/>
      <c r="Q1244" s="288"/>
      <c r="R1244" s="283"/>
      <c r="S1244" s="280"/>
      <c r="T1244" s="276"/>
      <c r="U1244" s="276"/>
      <c r="V1244" s="276"/>
      <c r="W1244" s="283"/>
      <c r="X1244" s="280"/>
      <c r="Y1244" s="280"/>
      <c r="Z1244" s="280"/>
      <c r="AA1244" s="280"/>
      <c r="AB1244" s="280"/>
      <c r="AC1244" s="280"/>
      <c r="AD1244" s="280"/>
      <c r="AG1244" s="3"/>
      <c r="AH1244" s="3"/>
      <c r="AI1244" s="3"/>
      <c r="AJ1244" s="3"/>
      <c r="AK1244" s="3"/>
      <c r="AL1244" s="3"/>
      <c r="AM1244" s="3"/>
      <c r="AN1244" s="3"/>
      <c r="AO1244" s="3"/>
      <c r="AP1244" s="11"/>
      <c r="AQ1244" s="11"/>
      <c r="AR1244" s="3"/>
      <c r="AS1244" s="3"/>
      <c r="AT1244" s="3"/>
      <c r="AU1244" s="3"/>
      <c r="AV1244" s="3"/>
      <c r="AW1244" s="3"/>
      <c r="AX1244" s="11"/>
      <c r="AZ1244"/>
      <c r="BA1244"/>
      <c r="BB1244"/>
      <c r="BC1244"/>
    </row>
    <row r="1245" spans="1:55" s="282" customFormat="1" x14ac:dyDescent="0.25">
      <c r="A1245"/>
      <c r="B1245"/>
      <c r="C1245" s="3"/>
      <c r="D1245"/>
      <c r="E1245"/>
      <c r="F1245"/>
      <c r="G1245" s="3"/>
      <c r="H1245" s="3"/>
      <c r="I1245" s="3"/>
      <c r="J1245" s="288"/>
      <c r="L1245" s="288"/>
      <c r="M1245" s="288"/>
      <c r="N1245" s="288"/>
      <c r="O1245" s="288"/>
      <c r="P1245" s="288"/>
      <c r="Q1245" s="288"/>
      <c r="R1245" s="283"/>
      <c r="S1245" s="280"/>
      <c r="T1245" s="276"/>
      <c r="U1245" s="276"/>
      <c r="V1245" s="276"/>
      <c r="W1245" s="283"/>
      <c r="X1245" s="280"/>
      <c r="Y1245" s="280"/>
      <c r="Z1245" s="280"/>
      <c r="AA1245" s="280"/>
      <c r="AB1245" s="280"/>
      <c r="AC1245" s="280"/>
      <c r="AD1245" s="280"/>
      <c r="AG1245" s="3"/>
      <c r="AH1245" s="3"/>
      <c r="AI1245" s="3"/>
      <c r="AJ1245" s="3"/>
      <c r="AK1245" s="3"/>
      <c r="AL1245" s="3"/>
      <c r="AM1245" s="3"/>
      <c r="AN1245" s="3"/>
      <c r="AO1245" s="3"/>
      <c r="AP1245" s="11"/>
      <c r="AQ1245" s="11"/>
      <c r="AR1245" s="3"/>
      <c r="AS1245" s="3"/>
      <c r="AT1245" s="3"/>
      <c r="AU1245" s="3"/>
      <c r="AV1245" s="3"/>
      <c r="AW1245" s="3"/>
      <c r="AX1245" s="11"/>
      <c r="AZ1245"/>
      <c r="BA1245"/>
      <c r="BB1245"/>
      <c r="BC1245"/>
    </row>
    <row r="1246" spans="1:55" s="282" customFormat="1" x14ac:dyDescent="0.25">
      <c r="A1246"/>
      <c r="B1246"/>
      <c r="C1246" s="3"/>
      <c r="D1246"/>
      <c r="E1246"/>
      <c r="F1246"/>
      <c r="G1246" s="3"/>
      <c r="H1246" s="3"/>
      <c r="I1246" s="3"/>
      <c r="J1246" s="288"/>
      <c r="L1246" s="288"/>
      <c r="M1246" s="288"/>
      <c r="N1246" s="288"/>
      <c r="O1246" s="288"/>
      <c r="P1246" s="288"/>
      <c r="Q1246" s="288"/>
      <c r="R1246" s="283"/>
      <c r="S1246" s="280"/>
      <c r="T1246" s="276"/>
      <c r="U1246" s="276"/>
      <c r="V1246" s="276"/>
      <c r="W1246" s="283"/>
      <c r="X1246" s="280"/>
      <c r="Y1246" s="280"/>
      <c r="Z1246" s="280"/>
      <c r="AA1246" s="280"/>
      <c r="AB1246" s="280"/>
      <c r="AC1246" s="280"/>
      <c r="AD1246" s="280"/>
      <c r="AG1246" s="3"/>
      <c r="AH1246" s="3"/>
      <c r="AI1246" s="3"/>
      <c r="AJ1246" s="3"/>
      <c r="AK1246" s="3"/>
      <c r="AL1246" s="3"/>
      <c r="AM1246" s="3"/>
      <c r="AN1246" s="3"/>
      <c r="AO1246" s="3"/>
      <c r="AP1246" s="11"/>
      <c r="AQ1246" s="11"/>
      <c r="AR1246" s="3"/>
      <c r="AS1246" s="3"/>
      <c r="AT1246" s="3"/>
      <c r="AU1246" s="3"/>
      <c r="AV1246" s="3"/>
      <c r="AW1246" s="3"/>
      <c r="AX1246" s="11"/>
      <c r="AZ1246"/>
      <c r="BA1246"/>
      <c r="BB1246"/>
      <c r="BC1246"/>
    </row>
    <row r="1247" spans="1:55" s="282" customFormat="1" x14ac:dyDescent="0.25">
      <c r="A1247"/>
      <c r="B1247"/>
      <c r="C1247" s="3"/>
      <c r="D1247"/>
      <c r="E1247"/>
      <c r="F1247"/>
      <c r="G1247" s="3"/>
      <c r="H1247" s="3"/>
      <c r="I1247" s="3"/>
      <c r="J1247" s="288"/>
      <c r="L1247" s="288"/>
      <c r="M1247" s="288"/>
      <c r="N1247" s="288"/>
      <c r="O1247" s="288"/>
      <c r="P1247" s="288"/>
      <c r="Q1247" s="288"/>
      <c r="R1247" s="283"/>
      <c r="S1247" s="280"/>
      <c r="T1247" s="276"/>
      <c r="U1247" s="276"/>
      <c r="V1247" s="276"/>
      <c r="W1247" s="283"/>
      <c r="X1247" s="280"/>
      <c r="Y1247" s="280"/>
      <c r="Z1247" s="280"/>
      <c r="AA1247" s="280"/>
      <c r="AB1247" s="280"/>
      <c r="AC1247" s="280"/>
      <c r="AD1247" s="280"/>
      <c r="AG1247" s="3"/>
      <c r="AH1247" s="3"/>
      <c r="AI1247" s="3"/>
      <c r="AJ1247" s="3"/>
      <c r="AK1247" s="3"/>
      <c r="AL1247" s="3"/>
      <c r="AM1247" s="3"/>
      <c r="AN1247" s="3"/>
      <c r="AO1247" s="3"/>
      <c r="AP1247" s="11"/>
      <c r="AQ1247" s="11"/>
      <c r="AR1247" s="3"/>
      <c r="AS1247" s="3"/>
      <c r="AT1247" s="3"/>
      <c r="AU1247" s="3"/>
      <c r="AV1247" s="3"/>
      <c r="AW1247" s="3"/>
      <c r="AX1247" s="11"/>
      <c r="AZ1247"/>
      <c r="BA1247"/>
      <c r="BB1247"/>
      <c r="BC1247"/>
    </row>
    <row r="1248" spans="1:55" s="282" customFormat="1" x14ac:dyDescent="0.25">
      <c r="A1248"/>
      <c r="B1248"/>
      <c r="C1248" s="3"/>
      <c r="D1248"/>
      <c r="E1248"/>
      <c r="F1248"/>
      <c r="G1248" s="3"/>
      <c r="H1248" s="3"/>
      <c r="I1248" s="3"/>
      <c r="J1248" s="288"/>
      <c r="L1248" s="288"/>
      <c r="M1248" s="288"/>
      <c r="N1248" s="288"/>
      <c r="O1248" s="288"/>
      <c r="P1248" s="288"/>
      <c r="Q1248" s="288"/>
      <c r="R1248" s="283"/>
      <c r="S1248" s="280"/>
      <c r="T1248" s="276"/>
      <c r="U1248" s="276"/>
      <c r="V1248" s="276"/>
      <c r="W1248" s="283"/>
      <c r="X1248" s="280"/>
      <c r="Y1248" s="280"/>
      <c r="Z1248" s="280"/>
      <c r="AA1248" s="280"/>
      <c r="AB1248" s="280"/>
      <c r="AC1248" s="280"/>
      <c r="AD1248" s="280"/>
      <c r="AG1248" s="3"/>
      <c r="AH1248" s="3"/>
      <c r="AI1248" s="3"/>
      <c r="AJ1248" s="3"/>
      <c r="AK1248" s="3"/>
      <c r="AL1248" s="3"/>
      <c r="AM1248" s="3"/>
      <c r="AN1248" s="3"/>
      <c r="AO1248" s="3"/>
      <c r="AP1248" s="11"/>
      <c r="AQ1248" s="11"/>
      <c r="AR1248" s="3"/>
      <c r="AS1248" s="3"/>
      <c r="AT1248" s="3"/>
      <c r="AU1248" s="3"/>
      <c r="AV1248" s="3"/>
      <c r="AW1248" s="3"/>
      <c r="AX1248" s="11"/>
      <c r="AZ1248"/>
      <c r="BA1248"/>
      <c r="BB1248"/>
      <c r="BC1248"/>
    </row>
    <row r="1249" spans="1:55" s="282" customFormat="1" x14ac:dyDescent="0.25">
      <c r="A1249"/>
      <c r="B1249"/>
      <c r="C1249" s="3"/>
      <c r="D1249"/>
      <c r="E1249"/>
      <c r="F1249"/>
      <c r="G1249" s="3"/>
      <c r="H1249" s="3"/>
      <c r="I1249" s="3"/>
      <c r="J1249" s="288"/>
      <c r="L1249" s="288"/>
      <c r="M1249" s="288"/>
      <c r="N1249" s="288"/>
      <c r="O1249" s="288"/>
      <c r="P1249" s="288"/>
      <c r="Q1249" s="288"/>
      <c r="R1249" s="283"/>
      <c r="S1249" s="280"/>
      <c r="T1249" s="276"/>
      <c r="U1249" s="276"/>
      <c r="V1249" s="276"/>
      <c r="W1249" s="283"/>
      <c r="X1249" s="280"/>
      <c r="Y1249" s="280"/>
      <c r="Z1249" s="280"/>
      <c r="AA1249" s="280"/>
      <c r="AB1249" s="280"/>
      <c r="AC1249" s="280"/>
      <c r="AD1249" s="280"/>
      <c r="AG1249" s="3"/>
      <c r="AH1249" s="3"/>
      <c r="AI1249" s="3"/>
      <c r="AJ1249" s="3"/>
      <c r="AK1249" s="3"/>
      <c r="AL1249" s="3"/>
      <c r="AM1249" s="3"/>
      <c r="AN1249" s="3"/>
      <c r="AO1249" s="3"/>
      <c r="AP1249" s="11"/>
      <c r="AQ1249" s="11"/>
      <c r="AR1249" s="3"/>
      <c r="AS1249" s="3"/>
      <c r="AT1249" s="3"/>
      <c r="AU1249" s="3"/>
      <c r="AV1249" s="3"/>
      <c r="AW1249" s="3"/>
      <c r="AX1249" s="11"/>
      <c r="AZ1249"/>
      <c r="BA1249"/>
      <c r="BB1249"/>
      <c r="BC1249"/>
    </row>
    <row r="1250" spans="1:55" s="282" customFormat="1" x14ac:dyDescent="0.25">
      <c r="A1250"/>
      <c r="B1250"/>
      <c r="C1250" s="3"/>
      <c r="D1250"/>
      <c r="E1250"/>
      <c r="F1250"/>
      <c r="G1250" s="3"/>
      <c r="H1250" s="3"/>
      <c r="I1250" s="3"/>
      <c r="J1250" s="288"/>
      <c r="L1250" s="288"/>
      <c r="M1250" s="288"/>
      <c r="N1250" s="288"/>
      <c r="O1250" s="288"/>
      <c r="P1250" s="288"/>
      <c r="Q1250" s="288"/>
      <c r="R1250" s="283"/>
      <c r="S1250" s="280"/>
      <c r="T1250" s="276"/>
      <c r="U1250" s="276"/>
      <c r="V1250" s="276"/>
      <c r="W1250" s="283"/>
      <c r="X1250" s="280"/>
      <c r="Y1250" s="280"/>
      <c r="Z1250" s="280"/>
      <c r="AA1250" s="280"/>
      <c r="AB1250" s="280"/>
      <c r="AC1250" s="280"/>
      <c r="AD1250" s="280"/>
      <c r="AG1250" s="3"/>
      <c r="AH1250" s="3"/>
      <c r="AI1250" s="3"/>
      <c r="AJ1250" s="3"/>
      <c r="AK1250" s="3"/>
      <c r="AL1250" s="3"/>
      <c r="AM1250" s="3"/>
      <c r="AN1250" s="3"/>
      <c r="AO1250" s="3"/>
      <c r="AP1250" s="11"/>
      <c r="AQ1250" s="11"/>
      <c r="AR1250" s="3"/>
      <c r="AS1250" s="3"/>
      <c r="AT1250" s="3"/>
      <c r="AU1250" s="3"/>
      <c r="AV1250" s="3"/>
      <c r="AW1250" s="3"/>
      <c r="AX1250" s="11"/>
      <c r="AZ1250"/>
      <c r="BA1250"/>
      <c r="BB1250"/>
      <c r="BC1250"/>
    </row>
    <row r="1251" spans="1:55" s="282" customFormat="1" x14ac:dyDescent="0.25">
      <c r="A1251"/>
      <c r="B1251"/>
      <c r="C1251" s="3"/>
      <c r="D1251"/>
      <c r="E1251"/>
      <c r="F1251"/>
      <c r="G1251" s="3"/>
      <c r="H1251" s="3"/>
      <c r="I1251" s="3"/>
      <c r="J1251" s="288"/>
      <c r="L1251" s="288"/>
      <c r="M1251" s="288"/>
      <c r="N1251" s="288"/>
      <c r="O1251" s="288"/>
      <c r="P1251" s="288"/>
      <c r="Q1251" s="288"/>
      <c r="R1251" s="283"/>
      <c r="S1251" s="280"/>
      <c r="T1251" s="276"/>
      <c r="U1251" s="276"/>
      <c r="V1251" s="276"/>
      <c r="W1251" s="283"/>
      <c r="X1251" s="280"/>
      <c r="Y1251" s="280"/>
      <c r="Z1251" s="280"/>
      <c r="AA1251" s="280"/>
      <c r="AB1251" s="280"/>
      <c r="AC1251" s="280"/>
      <c r="AD1251" s="280"/>
      <c r="AG1251" s="3"/>
      <c r="AH1251" s="3"/>
      <c r="AI1251" s="3"/>
      <c r="AJ1251" s="3"/>
      <c r="AK1251" s="3"/>
      <c r="AL1251" s="3"/>
      <c r="AM1251" s="3"/>
      <c r="AN1251" s="3"/>
      <c r="AO1251" s="3"/>
      <c r="AP1251" s="11"/>
      <c r="AQ1251" s="11"/>
      <c r="AR1251" s="3"/>
      <c r="AS1251" s="3"/>
      <c r="AT1251" s="3"/>
      <c r="AU1251" s="3"/>
      <c r="AV1251" s="3"/>
      <c r="AW1251" s="3"/>
      <c r="AX1251" s="11"/>
      <c r="AZ1251"/>
      <c r="BA1251"/>
      <c r="BB1251"/>
      <c r="BC1251"/>
    </row>
    <row r="1252" spans="1:55" s="282" customFormat="1" x14ac:dyDescent="0.25">
      <c r="A1252"/>
      <c r="B1252"/>
      <c r="C1252" s="3"/>
      <c r="D1252"/>
      <c r="E1252"/>
      <c r="F1252"/>
      <c r="G1252" s="3"/>
      <c r="H1252" s="3"/>
      <c r="I1252" s="3"/>
      <c r="J1252" s="288"/>
      <c r="L1252" s="288"/>
      <c r="M1252" s="288"/>
      <c r="N1252" s="288"/>
      <c r="O1252" s="288"/>
      <c r="P1252" s="288"/>
      <c r="Q1252" s="288"/>
      <c r="R1252" s="283"/>
      <c r="S1252" s="280"/>
      <c r="T1252" s="276"/>
      <c r="U1252" s="276"/>
      <c r="V1252" s="276"/>
      <c r="W1252" s="283"/>
      <c r="X1252" s="280"/>
      <c r="Y1252" s="280"/>
      <c r="Z1252" s="280"/>
      <c r="AA1252" s="280"/>
      <c r="AB1252" s="280"/>
      <c r="AC1252" s="280"/>
      <c r="AD1252" s="280"/>
      <c r="AG1252" s="3"/>
      <c r="AH1252" s="3"/>
      <c r="AI1252" s="3"/>
      <c r="AJ1252" s="3"/>
      <c r="AK1252" s="3"/>
      <c r="AL1252" s="3"/>
      <c r="AM1252" s="3"/>
      <c r="AN1252" s="3"/>
      <c r="AO1252" s="3"/>
      <c r="AP1252" s="11"/>
      <c r="AQ1252" s="11"/>
      <c r="AR1252" s="3"/>
      <c r="AS1252" s="3"/>
      <c r="AT1252" s="3"/>
      <c r="AU1252" s="3"/>
      <c r="AV1252" s="3"/>
      <c r="AW1252" s="3"/>
      <c r="AX1252" s="11"/>
      <c r="AZ1252"/>
      <c r="BA1252"/>
      <c r="BB1252"/>
      <c r="BC1252"/>
    </row>
    <row r="1253" spans="1:55" s="282" customFormat="1" x14ac:dyDescent="0.25">
      <c r="A1253"/>
      <c r="B1253"/>
      <c r="C1253" s="3"/>
      <c r="D1253"/>
      <c r="E1253"/>
      <c r="F1253"/>
      <c r="G1253" s="3"/>
      <c r="H1253" s="3"/>
      <c r="I1253" s="3"/>
      <c r="J1253" s="288"/>
      <c r="L1253" s="288"/>
      <c r="M1253" s="288"/>
      <c r="N1253" s="288"/>
      <c r="O1253" s="288"/>
      <c r="P1253" s="288"/>
      <c r="Q1253" s="288"/>
      <c r="R1253" s="283"/>
      <c r="S1253" s="280"/>
      <c r="T1253" s="276"/>
      <c r="U1253" s="276"/>
      <c r="V1253" s="276"/>
      <c r="W1253" s="283"/>
      <c r="X1253" s="280"/>
      <c r="Y1253" s="280"/>
      <c r="Z1253" s="280"/>
      <c r="AA1253" s="280"/>
      <c r="AB1253" s="280"/>
      <c r="AC1253" s="280"/>
      <c r="AD1253" s="280"/>
      <c r="AG1253" s="3"/>
      <c r="AH1253" s="3"/>
      <c r="AI1253" s="3"/>
      <c r="AJ1253" s="3"/>
      <c r="AK1253" s="3"/>
      <c r="AL1253" s="3"/>
      <c r="AM1253" s="3"/>
      <c r="AN1253" s="3"/>
      <c r="AO1253" s="3"/>
      <c r="AP1253" s="11"/>
      <c r="AQ1253" s="11"/>
      <c r="AR1253" s="3"/>
      <c r="AS1253" s="3"/>
      <c r="AT1253" s="3"/>
      <c r="AU1253" s="3"/>
      <c r="AV1253" s="3"/>
      <c r="AW1253" s="3"/>
      <c r="AX1253" s="11"/>
      <c r="AZ1253"/>
      <c r="BA1253"/>
      <c r="BB1253"/>
      <c r="BC1253"/>
    </row>
    <row r="1254" spans="1:55" s="282" customFormat="1" x14ac:dyDescent="0.25">
      <c r="A1254"/>
      <c r="B1254"/>
      <c r="C1254" s="3"/>
      <c r="D1254"/>
      <c r="E1254"/>
      <c r="F1254"/>
      <c r="G1254" s="3"/>
      <c r="H1254" s="3"/>
      <c r="I1254" s="3"/>
      <c r="J1254" s="288"/>
      <c r="L1254" s="288"/>
      <c r="M1254" s="288"/>
      <c r="N1254" s="288"/>
      <c r="O1254" s="288"/>
      <c r="P1254" s="288"/>
      <c r="Q1254" s="288"/>
      <c r="R1254" s="283"/>
      <c r="S1254" s="280"/>
      <c r="T1254" s="276"/>
      <c r="U1254" s="276"/>
      <c r="V1254" s="276"/>
      <c r="W1254" s="283"/>
      <c r="X1254" s="280"/>
      <c r="Y1254" s="280"/>
      <c r="Z1254" s="280"/>
      <c r="AA1254" s="280"/>
      <c r="AB1254" s="280"/>
      <c r="AC1254" s="280"/>
      <c r="AD1254" s="280"/>
      <c r="AG1254" s="3"/>
      <c r="AH1254" s="3"/>
      <c r="AI1254" s="3"/>
      <c r="AJ1254" s="3"/>
      <c r="AK1254" s="3"/>
      <c r="AL1254" s="3"/>
      <c r="AM1254" s="3"/>
      <c r="AN1254" s="3"/>
      <c r="AO1254" s="3"/>
      <c r="AP1254" s="11"/>
      <c r="AQ1254" s="11"/>
      <c r="AR1254" s="3"/>
      <c r="AS1254" s="3"/>
      <c r="AT1254" s="3"/>
      <c r="AU1254" s="3"/>
      <c r="AV1254" s="3"/>
      <c r="AW1254" s="3"/>
      <c r="AX1254" s="11"/>
      <c r="AZ1254"/>
      <c r="BA1254"/>
      <c r="BB1254"/>
      <c r="BC1254"/>
    </row>
    <row r="1255" spans="1:55" s="282" customFormat="1" x14ac:dyDescent="0.25">
      <c r="A1255"/>
      <c r="B1255"/>
      <c r="C1255" s="3"/>
      <c r="D1255"/>
      <c r="E1255"/>
      <c r="F1255"/>
      <c r="G1255" s="3"/>
      <c r="H1255" s="3"/>
      <c r="I1255" s="3"/>
      <c r="J1255" s="288"/>
      <c r="L1255" s="288"/>
      <c r="M1255" s="288"/>
      <c r="N1255" s="288"/>
      <c r="O1255" s="288"/>
      <c r="P1255" s="288"/>
      <c r="Q1255" s="288"/>
      <c r="R1255" s="283"/>
      <c r="S1255" s="280"/>
      <c r="T1255" s="276"/>
      <c r="U1255" s="276"/>
      <c r="V1255" s="276"/>
      <c r="W1255" s="283"/>
      <c r="X1255" s="280"/>
      <c r="Y1255" s="280"/>
      <c r="Z1255" s="280"/>
      <c r="AA1255" s="280"/>
      <c r="AB1255" s="280"/>
      <c r="AC1255" s="280"/>
      <c r="AD1255" s="280"/>
      <c r="AG1255" s="3"/>
      <c r="AH1255" s="3"/>
      <c r="AI1255" s="3"/>
      <c r="AJ1255" s="3"/>
      <c r="AK1255" s="3"/>
      <c r="AL1255" s="3"/>
      <c r="AM1255" s="3"/>
      <c r="AN1255" s="3"/>
      <c r="AO1255" s="3"/>
      <c r="AP1255" s="11"/>
      <c r="AQ1255" s="11"/>
      <c r="AR1255" s="3"/>
      <c r="AS1255" s="3"/>
      <c r="AT1255" s="3"/>
      <c r="AU1255" s="3"/>
      <c r="AV1255" s="3"/>
      <c r="AW1255" s="3"/>
      <c r="AX1255" s="11"/>
      <c r="AZ1255"/>
      <c r="BA1255"/>
      <c r="BB1255"/>
      <c r="BC1255"/>
    </row>
    <row r="1256" spans="1:55" s="282" customFormat="1" x14ac:dyDescent="0.25">
      <c r="A1256"/>
      <c r="B1256"/>
      <c r="C1256" s="3"/>
      <c r="D1256"/>
      <c r="E1256"/>
      <c r="F1256"/>
      <c r="G1256" s="3"/>
      <c r="H1256" s="3"/>
      <c r="I1256" s="3"/>
      <c r="J1256" s="288"/>
      <c r="L1256" s="288"/>
      <c r="M1256" s="288"/>
      <c r="N1256" s="288"/>
      <c r="O1256" s="288"/>
      <c r="P1256" s="288"/>
      <c r="Q1256" s="288"/>
      <c r="R1256" s="283"/>
      <c r="S1256" s="280"/>
      <c r="T1256" s="276"/>
      <c r="U1256" s="276"/>
      <c r="V1256" s="276"/>
      <c r="W1256" s="283"/>
      <c r="X1256" s="280"/>
      <c r="Y1256" s="280"/>
      <c r="Z1256" s="280"/>
      <c r="AA1256" s="280"/>
      <c r="AB1256" s="280"/>
      <c r="AC1256" s="280"/>
      <c r="AD1256" s="280"/>
      <c r="AG1256" s="3"/>
      <c r="AH1256" s="3"/>
      <c r="AI1256" s="3"/>
      <c r="AJ1256" s="3"/>
      <c r="AK1256" s="3"/>
      <c r="AL1256" s="3"/>
      <c r="AM1256" s="3"/>
      <c r="AN1256" s="3"/>
      <c r="AO1256" s="3"/>
      <c r="AP1256" s="11"/>
      <c r="AQ1256" s="11"/>
      <c r="AR1256" s="3"/>
      <c r="AS1256" s="3"/>
      <c r="AT1256" s="3"/>
      <c r="AU1256" s="3"/>
      <c r="AV1256" s="3"/>
      <c r="AW1256" s="3"/>
      <c r="AX1256" s="11"/>
      <c r="AZ1256"/>
      <c r="BA1256"/>
      <c r="BB1256"/>
      <c r="BC1256"/>
    </row>
    <row r="1257" spans="1:55" s="282" customFormat="1" x14ac:dyDescent="0.25">
      <c r="A1257"/>
      <c r="B1257"/>
      <c r="C1257" s="3"/>
      <c r="D1257"/>
      <c r="E1257"/>
      <c r="F1257"/>
      <c r="G1257" s="3"/>
      <c r="H1257" s="3"/>
      <c r="I1257" s="3"/>
      <c r="J1257" s="288"/>
      <c r="L1257" s="288"/>
      <c r="M1257" s="288"/>
      <c r="N1257" s="288"/>
      <c r="O1257" s="288"/>
      <c r="P1257" s="288"/>
      <c r="Q1257" s="288"/>
      <c r="R1257" s="283"/>
      <c r="S1257" s="280"/>
      <c r="T1257" s="276"/>
      <c r="U1257" s="276"/>
      <c r="V1257" s="276"/>
      <c r="W1257" s="283"/>
      <c r="X1257" s="280"/>
      <c r="Y1257" s="280"/>
      <c r="Z1257" s="280"/>
      <c r="AA1257" s="280"/>
      <c r="AB1257" s="280"/>
      <c r="AC1257" s="280"/>
      <c r="AD1257" s="280"/>
      <c r="AG1257" s="3"/>
      <c r="AH1257" s="3"/>
      <c r="AI1257" s="3"/>
      <c r="AJ1257" s="3"/>
      <c r="AK1257" s="3"/>
      <c r="AL1257" s="3"/>
      <c r="AM1257" s="3"/>
      <c r="AN1257" s="3"/>
      <c r="AO1257" s="3"/>
      <c r="AP1257" s="11"/>
      <c r="AQ1257" s="11"/>
      <c r="AR1257" s="3"/>
      <c r="AS1257" s="3"/>
      <c r="AT1257" s="3"/>
      <c r="AU1257" s="3"/>
      <c r="AV1257" s="3"/>
      <c r="AW1257" s="3"/>
      <c r="AX1257" s="11"/>
      <c r="AZ1257"/>
      <c r="BA1257"/>
      <c r="BB1257"/>
      <c r="BC1257"/>
    </row>
    <row r="1258" spans="1:55" s="282" customFormat="1" x14ac:dyDescent="0.25">
      <c r="A1258"/>
      <c r="B1258"/>
      <c r="C1258" s="3"/>
      <c r="D1258"/>
      <c r="E1258"/>
      <c r="F1258"/>
      <c r="G1258" s="3"/>
      <c r="H1258" s="3"/>
      <c r="I1258" s="3"/>
      <c r="J1258" s="288"/>
      <c r="L1258" s="288"/>
      <c r="M1258" s="288"/>
      <c r="N1258" s="288"/>
      <c r="O1258" s="288"/>
      <c r="P1258" s="288"/>
      <c r="Q1258" s="288"/>
      <c r="R1258" s="283"/>
      <c r="S1258" s="280"/>
      <c r="T1258" s="276"/>
      <c r="U1258" s="276"/>
      <c r="V1258" s="276"/>
      <c r="W1258" s="283"/>
      <c r="X1258" s="280"/>
      <c r="Y1258" s="280"/>
      <c r="Z1258" s="280"/>
      <c r="AA1258" s="280"/>
      <c r="AB1258" s="280"/>
      <c r="AC1258" s="280"/>
      <c r="AD1258" s="280"/>
      <c r="AG1258" s="3"/>
      <c r="AH1258" s="3"/>
      <c r="AI1258" s="3"/>
      <c r="AJ1258" s="3"/>
      <c r="AK1258" s="3"/>
      <c r="AL1258" s="3"/>
      <c r="AM1258" s="3"/>
      <c r="AN1258" s="3"/>
      <c r="AO1258" s="3"/>
      <c r="AP1258" s="11"/>
      <c r="AQ1258" s="11"/>
      <c r="AR1258" s="3"/>
      <c r="AS1258" s="3"/>
      <c r="AT1258" s="3"/>
      <c r="AU1258" s="3"/>
      <c r="AV1258" s="3"/>
      <c r="AW1258" s="3"/>
      <c r="AX1258" s="11"/>
      <c r="AZ1258"/>
      <c r="BA1258"/>
      <c r="BB1258"/>
      <c r="BC1258"/>
    </row>
    <row r="1259" spans="1:55" s="282" customFormat="1" x14ac:dyDescent="0.25">
      <c r="A1259"/>
      <c r="B1259"/>
      <c r="C1259" s="3"/>
      <c r="D1259"/>
      <c r="E1259"/>
      <c r="F1259"/>
      <c r="G1259" s="3"/>
      <c r="H1259" s="3"/>
      <c r="I1259" s="3"/>
      <c r="J1259" s="288"/>
      <c r="L1259" s="288"/>
      <c r="M1259" s="288"/>
      <c r="N1259" s="288"/>
      <c r="O1259" s="288"/>
      <c r="P1259" s="288"/>
      <c r="Q1259" s="288"/>
      <c r="R1259" s="283"/>
      <c r="S1259" s="280"/>
      <c r="T1259" s="276"/>
      <c r="U1259" s="276"/>
      <c r="V1259" s="276"/>
      <c r="W1259" s="283"/>
      <c r="X1259" s="280"/>
      <c r="Y1259" s="280"/>
      <c r="Z1259" s="280"/>
      <c r="AA1259" s="280"/>
      <c r="AB1259" s="280"/>
      <c r="AC1259" s="280"/>
      <c r="AD1259" s="280"/>
      <c r="AG1259" s="3"/>
      <c r="AH1259" s="3"/>
      <c r="AI1259" s="3"/>
      <c r="AJ1259" s="3"/>
      <c r="AK1259" s="3"/>
      <c r="AL1259" s="3"/>
      <c r="AM1259" s="3"/>
      <c r="AN1259" s="3"/>
      <c r="AO1259" s="3"/>
      <c r="AP1259" s="11"/>
      <c r="AQ1259" s="11"/>
      <c r="AR1259" s="3"/>
      <c r="AS1259" s="3"/>
      <c r="AT1259" s="3"/>
      <c r="AU1259" s="3"/>
      <c r="AV1259" s="3"/>
      <c r="AW1259" s="3"/>
      <c r="AX1259" s="11"/>
      <c r="AZ1259"/>
      <c r="BA1259"/>
      <c r="BB1259"/>
      <c r="BC1259"/>
    </row>
    <row r="1260" spans="1:55" s="282" customFormat="1" x14ac:dyDescent="0.25">
      <c r="A1260"/>
      <c r="B1260"/>
      <c r="C1260" s="3"/>
      <c r="D1260"/>
      <c r="E1260"/>
      <c r="F1260"/>
      <c r="G1260" s="3"/>
      <c r="H1260" s="3"/>
      <c r="I1260" s="3"/>
      <c r="J1260" s="288"/>
      <c r="L1260" s="288"/>
      <c r="M1260" s="288"/>
      <c r="N1260" s="288"/>
      <c r="O1260" s="288"/>
      <c r="P1260" s="288"/>
      <c r="Q1260" s="288"/>
      <c r="R1260" s="283"/>
      <c r="S1260" s="280"/>
      <c r="T1260" s="276"/>
      <c r="U1260" s="276"/>
      <c r="V1260" s="276"/>
      <c r="W1260" s="283"/>
      <c r="X1260" s="280"/>
      <c r="Y1260" s="280"/>
      <c r="Z1260" s="280"/>
      <c r="AA1260" s="280"/>
      <c r="AB1260" s="280"/>
      <c r="AC1260" s="280"/>
      <c r="AD1260" s="280"/>
      <c r="AG1260" s="3"/>
      <c r="AH1260" s="3"/>
      <c r="AI1260" s="3"/>
      <c r="AJ1260" s="3"/>
      <c r="AK1260" s="3"/>
      <c r="AL1260" s="3"/>
      <c r="AM1260" s="3"/>
      <c r="AN1260" s="3"/>
      <c r="AO1260" s="3"/>
      <c r="AP1260" s="11"/>
      <c r="AQ1260" s="11"/>
      <c r="AR1260" s="3"/>
      <c r="AS1260" s="3"/>
      <c r="AT1260" s="3"/>
      <c r="AU1260" s="3"/>
      <c r="AV1260" s="3"/>
      <c r="AW1260" s="3"/>
      <c r="AX1260" s="11"/>
      <c r="AZ1260"/>
      <c r="BA1260"/>
      <c r="BB1260"/>
      <c r="BC1260"/>
    </row>
    <row r="1261" spans="1:55" s="282" customFormat="1" x14ac:dyDescent="0.25">
      <c r="A1261"/>
      <c r="B1261"/>
      <c r="C1261" s="3"/>
      <c r="D1261"/>
      <c r="E1261"/>
      <c r="F1261"/>
      <c r="G1261" s="3"/>
      <c r="H1261" s="3"/>
      <c r="I1261" s="3"/>
      <c r="J1261" s="288"/>
      <c r="L1261" s="288"/>
      <c r="M1261" s="288"/>
      <c r="N1261" s="288"/>
      <c r="O1261" s="288"/>
      <c r="P1261" s="288"/>
      <c r="Q1261" s="288"/>
      <c r="R1261" s="283"/>
      <c r="S1261" s="280"/>
      <c r="T1261" s="276"/>
      <c r="U1261" s="276"/>
      <c r="V1261" s="276"/>
      <c r="W1261" s="283"/>
      <c r="X1261" s="280"/>
      <c r="Y1261" s="280"/>
      <c r="Z1261" s="280"/>
      <c r="AA1261" s="280"/>
      <c r="AB1261" s="280"/>
      <c r="AC1261" s="280"/>
      <c r="AD1261" s="280"/>
      <c r="AG1261" s="3"/>
      <c r="AH1261" s="3"/>
      <c r="AI1261" s="3"/>
      <c r="AJ1261" s="3"/>
      <c r="AK1261" s="3"/>
      <c r="AL1261" s="3"/>
      <c r="AM1261" s="3"/>
      <c r="AN1261" s="3"/>
      <c r="AO1261" s="3"/>
      <c r="AP1261" s="11"/>
      <c r="AQ1261" s="11"/>
      <c r="AR1261" s="3"/>
      <c r="AS1261" s="3"/>
      <c r="AT1261" s="3"/>
      <c r="AU1261" s="3"/>
      <c r="AV1261" s="3"/>
      <c r="AW1261" s="3"/>
      <c r="AX1261" s="11"/>
      <c r="AZ1261"/>
      <c r="BA1261"/>
      <c r="BB1261"/>
      <c r="BC1261"/>
    </row>
    <row r="1262" spans="1:55" s="282" customFormat="1" x14ac:dyDescent="0.25">
      <c r="A1262"/>
      <c r="B1262"/>
      <c r="C1262" s="3"/>
      <c r="D1262"/>
      <c r="E1262"/>
      <c r="F1262"/>
      <c r="G1262" s="3"/>
      <c r="H1262" s="3"/>
      <c r="I1262" s="3"/>
      <c r="J1262" s="288"/>
      <c r="L1262" s="288"/>
      <c r="M1262" s="288"/>
      <c r="N1262" s="288"/>
      <c r="O1262" s="288"/>
      <c r="P1262" s="288"/>
      <c r="Q1262" s="288"/>
      <c r="R1262" s="283"/>
      <c r="S1262" s="280"/>
      <c r="T1262" s="276"/>
      <c r="U1262" s="276"/>
      <c r="V1262" s="276"/>
      <c r="W1262" s="283"/>
      <c r="X1262" s="280"/>
      <c r="Y1262" s="280"/>
      <c r="Z1262" s="280"/>
      <c r="AA1262" s="280"/>
      <c r="AB1262" s="280"/>
      <c r="AC1262" s="280"/>
      <c r="AD1262" s="280"/>
      <c r="AG1262" s="3"/>
      <c r="AH1262" s="3"/>
      <c r="AI1262" s="3"/>
      <c r="AJ1262" s="3"/>
      <c r="AK1262" s="3"/>
      <c r="AL1262" s="3"/>
      <c r="AM1262" s="3"/>
      <c r="AN1262" s="3"/>
      <c r="AO1262" s="3"/>
      <c r="AP1262" s="11"/>
      <c r="AQ1262" s="11"/>
      <c r="AR1262" s="3"/>
      <c r="AS1262" s="3"/>
      <c r="AT1262" s="3"/>
      <c r="AU1262" s="3"/>
      <c r="AV1262" s="3"/>
      <c r="AW1262" s="3"/>
      <c r="AX1262" s="11"/>
      <c r="AZ1262"/>
      <c r="BA1262"/>
      <c r="BB1262"/>
      <c r="BC1262"/>
    </row>
    <row r="1263" spans="1:55" s="282" customFormat="1" x14ac:dyDescent="0.25">
      <c r="A1263"/>
      <c r="B1263"/>
      <c r="C1263" s="3"/>
      <c r="D1263"/>
      <c r="E1263"/>
      <c r="F1263"/>
      <c r="G1263" s="3"/>
      <c r="H1263" s="3"/>
      <c r="I1263" s="3"/>
      <c r="J1263" s="288"/>
      <c r="L1263" s="288"/>
      <c r="M1263" s="288"/>
      <c r="N1263" s="288"/>
      <c r="O1263" s="288"/>
      <c r="P1263" s="288"/>
      <c r="Q1263" s="288"/>
      <c r="R1263" s="283"/>
      <c r="S1263" s="280"/>
      <c r="T1263" s="276"/>
      <c r="U1263" s="276"/>
      <c r="V1263" s="276"/>
      <c r="W1263" s="283"/>
      <c r="X1263" s="280"/>
      <c r="Y1263" s="280"/>
      <c r="Z1263" s="280"/>
      <c r="AA1263" s="280"/>
      <c r="AB1263" s="280"/>
      <c r="AC1263" s="280"/>
      <c r="AD1263" s="280"/>
      <c r="AG1263" s="3"/>
      <c r="AH1263" s="3"/>
      <c r="AI1263" s="3"/>
      <c r="AJ1263" s="3"/>
      <c r="AK1263" s="3"/>
      <c r="AL1263" s="3"/>
      <c r="AM1263" s="3"/>
      <c r="AN1263" s="3"/>
      <c r="AO1263" s="3"/>
      <c r="AP1263" s="11"/>
      <c r="AQ1263" s="11"/>
      <c r="AR1263" s="3"/>
      <c r="AS1263" s="3"/>
      <c r="AT1263" s="3"/>
      <c r="AU1263" s="3"/>
      <c r="AV1263" s="3"/>
      <c r="AW1263" s="3"/>
      <c r="AX1263" s="11"/>
      <c r="AZ1263"/>
      <c r="BA1263"/>
      <c r="BB1263"/>
      <c r="BC1263"/>
    </row>
    <row r="1264" spans="1:55" s="282" customFormat="1" x14ac:dyDescent="0.25">
      <c r="A1264"/>
      <c r="B1264"/>
      <c r="C1264" s="3"/>
      <c r="D1264"/>
      <c r="E1264"/>
      <c r="F1264"/>
      <c r="G1264" s="3"/>
      <c r="H1264" s="3"/>
      <c r="I1264" s="3"/>
      <c r="J1264" s="288"/>
      <c r="L1264" s="288"/>
      <c r="M1264" s="288"/>
      <c r="N1264" s="288"/>
      <c r="O1264" s="288"/>
      <c r="P1264" s="288"/>
      <c r="Q1264" s="288"/>
      <c r="R1264" s="283"/>
      <c r="S1264" s="280"/>
      <c r="T1264" s="276"/>
      <c r="U1264" s="276"/>
      <c r="V1264" s="276"/>
      <c r="W1264" s="283"/>
      <c r="X1264" s="280"/>
      <c r="Y1264" s="280"/>
      <c r="Z1264" s="280"/>
      <c r="AA1264" s="280"/>
      <c r="AB1264" s="280"/>
      <c r="AC1264" s="280"/>
      <c r="AD1264" s="280"/>
      <c r="AG1264" s="3"/>
      <c r="AH1264" s="3"/>
      <c r="AI1264" s="3"/>
      <c r="AJ1264" s="3"/>
      <c r="AK1264" s="3"/>
      <c r="AL1264" s="3"/>
      <c r="AM1264" s="3"/>
      <c r="AN1264" s="3"/>
      <c r="AO1264" s="3"/>
      <c r="AP1264" s="11"/>
      <c r="AQ1264" s="11"/>
      <c r="AR1264" s="3"/>
      <c r="AS1264" s="3"/>
      <c r="AT1264" s="3"/>
      <c r="AU1264" s="3"/>
      <c r="AV1264" s="3"/>
      <c r="AW1264" s="3"/>
      <c r="AX1264" s="11"/>
      <c r="AZ1264"/>
      <c r="BA1264"/>
      <c r="BB1264"/>
      <c r="BC1264"/>
    </row>
    <row r="1265" spans="1:55" s="282" customFormat="1" x14ac:dyDescent="0.25">
      <c r="A1265"/>
      <c r="B1265"/>
      <c r="C1265" s="3"/>
      <c r="D1265"/>
      <c r="E1265"/>
      <c r="F1265"/>
      <c r="G1265" s="3"/>
      <c r="H1265" s="3"/>
      <c r="I1265" s="3"/>
      <c r="J1265" s="288"/>
      <c r="L1265" s="288"/>
      <c r="M1265" s="288"/>
      <c r="N1265" s="288"/>
      <c r="O1265" s="288"/>
      <c r="P1265" s="288"/>
      <c r="Q1265" s="288"/>
      <c r="R1265" s="283"/>
      <c r="S1265" s="280"/>
      <c r="T1265" s="276"/>
      <c r="U1265" s="276"/>
      <c r="V1265" s="276"/>
      <c r="W1265" s="283"/>
      <c r="X1265" s="280"/>
      <c r="Y1265" s="280"/>
      <c r="Z1265" s="280"/>
      <c r="AA1265" s="280"/>
      <c r="AB1265" s="280"/>
      <c r="AC1265" s="280"/>
      <c r="AD1265" s="280"/>
      <c r="AG1265" s="3"/>
      <c r="AH1265" s="3"/>
      <c r="AI1265" s="3"/>
      <c r="AJ1265" s="3"/>
      <c r="AK1265" s="3"/>
      <c r="AL1265" s="3"/>
      <c r="AM1265" s="3"/>
      <c r="AN1265" s="3"/>
      <c r="AO1265" s="3"/>
      <c r="AP1265" s="11"/>
      <c r="AQ1265" s="11"/>
      <c r="AR1265" s="3"/>
      <c r="AS1265" s="3"/>
      <c r="AT1265" s="3"/>
      <c r="AU1265" s="3"/>
      <c r="AV1265" s="3"/>
      <c r="AW1265" s="3"/>
      <c r="AX1265" s="11"/>
      <c r="AZ1265"/>
      <c r="BA1265"/>
      <c r="BB1265"/>
      <c r="BC1265"/>
    </row>
    <row r="1266" spans="1:55" s="282" customFormat="1" x14ac:dyDescent="0.25">
      <c r="A1266"/>
      <c r="B1266"/>
      <c r="C1266" s="3"/>
      <c r="D1266"/>
      <c r="E1266"/>
      <c r="F1266"/>
      <c r="G1266" s="3"/>
      <c r="H1266" s="3"/>
      <c r="I1266" s="3"/>
      <c r="J1266" s="288"/>
      <c r="L1266" s="288"/>
      <c r="M1266" s="288"/>
      <c r="N1266" s="288"/>
      <c r="O1266" s="288"/>
      <c r="P1266" s="288"/>
      <c r="Q1266" s="288"/>
      <c r="R1266" s="283"/>
      <c r="S1266" s="280"/>
      <c r="T1266" s="276"/>
      <c r="U1266" s="276"/>
      <c r="V1266" s="276"/>
      <c r="W1266" s="283"/>
      <c r="X1266" s="280"/>
      <c r="Y1266" s="280"/>
      <c r="Z1266" s="280"/>
      <c r="AA1266" s="280"/>
      <c r="AB1266" s="280"/>
      <c r="AC1266" s="280"/>
      <c r="AD1266" s="280"/>
      <c r="AG1266" s="3"/>
      <c r="AH1266" s="3"/>
      <c r="AI1266" s="3"/>
      <c r="AJ1266" s="3"/>
      <c r="AK1266" s="3"/>
      <c r="AL1266" s="3"/>
      <c r="AM1266" s="3"/>
      <c r="AN1266" s="3"/>
      <c r="AO1266" s="3"/>
      <c r="AP1266" s="11"/>
      <c r="AQ1266" s="11"/>
      <c r="AR1266" s="3"/>
      <c r="AS1266" s="3"/>
      <c r="AT1266" s="3"/>
      <c r="AU1266" s="3"/>
      <c r="AV1266" s="3"/>
      <c r="AW1266" s="3"/>
      <c r="AX1266" s="11"/>
      <c r="AZ1266"/>
      <c r="BA1266"/>
      <c r="BB1266"/>
      <c r="BC1266"/>
    </row>
    <row r="1267" spans="1:55" s="282" customFormat="1" x14ac:dyDescent="0.25">
      <c r="A1267"/>
      <c r="B1267"/>
      <c r="C1267" s="3"/>
      <c r="D1267"/>
      <c r="E1267"/>
      <c r="F1267"/>
      <c r="G1267" s="3"/>
      <c r="H1267" s="3"/>
      <c r="I1267" s="3"/>
      <c r="J1267" s="288"/>
      <c r="L1267" s="288"/>
      <c r="M1267" s="288"/>
      <c r="N1267" s="288"/>
      <c r="O1267" s="288"/>
      <c r="P1267" s="288"/>
      <c r="Q1267" s="288"/>
      <c r="R1267" s="283"/>
      <c r="S1267" s="280"/>
      <c r="T1267" s="276"/>
      <c r="U1267" s="276"/>
      <c r="V1267" s="276"/>
      <c r="W1267" s="283"/>
      <c r="X1267" s="280"/>
      <c r="Y1267" s="280"/>
      <c r="Z1267" s="280"/>
      <c r="AA1267" s="280"/>
      <c r="AB1267" s="280"/>
      <c r="AC1267" s="280"/>
      <c r="AD1267" s="280"/>
      <c r="AG1267" s="3"/>
      <c r="AH1267" s="3"/>
      <c r="AI1267" s="3"/>
      <c r="AJ1267" s="3"/>
      <c r="AK1267" s="3"/>
      <c r="AL1267" s="3"/>
      <c r="AM1267" s="3"/>
      <c r="AN1267" s="3"/>
      <c r="AO1267" s="3"/>
      <c r="AP1267" s="11"/>
      <c r="AQ1267" s="11"/>
      <c r="AR1267" s="3"/>
      <c r="AS1267" s="3"/>
      <c r="AT1267" s="3"/>
      <c r="AU1267" s="3"/>
      <c r="AV1267" s="3"/>
      <c r="AW1267" s="3"/>
      <c r="AX1267" s="11"/>
      <c r="AZ1267"/>
      <c r="BA1267"/>
      <c r="BB1267"/>
      <c r="BC1267"/>
    </row>
    <row r="1268" spans="1:55" s="282" customFormat="1" x14ac:dyDescent="0.25">
      <c r="A1268"/>
      <c r="B1268"/>
      <c r="C1268" s="3"/>
      <c r="D1268"/>
      <c r="E1268"/>
      <c r="F1268"/>
      <c r="G1268" s="3"/>
      <c r="H1268" s="3"/>
      <c r="I1268" s="3"/>
      <c r="J1268" s="288"/>
      <c r="L1268" s="288"/>
      <c r="M1268" s="288"/>
      <c r="N1268" s="288"/>
      <c r="O1268" s="288"/>
      <c r="P1268" s="288"/>
      <c r="Q1268" s="288"/>
      <c r="R1268" s="283"/>
      <c r="S1268" s="280"/>
      <c r="T1268" s="276"/>
      <c r="U1268" s="276"/>
      <c r="V1268" s="276"/>
      <c r="W1268" s="283"/>
      <c r="X1268" s="280"/>
      <c r="Y1268" s="280"/>
      <c r="Z1268" s="280"/>
      <c r="AA1268" s="280"/>
      <c r="AB1268" s="280"/>
      <c r="AC1268" s="280"/>
      <c r="AD1268" s="280"/>
      <c r="AG1268" s="3"/>
      <c r="AH1268" s="3"/>
      <c r="AI1268" s="3"/>
      <c r="AJ1268" s="3"/>
      <c r="AK1268" s="3"/>
      <c r="AL1268" s="3"/>
      <c r="AM1268" s="3"/>
      <c r="AN1268" s="3"/>
      <c r="AO1268" s="3"/>
      <c r="AP1268" s="11"/>
      <c r="AQ1268" s="11"/>
      <c r="AR1268" s="3"/>
      <c r="AS1268" s="3"/>
      <c r="AT1268" s="3"/>
      <c r="AU1268" s="3"/>
      <c r="AV1268" s="3"/>
      <c r="AW1268" s="3"/>
      <c r="AX1268" s="11"/>
      <c r="AZ1268"/>
      <c r="BA1268"/>
      <c r="BB1268"/>
      <c r="BC1268"/>
    </row>
    <row r="1269" spans="1:55" s="282" customFormat="1" x14ac:dyDescent="0.25">
      <c r="A1269"/>
      <c r="B1269"/>
      <c r="C1269" s="3"/>
      <c r="D1269"/>
      <c r="E1269"/>
      <c r="F1269"/>
      <c r="G1269" s="3"/>
      <c r="H1269" s="3"/>
      <c r="I1269" s="3"/>
      <c r="J1269" s="288"/>
      <c r="L1269" s="288"/>
      <c r="M1269" s="288"/>
      <c r="N1269" s="288"/>
      <c r="O1269" s="288"/>
      <c r="P1269" s="288"/>
      <c r="Q1269" s="288"/>
      <c r="R1269" s="283"/>
      <c r="S1269" s="280"/>
      <c r="T1269" s="276"/>
      <c r="U1269" s="276"/>
      <c r="V1269" s="276"/>
      <c r="W1269" s="283"/>
      <c r="X1269" s="280"/>
      <c r="Y1269" s="280"/>
      <c r="Z1269" s="280"/>
      <c r="AA1269" s="280"/>
      <c r="AB1269" s="280"/>
      <c r="AC1269" s="280"/>
      <c r="AD1269" s="280"/>
      <c r="AG1269" s="3"/>
      <c r="AH1269" s="3"/>
      <c r="AI1269" s="3"/>
      <c r="AJ1269" s="3"/>
      <c r="AK1269" s="3"/>
      <c r="AL1269" s="3"/>
      <c r="AM1269" s="3"/>
      <c r="AN1269" s="3"/>
      <c r="AO1269" s="3"/>
      <c r="AP1269" s="11"/>
      <c r="AQ1269" s="11"/>
      <c r="AR1269" s="3"/>
      <c r="AS1269" s="3"/>
      <c r="AT1269" s="3"/>
      <c r="AU1269" s="3"/>
      <c r="AV1269" s="3"/>
      <c r="AW1269" s="3"/>
      <c r="AX1269" s="11"/>
      <c r="AZ1269"/>
      <c r="BA1269"/>
      <c r="BB1269"/>
      <c r="BC1269"/>
    </row>
    <row r="1270" spans="1:55" s="282" customFormat="1" x14ac:dyDescent="0.25">
      <c r="A1270"/>
      <c r="B1270"/>
      <c r="C1270" s="3"/>
      <c r="D1270"/>
      <c r="E1270"/>
      <c r="F1270"/>
      <c r="G1270" s="3"/>
      <c r="H1270" s="3"/>
      <c r="I1270" s="3"/>
      <c r="J1270" s="288"/>
      <c r="L1270" s="288"/>
      <c r="M1270" s="288"/>
      <c r="N1270" s="288"/>
      <c r="O1270" s="288"/>
      <c r="P1270" s="288"/>
      <c r="Q1270" s="288"/>
      <c r="R1270" s="283"/>
      <c r="S1270" s="280"/>
      <c r="T1270" s="276"/>
      <c r="U1270" s="276"/>
      <c r="V1270" s="276"/>
      <c r="W1270" s="283"/>
      <c r="X1270" s="280"/>
      <c r="Y1270" s="280"/>
      <c r="Z1270" s="280"/>
      <c r="AA1270" s="280"/>
      <c r="AB1270" s="280"/>
      <c r="AC1270" s="280"/>
      <c r="AD1270" s="280"/>
      <c r="AG1270" s="3"/>
      <c r="AH1270" s="3"/>
      <c r="AI1270" s="3"/>
      <c r="AJ1270" s="3"/>
      <c r="AK1270" s="3"/>
      <c r="AL1270" s="3"/>
      <c r="AM1270" s="3"/>
      <c r="AN1270" s="3"/>
      <c r="AO1270" s="3"/>
      <c r="AP1270" s="11"/>
      <c r="AQ1270" s="11"/>
      <c r="AR1270" s="3"/>
      <c r="AS1270" s="3"/>
      <c r="AT1270" s="3"/>
      <c r="AU1270" s="3"/>
      <c r="AV1270" s="3"/>
      <c r="AW1270" s="3"/>
      <c r="AX1270" s="11"/>
      <c r="AZ1270"/>
      <c r="BA1270"/>
      <c r="BB1270"/>
      <c r="BC1270"/>
    </row>
    <row r="1271" spans="1:55" s="282" customFormat="1" x14ac:dyDescent="0.25">
      <c r="A1271"/>
      <c r="B1271"/>
      <c r="C1271" s="3"/>
      <c r="D1271"/>
      <c r="E1271"/>
      <c r="F1271"/>
      <c r="G1271" s="3"/>
      <c r="H1271" s="3"/>
      <c r="I1271" s="3"/>
      <c r="J1271" s="288"/>
      <c r="L1271" s="288"/>
      <c r="M1271" s="288"/>
      <c r="N1271" s="288"/>
      <c r="O1271" s="288"/>
      <c r="P1271" s="288"/>
      <c r="Q1271" s="288"/>
      <c r="R1271" s="283"/>
      <c r="S1271" s="280"/>
      <c r="T1271" s="276"/>
      <c r="U1271" s="276"/>
      <c r="V1271" s="276"/>
      <c r="W1271" s="283"/>
      <c r="X1271" s="280"/>
      <c r="Y1271" s="280"/>
      <c r="Z1271" s="280"/>
      <c r="AA1271" s="280"/>
      <c r="AB1271" s="280"/>
      <c r="AC1271" s="280"/>
      <c r="AD1271" s="280"/>
      <c r="AG1271" s="3"/>
      <c r="AH1271" s="3"/>
      <c r="AI1271" s="3"/>
      <c r="AJ1271" s="3"/>
      <c r="AK1271" s="3"/>
      <c r="AL1271" s="3"/>
      <c r="AM1271" s="3"/>
      <c r="AN1271" s="3"/>
      <c r="AO1271" s="3"/>
      <c r="AP1271" s="11"/>
      <c r="AQ1271" s="11"/>
      <c r="AR1271" s="3"/>
      <c r="AS1271" s="3"/>
      <c r="AT1271" s="3"/>
      <c r="AU1271" s="3"/>
      <c r="AV1271" s="3"/>
      <c r="AW1271" s="3"/>
      <c r="AX1271" s="11"/>
      <c r="AZ1271"/>
      <c r="BA1271"/>
      <c r="BB1271"/>
      <c r="BC1271"/>
    </row>
    <row r="1272" spans="1:55" s="282" customFormat="1" x14ac:dyDescent="0.25">
      <c r="A1272"/>
      <c r="B1272"/>
      <c r="C1272" s="3"/>
      <c r="D1272"/>
      <c r="E1272"/>
      <c r="F1272"/>
      <c r="G1272" s="3"/>
      <c r="H1272" s="3"/>
      <c r="I1272" s="3"/>
      <c r="J1272" s="288"/>
      <c r="L1272" s="288"/>
      <c r="M1272" s="288"/>
      <c r="N1272" s="288"/>
      <c r="O1272" s="288"/>
      <c r="P1272" s="288"/>
      <c r="Q1272" s="288"/>
      <c r="R1272" s="283"/>
      <c r="S1272" s="280"/>
      <c r="T1272" s="276"/>
      <c r="U1272" s="276"/>
      <c r="V1272" s="276"/>
      <c r="W1272" s="283"/>
      <c r="X1272" s="280"/>
      <c r="Y1272" s="280"/>
      <c r="Z1272" s="280"/>
      <c r="AA1272" s="280"/>
      <c r="AB1272" s="280"/>
      <c r="AC1272" s="280"/>
      <c r="AD1272" s="280"/>
      <c r="AG1272" s="3"/>
      <c r="AH1272" s="3"/>
      <c r="AI1272" s="3"/>
      <c r="AJ1272" s="3"/>
      <c r="AK1272" s="3"/>
      <c r="AL1272" s="3"/>
      <c r="AM1272" s="3"/>
      <c r="AN1272" s="3"/>
      <c r="AO1272" s="3"/>
      <c r="AP1272" s="11"/>
      <c r="AQ1272" s="11"/>
      <c r="AR1272" s="3"/>
      <c r="AS1272" s="3"/>
      <c r="AT1272" s="3"/>
      <c r="AU1272" s="3"/>
      <c r="AV1272" s="3"/>
      <c r="AW1272" s="3"/>
      <c r="AX1272" s="11"/>
      <c r="AZ1272"/>
      <c r="BA1272"/>
      <c r="BB1272"/>
      <c r="BC1272"/>
    </row>
    <row r="1273" spans="1:55" s="282" customFormat="1" x14ac:dyDescent="0.25">
      <c r="A1273"/>
      <c r="B1273"/>
      <c r="C1273" s="3"/>
      <c r="D1273"/>
      <c r="E1273"/>
      <c r="F1273"/>
      <c r="G1273" s="3"/>
      <c r="H1273" s="3"/>
      <c r="I1273" s="3"/>
      <c r="J1273" s="288"/>
      <c r="L1273" s="288"/>
      <c r="M1273" s="288"/>
      <c r="N1273" s="288"/>
      <c r="O1273" s="288"/>
      <c r="P1273" s="288"/>
      <c r="Q1273" s="288"/>
      <c r="R1273" s="283"/>
      <c r="S1273" s="280"/>
      <c r="T1273" s="276"/>
      <c r="U1273" s="276"/>
      <c r="V1273" s="276"/>
      <c r="W1273" s="283"/>
      <c r="X1273" s="280"/>
      <c r="Y1273" s="280"/>
      <c r="Z1273" s="280"/>
      <c r="AA1273" s="280"/>
      <c r="AB1273" s="280"/>
      <c r="AC1273" s="280"/>
      <c r="AD1273" s="280"/>
      <c r="AG1273" s="3"/>
      <c r="AH1273" s="3"/>
      <c r="AI1273" s="3"/>
      <c r="AJ1273" s="3"/>
      <c r="AK1273" s="3"/>
      <c r="AL1273" s="3"/>
      <c r="AM1273" s="3"/>
      <c r="AN1273" s="3"/>
      <c r="AO1273" s="3"/>
      <c r="AP1273" s="11"/>
      <c r="AQ1273" s="11"/>
      <c r="AR1273" s="3"/>
      <c r="AS1273" s="3"/>
      <c r="AT1273" s="3"/>
      <c r="AU1273" s="3"/>
      <c r="AV1273" s="3"/>
      <c r="AW1273" s="3"/>
      <c r="AX1273" s="11"/>
      <c r="AZ1273"/>
      <c r="BA1273"/>
      <c r="BB1273"/>
      <c r="BC1273"/>
    </row>
    <row r="1274" spans="1:55" s="282" customFormat="1" x14ac:dyDescent="0.25">
      <c r="A1274"/>
      <c r="B1274"/>
      <c r="C1274" s="3"/>
      <c r="D1274"/>
      <c r="E1274"/>
      <c r="F1274"/>
      <c r="G1274" s="3"/>
      <c r="H1274" s="3"/>
      <c r="I1274" s="3"/>
      <c r="J1274" s="288"/>
      <c r="L1274" s="288"/>
      <c r="M1274" s="288"/>
      <c r="N1274" s="288"/>
      <c r="O1274" s="288"/>
      <c r="P1274" s="288"/>
      <c r="Q1274" s="288"/>
      <c r="R1274" s="283"/>
      <c r="S1274" s="280"/>
      <c r="T1274" s="276"/>
      <c r="U1274" s="276"/>
      <c r="V1274" s="276"/>
      <c r="W1274" s="283"/>
      <c r="X1274" s="280"/>
      <c r="Y1274" s="280"/>
      <c r="Z1274" s="280"/>
      <c r="AA1274" s="280"/>
      <c r="AB1274" s="280"/>
      <c r="AC1274" s="280"/>
      <c r="AD1274" s="280"/>
      <c r="AG1274" s="3"/>
      <c r="AH1274" s="3"/>
      <c r="AI1274" s="3"/>
      <c r="AJ1274" s="3"/>
      <c r="AK1274" s="3"/>
      <c r="AL1274" s="3"/>
      <c r="AM1274" s="3"/>
      <c r="AN1274" s="3"/>
      <c r="AO1274" s="3"/>
      <c r="AP1274" s="11"/>
      <c r="AQ1274" s="11"/>
      <c r="AR1274" s="3"/>
      <c r="AS1274" s="3"/>
      <c r="AT1274" s="3"/>
      <c r="AU1274" s="3"/>
      <c r="AV1274" s="3"/>
      <c r="AW1274" s="3"/>
      <c r="AX1274" s="11"/>
      <c r="AZ1274"/>
      <c r="BA1274"/>
      <c r="BB1274"/>
      <c r="BC1274"/>
    </row>
    <row r="1275" spans="1:55" s="282" customFormat="1" x14ac:dyDescent="0.25">
      <c r="A1275"/>
      <c r="B1275"/>
      <c r="C1275" s="3"/>
      <c r="D1275"/>
      <c r="E1275"/>
      <c r="F1275"/>
      <c r="G1275" s="3"/>
      <c r="H1275" s="3"/>
      <c r="I1275" s="3"/>
      <c r="J1275" s="288"/>
      <c r="L1275" s="288"/>
      <c r="M1275" s="288"/>
      <c r="N1275" s="288"/>
      <c r="O1275" s="288"/>
      <c r="P1275" s="288"/>
      <c r="Q1275" s="288"/>
      <c r="R1275" s="283"/>
      <c r="S1275" s="280"/>
      <c r="T1275" s="276"/>
      <c r="U1275" s="276"/>
      <c r="V1275" s="276"/>
      <c r="W1275" s="283"/>
      <c r="X1275" s="280"/>
      <c r="Y1275" s="280"/>
      <c r="Z1275" s="280"/>
      <c r="AA1275" s="280"/>
      <c r="AB1275" s="280"/>
      <c r="AC1275" s="280"/>
      <c r="AD1275" s="280"/>
      <c r="AG1275" s="3"/>
      <c r="AH1275" s="3"/>
      <c r="AI1275" s="3"/>
      <c r="AJ1275" s="3"/>
      <c r="AK1275" s="3"/>
      <c r="AL1275" s="3"/>
      <c r="AM1275" s="3"/>
      <c r="AN1275" s="3"/>
      <c r="AO1275" s="3"/>
      <c r="AP1275" s="11"/>
      <c r="AQ1275" s="11"/>
      <c r="AR1275" s="3"/>
      <c r="AS1275" s="3"/>
      <c r="AT1275" s="3"/>
      <c r="AU1275" s="3"/>
      <c r="AV1275" s="3"/>
      <c r="AW1275" s="3"/>
      <c r="AX1275" s="11"/>
      <c r="AZ1275"/>
      <c r="BA1275"/>
      <c r="BB1275"/>
      <c r="BC1275"/>
    </row>
    <row r="1276" spans="1:55" s="282" customFormat="1" x14ac:dyDescent="0.25">
      <c r="A1276"/>
      <c r="B1276"/>
      <c r="C1276" s="3"/>
      <c r="D1276"/>
      <c r="E1276"/>
      <c r="F1276"/>
      <c r="G1276" s="3"/>
      <c r="H1276" s="3"/>
      <c r="I1276" s="3"/>
      <c r="J1276" s="288"/>
      <c r="L1276" s="288"/>
      <c r="M1276" s="288"/>
      <c r="N1276" s="288"/>
      <c r="O1276" s="288"/>
      <c r="P1276" s="288"/>
      <c r="Q1276" s="288"/>
      <c r="R1276" s="283"/>
      <c r="S1276" s="280"/>
      <c r="T1276" s="276"/>
      <c r="U1276" s="276"/>
      <c r="V1276" s="276"/>
      <c r="W1276" s="283"/>
      <c r="X1276" s="280"/>
      <c r="Y1276" s="280"/>
      <c r="Z1276" s="280"/>
      <c r="AA1276" s="280"/>
      <c r="AB1276" s="280"/>
      <c r="AC1276" s="280"/>
      <c r="AD1276" s="280"/>
      <c r="AG1276" s="3"/>
      <c r="AH1276" s="3"/>
      <c r="AI1276" s="3"/>
      <c r="AJ1276" s="3"/>
      <c r="AK1276" s="3"/>
      <c r="AL1276" s="3"/>
      <c r="AM1276" s="3"/>
      <c r="AN1276" s="3"/>
      <c r="AO1276" s="3"/>
      <c r="AP1276" s="11"/>
      <c r="AQ1276" s="11"/>
      <c r="AR1276" s="3"/>
      <c r="AS1276" s="3"/>
      <c r="AT1276" s="3"/>
      <c r="AU1276" s="3"/>
      <c r="AV1276" s="3"/>
      <c r="AW1276" s="3"/>
      <c r="AX1276" s="11"/>
      <c r="AZ1276"/>
      <c r="BA1276"/>
      <c r="BB1276"/>
      <c r="BC1276"/>
    </row>
    <row r="1277" spans="1:55" s="282" customFormat="1" x14ac:dyDescent="0.25">
      <c r="A1277"/>
      <c r="B1277"/>
      <c r="C1277" s="3"/>
      <c r="D1277"/>
      <c r="E1277"/>
      <c r="F1277"/>
      <c r="G1277" s="3"/>
      <c r="H1277" s="3"/>
      <c r="I1277" s="3"/>
      <c r="J1277" s="288"/>
      <c r="L1277" s="288"/>
      <c r="M1277" s="288"/>
      <c r="N1277" s="288"/>
      <c r="O1277" s="288"/>
      <c r="P1277" s="288"/>
      <c r="Q1277" s="288"/>
      <c r="R1277" s="283"/>
      <c r="S1277" s="280"/>
      <c r="T1277" s="276"/>
      <c r="U1277" s="276"/>
      <c r="V1277" s="276"/>
      <c r="W1277" s="283"/>
      <c r="X1277" s="280"/>
      <c r="Y1277" s="280"/>
      <c r="Z1277" s="280"/>
      <c r="AA1277" s="280"/>
      <c r="AB1277" s="280"/>
      <c r="AC1277" s="280"/>
      <c r="AD1277" s="280"/>
      <c r="AG1277" s="3"/>
      <c r="AH1277" s="3"/>
      <c r="AI1277" s="3"/>
      <c r="AJ1277" s="3"/>
      <c r="AK1277" s="3"/>
      <c r="AL1277" s="3"/>
      <c r="AM1277" s="3"/>
      <c r="AN1277" s="3"/>
      <c r="AO1277" s="3"/>
      <c r="AP1277" s="11"/>
      <c r="AQ1277" s="11"/>
      <c r="AR1277" s="3"/>
      <c r="AS1277" s="3"/>
      <c r="AT1277" s="3"/>
      <c r="AU1277" s="3"/>
      <c r="AV1277" s="3"/>
      <c r="AW1277" s="3"/>
      <c r="AX1277" s="11"/>
      <c r="AZ1277"/>
      <c r="BA1277"/>
      <c r="BB1277"/>
      <c r="BC1277"/>
    </row>
    <row r="1278" spans="1:55" s="282" customFormat="1" x14ac:dyDescent="0.25">
      <c r="A1278"/>
      <c r="B1278"/>
      <c r="C1278" s="3"/>
      <c r="D1278"/>
      <c r="E1278"/>
      <c r="F1278"/>
      <c r="G1278" s="3"/>
      <c r="H1278" s="3"/>
      <c r="I1278" s="3"/>
      <c r="J1278" s="288"/>
      <c r="L1278" s="288"/>
      <c r="M1278" s="288"/>
      <c r="N1278" s="288"/>
      <c r="O1278" s="288"/>
      <c r="P1278" s="288"/>
      <c r="Q1278" s="288"/>
      <c r="R1278" s="283"/>
      <c r="S1278" s="280"/>
      <c r="T1278" s="276"/>
      <c r="U1278" s="276"/>
      <c r="V1278" s="276"/>
      <c r="W1278" s="283"/>
      <c r="X1278" s="280"/>
      <c r="Y1278" s="280"/>
      <c r="Z1278" s="280"/>
      <c r="AA1278" s="280"/>
      <c r="AB1278" s="280"/>
      <c r="AC1278" s="280"/>
      <c r="AD1278" s="280"/>
      <c r="AG1278" s="3"/>
      <c r="AH1278" s="3"/>
      <c r="AI1278" s="3"/>
      <c r="AJ1278" s="3"/>
      <c r="AK1278" s="3"/>
      <c r="AL1278" s="3"/>
      <c r="AM1278" s="3"/>
      <c r="AN1278" s="3"/>
      <c r="AO1278" s="3"/>
      <c r="AP1278" s="11"/>
      <c r="AQ1278" s="11"/>
      <c r="AR1278" s="3"/>
      <c r="AS1278" s="3"/>
      <c r="AT1278" s="3"/>
      <c r="AU1278" s="3"/>
      <c r="AV1278" s="3"/>
      <c r="AW1278" s="3"/>
      <c r="AX1278" s="11"/>
      <c r="AZ1278"/>
      <c r="BA1278"/>
      <c r="BB1278"/>
      <c r="BC1278"/>
    </row>
    <row r="1279" spans="1:55" s="282" customFormat="1" x14ac:dyDescent="0.25">
      <c r="A1279"/>
      <c r="B1279"/>
      <c r="C1279" s="3"/>
      <c r="D1279"/>
      <c r="E1279"/>
      <c r="F1279"/>
      <c r="G1279" s="3"/>
      <c r="H1279" s="3"/>
      <c r="I1279" s="3"/>
      <c r="J1279" s="288"/>
      <c r="L1279" s="288"/>
      <c r="M1279" s="288"/>
      <c r="N1279" s="288"/>
      <c r="O1279" s="288"/>
      <c r="P1279" s="288"/>
      <c r="Q1279" s="288"/>
      <c r="R1279" s="283"/>
      <c r="S1279" s="280"/>
      <c r="T1279" s="276"/>
      <c r="U1279" s="276"/>
      <c r="V1279" s="276"/>
      <c r="W1279" s="283"/>
      <c r="X1279" s="280"/>
      <c r="Y1279" s="280"/>
      <c r="Z1279" s="280"/>
      <c r="AA1279" s="280"/>
      <c r="AB1279" s="280"/>
      <c r="AC1279" s="280"/>
      <c r="AD1279" s="280"/>
      <c r="AG1279" s="3"/>
      <c r="AH1279" s="3"/>
      <c r="AI1279" s="3"/>
      <c r="AJ1279" s="3"/>
      <c r="AK1279" s="3"/>
      <c r="AL1279" s="3"/>
      <c r="AM1279" s="3"/>
      <c r="AN1279" s="3"/>
      <c r="AO1279" s="3"/>
      <c r="AP1279" s="11"/>
      <c r="AQ1279" s="11"/>
      <c r="AR1279" s="3"/>
      <c r="AS1279" s="3"/>
      <c r="AT1279" s="3"/>
      <c r="AU1279" s="3"/>
      <c r="AV1279" s="3"/>
      <c r="AW1279" s="3"/>
      <c r="AX1279" s="11"/>
      <c r="AZ1279"/>
      <c r="BA1279"/>
      <c r="BB1279"/>
      <c r="BC1279"/>
    </row>
    <row r="1280" spans="1:55" s="282" customFormat="1" x14ac:dyDescent="0.25">
      <c r="A1280"/>
      <c r="B1280"/>
      <c r="C1280" s="3"/>
      <c r="D1280"/>
      <c r="E1280"/>
      <c r="F1280"/>
      <c r="G1280" s="3"/>
      <c r="H1280" s="3"/>
      <c r="I1280" s="3"/>
      <c r="J1280" s="288"/>
      <c r="L1280" s="288"/>
      <c r="M1280" s="288"/>
      <c r="N1280" s="288"/>
      <c r="O1280" s="288"/>
      <c r="P1280" s="288"/>
      <c r="Q1280" s="288"/>
      <c r="R1280" s="283"/>
      <c r="S1280" s="280"/>
      <c r="T1280" s="276"/>
      <c r="U1280" s="276"/>
      <c r="V1280" s="276"/>
      <c r="W1280" s="283"/>
      <c r="X1280" s="280"/>
      <c r="Y1280" s="280"/>
      <c r="Z1280" s="280"/>
      <c r="AA1280" s="280"/>
      <c r="AB1280" s="280"/>
      <c r="AC1280" s="280"/>
      <c r="AD1280" s="280"/>
      <c r="AG1280" s="3"/>
      <c r="AH1280" s="3"/>
      <c r="AI1280" s="3"/>
      <c r="AJ1280" s="3"/>
      <c r="AK1280" s="3"/>
      <c r="AL1280" s="3"/>
      <c r="AM1280" s="3"/>
      <c r="AN1280" s="3"/>
      <c r="AO1280" s="3"/>
      <c r="AP1280" s="11"/>
      <c r="AQ1280" s="11"/>
      <c r="AR1280" s="3"/>
      <c r="AS1280" s="3"/>
      <c r="AT1280" s="3"/>
      <c r="AU1280" s="3"/>
      <c r="AV1280" s="3"/>
      <c r="AW1280" s="3"/>
      <c r="AX1280" s="11"/>
      <c r="AZ1280"/>
      <c r="BA1280"/>
      <c r="BB1280"/>
      <c r="BC1280"/>
    </row>
    <row r="1281" spans="1:55" s="282" customFormat="1" x14ac:dyDescent="0.25">
      <c r="A1281"/>
      <c r="B1281"/>
      <c r="C1281" s="3"/>
      <c r="D1281"/>
      <c r="E1281"/>
      <c r="F1281"/>
      <c r="G1281" s="3"/>
      <c r="H1281" s="3"/>
      <c r="I1281" s="3"/>
      <c r="J1281" s="288"/>
      <c r="L1281" s="288"/>
      <c r="M1281" s="288"/>
      <c r="N1281" s="288"/>
      <c r="O1281" s="288"/>
      <c r="P1281" s="288"/>
      <c r="Q1281" s="288"/>
      <c r="R1281" s="283"/>
      <c r="S1281" s="280"/>
      <c r="T1281" s="276"/>
      <c r="U1281" s="276"/>
      <c r="V1281" s="276"/>
      <c r="W1281" s="283"/>
      <c r="X1281" s="280"/>
      <c r="Y1281" s="280"/>
      <c r="Z1281" s="280"/>
      <c r="AA1281" s="280"/>
      <c r="AB1281" s="280"/>
      <c r="AC1281" s="280"/>
      <c r="AD1281" s="280"/>
      <c r="AG1281" s="3"/>
      <c r="AH1281" s="3"/>
      <c r="AI1281" s="3"/>
      <c r="AJ1281" s="3"/>
      <c r="AK1281" s="3"/>
      <c r="AL1281" s="3"/>
      <c r="AM1281" s="3"/>
      <c r="AN1281" s="3"/>
      <c r="AO1281" s="3"/>
      <c r="AP1281" s="11"/>
      <c r="AQ1281" s="11"/>
      <c r="AR1281" s="3"/>
      <c r="AS1281" s="3"/>
      <c r="AT1281" s="3"/>
      <c r="AU1281" s="3"/>
      <c r="AV1281" s="3"/>
      <c r="AW1281" s="3"/>
      <c r="AX1281" s="11"/>
      <c r="AZ1281"/>
      <c r="BA1281"/>
      <c r="BB1281"/>
      <c r="BC1281"/>
    </row>
    <row r="1282" spans="1:55" s="282" customFormat="1" x14ac:dyDescent="0.25">
      <c r="A1282"/>
      <c r="B1282"/>
      <c r="C1282" s="3"/>
      <c r="D1282"/>
      <c r="E1282"/>
      <c r="F1282"/>
      <c r="G1282" s="3"/>
      <c r="H1282" s="3"/>
      <c r="I1282" s="3"/>
      <c r="J1282" s="288"/>
      <c r="L1282" s="288"/>
      <c r="M1282" s="288"/>
      <c r="N1282" s="288"/>
      <c r="O1282" s="288"/>
      <c r="P1282" s="288"/>
      <c r="Q1282" s="288"/>
      <c r="R1282" s="283"/>
      <c r="S1282" s="280"/>
      <c r="T1282" s="276"/>
      <c r="U1282" s="276"/>
      <c r="V1282" s="276"/>
      <c r="W1282" s="283"/>
      <c r="X1282" s="280"/>
      <c r="Y1282" s="280"/>
      <c r="Z1282" s="280"/>
      <c r="AA1282" s="280"/>
      <c r="AB1282" s="280"/>
      <c r="AC1282" s="280"/>
      <c r="AD1282" s="280"/>
      <c r="AG1282" s="3"/>
      <c r="AH1282" s="3"/>
      <c r="AI1282" s="3"/>
      <c r="AJ1282" s="3"/>
      <c r="AK1282" s="3"/>
      <c r="AL1282" s="3"/>
      <c r="AM1282" s="3"/>
      <c r="AN1282" s="3"/>
      <c r="AO1282" s="3"/>
      <c r="AP1282" s="11"/>
      <c r="AQ1282" s="11"/>
      <c r="AR1282" s="3"/>
      <c r="AS1282" s="3"/>
      <c r="AT1282" s="3"/>
      <c r="AU1282" s="3"/>
      <c r="AV1282" s="3"/>
      <c r="AW1282" s="3"/>
      <c r="AX1282" s="11"/>
      <c r="AZ1282"/>
      <c r="BA1282"/>
      <c r="BB1282"/>
      <c r="BC1282"/>
    </row>
    <row r="1283" spans="1:55" s="282" customFormat="1" x14ac:dyDescent="0.25">
      <c r="A1283"/>
      <c r="B1283"/>
      <c r="C1283" s="3"/>
      <c r="D1283"/>
      <c r="E1283"/>
      <c r="F1283"/>
      <c r="G1283" s="3"/>
      <c r="H1283" s="3"/>
      <c r="I1283" s="3"/>
      <c r="J1283" s="288"/>
      <c r="L1283" s="288"/>
      <c r="M1283" s="288"/>
      <c r="N1283" s="288"/>
      <c r="O1283" s="288"/>
      <c r="P1283" s="288"/>
      <c r="Q1283" s="288"/>
      <c r="R1283" s="283"/>
      <c r="S1283" s="280"/>
      <c r="T1283" s="276"/>
      <c r="U1283" s="276"/>
      <c r="V1283" s="276"/>
      <c r="W1283" s="283"/>
      <c r="X1283" s="280"/>
      <c r="Y1283" s="280"/>
      <c r="Z1283" s="280"/>
      <c r="AA1283" s="280"/>
      <c r="AB1283" s="280"/>
      <c r="AC1283" s="280"/>
      <c r="AD1283" s="280"/>
      <c r="AG1283" s="3"/>
      <c r="AH1283" s="3"/>
      <c r="AI1283" s="3"/>
      <c r="AJ1283" s="3"/>
      <c r="AK1283" s="3"/>
      <c r="AL1283" s="3"/>
      <c r="AM1283" s="3"/>
      <c r="AN1283" s="3"/>
      <c r="AO1283" s="3"/>
      <c r="AP1283" s="11"/>
      <c r="AQ1283" s="11"/>
      <c r="AR1283" s="3"/>
      <c r="AS1283" s="3"/>
      <c r="AT1283" s="3"/>
      <c r="AU1283" s="3"/>
      <c r="AV1283" s="3"/>
      <c r="AW1283" s="3"/>
      <c r="AX1283" s="11"/>
      <c r="AZ1283"/>
      <c r="BA1283"/>
      <c r="BB1283"/>
      <c r="BC1283"/>
    </row>
    <row r="1284" spans="1:55" s="282" customFormat="1" x14ac:dyDescent="0.25">
      <c r="A1284"/>
      <c r="B1284"/>
      <c r="C1284" s="3"/>
      <c r="D1284"/>
      <c r="E1284"/>
      <c r="F1284"/>
      <c r="G1284" s="3"/>
      <c r="H1284" s="3"/>
      <c r="I1284" s="3"/>
      <c r="J1284" s="288"/>
      <c r="L1284" s="288"/>
      <c r="M1284" s="288"/>
      <c r="N1284" s="288"/>
      <c r="O1284" s="288"/>
      <c r="P1284" s="288"/>
      <c r="Q1284" s="288"/>
      <c r="R1284" s="283"/>
      <c r="S1284" s="280"/>
      <c r="T1284" s="276"/>
      <c r="U1284" s="276"/>
      <c r="V1284" s="276"/>
      <c r="W1284" s="283"/>
      <c r="X1284" s="280"/>
      <c r="Y1284" s="280"/>
      <c r="Z1284" s="280"/>
      <c r="AA1284" s="280"/>
      <c r="AB1284" s="280"/>
      <c r="AC1284" s="280"/>
      <c r="AD1284" s="280"/>
      <c r="AG1284" s="3"/>
      <c r="AH1284" s="3"/>
      <c r="AI1284" s="3"/>
      <c r="AJ1284" s="3"/>
      <c r="AK1284" s="3"/>
      <c r="AL1284" s="3"/>
      <c r="AM1284" s="3"/>
      <c r="AN1284" s="3"/>
      <c r="AO1284" s="3"/>
      <c r="AP1284" s="11"/>
      <c r="AQ1284" s="11"/>
      <c r="AR1284" s="3"/>
      <c r="AS1284" s="3"/>
      <c r="AT1284" s="3"/>
      <c r="AU1284" s="3"/>
      <c r="AV1284" s="3"/>
      <c r="AW1284" s="3"/>
      <c r="AX1284" s="11"/>
      <c r="AZ1284"/>
      <c r="BA1284"/>
      <c r="BB1284"/>
      <c r="BC1284"/>
    </row>
    <row r="1285" spans="1:55" s="282" customFormat="1" x14ac:dyDescent="0.25">
      <c r="A1285"/>
      <c r="B1285"/>
      <c r="C1285" s="3"/>
      <c r="D1285"/>
      <c r="E1285"/>
      <c r="F1285"/>
      <c r="G1285" s="3"/>
      <c r="H1285" s="3"/>
      <c r="I1285" s="3"/>
      <c r="J1285" s="288"/>
      <c r="L1285" s="288"/>
      <c r="M1285" s="288"/>
      <c r="N1285" s="288"/>
      <c r="O1285" s="288"/>
      <c r="P1285" s="288"/>
      <c r="Q1285" s="288"/>
      <c r="R1285" s="283"/>
      <c r="S1285" s="280"/>
      <c r="T1285" s="276"/>
      <c r="U1285" s="276"/>
      <c r="V1285" s="276"/>
      <c r="W1285" s="283"/>
      <c r="X1285" s="280"/>
      <c r="Y1285" s="280"/>
      <c r="Z1285" s="280"/>
      <c r="AA1285" s="280"/>
      <c r="AB1285" s="280"/>
      <c r="AC1285" s="280"/>
      <c r="AD1285" s="280"/>
      <c r="AG1285" s="3"/>
      <c r="AH1285" s="3"/>
      <c r="AI1285" s="3"/>
      <c r="AJ1285" s="3"/>
      <c r="AK1285" s="3"/>
      <c r="AL1285" s="3"/>
      <c r="AM1285" s="3"/>
      <c r="AN1285" s="3"/>
      <c r="AO1285" s="3"/>
      <c r="AP1285" s="11"/>
      <c r="AQ1285" s="11"/>
      <c r="AR1285" s="3"/>
      <c r="AS1285" s="3"/>
      <c r="AT1285" s="3"/>
      <c r="AU1285" s="3"/>
      <c r="AV1285" s="3"/>
      <c r="AW1285" s="3"/>
      <c r="AX1285" s="11"/>
      <c r="AZ1285"/>
      <c r="BA1285"/>
      <c r="BB1285"/>
      <c r="BC1285"/>
    </row>
    <row r="1286" spans="1:55" s="282" customFormat="1" x14ac:dyDescent="0.25">
      <c r="A1286"/>
      <c r="B1286"/>
      <c r="C1286" s="3"/>
      <c r="D1286"/>
      <c r="E1286"/>
      <c r="F1286"/>
      <c r="G1286" s="3"/>
      <c r="H1286" s="3"/>
      <c r="I1286" s="3"/>
      <c r="J1286" s="288"/>
      <c r="L1286" s="288"/>
      <c r="M1286" s="288"/>
      <c r="N1286" s="288"/>
      <c r="O1286" s="288"/>
      <c r="P1286" s="288"/>
      <c r="Q1286" s="288"/>
      <c r="R1286" s="283"/>
      <c r="S1286" s="280"/>
      <c r="T1286" s="276"/>
      <c r="U1286" s="276"/>
      <c r="V1286" s="276"/>
      <c r="W1286" s="283"/>
      <c r="X1286" s="280"/>
      <c r="Y1286" s="280"/>
      <c r="Z1286" s="280"/>
      <c r="AA1286" s="280"/>
      <c r="AB1286" s="280"/>
      <c r="AC1286" s="280"/>
      <c r="AD1286" s="280"/>
      <c r="AG1286" s="3"/>
      <c r="AH1286" s="3"/>
      <c r="AI1286" s="3"/>
      <c r="AJ1286" s="3"/>
      <c r="AK1286" s="3"/>
      <c r="AL1286" s="3"/>
      <c r="AM1286" s="3"/>
      <c r="AN1286" s="3"/>
      <c r="AO1286" s="3"/>
      <c r="AP1286" s="11"/>
      <c r="AQ1286" s="11"/>
      <c r="AR1286" s="3"/>
      <c r="AS1286" s="3"/>
      <c r="AT1286" s="3"/>
      <c r="AU1286" s="3"/>
      <c r="AV1286" s="3"/>
      <c r="AW1286" s="3"/>
      <c r="AX1286" s="11"/>
      <c r="AZ1286"/>
      <c r="BA1286"/>
      <c r="BB1286"/>
      <c r="BC1286"/>
    </row>
    <row r="1287" spans="1:55" s="282" customFormat="1" x14ac:dyDescent="0.25">
      <c r="A1287"/>
      <c r="B1287"/>
      <c r="C1287" s="3"/>
      <c r="D1287"/>
      <c r="E1287"/>
      <c r="F1287"/>
      <c r="G1287" s="3"/>
      <c r="H1287" s="3"/>
      <c r="I1287" s="3"/>
      <c r="J1287" s="288"/>
      <c r="L1287" s="288"/>
      <c r="M1287" s="288"/>
      <c r="N1287" s="288"/>
      <c r="O1287" s="288"/>
      <c r="P1287" s="288"/>
      <c r="Q1287" s="288"/>
      <c r="R1287" s="283"/>
      <c r="S1287" s="280"/>
      <c r="T1287" s="276"/>
      <c r="U1287" s="276"/>
      <c r="V1287" s="276"/>
      <c r="W1287" s="283"/>
      <c r="X1287" s="280"/>
      <c r="Y1287" s="280"/>
      <c r="Z1287" s="280"/>
      <c r="AA1287" s="280"/>
      <c r="AB1287" s="280"/>
      <c r="AC1287" s="280"/>
      <c r="AD1287" s="280"/>
      <c r="AG1287" s="3"/>
      <c r="AH1287" s="3"/>
      <c r="AI1287" s="3"/>
      <c r="AJ1287" s="3"/>
      <c r="AK1287" s="3"/>
      <c r="AL1287" s="3"/>
      <c r="AM1287" s="3"/>
      <c r="AN1287" s="3"/>
      <c r="AO1287" s="3"/>
      <c r="AP1287" s="11"/>
      <c r="AQ1287" s="11"/>
      <c r="AR1287" s="3"/>
      <c r="AS1287" s="3"/>
      <c r="AT1287" s="3"/>
      <c r="AU1287" s="3"/>
      <c r="AV1287" s="3"/>
      <c r="AW1287" s="3"/>
      <c r="AX1287" s="11"/>
      <c r="AZ1287"/>
      <c r="BA1287"/>
      <c r="BB1287"/>
      <c r="BC1287"/>
    </row>
    <row r="1288" spans="1:55" s="282" customFormat="1" x14ac:dyDescent="0.25">
      <c r="A1288"/>
      <c r="B1288"/>
      <c r="C1288" s="3"/>
      <c r="D1288"/>
      <c r="E1288"/>
      <c r="F1288"/>
      <c r="G1288" s="3"/>
      <c r="H1288" s="3"/>
      <c r="I1288" s="3"/>
      <c r="J1288" s="288"/>
      <c r="L1288" s="288"/>
      <c r="M1288" s="288"/>
      <c r="N1288" s="288"/>
      <c r="O1288" s="288"/>
      <c r="P1288" s="288"/>
      <c r="Q1288" s="288"/>
      <c r="R1288" s="283"/>
      <c r="S1288" s="280"/>
      <c r="T1288" s="276"/>
      <c r="U1288" s="276"/>
      <c r="V1288" s="276"/>
      <c r="W1288" s="283"/>
      <c r="X1288" s="280"/>
      <c r="Y1288" s="280"/>
      <c r="Z1288" s="280"/>
      <c r="AA1288" s="280"/>
      <c r="AB1288" s="280"/>
      <c r="AC1288" s="280"/>
      <c r="AD1288" s="280"/>
      <c r="AG1288" s="3"/>
      <c r="AH1288" s="3"/>
      <c r="AI1288" s="3"/>
      <c r="AJ1288" s="3"/>
      <c r="AK1288" s="3"/>
      <c r="AL1288" s="3"/>
      <c r="AM1288" s="3"/>
      <c r="AN1288" s="3"/>
      <c r="AO1288" s="3"/>
      <c r="AP1288" s="11"/>
      <c r="AQ1288" s="11"/>
      <c r="AR1288" s="3"/>
      <c r="AS1288" s="3"/>
      <c r="AT1288" s="3"/>
      <c r="AU1288" s="3"/>
      <c r="AV1288" s="3"/>
      <c r="AW1288" s="3"/>
      <c r="AX1288" s="11"/>
      <c r="AZ1288"/>
      <c r="BA1288"/>
      <c r="BB1288"/>
      <c r="BC1288"/>
    </row>
    <row r="1289" spans="1:55" s="282" customFormat="1" x14ac:dyDescent="0.25">
      <c r="A1289"/>
      <c r="B1289"/>
      <c r="C1289" s="3"/>
      <c r="D1289"/>
      <c r="E1289"/>
      <c r="F1289"/>
      <c r="G1289" s="3"/>
      <c r="H1289" s="3"/>
      <c r="I1289" s="3"/>
      <c r="J1289" s="288"/>
      <c r="L1289" s="288"/>
      <c r="M1289" s="288"/>
      <c r="N1289" s="288"/>
      <c r="O1289" s="288"/>
      <c r="P1289" s="288"/>
      <c r="Q1289" s="288"/>
      <c r="R1289" s="283"/>
      <c r="S1289" s="280"/>
      <c r="T1289" s="276"/>
      <c r="U1289" s="276"/>
      <c r="V1289" s="276"/>
      <c r="W1289" s="283"/>
      <c r="X1289" s="280"/>
      <c r="Y1289" s="280"/>
      <c r="Z1289" s="280"/>
      <c r="AA1289" s="280"/>
      <c r="AB1289" s="280"/>
      <c r="AC1289" s="280"/>
      <c r="AD1289" s="280"/>
      <c r="AG1289" s="3"/>
      <c r="AH1289" s="3"/>
      <c r="AI1289" s="3"/>
      <c r="AJ1289" s="3"/>
      <c r="AK1289" s="3"/>
      <c r="AL1289" s="3"/>
      <c r="AM1289" s="3"/>
      <c r="AN1289" s="3"/>
      <c r="AO1289" s="3"/>
      <c r="AP1289" s="11"/>
      <c r="AQ1289" s="11"/>
      <c r="AR1289" s="3"/>
      <c r="AS1289" s="3"/>
      <c r="AT1289" s="3"/>
      <c r="AU1289" s="3"/>
      <c r="AV1289" s="3"/>
      <c r="AW1289" s="3"/>
      <c r="AX1289" s="11"/>
      <c r="AZ1289"/>
      <c r="BA1289"/>
      <c r="BB1289"/>
      <c r="BC1289"/>
    </row>
    <row r="1290" spans="1:55" s="282" customFormat="1" x14ac:dyDescent="0.25">
      <c r="A1290"/>
      <c r="B1290"/>
      <c r="C1290" s="3"/>
      <c r="D1290"/>
      <c r="E1290"/>
      <c r="F1290"/>
      <c r="G1290" s="3"/>
      <c r="H1290" s="3"/>
      <c r="I1290" s="3"/>
      <c r="J1290" s="288"/>
      <c r="L1290" s="288"/>
      <c r="M1290" s="288"/>
      <c r="N1290" s="288"/>
      <c r="O1290" s="288"/>
      <c r="P1290" s="288"/>
      <c r="Q1290" s="288"/>
      <c r="R1290" s="283"/>
      <c r="S1290" s="280"/>
      <c r="T1290" s="276"/>
      <c r="U1290" s="276"/>
      <c r="V1290" s="276"/>
      <c r="W1290" s="283"/>
      <c r="X1290" s="280"/>
      <c r="Y1290" s="280"/>
      <c r="Z1290" s="280"/>
      <c r="AA1290" s="280"/>
      <c r="AB1290" s="280"/>
      <c r="AC1290" s="280"/>
      <c r="AD1290" s="280"/>
      <c r="AG1290" s="3"/>
      <c r="AH1290" s="3"/>
      <c r="AI1290" s="3"/>
      <c r="AJ1290" s="3"/>
      <c r="AK1290" s="3"/>
      <c r="AL1290" s="3"/>
      <c r="AM1290" s="3"/>
      <c r="AN1290" s="3"/>
      <c r="AO1290" s="3"/>
      <c r="AP1290" s="11"/>
      <c r="AQ1290" s="11"/>
      <c r="AR1290" s="3"/>
      <c r="AS1290" s="3"/>
      <c r="AT1290" s="3"/>
      <c r="AU1290" s="3"/>
      <c r="AV1290" s="3"/>
      <c r="AW1290" s="3"/>
      <c r="AX1290" s="11"/>
      <c r="AZ1290"/>
      <c r="BA1290"/>
      <c r="BB1290"/>
      <c r="BC1290"/>
    </row>
    <row r="1291" spans="1:55" s="282" customFormat="1" x14ac:dyDescent="0.25">
      <c r="A1291"/>
      <c r="B1291"/>
      <c r="C1291" s="3"/>
      <c r="D1291"/>
      <c r="E1291"/>
      <c r="F1291"/>
      <c r="G1291" s="3"/>
      <c r="H1291" s="3"/>
      <c r="I1291" s="3"/>
      <c r="J1291" s="288"/>
      <c r="L1291" s="288"/>
      <c r="M1291" s="288"/>
      <c r="N1291" s="288"/>
      <c r="O1291" s="288"/>
      <c r="P1291" s="288"/>
      <c r="Q1291" s="288"/>
      <c r="R1291" s="283"/>
      <c r="S1291" s="280"/>
      <c r="T1291" s="276"/>
      <c r="U1291" s="276"/>
      <c r="V1291" s="276"/>
      <c r="W1291" s="283"/>
      <c r="X1291" s="280"/>
      <c r="Y1291" s="280"/>
      <c r="Z1291" s="280"/>
      <c r="AA1291" s="280"/>
      <c r="AB1291" s="280"/>
      <c r="AC1291" s="280"/>
      <c r="AD1291" s="280"/>
      <c r="AG1291" s="3"/>
      <c r="AH1291" s="3"/>
      <c r="AI1291" s="3"/>
      <c r="AJ1291" s="3"/>
      <c r="AK1291" s="3"/>
      <c r="AL1291" s="3"/>
      <c r="AM1291" s="3"/>
      <c r="AN1291" s="3"/>
      <c r="AO1291" s="3"/>
      <c r="AP1291" s="11"/>
      <c r="AQ1291" s="11"/>
      <c r="AR1291" s="3"/>
      <c r="AS1291" s="3"/>
      <c r="AT1291" s="3"/>
      <c r="AU1291" s="3"/>
      <c r="AV1291" s="3"/>
      <c r="AW1291" s="3"/>
      <c r="AX1291" s="11"/>
      <c r="AZ1291"/>
      <c r="BA1291"/>
      <c r="BB1291"/>
      <c r="BC1291"/>
    </row>
    <row r="1292" spans="1:55" s="282" customFormat="1" x14ac:dyDescent="0.25">
      <c r="A1292"/>
      <c r="B1292"/>
      <c r="C1292" s="3"/>
      <c r="D1292"/>
      <c r="E1292"/>
      <c r="F1292"/>
      <c r="G1292" s="3"/>
      <c r="H1292" s="3"/>
      <c r="I1292" s="3"/>
      <c r="J1292" s="288"/>
      <c r="L1292" s="288"/>
      <c r="M1292" s="288"/>
      <c r="N1292" s="288"/>
      <c r="O1292" s="288"/>
      <c r="P1292" s="288"/>
      <c r="Q1292" s="288"/>
      <c r="R1292" s="283"/>
      <c r="S1292" s="280"/>
      <c r="T1292" s="276"/>
      <c r="U1292" s="276"/>
      <c r="V1292" s="276"/>
      <c r="W1292" s="283"/>
      <c r="X1292" s="280"/>
      <c r="Y1292" s="280"/>
      <c r="Z1292" s="280"/>
      <c r="AA1292" s="280"/>
      <c r="AB1292" s="280"/>
      <c r="AC1292" s="280"/>
      <c r="AD1292" s="280"/>
      <c r="AG1292" s="3"/>
      <c r="AH1292" s="3"/>
      <c r="AI1292" s="3"/>
      <c r="AJ1292" s="3"/>
      <c r="AK1292" s="3"/>
      <c r="AL1292" s="3"/>
      <c r="AM1292" s="3"/>
      <c r="AN1292" s="3"/>
      <c r="AO1292" s="3"/>
      <c r="AP1292" s="11"/>
      <c r="AQ1292" s="11"/>
      <c r="AR1292" s="3"/>
      <c r="AS1292" s="3"/>
      <c r="AT1292" s="3"/>
      <c r="AU1292" s="3"/>
      <c r="AV1292" s="3"/>
      <c r="AW1292" s="3"/>
      <c r="AX1292" s="11"/>
      <c r="AZ1292"/>
      <c r="BA1292"/>
      <c r="BB1292"/>
      <c r="BC1292"/>
    </row>
    <row r="1293" spans="1:55" s="282" customFormat="1" x14ac:dyDescent="0.25">
      <c r="A1293"/>
      <c r="B1293"/>
      <c r="C1293" s="3"/>
      <c r="D1293"/>
      <c r="E1293"/>
      <c r="F1293"/>
      <c r="G1293" s="3"/>
      <c r="H1293" s="3"/>
      <c r="I1293" s="3"/>
      <c r="J1293" s="288"/>
      <c r="L1293" s="288"/>
      <c r="M1293" s="288"/>
      <c r="N1293" s="288"/>
      <c r="O1293" s="288"/>
      <c r="P1293" s="288"/>
      <c r="Q1293" s="288"/>
      <c r="R1293" s="283"/>
      <c r="S1293" s="280"/>
      <c r="T1293" s="276"/>
      <c r="U1293" s="276"/>
      <c r="V1293" s="276"/>
      <c r="W1293" s="283"/>
      <c r="X1293" s="280"/>
      <c r="Y1293" s="280"/>
      <c r="Z1293" s="280"/>
      <c r="AA1293" s="280"/>
      <c r="AB1293" s="280"/>
      <c r="AC1293" s="280"/>
      <c r="AD1293" s="280"/>
      <c r="AG1293" s="3"/>
      <c r="AH1293" s="3"/>
      <c r="AI1293" s="3"/>
      <c r="AJ1293" s="3"/>
      <c r="AK1293" s="3"/>
      <c r="AL1293" s="3"/>
      <c r="AM1293" s="3"/>
      <c r="AN1293" s="3"/>
      <c r="AO1293" s="3"/>
      <c r="AP1293" s="11"/>
      <c r="AQ1293" s="11"/>
      <c r="AR1293" s="3"/>
      <c r="AS1293" s="3"/>
      <c r="AT1293" s="3"/>
      <c r="AU1293" s="3"/>
      <c r="AV1293" s="3"/>
      <c r="AW1293" s="3"/>
      <c r="AX1293" s="11"/>
      <c r="AZ1293"/>
      <c r="BA1293"/>
      <c r="BB1293"/>
      <c r="BC1293"/>
    </row>
    <row r="1294" spans="1:55" s="282" customFormat="1" x14ac:dyDescent="0.25">
      <c r="A1294"/>
      <c r="B1294"/>
      <c r="C1294" s="3"/>
      <c r="D1294"/>
      <c r="E1294"/>
      <c r="F1294"/>
      <c r="G1294" s="3"/>
      <c r="H1294" s="3"/>
      <c r="I1294" s="3"/>
      <c r="J1294" s="288"/>
      <c r="L1294" s="288"/>
      <c r="M1294" s="288"/>
      <c r="N1294" s="288"/>
      <c r="O1294" s="288"/>
      <c r="P1294" s="288"/>
      <c r="Q1294" s="288"/>
      <c r="R1294" s="283"/>
      <c r="S1294" s="280"/>
      <c r="T1294" s="276"/>
      <c r="U1294" s="276"/>
      <c r="V1294" s="276"/>
      <c r="W1294" s="283"/>
      <c r="X1294" s="280"/>
      <c r="Y1294" s="280"/>
      <c r="Z1294" s="280"/>
      <c r="AA1294" s="280"/>
      <c r="AB1294" s="280"/>
      <c r="AC1294" s="280"/>
      <c r="AD1294" s="280"/>
      <c r="AG1294" s="3"/>
      <c r="AH1294" s="3"/>
      <c r="AI1294" s="3"/>
      <c r="AJ1294" s="3"/>
      <c r="AK1294" s="3"/>
      <c r="AL1294" s="3"/>
      <c r="AM1294" s="3"/>
      <c r="AN1294" s="3"/>
      <c r="AO1294" s="3"/>
      <c r="AP1294" s="11"/>
      <c r="AQ1294" s="11"/>
      <c r="AR1294" s="3"/>
      <c r="AS1294" s="3"/>
      <c r="AT1294" s="3"/>
      <c r="AU1294" s="3"/>
      <c r="AV1294" s="3"/>
      <c r="AW1294" s="3"/>
      <c r="AX1294" s="11"/>
      <c r="AZ1294"/>
      <c r="BA1294"/>
      <c r="BB1294"/>
      <c r="BC1294"/>
    </row>
    <row r="1295" spans="1:55" s="282" customFormat="1" x14ac:dyDescent="0.25">
      <c r="A1295"/>
      <c r="B1295"/>
      <c r="C1295" s="3"/>
      <c r="D1295"/>
      <c r="E1295"/>
      <c r="F1295"/>
      <c r="G1295" s="3"/>
      <c r="H1295" s="3"/>
      <c r="I1295" s="3"/>
      <c r="J1295" s="288"/>
      <c r="L1295" s="288"/>
      <c r="M1295" s="288"/>
      <c r="N1295" s="288"/>
      <c r="O1295" s="288"/>
      <c r="P1295" s="288"/>
      <c r="Q1295" s="288"/>
      <c r="R1295" s="283"/>
      <c r="S1295" s="280"/>
      <c r="T1295" s="276"/>
      <c r="U1295" s="276"/>
      <c r="V1295" s="276"/>
      <c r="W1295" s="283"/>
      <c r="X1295" s="280"/>
      <c r="Y1295" s="280"/>
      <c r="Z1295" s="280"/>
      <c r="AA1295" s="280"/>
      <c r="AB1295" s="280"/>
      <c r="AC1295" s="280"/>
      <c r="AD1295" s="280"/>
      <c r="AG1295" s="3"/>
      <c r="AH1295" s="3"/>
      <c r="AI1295" s="3"/>
      <c r="AJ1295" s="3"/>
      <c r="AK1295" s="3"/>
      <c r="AL1295" s="3"/>
      <c r="AM1295" s="3"/>
      <c r="AN1295" s="3"/>
      <c r="AO1295" s="3"/>
      <c r="AP1295" s="11"/>
      <c r="AQ1295" s="11"/>
      <c r="AR1295" s="3"/>
      <c r="AS1295" s="3"/>
      <c r="AT1295" s="3"/>
      <c r="AU1295" s="3"/>
      <c r="AV1295" s="3"/>
      <c r="AW1295" s="3"/>
      <c r="AX1295" s="11"/>
      <c r="AZ1295"/>
      <c r="BA1295"/>
      <c r="BB1295"/>
      <c r="BC1295"/>
    </row>
    <row r="1296" spans="1:55" s="282" customFormat="1" x14ac:dyDescent="0.25">
      <c r="A1296"/>
      <c r="B1296"/>
      <c r="C1296" s="3"/>
      <c r="D1296"/>
      <c r="E1296"/>
      <c r="F1296"/>
      <c r="G1296" s="3"/>
      <c r="H1296" s="3"/>
      <c r="I1296" s="3"/>
      <c r="J1296" s="288"/>
      <c r="L1296" s="288"/>
      <c r="M1296" s="288"/>
      <c r="N1296" s="288"/>
      <c r="O1296" s="288"/>
      <c r="P1296" s="288"/>
      <c r="Q1296" s="288"/>
      <c r="R1296" s="283"/>
      <c r="S1296" s="280"/>
      <c r="T1296" s="276"/>
      <c r="U1296" s="276"/>
      <c r="V1296" s="276"/>
      <c r="W1296" s="283"/>
      <c r="X1296" s="280"/>
      <c r="Y1296" s="280"/>
      <c r="Z1296" s="280"/>
      <c r="AA1296" s="280"/>
      <c r="AB1296" s="280"/>
      <c r="AC1296" s="280"/>
      <c r="AD1296" s="280"/>
      <c r="AG1296" s="3"/>
      <c r="AH1296" s="3"/>
      <c r="AI1296" s="3"/>
      <c r="AJ1296" s="3"/>
      <c r="AK1296" s="3"/>
      <c r="AL1296" s="3"/>
      <c r="AM1296" s="3"/>
      <c r="AN1296" s="3"/>
      <c r="AO1296" s="3"/>
      <c r="AP1296" s="11"/>
      <c r="AQ1296" s="11"/>
      <c r="AR1296" s="3"/>
      <c r="AS1296" s="3"/>
      <c r="AT1296" s="3"/>
      <c r="AU1296" s="3"/>
      <c r="AV1296" s="3"/>
      <c r="AW1296" s="3"/>
      <c r="AX1296" s="11"/>
      <c r="AZ1296"/>
      <c r="BA1296"/>
      <c r="BB1296"/>
      <c r="BC1296"/>
    </row>
    <row r="1297" spans="1:55" s="282" customFormat="1" x14ac:dyDescent="0.25">
      <c r="A1297"/>
      <c r="B1297"/>
      <c r="C1297" s="3"/>
      <c r="D1297"/>
      <c r="E1297"/>
      <c r="F1297"/>
      <c r="G1297" s="3"/>
      <c r="H1297" s="3"/>
      <c r="I1297" s="3"/>
      <c r="J1297" s="288"/>
      <c r="L1297" s="288"/>
      <c r="M1297" s="288"/>
      <c r="N1297" s="288"/>
      <c r="O1297" s="288"/>
      <c r="P1297" s="288"/>
      <c r="Q1297" s="288"/>
      <c r="R1297" s="283"/>
      <c r="S1297" s="280"/>
      <c r="T1297" s="276"/>
      <c r="U1297" s="276"/>
      <c r="V1297" s="276"/>
      <c r="W1297" s="283"/>
      <c r="X1297" s="280"/>
      <c r="Y1297" s="280"/>
      <c r="Z1297" s="280"/>
      <c r="AA1297" s="280"/>
      <c r="AB1297" s="280"/>
      <c r="AC1297" s="280"/>
      <c r="AD1297" s="280"/>
      <c r="AG1297" s="3"/>
      <c r="AH1297" s="3"/>
      <c r="AI1297" s="3"/>
      <c r="AJ1297" s="3"/>
      <c r="AK1297" s="3"/>
      <c r="AL1297" s="3"/>
      <c r="AM1297" s="3"/>
      <c r="AN1297" s="3"/>
      <c r="AO1297" s="3"/>
      <c r="AP1297" s="11"/>
      <c r="AQ1297" s="11"/>
      <c r="AR1297" s="3"/>
      <c r="AS1297" s="3"/>
      <c r="AT1297" s="3"/>
      <c r="AU1297" s="3"/>
      <c r="AV1297" s="3"/>
      <c r="AW1297" s="3"/>
      <c r="AX1297" s="11"/>
      <c r="AZ1297"/>
      <c r="BA1297"/>
      <c r="BB1297"/>
      <c r="BC1297"/>
    </row>
    <row r="1298" spans="1:55" s="282" customFormat="1" x14ac:dyDescent="0.25">
      <c r="A1298"/>
      <c r="B1298"/>
      <c r="C1298" s="3"/>
      <c r="D1298"/>
      <c r="E1298"/>
      <c r="F1298"/>
      <c r="G1298" s="3"/>
      <c r="H1298" s="3"/>
      <c r="I1298" s="3"/>
      <c r="J1298" s="288"/>
      <c r="L1298" s="288"/>
      <c r="M1298" s="288"/>
      <c r="N1298" s="288"/>
      <c r="O1298" s="288"/>
      <c r="P1298" s="288"/>
      <c r="Q1298" s="288"/>
      <c r="R1298" s="283"/>
      <c r="S1298" s="280"/>
      <c r="T1298" s="276"/>
      <c r="U1298" s="276"/>
      <c r="V1298" s="276"/>
      <c r="W1298" s="283"/>
      <c r="X1298" s="280"/>
      <c r="Y1298" s="280"/>
      <c r="Z1298" s="280"/>
      <c r="AA1298" s="280"/>
      <c r="AB1298" s="280"/>
      <c r="AC1298" s="280"/>
      <c r="AD1298" s="280"/>
      <c r="AG1298" s="3"/>
      <c r="AH1298" s="3"/>
      <c r="AI1298" s="3"/>
      <c r="AJ1298" s="3"/>
      <c r="AK1298" s="3"/>
      <c r="AL1298" s="3"/>
      <c r="AM1298" s="3"/>
      <c r="AN1298" s="3"/>
      <c r="AO1298" s="3"/>
      <c r="AP1298" s="11"/>
      <c r="AQ1298" s="11"/>
      <c r="AR1298" s="3"/>
      <c r="AS1298" s="3"/>
      <c r="AT1298" s="3"/>
      <c r="AU1298" s="3"/>
      <c r="AV1298" s="3"/>
      <c r="AW1298" s="3"/>
      <c r="AX1298" s="11"/>
      <c r="AZ1298"/>
      <c r="BA1298"/>
      <c r="BB1298"/>
      <c r="BC1298"/>
    </row>
    <row r="1299" spans="1:55" s="282" customFormat="1" x14ac:dyDescent="0.25">
      <c r="A1299"/>
      <c r="B1299"/>
      <c r="C1299" s="3"/>
      <c r="D1299"/>
      <c r="E1299"/>
      <c r="F1299"/>
      <c r="G1299" s="3"/>
      <c r="H1299" s="3"/>
      <c r="I1299" s="3"/>
      <c r="J1299" s="288"/>
      <c r="L1299" s="288"/>
      <c r="M1299" s="288"/>
      <c r="N1299" s="288"/>
      <c r="O1299" s="288"/>
      <c r="P1299" s="288"/>
      <c r="Q1299" s="288"/>
      <c r="R1299" s="283"/>
      <c r="S1299" s="280"/>
      <c r="T1299" s="276"/>
      <c r="U1299" s="276"/>
      <c r="V1299" s="276"/>
      <c r="W1299" s="283"/>
      <c r="X1299" s="280"/>
      <c r="Y1299" s="280"/>
      <c r="Z1299" s="280"/>
      <c r="AA1299" s="280"/>
      <c r="AB1299" s="280"/>
      <c r="AC1299" s="280"/>
      <c r="AD1299" s="280"/>
      <c r="AG1299" s="3"/>
      <c r="AH1299" s="3"/>
      <c r="AI1299" s="3"/>
      <c r="AJ1299" s="3"/>
      <c r="AK1299" s="3"/>
      <c r="AL1299" s="3"/>
      <c r="AM1299" s="3"/>
      <c r="AN1299" s="3"/>
      <c r="AO1299" s="3"/>
      <c r="AP1299" s="11"/>
      <c r="AQ1299" s="11"/>
      <c r="AR1299" s="3"/>
      <c r="AS1299" s="3"/>
      <c r="AT1299" s="3"/>
      <c r="AU1299" s="3"/>
      <c r="AV1299" s="3"/>
      <c r="AW1299" s="3"/>
      <c r="AX1299" s="11"/>
      <c r="AZ1299"/>
      <c r="BA1299"/>
      <c r="BB1299"/>
      <c r="BC1299"/>
    </row>
    <row r="1300" spans="1:55" s="282" customFormat="1" x14ac:dyDescent="0.25">
      <c r="A1300"/>
      <c r="B1300"/>
      <c r="C1300" s="3"/>
      <c r="D1300"/>
      <c r="E1300"/>
      <c r="F1300"/>
      <c r="G1300" s="3"/>
      <c r="H1300" s="3"/>
      <c r="I1300" s="3"/>
      <c r="J1300" s="288"/>
      <c r="L1300" s="288"/>
      <c r="M1300" s="288"/>
      <c r="N1300" s="288"/>
      <c r="O1300" s="288"/>
      <c r="P1300" s="288"/>
      <c r="Q1300" s="288"/>
      <c r="R1300" s="283"/>
      <c r="S1300" s="280"/>
      <c r="T1300" s="276"/>
      <c r="U1300" s="276"/>
      <c r="V1300" s="276"/>
      <c r="W1300" s="283"/>
      <c r="X1300" s="280"/>
      <c r="Y1300" s="280"/>
      <c r="Z1300" s="280"/>
      <c r="AA1300" s="280"/>
      <c r="AB1300" s="280"/>
      <c r="AC1300" s="280"/>
      <c r="AD1300" s="280"/>
      <c r="AG1300" s="3"/>
      <c r="AH1300" s="3"/>
      <c r="AI1300" s="3"/>
      <c r="AJ1300" s="3"/>
      <c r="AK1300" s="3"/>
      <c r="AL1300" s="3"/>
      <c r="AM1300" s="3"/>
      <c r="AN1300" s="3"/>
      <c r="AO1300" s="3"/>
      <c r="AP1300" s="11"/>
      <c r="AQ1300" s="11"/>
      <c r="AR1300" s="3"/>
      <c r="AS1300" s="3"/>
      <c r="AT1300" s="3"/>
      <c r="AU1300" s="3"/>
      <c r="AV1300" s="3"/>
      <c r="AW1300" s="3"/>
      <c r="AX1300" s="11"/>
      <c r="AZ1300"/>
      <c r="BA1300"/>
      <c r="BB1300"/>
      <c r="BC1300"/>
    </row>
    <row r="1301" spans="1:55" s="282" customFormat="1" x14ac:dyDescent="0.25">
      <c r="A1301"/>
      <c r="B1301"/>
      <c r="C1301" s="3"/>
      <c r="D1301"/>
      <c r="E1301"/>
      <c r="F1301"/>
      <c r="G1301" s="3"/>
      <c r="H1301" s="3"/>
      <c r="I1301" s="3"/>
      <c r="J1301" s="288"/>
      <c r="L1301" s="288"/>
      <c r="M1301" s="288"/>
      <c r="N1301" s="288"/>
      <c r="O1301" s="288"/>
      <c r="P1301" s="288"/>
      <c r="Q1301" s="288"/>
      <c r="R1301" s="283"/>
      <c r="S1301" s="280"/>
      <c r="T1301" s="276"/>
      <c r="U1301" s="276"/>
      <c r="V1301" s="276"/>
      <c r="W1301" s="283"/>
      <c r="X1301" s="280"/>
      <c r="Y1301" s="280"/>
      <c r="Z1301" s="280"/>
      <c r="AA1301" s="280"/>
      <c r="AB1301" s="280"/>
      <c r="AC1301" s="280"/>
      <c r="AD1301" s="280"/>
      <c r="AG1301" s="3"/>
      <c r="AH1301" s="3"/>
      <c r="AI1301" s="3"/>
      <c r="AJ1301" s="3"/>
      <c r="AK1301" s="3"/>
      <c r="AL1301" s="3"/>
      <c r="AM1301" s="3"/>
      <c r="AN1301" s="3"/>
      <c r="AO1301" s="3"/>
      <c r="AP1301" s="11"/>
      <c r="AQ1301" s="11"/>
      <c r="AR1301" s="3"/>
      <c r="AS1301" s="3"/>
      <c r="AT1301" s="3"/>
      <c r="AU1301" s="3"/>
      <c r="AV1301" s="3"/>
      <c r="AW1301" s="3"/>
      <c r="AX1301" s="11"/>
      <c r="AZ1301"/>
      <c r="BA1301"/>
      <c r="BB1301"/>
      <c r="BC1301"/>
    </row>
    <row r="1302" spans="1:55" s="282" customFormat="1" x14ac:dyDescent="0.25">
      <c r="A1302"/>
      <c r="B1302"/>
      <c r="C1302" s="3"/>
      <c r="D1302"/>
      <c r="E1302"/>
      <c r="F1302"/>
      <c r="G1302" s="3"/>
      <c r="H1302" s="3"/>
      <c r="I1302" s="3"/>
      <c r="J1302" s="288"/>
      <c r="L1302" s="288"/>
      <c r="M1302" s="288"/>
      <c r="N1302" s="288"/>
      <c r="O1302" s="288"/>
      <c r="P1302" s="288"/>
      <c r="Q1302" s="288"/>
      <c r="R1302" s="283"/>
      <c r="S1302" s="280"/>
      <c r="T1302" s="276"/>
      <c r="U1302" s="276"/>
      <c r="V1302" s="276"/>
      <c r="W1302" s="283"/>
      <c r="X1302" s="280"/>
      <c r="Y1302" s="280"/>
      <c r="Z1302" s="280"/>
      <c r="AA1302" s="280"/>
      <c r="AB1302" s="280"/>
      <c r="AC1302" s="280"/>
      <c r="AD1302" s="280"/>
      <c r="AG1302" s="3"/>
      <c r="AH1302" s="3"/>
      <c r="AI1302" s="3"/>
      <c r="AJ1302" s="3"/>
      <c r="AK1302" s="3"/>
      <c r="AL1302" s="3"/>
      <c r="AM1302" s="3"/>
      <c r="AN1302" s="3"/>
      <c r="AO1302" s="3"/>
      <c r="AP1302" s="11"/>
      <c r="AQ1302" s="11"/>
      <c r="AR1302" s="3"/>
      <c r="AS1302" s="3"/>
      <c r="AT1302" s="3"/>
      <c r="AU1302" s="3"/>
      <c r="AV1302" s="3"/>
      <c r="AW1302" s="3"/>
      <c r="AX1302" s="11"/>
      <c r="AZ1302"/>
      <c r="BA1302"/>
      <c r="BB1302"/>
      <c r="BC1302"/>
    </row>
    <row r="1303" spans="1:55" s="282" customFormat="1" x14ac:dyDescent="0.25">
      <c r="A1303"/>
      <c r="B1303"/>
      <c r="C1303" s="3"/>
      <c r="D1303"/>
      <c r="E1303"/>
      <c r="F1303"/>
      <c r="G1303" s="3"/>
      <c r="H1303" s="3"/>
      <c r="I1303" s="3"/>
      <c r="J1303" s="288"/>
      <c r="L1303" s="288"/>
      <c r="M1303" s="288"/>
      <c r="N1303" s="288"/>
      <c r="O1303" s="288"/>
      <c r="P1303" s="288"/>
      <c r="Q1303" s="288"/>
      <c r="R1303" s="283"/>
      <c r="S1303" s="280"/>
      <c r="T1303" s="276"/>
      <c r="U1303" s="276"/>
      <c r="V1303" s="276"/>
      <c r="W1303" s="283"/>
      <c r="X1303" s="280"/>
      <c r="Y1303" s="280"/>
      <c r="Z1303" s="280"/>
      <c r="AA1303" s="280"/>
      <c r="AB1303" s="280"/>
      <c r="AC1303" s="280"/>
      <c r="AD1303" s="280"/>
      <c r="AG1303" s="3"/>
      <c r="AH1303" s="3"/>
      <c r="AI1303" s="3"/>
      <c r="AJ1303" s="3"/>
      <c r="AK1303" s="3"/>
      <c r="AL1303" s="3"/>
      <c r="AM1303" s="3"/>
      <c r="AN1303" s="3"/>
      <c r="AO1303" s="3"/>
      <c r="AP1303" s="11"/>
      <c r="AQ1303" s="11"/>
      <c r="AR1303" s="3"/>
      <c r="AS1303" s="3"/>
      <c r="AT1303" s="3"/>
      <c r="AU1303" s="3"/>
      <c r="AV1303" s="3"/>
      <c r="AW1303" s="3"/>
      <c r="AX1303" s="11"/>
      <c r="AZ1303"/>
      <c r="BA1303"/>
      <c r="BB1303"/>
      <c r="BC1303"/>
    </row>
    <row r="1304" spans="1:55" s="282" customFormat="1" x14ac:dyDescent="0.25">
      <c r="A1304"/>
      <c r="B1304"/>
      <c r="C1304" s="3"/>
      <c r="D1304"/>
      <c r="E1304"/>
      <c r="F1304"/>
      <c r="G1304" s="3"/>
      <c r="H1304" s="3"/>
      <c r="I1304" s="3"/>
      <c r="J1304" s="288"/>
      <c r="L1304" s="288"/>
      <c r="M1304" s="288"/>
      <c r="N1304" s="288"/>
      <c r="O1304" s="288"/>
      <c r="P1304" s="288"/>
      <c r="Q1304" s="288"/>
      <c r="R1304" s="283"/>
      <c r="S1304" s="280"/>
      <c r="T1304" s="276"/>
      <c r="U1304" s="276"/>
      <c r="V1304" s="276"/>
      <c r="W1304" s="283"/>
      <c r="X1304" s="280"/>
      <c r="Y1304" s="280"/>
      <c r="Z1304" s="280"/>
      <c r="AA1304" s="280"/>
      <c r="AB1304" s="280"/>
      <c r="AC1304" s="280"/>
      <c r="AD1304" s="280"/>
      <c r="AG1304" s="3"/>
      <c r="AH1304" s="3"/>
      <c r="AI1304" s="3"/>
      <c r="AJ1304" s="3"/>
      <c r="AK1304" s="3"/>
      <c r="AL1304" s="3"/>
      <c r="AM1304" s="3"/>
      <c r="AN1304" s="3"/>
      <c r="AO1304" s="3"/>
      <c r="AP1304" s="11"/>
      <c r="AQ1304" s="11"/>
      <c r="AR1304" s="3"/>
      <c r="AS1304" s="3"/>
      <c r="AT1304" s="3"/>
      <c r="AU1304" s="3"/>
      <c r="AV1304" s="3"/>
      <c r="AW1304" s="3"/>
      <c r="AX1304" s="11"/>
      <c r="AZ1304"/>
      <c r="BA1304"/>
      <c r="BB1304"/>
      <c r="BC1304"/>
    </row>
    <row r="1305" spans="1:55" s="282" customFormat="1" x14ac:dyDescent="0.25">
      <c r="A1305"/>
      <c r="B1305"/>
      <c r="C1305" s="3"/>
      <c r="D1305"/>
      <c r="E1305"/>
      <c r="F1305"/>
      <c r="G1305" s="3"/>
      <c r="H1305" s="3"/>
      <c r="I1305" s="3"/>
      <c r="J1305" s="288"/>
      <c r="L1305" s="288"/>
      <c r="M1305" s="288"/>
      <c r="N1305" s="288"/>
      <c r="O1305" s="288"/>
      <c r="P1305" s="288"/>
      <c r="Q1305" s="288"/>
      <c r="R1305" s="283"/>
      <c r="S1305" s="280"/>
      <c r="T1305" s="276"/>
      <c r="U1305" s="276"/>
      <c r="V1305" s="276"/>
      <c r="W1305" s="283"/>
      <c r="X1305" s="280"/>
      <c r="Y1305" s="280"/>
      <c r="Z1305" s="280"/>
      <c r="AA1305" s="280"/>
      <c r="AB1305" s="280"/>
      <c r="AC1305" s="280"/>
      <c r="AD1305" s="280"/>
      <c r="AG1305" s="3"/>
      <c r="AH1305" s="3"/>
      <c r="AI1305" s="3"/>
      <c r="AJ1305" s="3"/>
      <c r="AK1305" s="3"/>
      <c r="AL1305" s="3"/>
      <c r="AM1305" s="3"/>
      <c r="AN1305" s="3"/>
      <c r="AO1305" s="3"/>
      <c r="AP1305" s="11"/>
      <c r="AQ1305" s="11"/>
      <c r="AR1305" s="3"/>
      <c r="AS1305" s="3"/>
      <c r="AT1305" s="3"/>
      <c r="AU1305" s="3"/>
      <c r="AV1305" s="3"/>
      <c r="AW1305" s="3"/>
      <c r="AX1305" s="11"/>
      <c r="AZ1305"/>
      <c r="BA1305"/>
      <c r="BB1305"/>
      <c r="BC1305"/>
    </row>
    <row r="1306" spans="1:55" s="282" customFormat="1" x14ac:dyDescent="0.25">
      <c r="A1306"/>
      <c r="B1306"/>
      <c r="C1306" s="3"/>
      <c r="D1306"/>
      <c r="E1306"/>
      <c r="F1306"/>
      <c r="G1306" s="3"/>
      <c r="H1306" s="3"/>
      <c r="I1306" s="3"/>
      <c r="J1306" s="288"/>
      <c r="L1306" s="288"/>
      <c r="M1306" s="288"/>
      <c r="N1306" s="288"/>
      <c r="O1306" s="288"/>
      <c r="P1306" s="288"/>
      <c r="Q1306" s="288"/>
      <c r="R1306" s="283"/>
      <c r="S1306" s="280"/>
      <c r="T1306" s="276"/>
      <c r="U1306" s="276"/>
      <c r="V1306" s="276"/>
      <c r="W1306" s="283"/>
      <c r="X1306" s="280"/>
      <c r="Y1306" s="280"/>
      <c r="Z1306" s="280"/>
      <c r="AA1306" s="280"/>
      <c r="AB1306" s="280"/>
      <c r="AC1306" s="280"/>
      <c r="AD1306" s="280"/>
      <c r="AG1306" s="3"/>
      <c r="AH1306" s="3"/>
      <c r="AI1306" s="3"/>
      <c r="AJ1306" s="3"/>
      <c r="AK1306" s="3"/>
      <c r="AL1306" s="3"/>
      <c r="AM1306" s="3"/>
      <c r="AN1306" s="3"/>
      <c r="AO1306" s="3"/>
      <c r="AP1306" s="11"/>
      <c r="AQ1306" s="11"/>
      <c r="AR1306" s="3"/>
      <c r="AS1306" s="3"/>
      <c r="AT1306" s="3"/>
      <c r="AU1306" s="3"/>
      <c r="AV1306" s="3"/>
      <c r="AW1306" s="3"/>
      <c r="AX1306" s="11"/>
      <c r="AZ1306"/>
      <c r="BA1306"/>
      <c r="BB1306"/>
      <c r="BC1306"/>
    </row>
    <row r="1307" spans="1:55" s="282" customFormat="1" x14ac:dyDescent="0.25">
      <c r="A1307"/>
      <c r="B1307"/>
      <c r="C1307" s="3"/>
      <c r="D1307"/>
      <c r="E1307"/>
      <c r="F1307"/>
      <c r="G1307" s="3"/>
      <c r="H1307" s="3"/>
      <c r="I1307" s="3"/>
      <c r="J1307" s="288"/>
      <c r="L1307" s="288"/>
      <c r="M1307" s="288"/>
      <c r="N1307" s="288"/>
      <c r="O1307" s="288"/>
      <c r="P1307" s="288"/>
      <c r="Q1307" s="288"/>
      <c r="R1307" s="283"/>
      <c r="S1307" s="280"/>
      <c r="T1307" s="276"/>
      <c r="U1307" s="276"/>
      <c r="V1307" s="276"/>
      <c r="W1307" s="283"/>
      <c r="X1307" s="280"/>
      <c r="Y1307" s="280"/>
      <c r="Z1307" s="280"/>
      <c r="AA1307" s="280"/>
      <c r="AB1307" s="280"/>
      <c r="AC1307" s="280"/>
      <c r="AD1307" s="280"/>
      <c r="AG1307" s="3"/>
      <c r="AH1307" s="3"/>
      <c r="AI1307" s="3"/>
      <c r="AJ1307" s="3"/>
      <c r="AK1307" s="3"/>
      <c r="AL1307" s="3"/>
      <c r="AM1307" s="3"/>
      <c r="AN1307" s="3"/>
      <c r="AO1307" s="3"/>
      <c r="AP1307" s="11"/>
      <c r="AQ1307" s="11"/>
      <c r="AR1307" s="3"/>
      <c r="AS1307" s="3"/>
      <c r="AT1307" s="3"/>
      <c r="AU1307" s="3"/>
      <c r="AV1307" s="3"/>
      <c r="AW1307" s="3"/>
      <c r="AX1307" s="11"/>
      <c r="AZ1307"/>
      <c r="BA1307"/>
      <c r="BB1307"/>
      <c r="BC1307"/>
    </row>
    <row r="1308" spans="1:55" s="282" customFormat="1" x14ac:dyDescent="0.25">
      <c r="A1308"/>
      <c r="B1308"/>
      <c r="C1308" s="3"/>
      <c r="D1308"/>
      <c r="E1308"/>
      <c r="F1308"/>
      <c r="G1308" s="3"/>
      <c r="H1308" s="3"/>
      <c r="I1308" s="3"/>
      <c r="J1308" s="288"/>
      <c r="L1308" s="288"/>
      <c r="M1308" s="288"/>
      <c r="N1308" s="288"/>
      <c r="O1308" s="288"/>
      <c r="P1308" s="288"/>
      <c r="Q1308" s="288"/>
      <c r="R1308" s="283"/>
      <c r="S1308" s="280"/>
      <c r="T1308" s="276"/>
      <c r="U1308" s="276"/>
      <c r="V1308" s="276"/>
      <c r="W1308" s="283"/>
      <c r="X1308" s="280"/>
      <c r="Y1308" s="280"/>
      <c r="Z1308" s="280"/>
      <c r="AA1308" s="280"/>
      <c r="AB1308" s="280"/>
      <c r="AC1308" s="280"/>
      <c r="AD1308" s="280"/>
      <c r="AG1308" s="3"/>
      <c r="AH1308" s="3"/>
      <c r="AI1308" s="3"/>
      <c r="AJ1308" s="3"/>
      <c r="AK1308" s="3"/>
      <c r="AL1308" s="3"/>
      <c r="AM1308" s="3"/>
      <c r="AN1308" s="3"/>
      <c r="AO1308" s="3"/>
      <c r="AP1308" s="11"/>
      <c r="AQ1308" s="11"/>
      <c r="AR1308" s="3"/>
      <c r="AS1308" s="3"/>
      <c r="AT1308" s="3"/>
      <c r="AU1308" s="3"/>
      <c r="AV1308" s="3"/>
      <c r="AW1308" s="3"/>
      <c r="AX1308" s="11"/>
      <c r="AZ1308"/>
      <c r="BA1308"/>
      <c r="BB1308"/>
      <c r="BC1308"/>
    </row>
    <row r="1309" spans="1:55" s="282" customFormat="1" x14ac:dyDescent="0.25">
      <c r="A1309"/>
      <c r="B1309"/>
      <c r="C1309" s="3"/>
      <c r="D1309"/>
      <c r="E1309"/>
      <c r="F1309"/>
      <c r="G1309" s="3"/>
      <c r="H1309" s="3"/>
      <c r="I1309" s="3"/>
      <c r="J1309" s="288"/>
      <c r="L1309" s="288"/>
      <c r="M1309" s="288"/>
      <c r="N1309" s="288"/>
      <c r="O1309" s="288"/>
      <c r="P1309" s="288"/>
      <c r="Q1309" s="288"/>
      <c r="R1309" s="283"/>
      <c r="S1309" s="280"/>
      <c r="T1309" s="276"/>
      <c r="U1309" s="276"/>
      <c r="V1309" s="276"/>
      <c r="W1309" s="283"/>
      <c r="X1309" s="280"/>
      <c r="Y1309" s="280"/>
      <c r="Z1309" s="280"/>
      <c r="AA1309" s="280"/>
      <c r="AB1309" s="280"/>
      <c r="AC1309" s="280"/>
      <c r="AD1309" s="280"/>
      <c r="AG1309" s="3"/>
      <c r="AH1309" s="3"/>
      <c r="AI1309" s="3"/>
      <c r="AJ1309" s="3"/>
      <c r="AK1309" s="3"/>
      <c r="AL1309" s="3"/>
      <c r="AM1309" s="3"/>
      <c r="AN1309" s="3"/>
      <c r="AO1309" s="3"/>
      <c r="AP1309" s="11"/>
      <c r="AQ1309" s="11"/>
      <c r="AR1309" s="3"/>
      <c r="AS1309" s="3"/>
      <c r="AT1309" s="3"/>
      <c r="AU1309" s="3"/>
      <c r="AV1309" s="3"/>
      <c r="AW1309" s="3"/>
      <c r="AX1309" s="11"/>
      <c r="AZ1309"/>
      <c r="BA1309"/>
      <c r="BB1309"/>
      <c r="BC1309"/>
    </row>
    <row r="1310" spans="1:55" s="282" customFormat="1" x14ac:dyDescent="0.25">
      <c r="A1310"/>
      <c r="B1310"/>
      <c r="C1310" s="3"/>
      <c r="D1310"/>
      <c r="E1310"/>
      <c r="F1310"/>
      <c r="G1310" s="3"/>
      <c r="H1310" s="3"/>
      <c r="I1310" s="3"/>
      <c r="J1310" s="288"/>
      <c r="L1310" s="288"/>
      <c r="M1310" s="288"/>
      <c r="N1310" s="288"/>
      <c r="O1310" s="288"/>
      <c r="P1310" s="288"/>
      <c r="Q1310" s="288"/>
      <c r="R1310" s="283"/>
      <c r="S1310" s="280"/>
      <c r="T1310" s="276"/>
      <c r="U1310" s="276"/>
      <c r="V1310" s="276"/>
      <c r="W1310" s="283"/>
      <c r="X1310" s="280"/>
      <c r="Y1310" s="280"/>
      <c r="Z1310" s="280"/>
      <c r="AA1310" s="280"/>
      <c r="AB1310" s="280"/>
      <c r="AC1310" s="280"/>
      <c r="AD1310" s="280"/>
      <c r="AG1310" s="3"/>
      <c r="AH1310" s="3"/>
      <c r="AI1310" s="3"/>
      <c r="AJ1310" s="3"/>
      <c r="AK1310" s="3"/>
      <c r="AL1310" s="3"/>
      <c r="AM1310" s="3"/>
      <c r="AN1310" s="3"/>
      <c r="AO1310" s="3"/>
      <c r="AP1310" s="11"/>
      <c r="AQ1310" s="11"/>
      <c r="AR1310" s="3"/>
      <c r="AS1310" s="3"/>
      <c r="AT1310" s="3"/>
      <c r="AU1310" s="3"/>
      <c r="AV1310" s="3"/>
      <c r="AW1310" s="3"/>
      <c r="AX1310" s="11"/>
      <c r="AZ1310"/>
      <c r="BA1310"/>
      <c r="BB1310"/>
      <c r="BC1310"/>
    </row>
    <row r="1311" spans="1:55" s="282" customFormat="1" x14ac:dyDescent="0.25">
      <c r="A1311"/>
      <c r="B1311"/>
      <c r="C1311" s="3"/>
      <c r="D1311"/>
      <c r="E1311"/>
      <c r="F1311"/>
      <c r="G1311" s="3"/>
      <c r="H1311" s="3"/>
      <c r="I1311" s="3"/>
      <c r="J1311" s="288"/>
      <c r="L1311" s="288"/>
      <c r="M1311" s="288"/>
      <c r="N1311" s="288"/>
      <c r="O1311" s="288"/>
      <c r="P1311" s="288"/>
      <c r="Q1311" s="288"/>
      <c r="R1311" s="283"/>
      <c r="S1311" s="280"/>
      <c r="T1311" s="276"/>
      <c r="U1311" s="276"/>
      <c r="V1311" s="276"/>
      <c r="W1311" s="283"/>
      <c r="X1311" s="280"/>
      <c r="Y1311" s="280"/>
      <c r="Z1311" s="280"/>
      <c r="AA1311" s="280"/>
      <c r="AB1311" s="280"/>
      <c r="AC1311" s="280"/>
      <c r="AD1311" s="280"/>
      <c r="AG1311" s="3"/>
      <c r="AH1311" s="3"/>
      <c r="AI1311" s="3"/>
      <c r="AJ1311" s="3"/>
      <c r="AK1311" s="3"/>
      <c r="AL1311" s="3"/>
      <c r="AM1311" s="3"/>
      <c r="AN1311" s="3"/>
      <c r="AO1311" s="3"/>
      <c r="AP1311" s="11"/>
      <c r="AQ1311" s="11"/>
      <c r="AR1311" s="3"/>
      <c r="AS1311" s="3"/>
      <c r="AT1311" s="3"/>
      <c r="AU1311" s="3"/>
      <c r="AV1311" s="3"/>
      <c r="AW1311" s="3"/>
      <c r="AX1311" s="11"/>
      <c r="AZ1311"/>
      <c r="BA1311"/>
      <c r="BB1311"/>
      <c r="BC1311"/>
    </row>
    <row r="1312" spans="1:55" s="282" customFormat="1" x14ac:dyDescent="0.25">
      <c r="A1312"/>
      <c r="B1312"/>
      <c r="C1312" s="3"/>
      <c r="D1312"/>
      <c r="E1312"/>
      <c r="F1312"/>
      <c r="G1312" s="3"/>
      <c r="H1312" s="3"/>
      <c r="I1312" s="3"/>
      <c r="J1312" s="288"/>
      <c r="L1312" s="288"/>
      <c r="M1312" s="288"/>
      <c r="N1312" s="288"/>
      <c r="O1312" s="288"/>
      <c r="P1312" s="288"/>
      <c r="Q1312" s="288"/>
      <c r="R1312" s="283"/>
      <c r="S1312" s="280"/>
      <c r="T1312" s="276"/>
      <c r="U1312" s="276"/>
      <c r="V1312" s="276"/>
      <c r="W1312" s="283"/>
      <c r="X1312" s="280"/>
      <c r="Y1312" s="280"/>
      <c r="Z1312" s="280"/>
      <c r="AA1312" s="280"/>
      <c r="AB1312" s="280"/>
      <c r="AC1312" s="280"/>
      <c r="AD1312" s="280"/>
      <c r="AG1312" s="3"/>
      <c r="AH1312" s="3"/>
      <c r="AI1312" s="3"/>
      <c r="AJ1312" s="3"/>
      <c r="AK1312" s="3"/>
      <c r="AL1312" s="3"/>
      <c r="AM1312" s="3"/>
      <c r="AN1312" s="3"/>
      <c r="AO1312" s="3"/>
      <c r="AP1312" s="11"/>
      <c r="AQ1312" s="11"/>
      <c r="AR1312" s="3"/>
      <c r="AS1312" s="3"/>
      <c r="AT1312" s="3"/>
      <c r="AU1312" s="3"/>
      <c r="AV1312" s="3"/>
      <c r="AW1312" s="3"/>
      <c r="AX1312" s="11"/>
      <c r="AZ1312"/>
      <c r="BA1312"/>
      <c r="BB1312"/>
      <c r="BC1312"/>
    </row>
    <row r="1313" spans="1:55" s="282" customFormat="1" x14ac:dyDescent="0.25">
      <c r="A1313"/>
      <c r="B1313"/>
      <c r="C1313" s="3"/>
      <c r="D1313"/>
      <c r="E1313"/>
      <c r="F1313"/>
      <c r="G1313" s="3"/>
      <c r="H1313" s="3"/>
      <c r="I1313" s="3"/>
      <c r="J1313" s="288"/>
      <c r="L1313" s="288"/>
      <c r="M1313" s="288"/>
      <c r="N1313" s="288"/>
      <c r="O1313" s="288"/>
      <c r="P1313" s="288"/>
      <c r="Q1313" s="288"/>
      <c r="R1313" s="283"/>
      <c r="S1313" s="280"/>
      <c r="T1313" s="276"/>
      <c r="U1313" s="276"/>
      <c r="V1313" s="276"/>
      <c r="W1313" s="283"/>
      <c r="X1313" s="280"/>
      <c r="Y1313" s="280"/>
      <c r="Z1313" s="280"/>
      <c r="AA1313" s="280"/>
      <c r="AB1313" s="280"/>
      <c r="AC1313" s="280"/>
      <c r="AD1313" s="280"/>
      <c r="AG1313" s="3"/>
      <c r="AH1313" s="3"/>
      <c r="AI1313" s="3"/>
      <c r="AJ1313" s="3"/>
      <c r="AK1313" s="3"/>
      <c r="AL1313" s="3"/>
      <c r="AM1313" s="3"/>
      <c r="AN1313" s="3"/>
      <c r="AO1313" s="3"/>
      <c r="AP1313" s="11"/>
      <c r="AQ1313" s="11"/>
      <c r="AR1313" s="3"/>
      <c r="AS1313" s="3"/>
      <c r="AT1313" s="3"/>
      <c r="AU1313" s="3"/>
      <c r="AV1313" s="3"/>
      <c r="AW1313" s="3"/>
      <c r="AX1313" s="11"/>
      <c r="AZ1313"/>
      <c r="BA1313"/>
      <c r="BB1313"/>
      <c r="BC1313"/>
    </row>
    <row r="1314" spans="1:55" s="282" customFormat="1" x14ac:dyDescent="0.25">
      <c r="A1314"/>
      <c r="B1314"/>
      <c r="C1314" s="3"/>
      <c r="D1314"/>
      <c r="E1314"/>
      <c r="F1314"/>
      <c r="G1314" s="3"/>
      <c r="H1314" s="3"/>
      <c r="I1314" s="3"/>
      <c r="J1314" s="288"/>
      <c r="L1314" s="288"/>
      <c r="M1314" s="288"/>
      <c r="N1314" s="288"/>
      <c r="O1314" s="288"/>
      <c r="P1314" s="288"/>
      <c r="Q1314" s="288"/>
      <c r="R1314" s="283"/>
      <c r="S1314" s="280"/>
      <c r="T1314" s="276"/>
      <c r="U1314" s="276"/>
      <c r="V1314" s="276"/>
      <c r="W1314" s="283"/>
      <c r="X1314" s="280"/>
      <c r="Y1314" s="280"/>
      <c r="Z1314" s="280"/>
      <c r="AA1314" s="280"/>
      <c r="AB1314" s="280"/>
      <c r="AC1314" s="280"/>
      <c r="AD1314" s="280"/>
      <c r="AG1314" s="3"/>
      <c r="AH1314" s="3"/>
      <c r="AI1314" s="3"/>
      <c r="AJ1314" s="3"/>
      <c r="AK1314" s="3"/>
      <c r="AL1314" s="3"/>
      <c r="AM1314" s="3"/>
      <c r="AN1314" s="3"/>
      <c r="AO1314" s="3"/>
      <c r="AP1314" s="11"/>
      <c r="AQ1314" s="11"/>
      <c r="AR1314" s="3"/>
      <c r="AS1314" s="3"/>
      <c r="AT1314" s="3"/>
      <c r="AU1314" s="3"/>
      <c r="AV1314" s="3"/>
      <c r="AW1314" s="3"/>
      <c r="AX1314" s="11"/>
      <c r="AZ1314"/>
      <c r="BA1314"/>
      <c r="BB1314"/>
      <c r="BC1314"/>
    </row>
    <row r="1315" spans="1:55" s="282" customFormat="1" x14ac:dyDescent="0.25">
      <c r="A1315"/>
      <c r="B1315"/>
      <c r="C1315" s="3"/>
      <c r="D1315"/>
      <c r="E1315"/>
      <c r="F1315"/>
      <c r="G1315" s="3"/>
      <c r="H1315" s="3"/>
      <c r="I1315" s="3"/>
      <c r="J1315" s="288"/>
      <c r="L1315" s="288"/>
      <c r="M1315" s="288"/>
      <c r="N1315" s="288"/>
      <c r="O1315" s="288"/>
      <c r="P1315" s="288"/>
      <c r="Q1315" s="288"/>
      <c r="R1315" s="283"/>
      <c r="S1315" s="280"/>
      <c r="T1315" s="276"/>
      <c r="U1315" s="276"/>
      <c r="V1315" s="276"/>
      <c r="W1315" s="283"/>
      <c r="X1315" s="280"/>
      <c r="Y1315" s="280"/>
      <c r="Z1315" s="280"/>
      <c r="AA1315" s="280"/>
      <c r="AB1315" s="280"/>
      <c r="AC1315" s="280"/>
      <c r="AD1315" s="280"/>
      <c r="AG1315" s="3"/>
      <c r="AH1315" s="3"/>
      <c r="AI1315" s="3"/>
      <c r="AJ1315" s="3"/>
      <c r="AK1315" s="3"/>
      <c r="AL1315" s="3"/>
      <c r="AM1315" s="3"/>
      <c r="AN1315" s="3"/>
      <c r="AO1315" s="3"/>
      <c r="AP1315" s="11"/>
      <c r="AQ1315" s="11"/>
      <c r="AR1315" s="3"/>
      <c r="AS1315" s="3"/>
      <c r="AT1315" s="3"/>
      <c r="AU1315" s="3"/>
      <c r="AV1315" s="3"/>
      <c r="AW1315" s="3"/>
      <c r="AX1315" s="11"/>
      <c r="AZ1315"/>
      <c r="BA1315"/>
      <c r="BB1315"/>
      <c r="BC1315"/>
    </row>
    <row r="1316" spans="1:55" s="282" customFormat="1" x14ac:dyDescent="0.25">
      <c r="A1316"/>
      <c r="B1316"/>
      <c r="C1316" s="3"/>
      <c r="D1316"/>
      <c r="E1316"/>
      <c r="F1316"/>
      <c r="G1316" s="3"/>
      <c r="H1316" s="3"/>
      <c r="I1316" s="3"/>
      <c r="J1316" s="288"/>
      <c r="L1316" s="288"/>
      <c r="M1316" s="288"/>
      <c r="N1316" s="288"/>
      <c r="O1316" s="288"/>
      <c r="P1316" s="288"/>
      <c r="Q1316" s="288"/>
      <c r="R1316" s="283"/>
      <c r="S1316" s="280"/>
      <c r="T1316" s="276"/>
      <c r="U1316" s="276"/>
      <c r="V1316" s="276"/>
      <c r="W1316" s="283"/>
      <c r="X1316" s="280"/>
      <c r="Y1316" s="280"/>
      <c r="Z1316" s="280"/>
      <c r="AA1316" s="280"/>
      <c r="AB1316" s="280"/>
      <c r="AC1316" s="280"/>
      <c r="AD1316" s="280"/>
      <c r="AG1316" s="3"/>
      <c r="AH1316" s="3"/>
      <c r="AI1316" s="3"/>
      <c r="AJ1316" s="3"/>
      <c r="AK1316" s="3"/>
      <c r="AL1316" s="3"/>
      <c r="AM1316" s="3"/>
      <c r="AN1316" s="3"/>
      <c r="AO1316" s="3"/>
      <c r="AP1316" s="11"/>
      <c r="AQ1316" s="11"/>
      <c r="AR1316" s="3"/>
      <c r="AS1316" s="3"/>
      <c r="AT1316" s="3"/>
      <c r="AU1316" s="3"/>
      <c r="AV1316" s="3"/>
      <c r="AW1316" s="3"/>
      <c r="AX1316" s="11"/>
      <c r="AZ1316"/>
      <c r="BA1316"/>
      <c r="BB1316"/>
      <c r="BC1316"/>
    </row>
    <row r="1317" spans="1:55" s="282" customFormat="1" x14ac:dyDescent="0.25">
      <c r="A1317"/>
      <c r="B1317"/>
      <c r="C1317" s="3"/>
      <c r="D1317"/>
      <c r="E1317"/>
      <c r="F1317"/>
      <c r="G1317" s="3"/>
      <c r="H1317" s="3"/>
      <c r="I1317" s="3"/>
      <c r="J1317" s="288"/>
      <c r="L1317" s="288"/>
      <c r="M1317" s="288"/>
      <c r="N1317" s="288"/>
      <c r="O1317" s="288"/>
      <c r="P1317" s="288"/>
      <c r="Q1317" s="288"/>
      <c r="R1317" s="283"/>
      <c r="S1317" s="280"/>
      <c r="T1317" s="276"/>
      <c r="U1317" s="276"/>
      <c r="V1317" s="276"/>
      <c r="W1317" s="283"/>
      <c r="X1317" s="280"/>
      <c r="Y1317" s="280"/>
      <c r="Z1317" s="280"/>
      <c r="AA1317" s="280"/>
      <c r="AB1317" s="280"/>
      <c r="AC1317" s="280"/>
      <c r="AD1317" s="280"/>
      <c r="AG1317" s="3"/>
      <c r="AH1317" s="3"/>
      <c r="AI1317" s="3"/>
      <c r="AJ1317" s="3"/>
      <c r="AK1317" s="3"/>
      <c r="AL1317" s="3"/>
      <c r="AM1317" s="3"/>
      <c r="AN1317" s="3"/>
      <c r="AO1317" s="3"/>
      <c r="AP1317" s="11"/>
      <c r="AQ1317" s="11"/>
      <c r="AR1317" s="3"/>
      <c r="AS1317" s="3"/>
      <c r="AT1317" s="3"/>
      <c r="AU1317" s="3"/>
      <c r="AV1317" s="3"/>
      <c r="AW1317" s="3"/>
      <c r="AX1317" s="11"/>
      <c r="AZ1317"/>
      <c r="BA1317"/>
      <c r="BB1317"/>
      <c r="BC1317"/>
    </row>
    <row r="1318" spans="1:55" s="282" customFormat="1" x14ac:dyDescent="0.25">
      <c r="A1318"/>
      <c r="B1318"/>
      <c r="C1318" s="3"/>
      <c r="D1318"/>
      <c r="E1318"/>
      <c r="F1318"/>
      <c r="G1318" s="3"/>
      <c r="H1318" s="3"/>
      <c r="I1318" s="3"/>
      <c r="J1318" s="288"/>
      <c r="L1318" s="288"/>
      <c r="M1318" s="288"/>
      <c r="N1318" s="288"/>
      <c r="O1318" s="288"/>
      <c r="P1318" s="288"/>
      <c r="Q1318" s="288"/>
      <c r="R1318" s="283"/>
      <c r="S1318" s="280"/>
      <c r="T1318" s="276"/>
      <c r="U1318" s="276"/>
      <c r="V1318" s="276"/>
      <c r="W1318" s="283"/>
      <c r="X1318" s="280"/>
      <c r="Y1318" s="280"/>
      <c r="Z1318" s="280"/>
      <c r="AA1318" s="280"/>
      <c r="AB1318" s="280"/>
      <c r="AC1318" s="280"/>
      <c r="AD1318" s="280"/>
      <c r="AG1318" s="3"/>
      <c r="AH1318" s="3"/>
      <c r="AI1318" s="3"/>
      <c r="AJ1318" s="3"/>
      <c r="AK1318" s="3"/>
      <c r="AL1318" s="3"/>
      <c r="AM1318" s="3"/>
      <c r="AN1318" s="3"/>
      <c r="AO1318" s="3"/>
      <c r="AP1318" s="11"/>
      <c r="AQ1318" s="11"/>
      <c r="AR1318" s="3"/>
      <c r="AS1318" s="3"/>
      <c r="AT1318" s="3"/>
      <c r="AU1318" s="3"/>
      <c r="AV1318" s="3"/>
      <c r="AW1318" s="3"/>
      <c r="AX1318" s="11"/>
      <c r="AZ1318"/>
      <c r="BA1318"/>
      <c r="BB1318"/>
      <c r="BC1318"/>
    </row>
    <row r="1319" spans="1:55" s="282" customFormat="1" x14ac:dyDescent="0.25">
      <c r="A1319"/>
      <c r="B1319"/>
      <c r="C1319" s="3"/>
      <c r="D1319"/>
      <c r="E1319"/>
      <c r="F1319"/>
      <c r="G1319" s="3"/>
      <c r="H1319" s="3"/>
      <c r="I1319" s="3"/>
      <c r="J1319" s="288"/>
      <c r="L1319" s="288"/>
      <c r="M1319" s="288"/>
      <c r="N1319" s="288"/>
      <c r="O1319" s="288"/>
      <c r="P1319" s="288"/>
      <c r="Q1319" s="288"/>
      <c r="R1319" s="283"/>
      <c r="S1319" s="280"/>
      <c r="T1319" s="276"/>
      <c r="U1319" s="276"/>
      <c r="V1319" s="276"/>
      <c r="W1319" s="283"/>
      <c r="X1319" s="280"/>
      <c r="Y1319" s="280"/>
      <c r="Z1319" s="280"/>
      <c r="AA1319" s="280"/>
      <c r="AB1319" s="280"/>
      <c r="AC1319" s="280"/>
      <c r="AD1319" s="280"/>
      <c r="AG1319" s="3"/>
      <c r="AH1319" s="3"/>
      <c r="AI1319" s="3"/>
      <c r="AJ1319" s="3"/>
      <c r="AK1319" s="3"/>
      <c r="AL1319" s="3"/>
      <c r="AM1319" s="3"/>
      <c r="AN1319" s="3"/>
      <c r="AO1319" s="3"/>
      <c r="AP1319" s="11"/>
      <c r="AQ1319" s="11"/>
      <c r="AR1319" s="3"/>
      <c r="AS1319" s="3"/>
      <c r="AT1319" s="3"/>
      <c r="AU1319" s="3"/>
      <c r="AV1319" s="3"/>
      <c r="AW1319" s="3"/>
      <c r="AX1319" s="11"/>
      <c r="AZ1319"/>
      <c r="BA1319"/>
      <c r="BB1319"/>
      <c r="BC1319"/>
    </row>
    <row r="1320" spans="1:55" s="282" customFormat="1" x14ac:dyDescent="0.25">
      <c r="A1320"/>
      <c r="B1320"/>
      <c r="C1320" s="3"/>
      <c r="D1320"/>
      <c r="E1320"/>
      <c r="F1320"/>
      <c r="G1320" s="3"/>
      <c r="H1320" s="3"/>
      <c r="I1320" s="3"/>
      <c r="J1320" s="288"/>
      <c r="L1320" s="288"/>
      <c r="M1320" s="288"/>
      <c r="N1320" s="288"/>
      <c r="O1320" s="288"/>
      <c r="P1320" s="288"/>
      <c r="Q1320" s="288"/>
      <c r="R1320" s="283"/>
      <c r="S1320" s="280"/>
      <c r="T1320" s="276"/>
      <c r="U1320" s="276"/>
      <c r="V1320" s="276"/>
      <c r="W1320" s="283"/>
      <c r="X1320" s="280"/>
      <c r="Y1320" s="280"/>
      <c r="Z1320" s="280"/>
      <c r="AA1320" s="280"/>
      <c r="AB1320" s="280"/>
      <c r="AC1320" s="280"/>
      <c r="AD1320" s="280"/>
      <c r="AG1320" s="3"/>
      <c r="AH1320" s="3"/>
      <c r="AI1320" s="3"/>
      <c r="AJ1320" s="3"/>
      <c r="AK1320" s="3"/>
      <c r="AL1320" s="3"/>
      <c r="AM1320" s="3"/>
      <c r="AN1320" s="3"/>
      <c r="AO1320" s="3"/>
      <c r="AP1320" s="11"/>
      <c r="AQ1320" s="11"/>
      <c r="AR1320" s="3"/>
      <c r="AS1320" s="3"/>
      <c r="AT1320" s="3"/>
      <c r="AU1320" s="3"/>
      <c r="AV1320" s="3"/>
      <c r="AW1320" s="3"/>
      <c r="AX1320" s="11"/>
      <c r="AZ1320"/>
      <c r="BA1320"/>
      <c r="BB1320"/>
      <c r="BC1320"/>
    </row>
    <row r="1321" spans="1:55" s="282" customFormat="1" x14ac:dyDescent="0.25">
      <c r="A1321"/>
      <c r="B1321"/>
      <c r="C1321" s="3"/>
      <c r="D1321"/>
      <c r="E1321"/>
      <c r="F1321"/>
      <c r="G1321" s="3"/>
      <c r="H1321" s="3"/>
      <c r="I1321" s="3"/>
      <c r="J1321" s="288"/>
      <c r="L1321" s="288"/>
      <c r="M1321" s="288"/>
      <c r="N1321" s="288"/>
      <c r="O1321" s="288"/>
      <c r="P1321" s="288"/>
      <c r="Q1321" s="288"/>
      <c r="R1321" s="283"/>
      <c r="S1321" s="280"/>
      <c r="T1321" s="276"/>
      <c r="U1321" s="276"/>
      <c r="V1321" s="276"/>
      <c r="W1321" s="283"/>
      <c r="X1321" s="280"/>
      <c r="Y1321" s="280"/>
      <c r="Z1321" s="280"/>
      <c r="AA1321" s="280"/>
      <c r="AB1321" s="280"/>
      <c r="AC1321" s="280"/>
      <c r="AD1321" s="280"/>
      <c r="AG1321" s="3"/>
      <c r="AH1321" s="3"/>
      <c r="AI1321" s="3"/>
      <c r="AJ1321" s="3"/>
      <c r="AK1321" s="3"/>
      <c r="AL1321" s="3"/>
      <c r="AM1321" s="3"/>
      <c r="AN1321" s="3"/>
      <c r="AO1321" s="3"/>
      <c r="AP1321" s="11"/>
      <c r="AQ1321" s="11"/>
      <c r="AR1321" s="3"/>
      <c r="AS1321" s="3"/>
      <c r="AT1321" s="3"/>
      <c r="AU1321" s="3"/>
      <c r="AV1321" s="3"/>
      <c r="AW1321" s="3"/>
      <c r="AX1321" s="11"/>
      <c r="AZ1321"/>
      <c r="BA1321"/>
      <c r="BB1321"/>
      <c r="BC1321"/>
    </row>
    <row r="1322" spans="1:55" s="282" customFormat="1" x14ac:dyDescent="0.25">
      <c r="A1322"/>
      <c r="B1322"/>
      <c r="C1322" s="3"/>
      <c r="D1322"/>
      <c r="E1322"/>
      <c r="F1322"/>
      <c r="G1322" s="3"/>
      <c r="H1322" s="3"/>
      <c r="I1322" s="3"/>
      <c r="J1322" s="288"/>
      <c r="L1322" s="288"/>
      <c r="M1322" s="288"/>
      <c r="N1322" s="288"/>
      <c r="O1322" s="288"/>
      <c r="P1322" s="288"/>
      <c r="Q1322" s="288"/>
      <c r="R1322" s="283"/>
      <c r="S1322" s="280"/>
      <c r="T1322" s="276"/>
      <c r="U1322" s="276"/>
      <c r="V1322" s="276"/>
      <c r="W1322" s="283"/>
      <c r="X1322" s="280"/>
      <c r="Y1322" s="280"/>
      <c r="Z1322" s="280"/>
      <c r="AA1322" s="280"/>
      <c r="AB1322" s="280"/>
      <c r="AC1322" s="280"/>
      <c r="AD1322" s="280"/>
      <c r="AG1322" s="3"/>
      <c r="AH1322" s="3"/>
      <c r="AI1322" s="3"/>
      <c r="AJ1322" s="3"/>
      <c r="AK1322" s="3"/>
      <c r="AL1322" s="3"/>
      <c r="AM1322" s="3"/>
      <c r="AN1322" s="3"/>
      <c r="AO1322" s="3"/>
      <c r="AP1322" s="11"/>
      <c r="AQ1322" s="11"/>
      <c r="AR1322" s="3"/>
      <c r="AS1322" s="3"/>
      <c r="AT1322" s="3"/>
      <c r="AU1322" s="3"/>
      <c r="AV1322" s="3"/>
      <c r="AW1322" s="3"/>
      <c r="AX1322" s="11"/>
      <c r="AZ1322"/>
      <c r="BA1322"/>
      <c r="BB1322"/>
      <c r="BC1322"/>
    </row>
    <row r="1323" spans="1:55" s="282" customFormat="1" x14ac:dyDescent="0.25">
      <c r="A1323"/>
      <c r="B1323"/>
      <c r="C1323" s="3"/>
      <c r="D1323"/>
      <c r="E1323"/>
      <c r="F1323"/>
      <c r="G1323" s="3"/>
      <c r="H1323" s="3"/>
      <c r="I1323" s="3"/>
      <c r="J1323" s="288"/>
      <c r="L1323" s="288"/>
      <c r="M1323" s="288"/>
      <c r="N1323" s="288"/>
      <c r="O1323" s="288"/>
      <c r="P1323" s="288"/>
      <c r="Q1323" s="288"/>
      <c r="R1323" s="283"/>
      <c r="S1323" s="280"/>
      <c r="T1323" s="276"/>
      <c r="U1323" s="276"/>
      <c r="V1323" s="276"/>
      <c r="W1323" s="283"/>
      <c r="X1323" s="280"/>
      <c r="Y1323" s="280"/>
      <c r="Z1323" s="280"/>
      <c r="AA1323" s="280"/>
      <c r="AB1323" s="280"/>
      <c r="AC1323" s="280"/>
      <c r="AD1323" s="280"/>
      <c r="AG1323" s="3"/>
      <c r="AH1323" s="3"/>
      <c r="AI1323" s="3"/>
      <c r="AJ1323" s="3"/>
      <c r="AK1323" s="3"/>
      <c r="AL1323" s="3"/>
      <c r="AM1323" s="3"/>
      <c r="AN1323" s="3"/>
      <c r="AO1323" s="3"/>
      <c r="AP1323" s="11"/>
      <c r="AQ1323" s="11"/>
      <c r="AR1323" s="3"/>
      <c r="AS1323" s="3"/>
      <c r="AT1323" s="3"/>
      <c r="AU1323" s="3"/>
      <c r="AV1323" s="3"/>
      <c r="AW1323" s="3"/>
      <c r="AX1323" s="11"/>
      <c r="AZ1323"/>
      <c r="BA1323"/>
      <c r="BB1323"/>
      <c r="BC1323"/>
    </row>
    <row r="1324" spans="1:55" s="282" customFormat="1" x14ac:dyDescent="0.25">
      <c r="A1324"/>
      <c r="B1324"/>
      <c r="C1324" s="3"/>
      <c r="D1324"/>
      <c r="E1324"/>
      <c r="F1324"/>
      <c r="G1324" s="3"/>
      <c r="H1324" s="3"/>
      <c r="I1324" s="3"/>
      <c r="J1324" s="288"/>
      <c r="L1324" s="288"/>
      <c r="M1324" s="288"/>
      <c r="N1324" s="288"/>
      <c r="O1324" s="288"/>
      <c r="P1324" s="288"/>
      <c r="Q1324" s="288"/>
      <c r="R1324" s="283"/>
      <c r="S1324" s="280"/>
      <c r="T1324" s="276"/>
      <c r="U1324" s="276"/>
      <c r="V1324" s="276"/>
      <c r="W1324" s="283"/>
      <c r="X1324" s="280"/>
      <c r="Y1324" s="280"/>
      <c r="Z1324" s="280"/>
      <c r="AA1324" s="280"/>
      <c r="AB1324" s="280"/>
      <c r="AC1324" s="280"/>
      <c r="AD1324" s="280"/>
      <c r="AG1324" s="3"/>
      <c r="AH1324" s="3"/>
      <c r="AI1324" s="3"/>
      <c r="AJ1324" s="3"/>
      <c r="AK1324" s="3"/>
      <c r="AL1324" s="3"/>
      <c r="AM1324" s="3"/>
      <c r="AN1324" s="3"/>
      <c r="AO1324" s="3"/>
      <c r="AP1324" s="11"/>
      <c r="AQ1324" s="11"/>
      <c r="AR1324" s="3"/>
      <c r="AS1324" s="3"/>
      <c r="AT1324" s="3"/>
      <c r="AU1324" s="3"/>
      <c r="AV1324" s="3"/>
      <c r="AW1324" s="3"/>
      <c r="AX1324" s="11"/>
      <c r="AZ1324"/>
      <c r="BA1324"/>
      <c r="BB1324"/>
      <c r="BC1324"/>
    </row>
    <row r="1325" spans="1:55" s="282" customFormat="1" x14ac:dyDescent="0.25">
      <c r="A1325"/>
      <c r="B1325"/>
      <c r="C1325" s="3"/>
      <c r="D1325"/>
      <c r="E1325"/>
      <c r="F1325"/>
      <c r="G1325" s="3"/>
      <c r="H1325" s="3"/>
      <c r="I1325" s="3"/>
      <c r="J1325" s="288"/>
      <c r="L1325" s="288"/>
      <c r="M1325" s="288"/>
      <c r="N1325" s="288"/>
      <c r="O1325" s="288"/>
      <c r="P1325" s="288"/>
      <c r="Q1325" s="288"/>
      <c r="R1325" s="283"/>
      <c r="S1325" s="280"/>
      <c r="T1325" s="276"/>
      <c r="U1325" s="276"/>
      <c r="V1325" s="276"/>
      <c r="W1325" s="283"/>
      <c r="X1325" s="280"/>
      <c r="Y1325" s="280"/>
      <c r="Z1325" s="280"/>
      <c r="AA1325" s="280"/>
      <c r="AB1325" s="280"/>
      <c r="AC1325" s="280"/>
      <c r="AD1325" s="280"/>
      <c r="AG1325" s="3"/>
      <c r="AH1325" s="3"/>
      <c r="AI1325" s="3"/>
      <c r="AJ1325" s="3"/>
      <c r="AK1325" s="3"/>
      <c r="AL1325" s="3"/>
      <c r="AM1325" s="3"/>
      <c r="AN1325" s="3"/>
      <c r="AO1325" s="3"/>
      <c r="AP1325" s="11"/>
      <c r="AQ1325" s="11"/>
      <c r="AR1325" s="3"/>
      <c r="AS1325" s="3"/>
      <c r="AT1325" s="3"/>
      <c r="AU1325" s="3"/>
      <c r="AV1325" s="3"/>
      <c r="AW1325" s="3"/>
      <c r="AX1325" s="11"/>
      <c r="AZ1325"/>
      <c r="BA1325"/>
      <c r="BB1325"/>
      <c r="BC1325"/>
    </row>
    <row r="1326" spans="1:55" s="282" customFormat="1" x14ac:dyDescent="0.25">
      <c r="A1326"/>
      <c r="B1326"/>
      <c r="C1326" s="3"/>
      <c r="D1326"/>
      <c r="E1326"/>
      <c r="F1326"/>
      <c r="G1326" s="3"/>
      <c r="H1326" s="3"/>
      <c r="I1326" s="3"/>
      <c r="J1326" s="288"/>
      <c r="L1326" s="288"/>
      <c r="M1326" s="288"/>
      <c r="N1326" s="288"/>
      <c r="O1326" s="288"/>
      <c r="P1326" s="288"/>
      <c r="Q1326" s="288"/>
      <c r="R1326" s="283"/>
      <c r="S1326" s="280"/>
      <c r="T1326" s="276"/>
      <c r="U1326" s="276"/>
      <c r="V1326" s="276"/>
      <c r="W1326" s="283"/>
      <c r="X1326" s="280"/>
      <c r="Y1326" s="280"/>
      <c r="Z1326" s="280"/>
      <c r="AA1326" s="280"/>
      <c r="AB1326" s="280"/>
      <c r="AC1326" s="280"/>
      <c r="AD1326" s="280"/>
      <c r="AG1326" s="3"/>
      <c r="AH1326" s="3"/>
      <c r="AI1326" s="3"/>
      <c r="AJ1326" s="3"/>
      <c r="AK1326" s="3"/>
      <c r="AL1326" s="3"/>
      <c r="AM1326" s="3"/>
      <c r="AN1326" s="3"/>
      <c r="AO1326" s="3"/>
      <c r="AP1326" s="11"/>
      <c r="AQ1326" s="11"/>
      <c r="AR1326" s="3"/>
      <c r="AS1326" s="3"/>
      <c r="AT1326" s="3"/>
      <c r="AU1326" s="3"/>
      <c r="AV1326" s="3"/>
      <c r="AW1326" s="3"/>
      <c r="AX1326" s="11"/>
      <c r="AZ1326"/>
      <c r="BA1326"/>
      <c r="BB1326"/>
      <c r="BC1326"/>
    </row>
    <row r="1327" spans="1:55" s="282" customFormat="1" x14ac:dyDescent="0.25">
      <c r="A1327"/>
      <c r="B1327"/>
      <c r="C1327" s="3"/>
      <c r="D1327"/>
      <c r="E1327"/>
      <c r="F1327"/>
      <c r="G1327" s="3"/>
      <c r="H1327" s="3"/>
      <c r="I1327" s="3"/>
      <c r="J1327" s="288"/>
      <c r="L1327" s="288"/>
      <c r="M1327" s="288"/>
      <c r="N1327" s="288"/>
      <c r="O1327" s="288"/>
      <c r="P1327" s="288"/>
      <c r="Q1327" s="288"/>
      <c r="R1327" s="283"/>
      <c r="S1327" s="280"/>
      <c r="T1327" s="276"/>
      <c r="U1327" s="276"/>
      <c r="V1327" s="276"/>
      <c r="W1327" s="283"/>
      <c r="X1327" s="280"/>
      <c r="Y1327" s="280"/>
      <c r="Z1327" s="280"/>
      <c r="AA1327" s="280"/>
      <c r="AB1327" s="280"/>
      <c r="AC1327" s="280"/>
      <c r="AD1327" s="280"/>
      <c r="AG1327" s="3"/>
      <c r="AH1327" s="3"/>
      <c r="AI1327" s="3"/>
      <c r="AJ1327" s="3"/>
      <c r="AK1327" s="3"/>
      <c r="AL1327" s="3"/>
      <c r="AM1327" s="3"/>
      <c r="AN1327" s="3"/>
      <c r="AO1327" s="3"/>
      <c r="AP1327" s="11"/>
      <c r="AQ1327" s="11"/>
      <c r="AR1327" s="3"/>
      <c r="AS1327" s="3"/>
      <c r="AT1327" s="3"/>
      <c r="AU1327" s="3"/>
      <c r="AV1327" s="3"/>
      <c r="AW1327" s="3"/>
      <c r="AX1327" s="11"/>
      <c r="AZ1327"/>
      <c r="BA1327"/>
      <c r="BB1327"/>
      <c r="BC1327"/>
    </row>
    <row r="1328" spans="1:55" s="282" customFormat="1" x14ac:dyDescent="0.25">
      <c r="A1328"/>
      <c r="B1328"/>
      <c r="C1328" s="3"/>
      <c r="D1328"/>
      <c r="E1328"/>
      <c r="F1328"/>
      <c r="G1328" s="3"/>
      <c r="H1328" s="3"/>
      <c r="I1328" s="3"/>
      <c r="J1328" s="288"/>
      <c r="L1328" s="288"/>
      <c r="M1328" s="288"/>
      <c r="N1328" s="288"/>
      <c r="O1328" s="288"/>
      <c r="P1328" s="288"/>
      <c r="Q1328" s="288"/>
      <c r="R1328" s="283"/>
      <c r="S1328" s="280"/>
      <c r="T1328" s="276"/>
      <c r="U1328" s="276"/>
      <c r="V1328" s="276"/>
      <c r="W1328" s="283"/>
      <c r="X1328" s="280"/>
      <c r="Y1328" s="280"/>
      <c r="Z1328" s="280"/>
      <c r="AA1328" s="280"/>
      <c r="AB1328" s="280"/>
      <c r="AC1328" s="280"/>
      <c r="AD1328" s="280"/>
      <c r="AG1328" s="3"/>
      <c r="AH1328" s="3"/>
      <c r="AI1328" s="3"/>
      <c r="AJ1328" s="3"/>
      <c r="AK1328" s="3"/>
      <c r="AL1328" s="3"/>
      <c r="AM1328" s="3"/>
      <c r="AN1328" s="3"/>
      <c r="AO1328" s="3"/>
      <c r="AP1328" s="11"/>
      <c r="AQ1328" s="11"/>
      <c r="AR1328" s="3"/>
      <c r="AS1328" s="3"/>
      <c r="AT1328" s="3"/>
      <c r="AU1328" s="3"/>
      <c r="AV1328" s="3"/>
      <c r="AW1328" s="3"/>
      <c r="AX1328" s="11"/>
      <c r="AZ1328"/>
      <c r="BA1328"/>
      <c r="BB1328"/>
      <c r="BC1328"/>
    </row>
    <row r="1329" spans="1:55" s="282" customFormat="1" x14ac:dyDescent="0.25">
      <c r="A1329"/>
      <c r="B1329"/>
      <c r="C1329" s="3"/>
      <c r="D1329"/>
      <c r="E1329"/>
      <c r="F1329"/>
      <c r="G1329" s="3"/>
      <c r="H1329" s="3"/>
      <c r="I1329" s="3"/>
      <c r="J1329" s="288"/>
      <c r="L1329" s="288"/>
      <c r="M1329" s="288"/>
      <c r="N1329" s="288"/>
      <c r="O1329" s="288"/>
      <c r="P1329" s="288"/>
      <c r="Q1329" s="288"/>
      <c r="R1329" s="283"/>
      <c r="S1329" s="280"/>
      <c r="T1329" s="276"/>
      <c r="U1329" s="276"/>
      <c r="V1329" s="276"/>
      <c r="W1329" s="283"/>
      <c r="X1329" s="280"/>
      <c r="Y1329" s="280"/>
      <c r="Z1329" s="280"/>
      <c r="AA1329" s="280"/>
      <c r="AB1329" s="280"/>
      <c r="AC1329" s="280"/>
      <c r="AD1329" s="280"/>
      <c r="AG1329" s="3"/>
      <c r="AH1329" s="3"/>
      <c r="AI1329" s="3"/>
      <c r="AJ1329" s="3"/>
      <c r="AK1329" s="3"/>
      <c r="AL1329" s="3"/>
      <c r="AM1329" s="3"/>
      <c r="AN1329" s="3"/>
      <c r="AO1329" s="3"/>
      <c r="AP1329" s="11"/>
      <c r="AQ1329" s="11"/>
      <c r="AR1329" s="3"/>
      <c r="AS1329" s="3"/>
      <c r="AT1329" s="3"/>
      <c r="AU1329" s="3"/>
      <c r="AV1329" s="3"/>
      <c r="AW1329" s="3"/>
      <c r="AX1329" s="11"/>
      <c r="AZ1329"/>
      <c r="BA1329"/>
      <c r="BB1329"/>
      <c r="BC1329"/>
    </row>
    <row r="1330" spans="1:55" s="282" customFormat="1" x14ac:dyDescent="0.25">
      <c r="A1330"/>
      <c r="B1330"/>
      <c r="C1330" s="3"/>
      <c r="D1330"/>
      <c r="E1330"/>
      <c r="F1330"/>
      <c r="G1330" s="3"/>
      <c r="H1330" s="3"/>
      <c r="I1330" s="3"/>
      <c r="J1330" s="288"/>
      <c r="L1330" s="288"/>
      <c r="M1330" s="288"/>
      <c r="N1330" s="288"/>
      <c r="O1330" s="288"/>
      <c r="P1330" s="288"/>
      <c r="Q1330" s="288"/>
      <c r="R1330" s="283"/>
      <c r="S1330" s="280"/>
      <c r="T1330" s="276"/>
      <c r="U1330" s="276"/>
      <c r="V1330" s="276"/>
      <c r="W1330" s="283"/>
      <c r="X1330" s="280"/>
      <c r="Y1330" s="280"/>
      <c r="Z1330" s="280"/>
      <c r="AA1330" s="280"/>
      <c r="AB1330" s="280"/>
      <c r="AC1330" s="280"/>
      <c r="AD1330" s="280"/>
      <c r="AG1330" s="3"/>
      <c r="AH1330" s="3"/>
      <c r="AI1330" s="3"/>
      <c r="AJ1330" s="3"/>
      <c r="AK1330" s="3"/>
      <c r="AL1330" s="3"/>
      <c r="AM1330" s="3"/>
      <c r="AN1330" s="3"/>
      <c r="AO1330" s="3"/>
      <c r="AP1330" s="11"/>
      <c r="AQ1330" s="11"/>
      <c r="AR1330" s="3"/>
      <c r="AS1330" s="3"/>
      <c r="AT1330" s="3"/>
      <c r="AU1330" s="3"/>
      <c r="AV1330" s="3"/>
      <c r="AW1330" s="3"/>
      <c r="AX1330" s="11"/>
      <c r="AZ1330"/>
      <c r="BA1330"/>
      <c r="BB1330"/>
      <c r="BC1330"/>
    </row>
    <row r="1331" spans="1:55" s="282" customFormat="1" x14ac:dyDescent="0.25">
      <c r="A1331"/>
      <c r="B1331"/>
      <c r="C1331" s="3"/>
      <c r="D1331"/>
      <c r="E1331"/>
      <c r="F1331"/>
      <c r="G1331" s="3"/>
      <c r="H1331" s="3"/>
      <c r="I1331" s="3"/>
      <c r="J1331" s="288"/>
      <c r="L1331" s="288"/>
      <c r="M1331" s="288"/>
      <c r="N1331" s="288"/>
      <c r="O1331" s="288"/>
      <c r="P1331" s="288"/>
      <c r="Q1331" s="288"/>
      <c r="R1331" s="283"/>
      <c r="S1331" s="280"/>
      <c r="T1331" s="276"/>
      <c r="U1331" s="276"/>
      <c r="V1331" s="276"/>
      <c r="W1331" s="283"/>
      <c r="X1331" s="280"/>
      <c r="Y1331" s="280"/>
      <c r="Z1331" s="280"/>
      <c r="AA1331" s="280"/>
      <c r="AB1331" s="280"/>
      <c r="AC1331" s="280"/>
      <c r="AD1331" s="280"/>
      <c r="AG1331" s="3"/>
      <c r="AH1331" s="3"/>
      <c r="AI1331" s="3"/>
      <c r="AJ1331" s="3"/>
      <c r="AK1331" s="3"/>
      <c r="AL1331" s="3"/>
      <c r="AM1331" s="3"/>
      <c r="AN1331" s="3"/>
      <c r="AO1331" s="3"/>
      <c r="AP1331" s="11"/>
      <c r="AQ1331" s="11"/>
      <c r="AR1331" s="3"/>
      <c r="AS1331" s="3"/>
      <c r="AT1331" s="3"/>
      <c r="AU1331" s="3"/>
      <c r="AV1331" s="3"/>
      <c r="AW1331" s="3"/>
      <c r="AX1331" s="11"/>
      <c r="AZ1331"/>
      <c r="BA1331"/>
      <c r="BB1331"/>
      <c r="BC1331"/>
    </row>
    <row r="1332" spans="1:55" s="282" customFormat="1" x14ac:dyDescent="0.25">
      <c r="A1332"/>
      <c r="B1332"/>
      <c r="C1332" s="3"/>
      <c r="D1332"/>
      <c r="E1332"/>
      <c r="F1332"/>
      <c r="G1332" s="3"/>
      <c r="H1332" s="3"/>
      <c r="I1332" s="3"/>
      <c r="J1332" s="288"/>
      <c r="L1332" s="288"/>
      <c r="M1332" s="288"/>
      <c r="N1332" s="288"/>
      <c r="O1332" s="288"/>
      <c r="P1332" s="288"/>
      <c r="Q1332" s="288"/>
      <c r="R1332" s="283"/>
      <c r="S1332" s="280"/>
      <c r="T1332" s="276"/>
      <c r="U1332" s="276"/>
      <c r="V1332" s="276"/>
      <c r="W1332" s="283"/>
      <c r="X1332" s="280"/>
      <c r="Y1332" s="280"/>
      <c r="Z1332" s="280"/>
      <c r="AA1332" s="280"/>
      <c r="AB1332" s="280"/>
      <c r="AC1332" s="280"/>
      <c r="AD1332" s="280"/>
      <c r="AG1332" s="3"/>
      <c r="AH1332" s="3"/>
      <c r="AI1332" s="3"/>
      <c r="AJ1332" s="3"/>
      <c r="AK1332" s="3"/>
      <c r="AL1332" s="3"/>
      <c r="AM1332" s="3"/>
      <c r="AN1332" s="3"/>
      <c r="AO1332" s="3"/>
      <c r="AP1332" s="11"/>
      <c r="AQ1332" s="11"/>
      <c r="AR1332" s="3"/>
      <c r="AS1332" s="3"/>
      <c r="AT1332" s="3"/>
      <c r="AU1332" s="3"/>
      <c r="AV1332" s="3"/>
      <c r="AW1332" s="3"/>
      <c r="AX1332" s="11"/>
      <c r="AZ1332"/>
      <c r="BA1332"/>
      <c r="BB1332"/>
      <c r="BC1332"/>
    </row>
    <row r="1333" spans="1:55" s="282" customFormat="1" x14ac:dyDescent="0.25">
      <c r="A1333"/>
      <c r="B1333"/>
      <c r="C1333" s="3"/>
      <c r="D1333"/>
      <c r="E1333"/>
      <c r="F1333"/>
      <c r="G1333" s="3"/>
      <c r="H1333" s="3"/>
      <c r="I1333" s="3"/>
      <c r="J1333" s="288"/>
      <c r="L1333" s="288"/>
      <c r="M1333" s="288"/>
      <c r="N1333" s="288"/>
      <c r="O1333" s="288"/>
      <c r="P1333" s="288"/>
      <c r="Q1333" s="288"/>
      <c r="R1333" s="283"/>
      <c r="S1333" s="280"/>
      <c r="T1333" s="276"/>
      <c r="U1333" s="276"/>
      <c r="V1333" s="276"/>
      <c r="W1333" s="283"/>
      <c r="X1333" s="280"/>
      <c r="Y1333" s="280"/>
      <c r="Z1333" s="280"/>
      <c r="AA1333" s="280"/>
      <c r="AB1333" s="280"/>
      <c r="AC1333" s="280"/>
      <c r="AD1333" s="280"/>
      <c r="AG1333" s="3"/>
      <c r="AH1333" s="3"/>
      <c r="AI1333" s="3"/>
      <c r="AJ1333" s="3"/>
      <c r="AK1333" s="3"/>
      <c r="AL1333" s="3"/>
      <c r="AM1333" s="3"/>
      <c r="AN1333" s="3"/>
      <c r="AO1333" s="3"/>
      <c r="AP1333" s="11"/>
      <c r="AQ1333" s="11"/>
      <c r="AR1333" s="3"/>
      <c r="AS1333" s="3"/>
      <c r="AT1333" s="3"/>
      <c r="AU1333" s="3"/>
      <c r="AV1333" s="3"/>
      <c r="AW1333" s="3"/>
      <c r="AX1333" s="11"/>
      <c r="AZ1333"/>
      <c r="BA1333"/>
      <c r="BB1333"/>
      <c r="BC1333"/>
    </row>
    <row r="1334" spans="1:55" s="282" customFormat="1" x14ac:dyDescent="0.25">
      <c r="A1334"/>
      <c r="B1334"/>
      <c r="C1334" s="3"/>
      <c r="D1334"/>
      <c r="E1334"/>
      <c r="F1334"/>
      <c r="G1334" s="3"/>
      <c r="H1334" s="3"/>
      <c r="I1334" s="3"/>
      <c r="J1334" s="288"/>
      <c r="L1334" s="288"/>
      <c r="M1334" s="288"/>
      <c r="N1334" s="288"/>
      <c r="O1334" s="288"/>
      <c r="P1334" s="288"/>
      <c r="Q1334" s="288"/>
      <c r="R1334" s="283"/>
      <c r="S1334" s="280"/>
      <c r="T1334" s="276"/>
      <c r="U1334" s="276"/>
      <c r="V1334" s="276"/>
      <c r="W1334" s="283"/>
      <c r="X1334" s="280"/>
      <c r="Y1334" s="280"/>
      <c r="Z1334" s="280"/>
      <c r="AA1334" s="280"/>
      <c r="AB1334" s="280"/>
      <c r="AC1334" s="280"/>
      <c r="AD1334" s="280"/>
      <c r="AG1334" s="3"/>
      <c r="AH1334" s="3"/>
      <c r="AI1334" s="3"/>
      <c r="AJ1334" s="3"/>
      <c r="AK1334" s="3"/>
      <c r="AL1334" s="3"/>
      <c r="AM1334" s="3"/>
      <c r="AN1334" s="3"/>
      <c r="AO1334" s="3"/>
      <c r="AP1334" s="11"/>
      <c r="AQ1334" s="11"/>
      <c r="AR1334" s="3"/>
      <c r="AS1334" s="3"/>
      <c r="AT1334" s="3"/>
      <c r="AU1334" s="3"/>
      <c r="AV1334" s="3"/>
      <c r="AW1334" s="3"/>
      <c r="AX1334" s="11"/>
      <c r="AZ1334"/>
      <c r="BA1334"/>
      <c r="BB1334"/>
      <c r="BC1334"/>
    </row>
    <row r="1335" spans="1:55" s="282" customFormat="1" x14ac:dyDescent="0.25">
      <c r="A1335"/>
      <c r="B1335"/>
      <c r="C1335" s="3"/>
      <c r="D1335"/>
      <c r="E1335"/>
      <c r="F1335"/>
      <c r="G1335" s="3"/>
      <c r="H1335" s="3"/>
      <c r="I1335" s="3"/>
      <c r="J1335" s="288"/>
      <c r="L1335" s="288"/>
      <c r="M1335" s="288"/>
      <c r="N1335" s="288"/>
      <c r="O1335" s="288"/>
      <c r="P1335" s="288"/>
      <c r="Q1335" s="288"/>
      <c r="R1335" s="283"/>
      <c r="S1335" s="280"/>
      <c r="T1335" s="276"/>
      <c r="U1335" s="276"/>
      <c r="V1335" s="276"/>
      <c r="W1335" s="283"/>
      <c r="X1335" s="280"/>
      <c r="Y1335" s="280"/>
      <c r="Z1335" s="280"/>
      <c r="AA1335" s="280"/>
      <c r="AB1335" s="280"/>
      <c r="AC1335" s="280"/>
      <c r="AD1335" s="280"/>
      <c r="AG1335" s="3"/>
      <c r="AH1335" s="3"/>
      <c r="AI1335" s="3"/>
      <c r="AJ1335" s="3"/>
      <c r="AK1335" s="3"/>
      <c r="AL1335" s="3"/>
      <c r="AM1335" s="3"/>
      <c r="AN1335" s="3"/>
      <c r="AO1335" s="3"/>
      <c r="AP1335" s="11"/>
      <c r="AQ1335" s="11"/>
      <c r="AR1335" s="3"/>
      <c r="AS1335" s="3"/>
      <c r="AT1335" s="3"/>
      <c r="AU1335" s="3"/>
      <c r="AV1335" s="3"/>
      <c r="AW1335" s="3"/>
      <c r="AX1335" s="11"/>
      <c r="AZ1335"/>
      <c r="BA1335"/>
      <c r="BB1335"/>
      <c r="BC1335"/>
    </row>
    <row r="1336" spans="1:55" s="282" customFormat="1" x14ac:dyDescent="0.25">
      <c r="A1336"/>
      <c r="B1336"/>
      <c r="C1336" s="3"/>
      <c r="D1336"/>
      <c r="E1336"/>
      <c r="F1336"/>
      <c r="G1336" s="3"/>
      <c r="H1336" s="3"/>
      <c r="I1336" s="3"/>
      <c r="J1336" s="288"/>
      <c r="L1336" s="288"/>
      <c r="M1336" s="288"/>
      <c r="N1336" s="288"/>
      <c r="O1336" s="288"/>
      <c r="P1336" s="288"/>
      <c r="Q1336" s="288"/>
      <c r="R1336" s="283"/>
      <c r="S1336" s="280"/>
      <c r="T1336" s="276"/>
      <c r="U1336" s="276"/>
      <c r="V1336" s="276"/>
      <c r="W1336" s="283"/>
      <c r="X1336" s="280"/>
      <c r="Y1336" s="280"/>
      <c r="Z1336" s="280"/>
      <c r="AA1336" s="280"/>
      <c r="AB1336" s="280"/>
      <c r="AC1336" s="280"/>
      <c r="AD1336" s="280"/>
      <c r="AG1336" s="3"/>
      <c r="AH1336" s="3"/>
      <c r="AI1336" s="3"/>
      <c r="AJ1336" s="3"/>
      <c r="AK1336" s="3"/>
      <c r="AL1336" s="3"/>
      <c r="AM1336" s="3"/>
      <c r="AN1336" s="3"/>
      <c r="AO1336" s="3"/>
      <c r="AP1336" s="11"/>
      <c r="AQ1336" s="11"/>
      <c r="AR1336" s="3"/>
      <c r="AS1336" s="3"/>
      <c r="AT1336" s="3"/>
      <c r="AU1336" s="3"/>
      <c r="AV1336" s="3"/>
      <c r="AW1336" s="3"/>
      <c r="AX1336" s="11"/>
      <c r="AZ1336"/>
      <c r="BA1336"/>
      <c r="BB1336"/>
      <c r="BC1336"/>
    </row>
    <row r="1337" spans="1:55" s="282" customFormat="1" x14ac:dyDescent="0.25">
      <c r="A1337"/>
      <c r="B1337"/>
      <c r="C1337" s="3"/>
      <c r="D1337"/>
      <c r="E1337"/>
      <c r="F1337"/>
      <c r="G1337" s="3"/>
      <c r="H1337" s="3"/>
      <c r="I1337" s="3"/>
      <c r="J1337" s="288"/>
      <c r="L1337" s="288"/>
      <c r="M1337" s="288"/>
      <c r="N1337" s="288"/>
      <c r="O1337" s="288"/>
      <c r="P1337" s="288"/>
      <c r="Q1337" s="288"/>
      <c r="R1337" s="283"/>
      <c r="S1337" s="280"/>
      <c r="T1337" s="276"/>
      <c r="U1337" s="276"/>
      <c r="V1337" s="276"/>
      <c r="W1337" s="283"/>
      <c r="X1337" s="280"/>
      <c r="Y1337" s="280"/>
      <c r="Z1337" s="280"/>
      <c r="AA1337" s="280"/>
      <c r="AB1337" s="280"/>
      <c r="AC1337" s="280"/>
      <c r="AD1337" s="280"/>
      <c r="AG1337" s="3"/>
      <c r="AH1337" s="3"/>
      <c r="AI1337" s="3"/>
      <c r="AJ1337" s="3"/>
      <c r="AK1337" s="3"/>
      <c r="AL1337" s="3"/>
      <c r="AM1337" s="3"/>
      <c r="AN1337" s="3"/>
      <c r="AO1337" s="3"/>
      <c r="AP1337" s="11"/>
      <c r="AQ1337" s="11"/>
      <c r="AR1337" s="3"/>
      <c r="AS1337" s="3"/>
      <c r="AT1337" s="3"/>
      <c r="AU1337" s="3"/>
      <c r="AV1337" s="3"/>
      <c r="AW1337" s="3"/>
      <c r="AX1337" s="11"/>
      <c r="AZ1337"/>
      <c r="BA1337"/>
      <c r="BB1337"/>
      <c r="BC1337"/>
    </row>
    <row r="1338" spans="1:55" s="282" customFormat="1" x14ac:dyDescent="0.25">
      <c r="A1338"/>
      <c r="B1338"/>
      <c r="C1338" s="3"/>
      <c r="D1338"/>
      <c r="E1338"/>
      <c r="F1338"/>
      <c r="G1338" s="3"/>
      <c r="H1338" s="3"/>
      <c r="I1338" s="3"/>
      <c r="J1338" s="288"/>
      <c r="L1338" s="288"/>
      <c r="M1338" s="288"/>
      <c r="N1338" s="288"/>
      <c r="O1338" s="288"/>
      <c r="P1338" s="288"/>
      <c r="Q1338" s="288"/>
      <c r="R1338" s="283"/>
      <c r="S1338" s="280"/>
      <c r="T1338" s="276"/>
      <c r="U1338" s="276"/>
      <c r="V1338" s="276"/>
      <c r="W1338" s="283"/>
      <c r="X1338" s="280"/>
      <c r="Y1338" s="280"/>
      <c r="Z1338" s="280"/>
      <c r="AA1338" s="280"/>
      <c r="AB1338" s="280"/>
      <c r="AC1338" s="280"/>
      <c r="AD1338" s="280"/>
      <c r="AG1338" s="3"/>
      <c r="AH1338" s="3"/>
      <c r="AI1338" s="3"/>
      <c r="AJ1338" s="3"/>
      <c r="AK1338" s="3"/>
      <c r="AL1338" s="3"/>
      <c r="AM1338" s="3"/>
      <c r="AN1338" s="3"/>
      <c r="AO1338" s="3"/>
      <c r="AP1338" s="11"/>
      <c r="AQ1338" s="11"/>
      <c r="AR1338" s="3"/>
      <c r="AS1338" s="3"/>
      <c r="AT1338" s="3"/>
      <c r="AU1338" s="3"/>
      <c r="AV1338" s="3"/>
      <c r="AW1338" s="3"/>
      <c r="AX1338" s="11"/>
      <c r="AZ1338"/>
      <c r="BA1338"/>
      <c r="BB1338"/>
      <c r="BC1338"/>
    </row>
    <row r="1339" spans="1:55" s="282" customFormat="1" x14ac:dyDescent="0.25">
      <c r="A1339"/>
      <c r="B1339"/>
      <c r="C1339" s="3"/>
      <c r="D1339"/>
      <c r="E1339"/>
      <c r="F1339"/>
      <c r="G1339" s="3"/>
      <c r="H1339" s="3"/>
      <c r="I1339" s="3"/>
      <c r="J1339" s="288"/>
      <c r="L1339" s="288"/>
      <c r="M1339" s="288"/>
      <c r="N1339" s="288"/>
      <c r="O1339" s="288"/>
      <c r="P1339" s="288"/>
      <c r="Q1339" s="288"/>
      <c r="R1339" s="283"/>
      <c r="S1339" s="280"/>
      <c r="T1339" s="276"/>
      <c r="U1339" s="276"/>
      <c r="V1339" s="276"/>
      <c r="W1339" s="283"/>
      <c r="X1339" s="280"/>
      <c r="Y1339" s="280"/>
      <c r="Z1339" s="280"/>
      <c r="AA1339" s="280"/>
      <c r="AB1339" s="280"/>
      <c r="AC1339" s="280"/>
      <c r="AD1339" s="280"/>
      <c r="AG1339" s="3"/>
      <c r="AH1339" s="3"/>
      <c r="AI1339" s="3"/>
      <c r="AJ1339" s="3"/>
      <c r="AK1339" s="3"/>
      <c r="AL1339" s="3"/>
      <c r="AM1339" s="3"/>
      <c r="AN1339" s="3"/>
      <c r="AO1339" s="3"/>
      <c r="AP1339" s="11"/>
      <c r="AQ1339" s="11"/>
      <c r="AR1339" s="3"/>
      <c r="AS1339" s="3"/>
      <c r="AT1339" s="3"/>
      <c r="AU1339" s="3"/>
      <c r="AV1339" s="3"/>
      <c r="AW1339" s="3"/>
      <c r="AX1339" s="11"/>
      <c r="AZ1339"/>
      <c r="BA1339"/>
      <c r="BB1339"/>
      <c r="BC1339"/>
    </row>
    <row r="1340" spans="1:55" s="282" customFormat="1" x14ac:dyDescent="0.25">
      <c r="A1340"/>
      <c r="B1340"/>
      <c r="C1340" s="3"/>
      <c r="D1340"/>
      <c r="E1340"/>
      <c r="F1340"/>
      <c r="G1340" s="3"/>
      <c r="H1340" s="3"/>
      <c r="I1340" s="3"/>
      <c r="J1340" s="288"/>
      <c r="L1340" s="288"/>
      <c r="M1340" s="288"/>
      <c r="N1340" s="288"/>
      <c r="O1340" s="288"/>
      <c r="P1340" s="288"/>
      <c r="Q1340" s="288"/>
      <c r="R1340" s="283"/>
      <c r="S1340" s="280"/>
      <c r="T1340" s="276"/>
      <c r="U1340" s="276"/>
      <c r="V1340" s="276"/>
      <c r="W1340" s="283"/>
      <c r="X1340" s="280"/>
      <c r="Y1340" s="280"/>
      <c r="Z1340" s="280"/>
      <c r="AA1340" s="280"/>
      <c r="AB1340" s="280"/>
      <c r="AC1340" s="280"/>
      <c r="AD1340" s="280"/>
      <c r="AG1340" s="3"/>
      <c r="AH1340" s="3"/>
      <c r="AI1340" s="3"/>
      <c r="AJ1340" s="3"/>
      <c r="AK1340" s="3"/>
      <c r="AL1340" s="3"/>
      <c r="AM1340" s="3"/>
      <c r="AN1340" s="3"/>
      <c r="AO1340" s="3"/>
      <c r="AP1340" s="11"/>
      <c r="AQ1340" s="11"/>
      <c r="AR1340" s="3"/>
      <c r="AS1340" s="3"/>
      <c r="AT1340" s="3"/>
      <c r="AU1340" s="3"/>
      <c r="AV1340" s="3"/>
      <c r="AW1340" s="3"/>
      <c r="AX1340" s="11"/>
      <c r="AZ1340"/>
      <c r="BA1340"/>
      <c r="BB1340"/>
      <c r="BC1340"/>
    </row>
    <row r="1341" spans="1:55" s="282" customFormat="1" x14ac:dyDescent="0.25">
      <c r="A1341"/>
      <c r="B1341"/>
      <c r="C1341" s="3"/>
      <c r="D1341"/>
      <c r="E1341"/>
      <c r="F1341"/>
      <c r="G1341" s="3"/>
      <c r="H1341" s="3"/>
      <c r="I1341" s="3"/>
      <c r="J1341" s="288"/>
      <c r="L1341" s="288"/>
      <c r="M1341" s="288"/>
      <c r="N1341" s="288"/>
      <c r="O1341" s="288"/>
      <c r="P1341" s="288"/>
      <c r="Q1341" s="288"/>
      <c r="R1341" s="283"/>
      <c r="S1341" s="280"/>
      <c r="T1341" s="276"/>
      <c r="U1341" s="276"/>
      <c r="V1341" s="276"/>
      <c r="W1341" s="283"/>
      <c r="X1341" s="280"/>
      <c r="Y1341" s="280"/>
      <c r="Z1341" s="280"/>
      <c r="AA1341" s="280"/>
      <c r="AB1341" s="280"/>
      <c r="AC1341" s="280"/>
      <c r="AD1341" s="280"/>
      <c r="AG1341" s="3"/>
      <c r="AH1341" s="3"/>
      <c r="AI1341" s="3"/>
      <c r="AJ1341" s="3"/>
      <c r="AK1341" s="3"/>
      <c r="AL1341" s="3"/>
      <c r="AM1341" s="3"/>
      <c r="AN1341" s="3"/>
      <c r="AO1341" s="3"/>
      <c r="AP1341" s="11"/>
      <c r="AQ1341" s="11"/>
      <c r="AR1341" s="3"/>
      <c r="AS1341" s="3"/>
      <c r="AT1341" s="3"/>
      <c r="AU1341" s="3"/>
      <c r="AV1341" s="3"/>
      <c r="AW1341" s="3"/>
      <c r="AX1341" s="11"/>
      <c r="AZ1341"/>
      <c r="BA1341"/>
      <c r="BB1341"/>
      <c r="BC1341"/>
    </row>
    <row r="1342" spans="1:55" s="282" customFormat="1" x14ac:dyDescent="0.25">
      <c r="A1342"/>
      <c r="B1342"/>
      <c r="C1342" s="3"/>
      <c r="D1342"/>
      <c r="E1342"/>
      <c r="F1342"/>
      <c r="G1342" s="3"/>
      <c r="H1342" s="3"/>
      <c r="I1342" s="3"/>
      <c r="J1342" s="288"/>
      <c r="L1342" s="288"/>
      <c r="M1342" s="288"/>
      <c r="N1342" s="288"/>
      <c r="O1342" s="288"/>
      <c r="P1342" s="288"/>
      <c r="Q1342" s="288"/>
      <c r="R1342" s="283"/>
      <c r="S1342" s="280"/>
      <c r="T1342" s="276"/>
      <c r="U1342" s="276"/>
      <c r="V1342" s="276"/>
      <c r="W1342" s="283"/>
      <c r="X1342" s="280"/>
      <c r="Y1342" s="280"/>
      <c r="Z1342" s="280"/>
      <c r="AA1342" s="280"/>
      <c r="AB1342" s="280"/>
      <c r="AC1342" s="280"/>
      <c r="AD1342" s="280"/>
      <c r="AG1342" s="3"/>
      <c r="AH1342" s="3"/>
      <c r="AI1342" s="3"/>
      <c r="AJ1342" s="3"/>
      <c r="AK1342" s="3"/>
      <c r="AL1342" s="3"/>
      <c r="AM1342" s="3"/>
      <c r="AN1342" s="3"/>
      <c r="AO1342" s="3"/>
      <c r="AP1342" s="11"/>
      <c r="AQ1342" s="11"/>
      <c r="AR1342" s="3"/>
      <c r="AS1342" s="3"/>
      <c r="AT1342" s="3"/>
      <c r="AU1342" s="3"/>
      <c r="AV1342" s="3"/>
      <c r="AW1342" s="3"/>
      <c r="AX1342" s="11"/>
      <c r="AZ1342"/>
      <c r="BA1342"/>
      <c r="BB1342"/>
      <c r="BC1342"/>
    </row>
    <row r="1343" spans="1:55" s="282" customFormat="1" x14ac:dyDescent="0.25">
      <c r="A1343"/>
      <c r="B1343"/>
      <c r="C1343" s="3"/>
      <c r="D1343"/>
      <c r="E1343"/>
      <c r="F1343"/>
      <c r="G1343" s="3"/>
      <c r="H1343" s="3"/>
      <c r="I1343" s="3"/>
      <c r="J1343" s="288"/>
      <c r="L1343" s="288"/>
      <c r="M1343" s="288"/>
      <c r="N1343" s="288"/>
      <c r="O1343" s="288"/>
      <c r="P1343" s="288"/>
      <c r="Q1343" s="288"/>
      <c r="R1343" s="283"/>
      <c r="S1343" s="280"/>
      <c r="T1343" s="276"/>
      <c r="U1343" s="276"/>
      <c r="V1343" s="276"/>
      <c r="W1343" s="283"/>
      <c r="X1343" s="280"/>
      <c r="Y1343" s="280"/>
      <c r="Z1343" s="280"/>
      <c r="AA1343" s="280"/>
      <c r="AB1343" s="280"/>
      <c r="AC1343" s="280"/>
      <c r="AD1343" s="280"/>
      <c r="AG1343" s="3"/>
      <c r="AH1343" s="3"/>
      <c r="AI1343" s="3"/>
      <c r="AJ1343" s="3"/>
      <c r="AK1343" s="3"/>
      <c r="AL1343" s="3"/>
      <c r="AM1343" s="3"/>
      <c r="AN1343" s="3"/>
      <c r="AO1343" s="3"/>
      <c r="AP1343" s="11"/>
      <c r="AQ1343" s="11"/>
      <c r="AR1343" s="3"/>
      <c r="AS1343" s="3"/>
      <c r="AT1343" s="3"/>
      <c r="AU1343" s="3"/>
      <c r="AV1343" s="3"/>
      <c r="AW1343" s="3"/>
      <c r="AX1343" s="11"/>
      <c r="AZ1343"/>
      <c r="BA1343"/>
      <c r="BB1343"/>
      <c r="BC1343"/>
    </row>
    <row r="1344" spans="1:55" s="282" customFormat="1" x14ac:dyDescent="0.25">
      <c r="A1344"/>
      <c r="B1344"/>
      <c r="C1344" s="3"/>
      <c r="D1344"/>
      <c r="E1344"/>
      <c r="F1344"/>
      <c r="G1344" s="3"/>
      <c r="H1344" s="3"/>
      <c r="I1344" s="3"/>
      <c r="J1344" s="288"/>
      <c r="L1344" s="288"/>
      <c r="M1344" s="288"/>
      <c r="N1344" s="288"/>
      <c r="O1344" s="288"/>
      <c r="P1344" s="288"/>
      <c r="Q1344" s="288"/>
      <c r="R1344" s="283"/>
      <c r="S1344" s="280"/>
      <c r="T1344" s="276"/>
      <c r="U1344" s="276"/>
      <c r="V1344" s="276"/>
      <c r="W1344" s="283"/>
      <c r="X1344" s="280"/>
      <c r="Y1344" s="280"/>
      <c r="Z1344" s="280"/>
      <c r="AA1344" s="280"/>
      <c r="AB1344" s="280"/>
      <c r="AC1344" s="280"/>
      <c r="AD1344" s="280"/>
      <c r="AG1344" s="3"/>
      <c r="AH1344" s="3"/>
      <c r="AI1344" s="3"/>
      <c r="AJ1344" s="3"/>
      <c r="AK1344" s="3"/>
      <c r="AL1344" s="3"/>
      <c r="AM1344" s="3"/>
      <c r="AN1344" s="3"/>
      <c r="AO1344" s="3"/>
      <c r="AP1344" s="11"/>
      <c r="AQ1344" s="11"/>
      <c r="AR1344" s="3"/>
      <c r="AS1344" s="3"/>
      <c r="AT1344" s="3"/>
      <c r="AU1344" s="3"/>
      <c r="AV1344" s="3"/>
      <c r="AW1344" s="3"/>
      <c r="AX1344" s="11"/>
      <c r="AZ1344"/>
      <c r="BA1344"/>
      <c r="BB1344"/>
      <c r="BC1344"/>
    </row>
    <row r="1345" spans="1:55" s="282" customFormat="1" x14ac:dyDescent="0.25">
      <c r="A1345"/>
      <c r="B1345"/>
      <c r="C1345" s="3"/>
      <c r="D1345"/>
      <c r="E1345"/>
      <c r="F1345"/>
      <c r="G1345" s="3"/>
      <c r="H1345" s="3"/>
      <c r="I1345" s="3"/>
      <c r="J1345" s="288"/>
      <c r="L1345" s="288"/>
      <c r="M1345" s="288"/>
      <c r="N1345" s="288"/>
      <c r="O1345" s="288"/>
      <c r="P1345" s="288"/>
      <c r="Q1345" s="288"/>
      <c r="R1345" s="283"/>
      <c r="S1345" s="280"/>
      <c r="T1345" s="276"/>
      <c r="U1345" s="276"/>
      <c r="V1345" s="276"/>
      <c r="W1345" s="283"/>
      <c r="X1345" s="280"/>
      <c r="Y1345" s="280"/>
      <c r="Z1345" s="280"/>
      <c r="AA1345" s="280"/>
      <c r="AB1345" s="280"/>
      <c r="AC1345" s="280"/>
      <c r="AD1345" s="280"/>
      <c r="AG1345" s="3"/>
      <c r="AH1345" s="3"/>
      <c r="AI1345" s="3"/>
      <c r="AJ1345" s="3"/>
      <c r="AK1345" s="3"/>
      <c r="AL1345" s="3"/>
      <c r="AM1345" s="3"/>
      <c r="AN1345" s="3"/>
      <c r="AO1345" s="3"/>
      <c r="AP1345" s="11"/>
      <c r="AQ1345" s="11"/>
      <c r="AR1345" s="3"/>
      <c r="AS1345" s="3"/>
      <c r="AT1345" s="3"/>
      <c r="AU1345" s="3"/>
      <c r="AV1345" s="3"/>
      <c r="AW1345" s="3"/>
      <c r="AX1345" s="11"/>
      <c r="AZ1345"/>
      <c r="BA1345"/>
      <c r="BB1345"/>
      <c r="BC1345"/>
    </row>
    <row r="1346" spans="1:55" s="282" customFormat="1" x14ac:dyDescent="0.25">
      <c r="A1346"/>
      <c r="B1346"/>
      <c r="C1346" s="3"/>
      <c r="D1346"/>
      <c r="E1346"/>
      <c r="F1346"/>
      <c r="G1346" s="3"/>
      <c r="H1346" s="3"/>
      <c r="I1346" s="3"/>
      <c r="J1346" s="288"/>
      <c r="L1346" s="288"/>
      <c r="M1346" s="288"/>
      <c r="N1346" s="288"/>
      <c r="O1346" s="288"/>
      <c r="P1346" s="288"/>
      <c r="Q1346" s="288"/>
      <c r="R1346" s="283"/>
      <c r="S1346" s="280"/>
      <c r="T1346" s="276"/>
      <c r="U1346" s="276"/>
      <c r="V1346" s="276"/>
      <c r="W1346" s="283"/>
      <c r="X1346" s="280"/>
      <c r="Y1346" s="280"/>
      <c r="Z1346" s="280"/>
      <c r="AA1346" s="280"/>
      <c r="AB1346" s="280"/>
      <c r="AC1346" s="280"/>
      <c r="AD1346" s="280"/>
      <c r="AG1346" s="3"/>
      <c r="AH1346" s="3"/>
      <c r="AI1346" s="3"/>
      <c r="AJ1346" s="3"/>
      <c r="AK1346" s="3"/>
      <c r="AL1346" s="3"/>
      <c r="AM1346" s="3"/>
      <c r="AN1346" s="3"/>
      <c r="AO1346" s="3"/>
      <c r="AP1346" s="11"/>
      <c r="AQ1346" s="11"/>
      <c r="AR1346" s="3"/>
      <c r="AS1346" s="3"/>
      <c r="AT1346" s="3"/>
      <c r="AU1346" s="3"/>
      <c r="AV1346" s="3"/>
      <c r="AW1346" s="3"/>
      <c r="AX1346" s="11"/>
      <c r="AZ1346"/>
      <c r="BA1346"/>
      <c r="BB1346"/>
      <c r="BC1346"/>
    </row>
    <row r="1347" spans="1:55" s="282" customFormat="1" x14ac:dyDescent="0.25">
      <c r="A1347"/>
      <c r="B1347"/>
      <c r="C1347" s="3"/>
      <c r="D1347"/>
      <c r="E1347"/>
      <c r="F1347"/>
      <c r="G1347" s="3"/>
      <c r="H1347" s="3"/>
      <c r="I1347" s="3"/>
      <c r="J1347" s="288"/>
      <c r="L1347" s="288"/>
      <c r="M1347" s="288"/>
      <c r="N1347" s="288"/>
      <c r="O1347" s="288"/>
      <c r="P1347" s="288"/>
      <c r="Q1347" s="288"/>
      <c r="R1347" s="283"/>
      <c r="S1347" s="280"/>
      <c r="T1347" s="276"/>
      <c r="U1347" s="276"/>
      <c r="V1347" s="276"/>
      <c r="W1347" s="283"/>
      <c r="X1347" s="280"/>
      <c r="Y1347" s="280"/>
      <c r="Z1347" s="280"/>
      <c r="AA1347" s="280"/>
      <c r="AB1347" s="280"/>
      <c r="AC1347" s="280"/>
      <c r="AD1347" s="280"/>
      <c r="AG1347" s="3"/>
      <c r="AH1347" s="3"/>
      <c r="AI1347" s="3"/>
      <c r="AJ1347" s="3"/>
      <c r="AK1347" s="3"/>
      <c r="AL1347" s="3"/>
      <c r="AM1347" s="3"/>
      <c r="AN1347" s="3"/>
      <c r="AO1347" s="3"/>
      <c r="AP1347" s="11"/>
      <c r="AQ1347" s="11"/>
      <c r="AR1347" s="3"/>
      <c r="AS1347" s="3"/>
      <c r="AT1347" s="3"/>
      <c r="AU1347" s="3"/>
      <c r="AV1347" s="3"/>
      <c r="AW1347" s="3"/>
      <c r="AX1347" s="11"/>
      <c r="AZ1347"/>
      <c r="BA1347"/>
      <c r="BB1347"/>
      <c r="BC1347"/>
    </row>
    <row r="1348" spans="1:55" s="282" customFormat="1" x14ac:dyDescent="0.25">
      <c r="A1348"/>
      <c r="B1348"/>
      <c r="C1348" s="3"/>
      <c r="D1348"/>
      <c r="E1348"/>
      <c r="F1348"/>
      <c r="G1348" s="3"/>
      <c r="H1348" s="3"/>
      <c r="I1348" s="3"/>
      <c r="J1348" s="288"/>
      <c r="L1348" s="288"/>
      <c r="M1348" s="288"/>
      <c r="N1348" s="288"/>
      <c r="O1348" s="288"/>
      <c r="P1348" s="288"/>
      <c r="Q1348" s="288"/>
      <c r="R1348" s="283"/>
      <c r="S1348" s="280"/>
      <c r="T1348" s="276"/>
      <c r="U1348" s="276"/>
      <c r="V1348" s="276"/>
      <c r="W1348" s="283"/>
      <c r="X1348" s="280"/>
      <c r="Y1348" s="280"/>
      <c r="Z1348" s="280"/>
      <c r="AA1348" s="280"/>
      <c r="AB1348" s="280"/>
      <c r="AC1348" s="280"/>
      <c r="AD1348" s="280"/>
      <c r="AG1348" s="3"/>
      <c r="AH1348" s="3"/>
      <c r="AI1348" s="3"/>
      <c r="AJ1348" s="3"/>
      <c r="AK1348" s="3"/>
      <c r="AL1348" s="3"/>
      <c r="AM1348" s="3"/>
      <c r="AN1348" s="3"/>
      <c r="AO1348" s="3"/>
      <c r="AP1348" s="11"/>
      <c r="AQ1348" s="11"/>
      <c r="AR1348" s="3"/>
      <c r="AS1348" s="3"/>
      <c r="AT1348" s="3"/>
      <c r="AU1348" s="3"/>
      <c r="AV1348" s="3"/>
      <c r="AW1348" s="3"/>
      <c r="AX1348" s="11"/>
      <c r="AZ1348"/>
      <c r="BA1348"/>
      <c r="BB1348"/>
      <c r="BC1348"/>
    </row>
    <row r="1349" spans="1:55" s="282" customFormat="1" x14ac:dyDescent="0.25">
      <c r="A1349"/>
      <c r="B1349"/>
      <c r="C1349" s="3"/>
      <c r="D1349"/>
      <c r="E1349"/>
      <c r="F1349"/>
      <c r="G1349" s="3"/>
      <c r="H1349" s="3"/>
      <c r="I1349" s="3"/>
      <c r="J1349" s="288"/>
      <c r="L1349" s="288"/>
      <c r="M1349" s="288"/>
      <c r="N1349" s="288"/>
      <c r="O1349" s="288"/>
      <c r="P1349" s="288"/>
      <c r="Q1349" s="288"/>
      <c r="R1349" s="283"/>
      <c r="S1349" s="280"/>
      <c r="T1349" s="276"/>
      <c r="U1349" s="276"/>
      <c r="V1349" s="276"/>
      <c r="W1349" s="283"/>
      <c r="X1349" s="280"/>
      <c r="Y1349" s="280"/>
      <c r="Z1349" s="280"/>
      <c r="AA1349" s="280"/>
      <c r="AB1349" s="280"/>
      <c r="AC1349" s="280"/>
      <c r="AD1349" s="280"/>
      <c r="AG1349" s="3"/>
      <c r="AH1349" s="3"/>
      <c r="AI1349" s="3"/>
      <c r="AJ1349" s="3"/>
      <c r="AK1349" s="3"/>
      <c r="AL1349" s="3"/>
      <c r="AM1349" s="3"/>
      <c r="AN1349" s="3"/>
      <c r="AO1349" s="3"/>
      <c r="AP1349" s="11"/>
      <c r="AQ1349" s="11"/>
      <c r="AR1349" s="3"/>
      <c r="AS1349" s="3"/>
      <c r="AT1349" s="3"/>
      <c r="AU1349" s="3"/>
      <c r="AV1349" s="3"/>
      <c r="AW1349" s="3"/>
      <c r="AX1349" s="11"/>
      <c r="AZ1349"/>
      <c r="BA1349"/>
      <c r="BB1349"/>
      <c r="BC1349"/>
    </row>
    <row r="1350" spans="1:55" s="282" customFormat="1" x14ac:dyDescent="0.25">
      <c r="A1350"/>
      <c r="B1350"/>
      <c r="C1350" s="3"/>
      <c r="D1350"/>
      <c r="E1350"/>
      <c r="F1350"/>
      <c r="G1350" s="3"/>
      <c r="H1350" s="3"/>
      <c r="I1350" s="3"/>
      <c r="J1350" s="288"/>
      <c r="L1350" s="288"/>
      <c r="M1350" s="288"/>
      <c r="N1350" s="288"/>
      <c r="O1350" s="288"/>
      <c r="P1350" s="288"/>
      <c r="Q1350" s="288"/>
      <c r="R1350" s="283"/>
      <c r="S1350" s="280"/>
      <c r="T1350" s="276"/>
      <c r="U1350" s="276"/>
      <c r="V1350" s="276"/>
      <c r="W1350" s="283"/>
      <c r="X1350" s="280"/>
      <c r="Y1350" s="280"/>
      <c r="Z1350" s="280"/>
      <c r="AA1350" s="280"/>
      <c r="AB1350" s="280"/>
      <c r="AC1350" s="280"/>
      <c r="AD1350" s="280"/>
      <c r="AG1350" s="3"/>
      <c r="AH1350" s="3"/>
      <c r="AI1350" s="3"/>
      <c r="AJ1350" s="3"/>
      <c r="AK1350" s="3"/>
      <c r="AL1350" s="3"/>
      <c r="AM1350" s="3"/>
      <c r="AN1350" s="3"/>
      <c r="AO1350" s="3"/>
      <c r="AP1350" s="11"/>
      <c r="AQ1350" s="11"/>
      <c r="AR1350" s="3"/>
      <c r="AS1350" s="3"/>
      <c r="AT1350" s="3"/>
      <c r="AU1350" s="3"/>
      <c r="AV1350" s="3"/>
      <c r="AW1350" s="3"/>
      <c r="AX1350" s="11"/>
      <c r="AZ1350"/>
      <c r="BA1350"/>
      <c r="BB1350"/>
      <c r="BC1350"/>
    </row>
    <row r="1351" spans="1:55" s="282" customFormat="1" x14ac:dyDescent="0.25">
      <c r="A1351"/>
      <c r="B1351"/>
      <c r="C1351" s="3"/>
      <c r="D1351"/>
      <c r="E1351"/>
      <c r="F1351"/>
      <c r="G1351" s="3"/>
      <c r="H1351" s="3"/>
      <c r="I1351" s="3"/>
      <c r="J1351" s="288"/>
      <c r="L1351" s="288"/>
      <c r="M1351" s="288"/>
      <c r="N1351" s="288"/>
      <c r="O1351" s="288"/>
      <c r="P1351" s="288"/>
      <c r="Q1351" s="288"/>
      <c r="R1351" s="283"/>
      <c r="S1351" s="280"/>
      <c r="T1351" s="276"/>
      <c r="U1351" s="276"/>
      <c r="V1351" s="276"/>
      <c r="W1351" s="283"/>
      <c r="X1351" s="280"/>
      <c r="Y1351" s="280"/>
      <c r="Z1351" s="280"/>
      <c r="AA1351" s="280"/>
      <c r="AB1351" s="280"/>
      <c r="AC1351" s="280"/>
      <c r="AD1351" s="280"/>
      <c r="AG1351" s="3"/>
      <c r="AH1351" s="3"/>
      <c r="AI1351" s="3"/>
      <c r="AJ1351" s="3"/>
      <c r="AK1351" s="3"/>
      <c r="AL1351" s="3"/>
      <c r="AM1351" s="3"/>
      <c r="AN1351" s="3"/>
      <c r="AO1351" s="3"/>
      <c r="AP1351" s="11"/>
      <c r="AQ1351" s="11"/>
      <c r="AR1351" s="3"/>
      <c r="AS1351" s="3"/>
      <c r="AT1351" s="3"/>
      <c r="AU1351" s="3"/>
      <c r="AV1351" s="3"/>
      <c r="AW1351" s="3"/>
      <c r="AX1351" s="11"/>
      <c r="AZ1351"/>
      <c r="BA1351"/>
      <c r="BB1351"/>
      <c r="BC1351"/>
    </row>
    <row r="1352" spans="1:55" s="282" customFormat="1" x14ac:dyDescent="0.25">
      <c r="A1352"/>
      <c r="B1352"/>
      <c r="C1352" s="3"/>
      <c r="D1352"/>
      <c r="E1352"/>
      <c r="F1352"/>
      <c r="G1352" s="3"/>
      <c r="H1352" s="3"/>
      <c r="I1352" s="3"/>
      <c r="J1352" s="288"/>
      <c r="L1352" s="288"/>
      <c r="M1352" s="288"/>
      <c r="N1352" s="288"/>
      <c r="O1352" s="288"/>
      <c r="P1352" s="288"/>
      <c r="Q1352" s="288"/>
      <c r="R1352" s="283"/>
      <c r="S1352" s="280"/>
      <c r="T1352" s="276"/>
      <c r="U1352" s="276"/>
      <c r="V1352" s="276"/>
      <c r="W1352" s="283"/>
      <c r="X1352" s="280"/>
      <c r="Y1352" s="280"/>
      <c r="Z1352" s="280"/>
      <c r="AA1352" s="280"/>
      <c r="AB1352" s="280"/>
      <c r="AC1352" s="280"/>
      <c r="AD1352" s="280"/>
      <c r="AG1352" s="3"/>
      <c r="AH1352" s="3"/>
      <c r="AI1352" s="3"/>
      <c r="AJ1352" s="3"/>
      <c r="AK1352" s="3"/>
      <c r="AL1352" s="3"/>
      <c r="AM1352" s="3"/>
      <c r="AN1352" s="3"/>
      <c r="AO1352" s="3"/>
      <c r="AP1352" s="11"/>
      <c r="AQ1352" s="11"/>
      <c r="AR1352" s="3"/>
      <c r="AS1352" s="3"/>
      <c r="AT1352" s="3"/>
      <c r="AU1352" s="3"/>
      <c r="AV1352" s="3"/>
      <c r="AW1352" s="3"/>
      <c r="AX1352" s="11"/>
      <c r="AZ1352"/>
      <c r="BA1352"/>
      <c r="BB1352"/>
      <c r="BC1352"/>
    </row>
    <row r="1353" spans="1:55" s="282" customFormat="1" x14ac:dyDescent="0.25">
      <c r="A1353"/>
      <c r="B1353"/>
      <c r="C1353" s="3"/>
      <c r="D1353"/>
      <c r="E1353"/>
      <c r="F1353"/>
      <c r="G1353" s="3"/>
      <c r="H1353" s="3"/>
      <c r="I1353" s="3"/>
      <c r="J1353" s="288"/>
      <c r="L1353" s="288"/>
      <c r="M1353" s="288"/>
      <c r="N1353" s="288"/>
      <c r="O1353" s="288"/>
      <c r="P1353" s="288"/>
      <c r="Q1353" s="288"/>
      <c r="R1353" s="283"/>
      <c r="S1353" s="280"/>
      <c r="T1353" s="276"/>
      <c r="U1353" s="276"/>
      <c r="V1353" s="276"/>
      <c r="W1353" s="283"/>
      <c r="X1353" s="280"/>
      <c r="Y1353" s="280"/>
      <c r="Z1353" s="280"/>
      <c r="AA1353" s="280"/>
      <c r="AB1353" s="280"/>
      <c r="AC1353" s="280"/>
      <c r="AD1353" s="280"/>
      <c r="AG1353" s="3"/>
      <c r="AH1353" s="3"/>
      <c r="AI1353" s="3"/>
      <c r="AJ1353" s="3"/>
      <c r="AK1353" s="3"/>
      <c r="AL1353" s="3"/>
      <c r="AM1353" s="3"/>
      <c r="AN1353" s="3"/>
      <c r="AO1353" s="3"/>
      <c r="AP1353" s="11"/>
      <c r="AQ1353" s="11"/>
      <c r="AR1353" s="3"/>
      <c r="AS1353" s="3"/>
      <c r="AT1353" s="3"/>
      <c r="AU1353" s="3"/>
      <c r="AV1353" s="3"/>
      <c r="AW1353" s="3"/>
      <c r="AX1353" s="11"/>
      <c r="AZ1353"/>
      <c r="BA1353"/>
      <c r="BB1353"/>
      <c r="BC1353"/>
    </row>
    <row r="1354" spans="1:55" s="282" customFormat="1" x14ac:dyDescent="0.25">
      <c r="A1354"/>
      <c r="B1354"/>
      <c r="C1354" s="3"/>
      <c r="D1354"/>
      <c r="E1354"/>
      <c r="F1354"/>
      <c r="G1354" s="3"/>
      <c r="H1354" s="3"/>
      <c r="I1354" s="3"/>
      <c r="J1354" s="288"/>
      <c r="L1354" s="288"/>
      <c r="M1354" s="288"/>
      <c r="N1354" s="288"/>
      <c r="O1354" s="288"/>
      <c r="P1354" s="288"/>
      <c r="Q1354" s="288"/>
      <c r="R1354" s="283"/>
      <c r="S1354" s="280"/>
      <c r="T1354" s="276"/>
      <c r="U1354" s="276"/>
      <c r="V1354" s="276"/>
      <c r="W1354" s="283"/>
      <c r="X1354" s="280"/>
      <c r="Y1354" s="280"/>
      <c r="Z1354" s="280"/>
      <c r="AA1354" s="280"/>
      <c r="AB1354" s="280"/>
      <c r="AC1354" s="280"/>
      <c r="AD1354" s="280"/>
      <c r="AG1354" s="3"/>
      <c r="AH1354" s="3"/>
      <c r="AI1354" s="3"/>
      <c r="AJ1354" s="3"/>
      <c r="AK1354" s="3"/>
      <c r="AL1354" s="3"/>
      <c r="AM1354" s="3"/>
      <c r="AN1354" s="3"/>
      <c r="AO1354" s="3"/>
      <c r="AP1354" s="11"/>
      <c r="AQ1354" s="11"/>
      <c r="AR1354" s="3"/>
      <c r="AS1354" s="3"/>
      <c r="AT1354" s="3"/>
      <c r="AU1354" s="3"/>
      <c r="AV1354" s="3"/>
      <c r="AW1354" s="3"/>
      <c r="AX1354" s="11"/>
      <c r="AZ1354"/>
      <c r="BA1354"/>
      <c r="BB1354"/>
      <c r="BC1354"/>
    </row>
    <row r="1355" spans="1:55" s="282" customFormat="1" x14ac:dyDescent="0.25">
      <c r="A1355"/>
      <c r="B1355"/>
      <c r="C1355" s="3"/>
      <c r="D1355"/>
      <c r="E1355"/>
      <c r="F1355"/>
      <c r="G1355" s="3"/>
      <c r="H1355" s="3"/>
      <c r="I1355" s="3"/>
      <c r="J1355" s="288"/>
      <c r="L1355" s="288"/>
      <c r="M1355" s="288"/>
      <c r="N1355" s="288"/>
      <c r="O1355" s="288"/>
      <c r="P1355" s="288"/>
      <c r="Q1355" s="288"/>
      <c r="R1355" s="283"/>
      <c r="S1355" s="280"/>
      <c r="T1355" s="276"/>
      <c r="U1355" s="276"/>
      <c r="V1355" s="276"/>
      <c r="W1355" s="283"/>
      <c r="X1355" s="280"/>
      <c r="Y1355" s="280"/>
      <c r="Z1355" s="280"/>
      <c r="AA1355" s="280"/>
      <c r="AB1355" s="280"/>
      <c r="AC1355" s="280"/>
      <c r="AD1355" s="280"/>
      <c r="AG1355" s="3"/>
      <c r="AH1355" s="3"/>
      <c r="AI1355" s="3"/>
      <c r="AJ1355" s="3"/>
      <c r="AK1355" s="3"/>
      <c r="AL1355" s="3"/>
      <c r="AM1355" s="3"/>
      <c r="AN1355" s="3"/>
      <c r="AO1355" s="3"/>
      <c r="AP1355" s="11"/>
      <c r="AQ1355" s="11"/>
      <c r="AR1355" s="3"/>
      <c r="AS1355" s="3"/>
      <c r="AT1355" s="3"/>
      <c r="AU1355" s="3"/>
      <c r="AV1355" s="3"/>
      <c r="AW1355" s="3"/>
      <c r="AX1355" s="11"/>
      <c r="AZ1355"/>
      <c r="BA1355"/>
      <c r="BB1355"/>
      <c r="BC1355"/>
    </row>
    <row r="1356" spans="1:55" s="282" customFormat="1" x14ac:dyDescent="0.25">
      <c r="A1356"/>
      <c r="B1356"/>
      <c r="C1356" s="3"/>
      <c r="D1356"/>
      <c r="E1356"/>
      <c r="F1356"/>
      <c r="G1356" s="3"/>
      <c r="H1356" s="3"/>
      <c r="I1356" s="3"/>
      <c r="J1356" s="288"/>
      <c r="L1356" s="288"/>
      <c r="M1356" s="288"/>
      <c r="N1356" s="288"/>
      <c r="O1356" s="288"/>
      <c r="P1356" s="288"/>
      <c r="Q1356" s="288"/>
      <c r="R1356" s="283"/>
      <c r="S1356" s="280"/>
      <c r="T1356" s="276"/>
      <c r="U1356" s="276"/>
      <c r="V1356" s="276"/>
      <c r="W1356" s="283"/>
      <c r="X1356" s="280"/>
      <c r="Y1356" s="280"/>
      <c r="Z1356" s="280"/>
      <c r="AA1356" s="280"/>
      <c r="AB1356" s="280"/>
      <c r="AC1356" s="280"/>
      <c r="AD1356" s="280"/>
      <c r="AG1356" s="3"/>
      <c r="AH1356" s="3"/>
      <c r="AI1356" s="3"/>
      <c r="AJ1356" s="3"/>
      <c r="AK1356" s="3"/>
      <c r="AL1356" s="3"/>
      <c r="AM1356" s="3"/>
      <c r="AN1356" s="3"/>
      <c r="AO1356" s="3"/>
      <c r="AP1356" s="11"/>
      <c r="AQ1356" s="11"/>
      <c r="AR1356" s="3"/>
      <c r="AS1356" s="3"/>
      <c r="AT1356" s="3"/>
      <c r="AU1356" s="3"/>
      <c r="AV1356" s="3"/>
      <c r="AW1356" s="3"/>
      <c r="AX1356" s="11"/>
      <c r="AZ1356"/>
      <c r="BA1356"/>
      <c r="BB1356"/>
      <c r="BC1356"/>
    </row>
    <row r="1357" spans="1:55" s="282" customFormat="1" x14ac:dyDescent="0.25">
      <c r="A1357"/>
      <c r="B1357"/>
      <c r="C1357" s="3"/>
      <c r="D1357"/>
      <c r="E1357"/>
      <c r="F1357"/>
      <c r="G1357" s="3"/>
      <c r="H1357" s="3"/>
      <c r="I1357" s="3"/>
      <c r="J1357" s="288"/>
      <c r="L1357" s="288"/>
      <c r="M1357" s="288"/>
      <c r="N1357" s="288"/>
      <c r="O1357" s="288"/>
      <c r="P1357" s="288"/>
      <c r="Q1357" s="288"/>
      <c r="R1357" s="283"/>
      <c r="S1357" s="280"/>
      <c r="T1357" s="276"/>
      <c r="U1357" s="276"/>
      <c r="V1357" s="276"/>
      <c r="W1357" s="283"/>
      <c r="X1357" s="280"/>
      <c r="Y1357" s="280"/>
      <c r="Z1357" s="280"/>
      <c r="AA1357" s="280"/>
      <c r="AB1357" s="280"/>
      <c r="AC1357" s="280"/>
      <c r="AD1357" s="280"/>
      <c r="AG1357" s="3"/>
      <c r="AH1357" s="3"/>
      <c r="AI1357" s="3"/>
      <c r="AJ1357" s="3"/>
      <c r="AK1357" s="3"/>
      <c r="AL1357" s="3"/>
      <c r="AM1357" s="3"/>
      <c r="AN1357" s="3"/>
      <c r="AO1357" s="3"/>
      <c r="AP1357" s="11"/>
      <c r="AQ1357" s="11"/>
      <c r="AR1357" s="3"/>
      <c r="AS1357" s="3"/>
      <c r="AT1357" s="3"/>
      <c r="AU1357" s="3"/>
      <c r="AV1357" s="3"/>
      <c r="AW1357" s="3"/>
      <c r="AX1357" s="11"/>
      <c r="AZ1357"/>
      <c r="BA1357"/>
      <c r="BB1357"/>
      <c r="BC1357"/>
    </row>
    <row r="1358" spans="1:55" s="282" customFormat="1" x14ac:dyDescent="0.25">
      <c r="A1358"/>
      <c r="B1358"/>
      <c r="C1358" s="3"/>
      <c r="D1358"/>
      <c r="E1358"/>
      <c r="F1358"/>
      <c r="G1358" s="3"/>
      <c r="H1358" s="3"/>
      <c r="I1358" s="3"/>
      <c r="J1358" s="288"/>
      <c r="L1358" s="288"/>
      <c r="M1358" s="288"/>
      <c r="N1358" s="288"/>
      <c r="O1358" s="288"/>
      <c r="P1358" s="288"/>
      <c r="Q1358" s="288"/>
      <c r="R1358" s="283"/>
      <c r="S1358" s="280"/>
      <c r="T1358" s="276"/>
      <c r="U1358" s="276"/>
      <c r="V1358" s="276"/>
      <c r="W1358" s="283"/>
      <c r="X1358" s="280"/>
      <c r="Y1358" s="280"/>
      <c r="Z1358" s="280"/>
      <c r="AA1358" s="280"/>
      <c r="AB1358" s="280"/>
      <c r="AC1358" s="280"/>
      <c r="AD1358" s="280"/>
      <c r="AG1358" s="3"/>
      <c r="AH1358" s="3"/>
      <c r="AI1358" s="3"/>
      <c r="AJ1358" s="3"/>
      <c r="AK1358" s="3"/>
      <c r="AL1358" s="3"/>
      <c r="AM1358" s="3"/>
      <c r="AN1358" s="3"/>
      <c r="AO1358" s="3"/>
      <c r="AP1358" s="11"/>
      <c r="AQ1358" s="11"/>
      <c r="AR1358" s="3"/>
      <c r="AS1358" s="3"/>
      <c r="AT1358" s="3"/>
      <c r="AU1358" s="3"/>
      <c r="AV1358" s="3"/>
      <c r="AW1358" s="3"/>
      <c r="AX1358" s="11"/>
      <c r="AZ1358"/>
      <c r="BA1358"/>
      <c r="BB1358"/>
      <c r="BC1358"/>
    </row>
    <row r="1359" spans="1:55" s="282" customFormat="1" x14ac:dyDescent="0.25">
      <c r="A1359"/>
      <c r="B1359"/>
      <c r="C1359" s="3"/>
      <c r="D1359"/>
      <c r="E1359"/>
      <c r="F1359"/>
      <c r="G1359" s="3"/>
      <c r="H1359" s="3"/>
      <c r="I1359" s="3"/>
      <c r="J1359" s="288"/>
      <c r="L1359" s="288"/>
      <c r="M1359" s="288"/>
      <c r="N1359" s="288"/>
      <c r="O1359" s="288"/>
      <c r="P1359" s="288"/>
      <c r="Q1359" s="288"/>
      <c r="R1359" s="283"/>
      <c r="S1359" s="280"/>
      <c r="T1359" s="276"/>
      <c r="U1359" s="276"/>
      <c r="V1359" s="276"/>
      <c r="W1359" s="283"/>
      <c r="X1359" s="280"/>
      <c r="Y1359" s="280"/>
      <c r="Z1359" s="280"/>
      <c r="AA1359" s="280"/>
      <c r="AB1359" s="280"/>
      <c r="AC1359" s="280"/>
      <c r="AD1359" s="280"/>
      <c r="AG1359" s="3"/>
      <c r="AH1359" s="3"/>
      <c r="AI1359" s="3"/>
      <c r="AJ1359" s="3"/>
      <c r="AK1359" s="3"/>
      <c r="AL1359" s="3"/>
      <c r="AM1359" s="3"/>
      <c r="AN1359" s="3"/>
      <c r="AO1359" s="3"/>
      <c r="AP1359" s="11"/>
      <c r="AQ1359" s="11"/>
      <c r="AR1359" s="3"/>
      <c r="AS1359" s="3"/>
      <c r="AT1359" s="3"/>
      <c r="AU1359" s="3"/>
      <c r="AV1359" s="3"/>
      <c r="AW1359" s="3"/>
      <c r="AX1359" s="11"/>
      <c r="AZ1359"/>
      <c r="BA1359"/>
      <c r="BB1359"/>
      <c r="BC1359"/>
    </row>
    <row r="1360" spans="1:55" s="282" customFormat="1" x14ac:dyDescent="0.25">
      <c r="A1360"/>
      <c r="B1360"/>
      <c r="C1360" s="3"/>
      <c r="D1360"/>
      <c r="E1360"/>
      <c r="F1360"/>
      <c r="G1360" s="3"/>
      <c r="H1360" s="3"/>
      <c r="I1360" s="3"/>
      <c r="J1360" s="288"/>
      <c r="L1360" s="288"/>
      <c r="M1360" s="288"/>
      <c r="N1360" s="288"/>
      <c r="O1360" s="288"/>
      <c r="P1360" s="288"/>
      <c r="Q1360" s="288"/>
      <c r="R1360" s="283"/>
      <c r="S1360" s="280"/>
      <c r="T1360" s="276"/>
      <c r="U1360" s="276"/>
      <c r="V1360" s="276"/>
      <c r="W1360" s="283"/>
      <c r="X1360" s="280"/>
      <c r="Y1360" s="280"/>
      <c r="Z1360" s="280"/>
      <c r="AA1360" s="280"/>
      <c r="AB1360" s="280"/>
      <c r="AC1360" s="280"/>
      <c r="AD1360" s="280"/>
      <c r="AG1360" s="3"/>
      <c r="AH1360" s="3"/>
      <c r="AI1360" s="3"/>
      <c r="AJ1360" s="3"/>
      <c r="AK1360" s="3"/>
      <c r="AL1360" s="3"/>
      <c r="AM1360" s="3"/>
      <c r="AN1360" s="3"/>
      <c r="AO1360" s="3"/>
      <c r="AP1360" s="11"/>
      <c r="AQ1360" s="11"/>
      <c r="AR1360" s="3"/>
      <c r="AS1360" s="3"/>
      <c r="AT1360" s="3"/>
      <c r="AU1360" s="3"/>
      <c r="AV1360" s="3"/>
      <c r="AW1360" s="3"/>
      <c r="AX1360" s="11"/>
      <c r="AZ1360"/>
      <c r="BA1360"/>
      <c r="BB1360"/>
      <c r="BC1360"/>
    </row>
    <row r="1361" spans="1:55" s="282" customFormat="1" x14ac:dyDescent="0.25">
      <c r="A1361"/>
      <c r="B1361"/>
      <c r="C1361" s="3"/>
      <c r="D1361"/>
      <c r="E1361"/>
      <c r="F1361"/>
      <c r="G1361" s="3"/>
      <c r="H1361" s="3"/>
      <c r="I1361" s="3"/>
      <c r="J1361" s="288"/>
      <c r="L1361" s="288"/>
      <c r="M1361" s="288"/>
      <c r="N1361" s="288"/>
      <c r="O1361" s="288"/>
      <c r="P1361" s="288"/>
      <c r="Q1361" s="288"/>
      <c r="R1361" s="283"/>
      <c r="S1361" s="280"/>
      <c r="T1361" s="276"/>
      <c r="U1361" s="276"/>
      <c r="V1361" s="276"/>
      <c r="W1361" s="283"/>
      <c r="X1361" s="280"/>
      <c r="Y1361" s="280"/>
      <c r="Z1361" s="280"/>
      <c r="AA1361" s="280"/>
      <c r="AB1361" s="280"/>
      <c r="AC1361" s="280"/>
      <c r="AD1361" s="280"/>
      <c r="AG1361" s="3"/>
      <c r="AH1361" s="3"/>
      <c r="AI1361" s="3"/>
      <c r="AJ1361" s="3"/>
      <c r="AK1361" s="3"/>
      <c r="AL1361" s="3"/>
      <c r="AM1361" s="3"/>
      <c r="AN1361" s="3"/>
      <c r="AO1361" s="3"/>
      <c r="AP1361" s="11"/>
      <c r="AQ1361" s="11"/>
      <c r="AR1361" s="3"/>
      <c r="AS1361" s="3"/>
      <c r="AT1361" s="3"/>
      <c r="AU1361" s="3"/>
      <c r="AV1361" s="3"/>
      <c r="AW1361" s="3"/>
      <c r="AX1361" s="11"/>
      <c r="AZ1361"/>
      <c r="BA1361"/>
      <c r="BB1361"/>
      <c r="BC1361"/>
    </row>
    <row r="1362" spans="1:55" s="282" customFormat="1" x14ac:dyDescent="0.25">
      <c r="A1362"/>
      <c r="B1362"/>
      <c r="C1362" s="3"/>
      <c r="D1362"/>
      <c r="E1362"/>
      <c r="F1362"/>
      <c r="G1362" s="3"/>
      <c r="H1362" s="3"/>
      <c r="I1362" s="3"/>
      <c r="J1362" s="288"/>
      <c r="L1362" s="288"/>
      <c r="M1362" s="288"/>
      <c r="N1362" s="288"/>
      <c r="O1362" s="288"/>
      <c r="P1362" s="288"/>
      <c r="Q1362" s="288"/>
      <c r="R1362" s="283"/>
      <c r="S1362" s="280"/>
      <c r="T1362" s="276"/>
      <c r="U1362" s="276"/>
      <c r="V1362" s="276"/>
      <c r="W1362" s="283"/>
      <c r="X1362" s="280"/>
      <c r="Y1362" s="280"/>
      <c r="Z1362" s="280"/>
      <c r="AA1362" s="280"/>
      <c r="AB1362" s="280"/>
      <c r="AC1362" s="280"/>
      <c r="AD1362" s="280"/>
      <c r="AG1362" s="3"/>
      <c r="AH1362" s="3"/>
      <c r="AI1362" s="3"/>
      <c r="AJ1362" s="3"/>
      <c r="AK1362" s="3"/>
      <c r="AL1362" s="3"/>
      <c r="AM1362" s="3"/>
      <c r="AN1362" s="3"/>
      <c r="AO1362" s="3"/>
      <c r="AP1362" s="11"/>
      <c r="AQ1362" s="11"/>
      <c r="AR1362" s="3"/>
      <c r="AS1362" s="3"/>
      <c r="AT1362" s="3"/>
      <c r="AU1362" s="3"/>
      <c r="AV1362" s="3"/>
      <c r="AW1362" s="3"/>
      <c r="AX1362" s="11"/>
      <c r="AZ1362"/>
      <c r="BA1362"/>
      <c r="BB1362"/>
      <c r="BC1362"/>
    </row>
    <row r="1363" spans="1:55" s="282" customFormat="1" x14ac:dyDescent="0.25">
      <c r="A1363"/>
      <c r="B1363"/>
      <c r="C1363" s="3"/>
      <c r="D1363"/>
      <c r="E1363"/>
      <c r="F1363"/>
      <c r="G1363" s="3"/>
      <c r="H1363" s="3"/>
      <c r="I1363" s="3"/>
      <c r="J1363" s="288"/>
      <c r="L1363" s="288"/>
      <c r="M1363" s="288"/>
      <c r="N1363" s="288"/>
      <c r="O1363" s="288"/>
      <c r="P1363" s="288"/>
      <c r="Q1363" s="288"/>
      <c r="R1363" s="283"/>
      <c r="S1363" s="280"/>
      <c r="T1363" s="276"/>
      <c r="U1363" s="276"/>
      <c r="V1363" s="276"/>
      <c r="W1363" s="283"/>
      <c r="X1363" s="280"/>
      <c r="Y1363" s="280"/>
      <c r="Z1363" s="280"/>
      <c r="AA1363" s="280"/>
      <c r="AB1363" s="280"/>
      <c r="AC1363" s="280"/>
      <c r="AD1363" s="280"/>
      <c r="AG1363" s="3"/>
      <c r="AH1363" s="3"/>
      <c r="AI1363" s="3"/>
      <c r="AJ1363" s="3"/>
      <c r="AK1363" s="3"/>
      <c r="AL1363" s="3"/>
      <c r="AM1363" s="3"/>
      <c r="AN1363" s="3"/>
      <c r="AO1363" s="3"/>
      <c r="AP1363" s="11"/>
      <c r="AQ1363" s="11"/>
      <c r="AR1363" s="3"/>
      <c r="AS1363" s="3"/>
      <c r="AT1363" s="3"/>
      <c r="AU1363" s="3"/>
      <c r="AV1363" s="3"/>
      <c r="AW1363" s="3"/>
      <c r="AX1363" s="11"/>
      <c r="AZ1363"/>
      <c r="BA1363"/>
      <c r="BB1363"/>
      <c r="BC1363"/>
    </row>
    <row r="1364" spans="1:55" s="282" customFormat="1" x14ac:dyDescent="0.25">
      <c r="A1364"/>
      <c r="B1364"/>
      <c r="C1364" s="3"/>
      <c r="D1364"/>
      <c r="E1364"/>
      <c r="F1364"/>
      <c r="G1364" s="3"/>
      <c r="H1364" s="3"/>
      <c r="I1364" s="3"/>
      <c r="J1364" s="288"/>
      <c r="L1364" s="288"/>
      <c r="M1364" s="288"/>
      <c r="N1364" s="288"/>
      <c r="O1364" s="288"/>
      <c r="P1364" s="288"/>
      <c r="Q1364" s="288"/>
      <c r="R1364" s="283"/>
      <c r="S1364" s="280"/>
      <c r="T1364" s="276"/>
      <c r="U1364" s="276"/>
      <c r="V1364" s="276"/>
      <c r="W1364" s="283"/>
      <c r="X1364" s="280"/>
      <c r="Y1364" s="280"/>
      <c r="Z1364" s="280"/>
      <c r="AA1364" s="280"/>
      <c r="AB1364" s="280"/>
      <c r="AC1364" s="280"/>
      <c r="AD1364" s="280"/>
      <c r="AG1364" s="3"/>
      <c r="AH1364" s="3"/>
      <c r="AI1364" s="3"/>
      <c r="AJ1364" s="3"/>
      <c r="AK1364" s="3"/>
      <c r="AL1364" s="3"/>
      <c r="AM1364" s="3"/>
      <c r="AN1364" s="3"/>
      <c r="AO1364" s="3"/>
      <c r="AP1364" s="11"/>
      <c r="AQ1364" s="11"/>
      <c r="AR1364" s="3"/>
      <c r="AS1364" s="3"/>
      <c r="AT1364" s="3"/>
      <c r="AU1364" s="3"/>
      <c r="AV1364" s="3"/>
      <c r="AW1364" s="3"/>
      <c r="AX1364" s="11"/>
      <c r="AZ1364"/>
      <c r="BA1364"/>
      <c r="BB1364"/>
      <c r="BC1364"/>
    </row>
    <row r="1365" spans="1:55" s="282" customFormat="1" x14ac:dyDescent="0.25">
      <c r="A1365"/>
      <c r="B1365"/>
      <c r="C1365" s="3"/>
      <c r="D1365"/>
      <c r="E1365"/>
      <c r="F1365"/>
      <c r="G1365" s="3"/>
      <c r="H1365" s="3"/>
      <c r="I1365" s="3"/>
      <c r="J1365" s="288"/>
      <c r="L1365" s="288"/>
      <c r="M1365" s="288"/>
      <c r="N1365" s="288"/>
      <c r="O1365" s="288"/>
      <c r="P1365" s="288"/>
      <c r="Q1365" s="288"/>
      <c r="R1365" s="283"/>
      <c r="S1365" s="280"/>
      <c r="T1365" s="276"/>
      <c r="U1365" s="276"/>
      <c r="V1365" s="276"/>
      <c r="W1365" s="283"/>
      <c r="X1365" s="280"/>
      <c r="Y1365" s="280"/>
      <c r="Z1365" s="280"/>
      <c r="AA1365" s="280"/>
      <c r="AB1365" s="280"/>
      <c r="AC1365" s="280"/>
      <c r="AD1365" s="280"/>
      <c r="AG1365" s="3"/>
      <c r="AH1365" s="3"/>
      <c r="AI1365" s="3"/>
      <c r="AJ1365" s="3"/>
      <c r="AK1365" s="3"/>
      <c r="AL1365" s="3"/>
      <c r="AM1365" s="3"/>
      <c r="AN1365" s="3"/>
      <c r="AO1365" s="3"/>
      <c r="AP1365" s="11"/>
      <c r="AQ1365" s="11"/>
      <c r="AR1365" s="3"/>
      <c r="AS1365" s="3"/>
      <c r="AT1365" s="3"/>
      <c r="AU1365" s="3"/>
      <c r="AV1365" s="3"/>
      <c r="AW1365" s="3"/>
      <c r="AX1365" s="11"/>
      <c r="AZ1365"/>
      <c r="BA1365"/>
      <c r="BB1365"/>
      <c r="BC1365"/>
    </row>
    <row r="1366" spans="1:55" s="282" customFormat="1" x14ac:dyDescent="0.25">
      <c r="A1366"/>
      <c r="B1366"/>
      <c r="C1366" s="3"/>
      <c r="D1366"/>
      <c r="E1366"/>
      <c r="F1366"/>
      <c r="G1366" s="3"/>
      <c r="H1366" s="3"/>
      <c r="I1366" s="3"/>
      <c r="J1366" s="288"/>
      <c r="L1366" s="288"/>
      <c r="M1366" s="288"/>
      <c r="N1366" s="288"/>
      <c r="O1366" s="288"/>
      <c r="P1366" s="288"/>
      <c r="Q1366" s="288"/>
      <c r="R1366" s="283"/>
      <c r="S1366" s="280"/>
      <c r="T1366" s="276"/>
      <c r="U1366" s="276"/>
      <c r="V1366" s="276"/>
      <c r="W1366" s="283"/>
      <c r="X1366" s="280"/>
      <c r="Y1366" s="280"/>
      <c r="Z1366" s="280"/>
      <c r="AA1366" s="280"/>
      <c r="AB1366" s="280"/>
      <c r="AC1366" s="280"/>
      <c r="AD1366" s="280"/>
      <c r="AG1366" s="3"/>
      <c r="AH1366" s="3"/>
      <c r="AI1366" s="3"/>
      <c r="AJ1366" s="3"/>
      <c r="AK1366" s="3"/>
      <c r="AL1366" s="3"/>
      <c r="AM1366" s="3"/>
      <c r="AN1366" s="3"/>
      <c r="AO1366" s="3"/>
      <c r="AP1366" s="11"/>
      <c r="AQ1366" s="11"/>
      <c r="AR1366" s="3"/>
      <c r="AS1366" s="3"/>
      <c r="AT1366" s="3"/>
      <c r="AU1366" s="3"/>
      <c r="AV1366" s="3"/>
      <c r="AW1366" s="3"/>
      <c r="AX1366" s="11"/>
      <c r="AZ1366"/>
      <c r="BA1366"/>
      <c r="BB1366"/>
      <c r="BC1366"/>
    </row>
    <row r="1367" spans="1:55" s="282" customFormat="1" x14ac:dyDescent="0.25">
      <c r="A1367"/>
      <c r="B1367"/>
      <c r="C1367" s="3"/>
      <c r="D1367"/>
      <c r="E1367"/>
      <c r="F1367"/>
      <c r="G1367" s="3"/>
      <c r="H1367" s="3"/>
      <c r="I1367" s="3"/>
      <c r="J1367" s="288"/>
      <c r="L1367" s="288"/>
      <c r="M1367" s="288"/>
      <c r="N1367" s="288"/>
      <c r="O1367" s="288"/>
      <c r="P1367" s="288"/>
      <c r="Q1367" s="288"/>
      <c r="R1367" s="283"/>
      <c r="S1367" s="280"/>
      <c r="T1367" s="276"/>
      <c r="U1367" s="276"/>
      <c r="V1367" s="276"/>
      <c r="W1367" s="283"/>
      <c r="X1367" s="280"/>
      <c r="Y1367" s="280"/>
      <c r="Z1367" s="280"/>
      <c r="AA1367" s="280"/>
      <c r="AB1367" s="280"/>
      <c r="AC1367" s="280"/>
      <c r="AD1367" s="280"/>
      <c r="AG1367" s="3"/>
      <c r="AH1367" s="3"/>
      <c r="AI1367" s="3"/>
      <c r="AJ1367" s="3"/>
      <c r="AK1367" s="3"/>
      <c r="AL1367" s="3"/>
      <c r="AM1367" s="3"/>
      <c r="AN1367" s="3"/>
      <c r="AO1367" s="3"/>
      <c r="AP1367" s="11"/>
      <c r="AQ1367" s="11"/>
      <c r="AR1367" s="3"/>
      <c r="AS1367" s="3"/>
      <c r="AT1367" s="3"/>
      <c r="AU1367" s="3"/>
      <c r="AV1367" s="3"/>
      <c r="AW1367" s="3"/>
      <c r="AX1367" s="11"/>
      <c r="AZ1367"/>
      <c r="BA1367"/>
      <c r="BB1367"/>
      <c r="BC1367"/>
    </row>
    <row r="1368" spans="1:55" s="282" customFormat="1" x14ac:dyDescent="0.25">
      <c r="A1368"/>
      <c r="B1368"/>
      <c r="C1368" s="3"/>
      <c r="D1368"/>
      <c r="E1368"/>
      <c r="F1368"/>
      <c r="G1368" s="3"/>
      <c r="H1368" s="3"/>
      <c r="I1368" s="3"/>
      <c r="J1368" s="288"/>
      <c r="L1368" s="288"/>
      <c r="M1368" s="288"/>
      <c r="N1368" s="288"/>
      <c r="O1368" s="288"/>
      <c r="P1368" s="288"/>
      <c r="Q1368" s="288"/>
      <c r="R1368" s="283"/>
      <c r="S1368" s="280"/>
      <c r="T1368" s="276"/>
      <c r="U1368" s="276"/>
      <c r="V1368" s="276"/>
      <c r="W1368" s="283"/>
      <c r="X1368" s="280"/>
      <c r="Y1368" s="280"/>
      <c r="Z1368" s="280"/>
      <c r="AA1368" s="280"/>
      <c r="AB1368" s="280"/>
      <c r="AC1368" s="280"/>
      <c r="AD1368" s="280"/>
      <c r="AG1368" s="3"/>
      <c r="AH1368" s="3"/>
      <c r="AI1368" s="3"/>
      <c r="AJ1368" s="3"/>
      <c r="AK1368" s="3"/>
      <c r="AL1368" s="3"/>
      <c r="AM1368" s="3"/>
      <c r="AN1368" s="3"/>
      <c r="AO1368" s="3"/>
      <c r="AP1368" s="11"/>
      <c r="AQ1368" s="11"/>
      <c r="AR1368" s="3"/>
      <c r="AS1368" s="3"/>
      <c r="AT1368" s="3"/>
      <c r="AU1368" s="3"/>
      <c r="AV1368" s="3"/>
      <c r="AW1368" s="3"/>
      <c r="AX1368" s="11"/>
      <c r="AZ1368"/>
      <c r="BA1368"/>
      <c r="BB1368"/>
      <c r="BC1368"/>
    </row>
    <row r="1369" spans="1:55" s="282" customFormat="1" x14ac:dyDescent="0.25">
      <c r="A1369"/>
      <c r="B1369"/>
      <c r="C1369" s="3"/>
      <c r="D1369"/>
      <c r="E1369"/>
      <c r="F1369"/>
      <c r="G1369" s="3"/>
      <c r="H1369" s="3"/>
      <c r="I1369" s="3"/>
      <c r="J1369" s="288"/>
      <c r="L1369" s="288"/>
      <c r="M1369" s="288"/>
      <c r="N1369" s="288"/>
      <c r="O1369" s="288"/>
      <c r="P1369" s="288"/>
      <c r="Q1369" s="288"/>
      <c r="R1369" s="283"/>
      <c r="S1369" s="280"/>
      <c r="T1369" s="276"/>
      <c r="U1369" s="276"/>
      <c r="V1369" s="276"/>
      <c r="W1369" s="283"/>
      <c r="X1369" s="280"/>
      <c r="Y1369" s="280"/>
      <c r="Z1369" s="280"/>
      <c r="AA1369" s="280"/>
      <c r="AB1369" s="280"/>
      <c r="AC1369" s="280"/>
      <c r="AD1369" s="280"/>
      <c r="AG1369" s="3"/>
      <c r="AH1369" s="3"/>
      <c r="AI1369" s="3"/>
      <c r="AJ1369" s="3"/>
      <c r="AK1369" s="3"/>
      <c r="AL1369" s="3"/>
      <c r="AM1369" s="3"/>
      <c r="AN1369" s="3"/>
      <c r="AO1369" s="3"/>
      <c r="AP1369" s="11"/>
      <c r="AQ1369" s="11"/>
      <c r="AR1369" s="3"/>
      <c r="AS1369" s="3"/>
      <c r="AT1369" s="3"/>
      <c r="AU1369" s="3"/>
      <c r="AV1369" s="3"/>
      <c r="AW1369" s="3"/>
      <c r="AX1369" s="11"/>
      <c r="AZ1369"/>
      <c r="BA1369"/>
      <c r="BB1369"/>
      <c r="BC1369"/>
    </row>
    <row r="1370" spans="1:55" s="282" customFormat="1" x14ac:dyDescent="0.25">
      <c r="A1370"/>
      <c r="B1370"/>
      <c r="C1370" s="3"/>
      <c r="D1370"/>
      <c r="E1370"/>
      <c r="F1370"/>
      <c r="G1370" s="3"/>
      <c r="H1370" s="3"/>
      <c r="I1370" s="3"/>
      <c r="J1370" s="288"/>
      <c r="L1370" s="288"/>
      <c r="M1370" s="288"/>
      <c r="N1370" s="288"/>
      <c r="O1370" s="288"/>
      <c r="P1370" s="288"/>
      <c r="Q1370" s="288"/>
      <c r="R1370" s="283"/>
      <c r="S1370" s="280"/>
      <c r="T1370" s="276"/>
      <c r="U1370" s="276"/>
      <c r="V1370" s="276"/>
      <c r="W1370" s="283"/>
      <c r="X1370" s="280"/>
      <c r="Y1370" s="280"/>
      <c r="Z1370" s="280"/>
      <c r="AA1370" s="280"/>
      <c r="AB1370" s="280"/>
      <c r="AC1370" s="280"/>
      <c r="AD1370" s="280"/>
      <c r="AG1370" s="3"/>
      <c r="AH1370" s="3"/>
      <c r="AI1370" s="3"/>
      <c r="AJ1370" s="3"/>
      <c r="AK1370" s="3"/>
      <c r="AL1370" s="3"/>
      <c r="AM1370" s="3"/>
      <c r="AN1370" s="3"/>
      <c r="AO1370" s="3"/>
      <c r="AP1370" s="11"/>
      <c r="AQ1370" s="11"/>
      <c r="AR1370" s="3"/>
      <c r="AS1370" s="3"/>
      <c r="AT1370" s="3"/>
      <c r="AU1370" s="3"/>
      <c r="AV1370" s="3"/>
      <c r="AW1370" s="3"/>
      <c r="AX1370" s="11"/>
      <c r="AZ1370"/>
      <c r="BA1370"/>
      <c r="BB1370"/>
      <c r="BC1370"/>
    </row>
    <row r="1371" spans="1:55" s="282" customFormat="1" x14ac:dyDescent="0.25">
      <c r="A1371"/>
      <c r="B1371"/>
      <c r="C1371" s="3"/>
      <c r="D1371"/>
      <c r="E1371"/>
      <c r="F1371"/>
      <c r="G1371" s="3"/>
      <c r="H1371" s="3"/>
      <c r="I1371" s="3"/>
      <c r="J1371" s="288"/>
      <c r="L1371" s="288"/>
      <c r="M1371" s="288"/>
      <c r="N1371" s="288"/>
      <c r="O1371" s="288"/>
      <c r="P1371" s="288"/>
      <c r="Q1371" s="288"/>
      <c r="R1371" s="283"/>
      <c r="S1371" s="280"/>
      <c r="T1371" s="276"/>
      <c r="U1371" s="276"/>
      <c r="V1371" s="276"/>
      <c r="W1371" s="283"/>
      <c r="X1371" s="280"/>
      <c r="Y1371" s="280"/>
      <c r="Z1371" s="280"/>
      <c r="AA1371" s="280"/>
      <c r="AB1371" s="280"/>
      <c r="AC1371" s="280"/>
      <c r="AD1371" s="280"/>
      <c r="AG1371" s="3"/>
      <c r="AH1371" s="3"/>
      <c r="AI1371" s="3"/>
      <c r="AJ1371" s="3"/>
      <c r="AK1371" s="3"/>
      <c r="AL1371" s="3"/>
      <c r="AM1371" s="3"/>
      <c r="AN1371" s="3"/>
      <c r="AO1371" s="3"/>
      <c r="AP1371" s="11"/>
      <c r="AQ1371" s="11"/>
      <c r="AR1371" s="3"/>
      <c r="AS1371" s="3"/>
      <c r="AT1371" s="3"/>
      <c r="AU1371" s="3"/>
      <c r="AV1371" s="3"/>
      <c r="AW1371" s="3"/>
      <c r="AX1371" s="11"/>
      <c r="AZ1371"/>
      <c r="BA1371"/>
      <c r="BB1371"/>
      <c r="BC1371"/>
    </row>
    <row r="1372" spans="1:55" s="282" customFormat="1" x14ac:dyDescent="0.25">
      <c r="A1372"/>
      <c r="B1372"/>
      <c r="C1372" s="3"/>
      <c r="D1372"/>
      <c r="E1372"/>
      <c r="F1372"/>
      <c r="G1372" s="3"/>
      <c r="H1372" s="3"/>
      <c r="I1372" s="3"/>
      <c r="J1372" s="288"/>
      <c r="L1372" s="288"/>
      <c r="M1372" s="288"/>
      <c r="N1372" s="288"/>
      <c r="O1372" s="288"/>
      <c r="P1372" s="288"/>
      <c r="Q1372" s="288"/>
      <c r="R1372" s="283"/>
      <c r="S1372" s="280"/>
      <c r="T1372" s="276"/>
      <c r="U1372" s="276"/>
      <c r="V1372" s="276"/>
      <c r="W1372" s="283"/>
      <c r="X1372" s="280"/>
      <c r="Y1372" s="280"/>
      <c r="Z1372" s="280"/>
      <c r="AA1372" s="280"/>
      <c r="AB1372" s="280"/>
      <c r="AC1372" s="280"/>
      <c r="AD1372" s="280"/>
      <c r="AG1372" s="3"/>
      <c r="AH1372" s="3"/>
      <c r="AI1372" s="3"/>
      <c r="AJ1372" s="3"/>
      <c r="AK1372" s="3"/>
      <c r="AL1372" s="3"/>
      <c r="AM1372" s="3"/>
      <c r="AN1372" s="3"/>
      <c r="AO1372" s="3"/>
      <c r="AP1372" s="11"/>
      <c r="AQ1372" s="11"/>
      <c r="AR1372" s="3"/>
      <c r="AS1372" s="3"/>
      <c r="AT1372" s="3"/>
      <c r="AU1372" s="3"/>
      <c r="AV1372" s="3"/>
      <c r="AW1372" s="3"/>
      <c r="AX1372" s="11"/>
      <c r="AZ1372"/>
      <c r="BA1372"/>
      <c r="BB1372"/>
      <c r="BC1372"/>
    </row>
    <row r="1373" spans="1:55" s="282" customFormat="1" x14ac:dyDescent="0.25">
      <c r="A1373"/>
      <c r="B1373"/>
      <c r="C1373" s="3"/>
      <c r="D1373"/>
      <c r="E1373"/>
      <c r="F1373"/>
      <c r="G1373" s="3"/>
      <c r="H1373" s="3"/>
      <c r="I1373" s="3"/>
      <c r="J1373" s="288"/>
      <c r="L1373" s="288"/>
      <c r="M1373" s="288"/>
      <c r="N1373" s="288"/>
      <c r="O1373" s="288"/>
      <c r="P1373" s="288"/>
      <c r="Q1373" s="288"/>
      <c r="R1373" s="283"/>
      <c r="S1373" s="280"/>
      <c r="T1373" s="276"/>
      <c r="U1373" s="276"/>
      <c r="V1373" s="276"/>
      <c r="W1373" s="283"/>
      <c r="X1373" s="280"/>
      <c r="Y1373" s="280"/>
      <c r="Z1373" s="280"/>
      <c r="AA1373" s="280"/>
      <c r="AB1373" s="280"/>
      <c r="AC1373" s="280"/>
      <c r="AD1373" s="280"/>
      <c r="AG1373" s="3"/>
      <c r="AH1373" s="3"/>
      <c r="AI1373" s="3"/>
      <c r="AJ1373" s="3"/>
      <c r="AK1373" s="3"/>
      <c r="AL1373" s="3"/>
      <c r="AM1373" s="3"/>
      <c r="AN1373" s="3"/>
      <c r="AO1373" s="3"/>
      <c r="AP1373" s="11"/>
      <c r="AQ1373" s="11"/>
      <c r="AR1373" s="3"/>
      <c r="AS1373" s="3"/>
      <c r="AT1373" s="3"/>
      <c r="AU1373" s="3"/>
      <c r="AV1373" s="3"/>
      <c r="AW1373" s="3"/>
      <c r="AX1373" s="11"/>
      <c r="AZ1373"/>
      <c r="BA1373"/>
      <c r="BB1373"/>
      <c r="BC1373"/>
    </row>
    <row r="1374" spans="1:55" s="282" customFormat="1" x14ac:dyDescent="0.25">
      <c r="A1374"/>
      <c r="B1374"/>
      <c r="C1374" s="3"/>
      <c r="D1374"/>
      <c r="E1374"/>
      <c r="F1374"/>
      <c r="G1374" s="3"/>
      <c r="H1374" s="3"/>
      <c r="I1374" s="3"/>
      <c r="J1374" s="288"/>
      <c r="L1374" s="288"/>
      <c r="M1374" s="288"/>
      <c r="N1374" s="288"/>
      <c r="O1374" s="288"/>
      <c r="P1374" s="288"/>
      <c r="Q1374" s="288"/>
      <c r="R1374" s="283"/>
      <c r="S1374" s="280"/>
      <c r="T1374" s="276"/>
      <c r="U1374" s="276"/>
      <c r="V1374" s="276"/>
      <c r="W1374" s="283"/>
      <c r="X1374" s="280"/>
      <c r="Y1374" s="280"/>
      <c r="Z1374" s="280"/>
      <c r="AA1374" s="280"/>
      <c r="AB1374" s="280"/>
      <c r="AC1374" s="280"/>
      <c r="AD1374" s="280"/>
      <c r="AG1374" s="3"/>
      <c r="AH1374" s="3"/>
      <c r="AI1374" s="3"/>
      <c r="AJ1374" s="3"/>
      <c r="AK1374" s="3"/>
      <c r="AL1374" s="3"/>
      <c r="AM1374" s="3"/>
      <c r="AN1374" s="3"/>
      <c r="AO1374" s="3"/>
      <c r="AP1374" s="11"/>
      <c r="AQ1374" s="11"/>
      <c r="AR1374" s="3"/>
      <c r="AS1374" s="3"/>
      <c r="AT1374" s="3"/>
      <c r="AU1374" s="3"/>
      <c r="AV1374" s="3"/>
      <c r="AW1374" s="3"/>
      <c r="AX1374" s="11"/>
      <c r="AZ1374"/>
      <c r="BA1374"/>
      <c r="BB1374"/>
      <c r="BC1374"/>
    </row>
    <row r="1375" spans="1:55" s="282" customFormat="1" x14ac:dyDescent="0.25">
      <c r="A1375"/>
      <c r="B1375"/>
      <c r="C1375" s="3"/>
      <c r="D1375"/>
      <c r="E1375"/>
      <c r="F1375"/>
      <c r="G1375" s="3"/>
      <c r="H1375" s="3"/>
      <c r="I1375" s="3"/>
      <c r="J1375" s="288"/>
      <c r="L1375" s="288"/>
      <c r="M1375" s="288"/>
      <c r="N1375" s="288"/>
      <c r="O1375" s="288"/>
      <c r="P1375" s="288"/>
      <c r="Q1375" s="288"/>
      <c r="R1375" s="283"/>
      <c r="S1375" s="280"/>
      <c r="T1375" s="276"/>
      <c r="U1375" s="276"/>
      <c r="V1375" s="276"/>
      <c r="W1375" s="283"/>
      <c r="X1375" s="280"/>
      <c r="Y1375" s="280"/>
      <c r="Z1375" s="280"/>
      <c r="AA1375" s="280"/>
      <c r="AB1375" s="280"/>
      <c r="AC1375" s="280"/>
      <c r="AD1375" s="280"/>
      <c r="AG1375" s="3"/>
      <c r="AH1375" s="3"/>
      <c r="AI1375" s="3"/>
      <c r="AJ1375" s="3"/>
      <c r="AK1375" s="3"/>
      <c r="AL1375" s="3"/>
      <c r="AM1375" s="3"/>
      <c r="AN1375" s="3"/>
      <c r="AO1375" s="3"/>
      <c r="AP1375" s="11"/>
      <c r="AQ1375" s="11"/>
      <c r="AR1375" s="3"/>
      <c r="AS1375" s="3"/>
      <c r="AT1375" s="3"/>
      <c r="AU1375" s="3"/>
      <c r="AV1375" s="3"/>
      <c r="AW1375" s="3"/>
      <c r="AX1375" s="11"/>
      <c r="AZ1375"/>
      <c r="BA1375"/>
      <c r="BB1375"/>
      <c r="BC1375"/>
    </row>
    <row r="1376" spans="1:55" s="282" customFormat="1" x14ac:dyDescent="0.25">
      <c r="A1376"/>
      <c r="B1376"/>
      <c r="C1376" s="3"/>
      <c r="D1376"/>
      <c r="E1376"/>
      <c r="F1376"/>
      <c r="G1376" s="3"/>
      <c r="H1376" s="3"/>
      <c r="I1376" s="3"/>
      <c r="J1376" s="288"/>
      <c r="L1376" s="288"/>
      <c r="M1376" s="288"/>
      <c r="N1376" s="288"/>
      <c r="O1376" s="288"/>
      <c r="P1376" s="288"/>
      <c r="Q1376" s="288"/>
      <c r="R1376" s="283"/>
      <c r="S1376" s="280"/>
      <c r="T1376" s="276"/>
      <c r="U1376" s="276"/>
      <c r="V1376" s="276"/>
      <c r="W1376" s="283"/>
      <c r="X1376" s="280"/>
      <c r="Y1376" s="280"/>
      <c r="Z1376" s="280"/>
      <c r="AA1376" s="280"/>
      <c r="AB1376" s="280"/>
      <c r="AC1376" s="280"/>
      <c r="AD1376" s="280"/>
      <c r="AG1376" s="3"/>
      <c r="AH1376" s="3"/>
      <c r="AI1376" s="3"/>
      <c r="AJ1376" s="3"/>
      <c r="AK1376" s="3"/>
      <c r="AL1376" s="3"/>
      <c r="AM1376" s="3"/>
      <c r="AN1376" s="3"/>
      <c r="AO1376" s="3"/>
      <c r="AP1376" s="11"/>
      <c r="AQ1376" s="11"/>
      <c r="AR1376" s="3"/>
      <c r="AS1376" s="3"/>
      <c r="AT1376" s="3"/>
      <c r="AU1376" s="3"/>
      <c r="AV1376" s="3"/>
      <c r="AW1376" s="3"/>
      <c r="AX1376" s="11"/>
      <c r="AZ1376"/>
      <c r="BA1376"/>
      <c r="BB1376"/>
      <c r="BC1376"/>
    </row>
    <row r="1377" spans="1:55" s="282" customFormat="1" x14ac:dyDescent="0.25">
      <c r="A1377"/>
      <c r="B1377"/>
      <c r="C1377" s="3"/>
      <c r="D1377"/>
      <c r="E1377"/>
      <c r="F1377"/>
      <c r="G1377" s="3"/>
      <c r="H1377" s="3"/>
      <c r="I1377" s="3"/>
      <c r="J1377" s="288"/>
      <c r="L1377" s="288"/>
      <c r="M1377" s="288"/>
      <c r="N1377" s="288"/>
      <c r="O1377" s="288"/>
      <c r="P1377" s="288"/>
      <c r="Q1377" s="288"/>
      <c r="R1377" s="283"/>
      <c r="S1377" s="280"/>
      <c r="T1377" s="276"/>
      <c r="U1377" s="276"/>
      <c r="V1377" s="276"/>
      <c r="W1377" s="283"/>
      <c r="X1377" s="280"/>
      <c r="Y1377" s="280"/>
      <c r="Z1377" s="280"/>
      <c r="AA1377" s="280"/>
      <c r="AB1377" s="280"/>
      <c r="AC1377" s="280"/>
      <c r="AD1377" s="280"/>
      <c r="AG1377" s="3"/>
      <c r="AH1377" s="3"/>
      <c r="AI1377" s="3"/>
      <c r="AJ1377" s="3"/>
      <c r="AK1377" s="3"/>
      <c r="AL1377" s="3"/>
      <c r="AM1377" s="3"/>
      <c r="AN1377" s="3"/>
      <c r="AO1377" s="3"/>
      <c r="AP1377" s="11"/>
      <c r="AQ1377" s="11"/>
      <c r="AR1377" s="3"/>
      <c r="AS1377" s="3"/>
      <c r="AT1377" s="3"/>
      <c r="AU1377" s="3"/>
      <c r="AV1377" s="3"/>
      <c r="AW1377" s="3"/>
      <c r="AX1377" s="11"/>
      <c r="AZ1377"/>
      <c r="BA1377"/>
      <c r="BB1377"/>
      <c r="BC1377"/>
    </row>
    <row r="1378" spans="1:55" s="282" customFormat="1" x14ac:dyDescent="0.25">
      <c r="A1378"/>
      <c r="B1378"/>
      <c r="C1378" s="3"/>
      <c r="D1378"/>
      <c r="E1378"/>
      <c r="F1378"/>
      <c r="G1378" s="3"/>
      <c r="H1378" s="3"/>
      <c r="I1378" s="3"/>
      <c r="J1378" s="288"/>
      <c r="L1378" s="288"/>
      <c r="M1378" s="288"/>
      <c r="N1378" s="288"/>
      <c r="O1378" s="288"/>
      <c r="P1378" s="288"/>
      <c r="Q1378" s="288"/>
      <c r="R1378" s="283"/>
      <c r="S1378" s="280"/>
      <c r="T1378" s="276"/>
      <c r="U1378" s="276"/>
      <c r="V1378" s="276"/>
      <c r="W1378" s="283"/>
      <c r="X1378" s="280"/>
      <c r="Y1378" s="280"/>
      <c r="Z1378" s="280"/>
      <c r="AA1378" s="280"/>
      <c r="AB1378" s="280"/>
      <c r="AC1378" s="280"/>
      <c r="AD1378" s="280"/>
      <c r="AG1378" s="3"/>
      <c r="AH1378" s="3"/>
      <c r="AI1378" s="3"/>
      <c r="AJ1378" s="3"/>
      <c r="AK1378" s="3"/>
      <c r="AL1378" s="3"/>
      <c r="AM1378" s="3"/>
      <c r="AN1378" s="3"/>
      <c r="AO1378" s="3"/>
      <c r="AP1378" s="11"/>
      <c r="AQ1378" s="11"/>
      <c r="AR1378" s="3"/>
      <c r="AS1378" s="3"/>
      <c r="AT1378" s="3"/>
      <c r="AU1378" s="3"/>
      <c r="AV1378" s="3"/>
      <c r="AW1378" s="3"/>
      <c r="AX1378" s="11"/>
      <c r="AZ1378"/>
      <c r="BA1378"/>
      <c r="BB1378"/>
      <c r="BC1378"/>
    </row>
    <row r="1379" spans="1:55" s="282" customFormat="1" x14ac:dyDescent="0.25">
      <c r="A1379"/>
      <c r="B1379"/>
      <c r="C1379" s="3"/>
      <c r="D1379"/>
      <c r="E1379"/>
      <c r="F1379"/>
      <c r="G1379" s="3"/>
      <c r="H1379" s="3"/>
      <c r="I1379" s="3"/>
      <c r="J1379" s="288"/>
      <c r="L1379" s="288"/>
      <c r="M1379" s="288"/>
      <c r="N1379" s="288"/>
      <c r="O1379" s="288"/>
      <c r="P1379" s="288"/>
      <c r="Q1379" s="288"/>
      <c r="R1379" s="283"/>
      <c r="S1379" s="280"/>
      <c r="T1379" s="276"/>
      <c r="U1379" s="276"/>
      <c r="V1379" s="276"/>
      <c r="W1379" s="283"/>
      <c r="X1379" s="280"/>
      <c r="Y1379" s="280"/>
      <c r="Z1379" s="280"/>
      <c r="AA1379" s="280"/>
      <c r="AB1379" s="280"/>
      <c r="AC1379" s="280"/>
      <c r="AD1379" s="280"/>
      <c r="AG1379" s="3"/>
      <c r="AH1379" s="3"/>
      <c r="AI1379" s="3"/>
      <c r="AJ1379" s="3"/>
      <c r="AK1379" s="3"/>
      <c r="AL1379" s="3"/>
      <c r="AM1379" s="3"/>
      <c r="AN1379" s="3"/>
      <c r="AO1379" s="3"/>
      <c r="AP1379" s="11"/>
      <c r="AQ1379" s="11"/>
      <c r="AR1379" s="3"/>
      <c r="AS1379" s="3"/>
      <c r="AT1379" s="3"/>
      <c r="AU1379" s="3"/>
      <c r="AV1379" s="3"/>
      <c r="AW1379" s="3"/>
      <c r="AX1379" s="11"/>
      <c r="AZ1379"/>
      <c r="BA1379"/>
      <c r="BB1379"/>
      <c r="BC1379"/>
    </row>
    <row r="1380" spans="1:55" s="282" customFormat="1" x14ac:dyDescent="0.25">
      <c r="A1380"/>
      <c r="B1380"/>
      <c r="C1380" s="3"/>
      <c r="D1380"/>
      <c r="E1380"/>
      <c r="F1380"/>
      <c r="G1380" s="3"/>
      <c r="H1380" s="3"/>
      <c r="I1380" s="3"/>
      <c r="J1380" s="288"/>
      <c r="L1380" s="288"/>
      <c r="M1380" s="288"/>
      <c r="N1380" s="288"/>
      <c r="O1380" s="288"/>
      <c r="P1380" s="288"/>
      <c r="Q1380" s="288"/>
      <c r="R1380" s="283"/>
      <c r="S1380" s="280"/>
      <c r="T1380" s="276"/>
      <c r="U1380" s="276"/>
      <c r="V1380" s="276"/>
      <c r="W1380" s="283"/>
      <c r="X1380" s="280"/>
      <c r="Y1380" s="280"/>
      <c r="Z1380" s="280"/>
      <c r="AA1380" s="280"/>
      <c r="AB1380" s="280"/>
      <c r="AC1380" s="280"/>
      <c r="AD1380" s="280"/>
      <c r="AG1380" s="3"/>
      <c r="AH1380" s="3"/>
      <c r="AI1380" s="3"/>
      <c r="AJ1380" s="3"/>
      <c r="AK1380" s="3"/>
      <c r="AL1380" s="3"/>
      <c r="AM1380" s="3"/>
      <c r="AN1380" s="3"/>
      <c r="AO1380" s="3"/>
      <c r="AP1380" s="11"/>
      <c r="AQ1380" s="11"/>
      <c r="AR1380" s="3"/>
      <c r="AS1380" s="3"/>
      <c r="AT1380" s="3"/>
      <c r="AU1380" s="3"/>
      <c r="AV1380" s="3"/>
      <c r="AW1380" s="3"/>
      <c r="AX1380" s="11"/>
      <c r="AZ1380"/>
      <c r="BA1380"/>
      <c r="BB1380"/>
      <c r="BC1380"/>
    </row>
    <row r="1381" spans="1:55" s="282" customFormat="1" x14ac:dyDescent="0.25">
      <c r="A1381"/>
      <c r="B1381"/>
      <c r="C1381" s="3"/>
      <c r="D1381"/>
      <c r="E1381"/>
      <c r="F1381"/>
      <c r="G1381" s="3"/>
      <c r="H1381" s="3"/>
      <c r="I1381" s="3"/>
      <c r="J1381" s="288"/>
      <c r="L1381" s="288"/>
      <c r="M1381" s="288"/>
      <c r="N1381" s="288"/>
      <c r="O1381" s="288"/>
      <c r="P1381" s="288"/>
      <c r="Q1381" s="288"/>
      <c r="R1381" s="283"/>
      <c r="S1381" s="280"/>
      <c r="T1381" s="276"/>
      <c r="U1381" s="276"/>
      <c r="V1381" s="276"/>
      <c r="W1381" s="283"/>
      <c r="X1381" s="280"/>
      <c r="Y1381" s="280"/>
      <c r="Z1381" s="280"/>
      <c r="AA1381" s="280"/>
      <c r="AB1381" s="280"/>
      <c r="AC1381" s="280"/>
      <c r="AD1381" s="280"/>
      <c r="AG1381" s="3"/>
      <c r="AH1381" s="3"/>
      <c r="AI1381" s="3"/>
      <c r="AJ1381" s="3"/>
      <c r="AK1381" s="3"/>
      <c r="AL1381" s="3"/>
      <c r="AM1381" s="3"/>
      <c r="AN1381" s="3"/>
      <c r="AO1381" s="3"/>
      <c r="AP1381" s="11"/>
      <c r="AQ1381" s="11"/>
      <c r="AR1381" s="3"/>
      <c r="AS1381" s="3"/>
      <c r="AT1381" s="3"/>
      <c r="AU1381" s="3"/>
      <c r="AV1381" s="3"/>
      <c r="AW1381" s="3"/>
      <c r="AX1381" s="11"/>
      <c r="AZ1381"/>
      <c r="BA1381"/>
      <c r="BB1381"/>
      <c r="BC1381"/>
    </row>
    <row r="1382" spans="1:55" s="282" customFormat="1" x14ac:dyDescent="0.25">
      <c r="A1382"/>
      <c r="B1382"/>
      <c r="C1382" s="3"/>
      <c r="D1382"/>
      <c r="E1382"/>
      <c r="F1382"/>
      <c r="G1382" s="3"/>
      <c r="H1382" s="3"/>
      <c r="I1382" s="3"/>
      <c r="J1382" s="288"/>
      <c r="L1382" s="288"/>
      <c r="M1382" s="288"/>
      <c r="N1382" s="288"/>
      <c r="O1382" s="288"/>
      <c r="P1382" s="288"/>
      <c r="Q1382" s="288"/>
      <c r="R1382" s="283"/>
      <c r="S1382" s="280"/>
      <c r="T1382" s="276"/>
      <c r="U1382" s="276"/>
      <c r="V1382" s="276"/>
      <c r="W1382" s="283"/>
      <c r="X1382" s="280"/>
      <c r="Y1382" s="280"/>
      <c r="Z1382" s="280"/>
      <c r="AA1382" s="280"/>
      <c r="AB1382" s="280"/>
      <c r="AC1382" s="280"/>
      <c r="AD1382" s="280"/>
      <c r="AG1382" s="3"/>
      <c r="AH1382" s="3"/>
      <c r="AI1382" s="3"/>
      <c r="AJ1382" s="3"/>
      <c r="AK1382" s="3"/>
      <c r="AL1382" s="3"/>
      <c r="AM1382" s="3"/>
      <c r="AN1382" s="3"/>
      <c r="AO1382" s="3"/>
      <c r="AP1382" s="11"/>
      <c r="AQ1382" s="11"/>
      <c r="AR1382" s="3"/>
      <c r="AS1382" s="3"/>
      <c r="AT1382" s="3"/>
      <c r="AU1382" s="3"/>
      <c r="AV1382" s="3"/>
      <c r="AW1382" s="3"/>
      <c r="AX1382" s="11"/>
      <c r="AZ1382"/>
      <c r="BA1382"/>
      <c r="BB1382"/>
      <c r="BC1382"/>
    </row>
    <row r="1383" spans="1:55" s="282" customFormat="1" x14ac:dyDescent="0.25">
      <c r="A1383"/>
      <c r="B1383"/>
      <c r="C1383" s="3"/>
      <c r="D1383"/>
      <c r="E1383"/>
      <c r="F1383"/>
      <c r="G1383" s="3"/>
      <c r="H1383" s="3"/>
      <c r="I1383" s="3"/>
      <c r="J1383" s="288"/>
      <c r="L1383" s="288"/>
      <c r="M1383" s="288"/>
      <c r="N1383" s="288"/>
      <c r="O1383" s="288"/>
      <c r="P1383" s="288"/>
      <c r="Q1383" s="288"/>
      <c r="R1383" s="283"/>
      <c r="S1383" s="280"/>
      <c r="T1383" s="276"/>
      <c r="U1383" s="276"/>
      <c r="V1383" s="276"/>
      <c r="W1383" s="283"/>
      <c r="X1383" s="280"/>
      <c r="Y1383" s="280"/>
      <c r="Z1383" s="280"/>
      <c r="AA1383" s="280"/>
      <c r="AB1383" s="280"/>
      <c r="AC1383" s="280"/>
      <c r="AD1383" s="280"/>
      <c r="AG1383" s="3"/>
      <c r="AH1383" s="3"/>
      <c r="AI1383" s="3"/>
      <c r="AJ1383" s="3"/>
      <c r="AK1383" s="3"/>
      <c r="AL1383" s="3"/>
      <c r="AM1383" s="3"/>
      <c r="AN1383" s="3"/>
      <c r="AO1383" s="3"/>
      <c r="AP1383" s="11"/>
      <c r="AQ1383" s="11"/>
      <c r="AR1383" s="3"/>
      <c r="AS1383" s="3"/>
      <c r="AT1383" s="3"/>
      <c r="AU1383" s="3"/>
      <c r="AV1383" s="3"/>
      <c r="AW1383" s="3"/>
      <c r="AX1383" s="11"/>
      <c r="AZ1383"/>
      <c r="BA1383"/>
      <c r="BB1383"/>
      <c r="BC1383"/>
    </row>
    <row r="1384" spans="1:55" s="282" customFormat="1" x14ac:dyDescent="0.25">
      <c r="A1384"/>
      <c r="B1384"/>
      <c r="C1384" s="3"/>
      <c r="D1384"/>
      <c r="E1384"/>
      <c r="F1384"/>
      <c r="G1384" s="3"/>
      <c r="H1384" s="3"/>
      <c r="I1384" s="3"/>
      <c r="J1384" s="288"/>
      <c r="L1384" s="288"/>
      <c r="M1384" s="288"/>
      <c r="N1384" s="288"/>
      <c r="O1384" s="288"/>
      <c r="P1384" s="288"/>
      <c r="Q1384" s="288"/>
      <c r="R1384" s="283"/>
      <c r="S1384" s="280"/>
      <c r="T1384" s="276"/>
      <c r="U1384" s="276"/>
      <c r="V1384" s="276"/>
      <c r="W1384" s="283"/>
      <c r="X1384" s="280"/>
      <c r="Y1384" s="280"/>
      <c r="Z1384" s="280"/>
      <c r="AA1384" s="280"/>
      <c r="AB1384" s="280"/>
      <c r="AC1384" s="280"/>
      <c r="AD1384" s="280"/>
      <c r="AG1384" s="3"/>
      <c r="AH1384" s="3"/>
      <c r="AI1384" s="3"/>
      <c r="AJ1384" s="3"/>
      <c r="AK1384" s="3"/>
      <c r="AL1384" s="3"/>
      <c r="AM1384" s="3"/>
      <c r="AN1384" s="3"/>
      <c r="AO1384" s="3"/>
      <c r="AP1384" s="11"/>
      <c r="AQ1384" s="11"/>
      <c r="AR1384" s="3"/>
      <c r="AS1384" s="3"/>
      <c r="AT1384" s="3"/>
      <c r="AU1384" s="3"/>
      <c r="AV1384" s="3"/>
      <c r="AW1384" s="3"/>
      <c r="AX1384" s="11"/>
      <c r="AZ1384"/>
      <c r="BA1384"/>
      <c r="BB1384"/>
      <c r="BC1384"/>
    </row>
    <row r="1385" spans="1:55" s="282" customFormat="1" x14ac:dyDescent="0.25">
      <c r="A1385"/>
      <c r="B1385"/>
      <c r="C1385" s="3"/>
      <c r="D1385"/>
      <c r="E1385"/>
      <c r="F1385"/>
      <c r="G1385" s="3"/>
      <c r="H1385" s="3"/>
      <c r="I1385" s="3"/>
      <c r="J1385" s="288"/>
      <c r="L1385" s="288"/>
      <c r="M1385" s="288"/>
      <c r="N1385" s="288"/>
      <c r="O1385" s="288"/>
      <c r="P1385" s="288"/>
      <c r="Q1385" s="288"/>
      <c r="R1385" s="283"/>
      <c r="S1385" s="280"/>
      <c r="T1385" s="276"/>
      <c r="U1385" s="276"/>
      <c r="V1385" s="276"/>
      <c r="W1385" s="283"/>
      <c r="X1385" s="280"/>
      <c r="Y1385" s="280"/>
      <c r="Z1385" s="280"/>
      <c r="AA1385" s="280"/>
      <c r="AB1385" s="280"/>
      <c r="AC1385" s="280"/>
      <c r="AD1385" s="280"/>
      <c r="AG1385" s="3"/>
      <c r="AH1385" s="3"/>
      <c r="AI1385" s="3"/>
      <c r="AJ1385" s="3"/>
      <c r="AK1385" s="3"/>
      <c r="AL1385" s="3"/>
      <c r="AM1385" s="3"/>
      <c r="AN1385" s="3"/>
      <c r="AO1385" s="3"/>
      <c r="AP1385" s="11"/>
      <c r="AQ1385" s="11"/>
      <c r="AR1385" s="3"/>
      <c r="AS1385" s="3"/>
      <c r="AT1385" s="3"/>
      <c r="AU1385" s="3"/>
      <c r="AV1385" s="3"/>
      <c r="AW1385" s="3"/>
      <c r="AX1385" s="11"/>
      <c r="AZ1385"/>
      <c r="BA1385"/>
      <c r="BB1385"/>
      <c r="BC1385"/>
    </row>
    <row r="1386" spans="1:55" s="282" customFormat="1" x14ac:dyDescent="0.25">
      <c r="A1386"/>
      <c r="B1386"/>
      <c r="C1386" s="3"/>
      <c r="D1386"/>
      <c r="E1386"/>
      <c r="F1386"/>
      <c r="G1386" s="3"/>
      <c r="H1386" s="3"/>
      <c r="I1386" s="3"/>
      <c r="J1386" s="288"/>
      <c r="L1386" s="288"/>
      <c r="M1386" s="288"/>
      <c r="N1386" s="288"/>
      <c r="O1386" s="288"/>
      <c r="P1386" s="288"/>
      <c r="Q1386" s="288"/>
      <c r="R1386" s="283"/>
      <c r="S1386" s="280"/>
      <c r="T1386" s="276"/>
      <c r="U1386" s="276"/>
      <c r="V1386" s="276"/>
      <c r="W1386" s="283"/>
      <c r="X1386" s="280"/>
      <c r="Y1386" s="280"/>
      <c r="Z1386" s="280"/>
      <c r="AA1386" s="280"/>
      <c r="AB1386" s="280"/>
      <c r="AC1386" s="280"/>
      <c r="AD1386" s="280"/>
      <c r="AG1386" s="3"/>
      <c r="AH1386" s="3"/>
      <c r="AI1386" s="3"/>
      <c r="AJ1386" s="3"/>
      <c r="AK1386" s="3"/>
      <c r="AL1386" s="3"/>
      <c r="AM1386" s="3"/>
      <c r="AN1386" s="3"/>
      <c r="AO1386" s="3"/>
      <c r="AP1386" s="11"/>
      <c r="AQ1386" s="11"/>
      <c r="AR1386" s="3"/>
      <c r="AS1386" s="3"/>
      <c r="AT1386" s="3"/>
      <c r="AU1386" s="3"/>
      <c r="AV1386" s="3"/>
      <c r="AW1386" s="3"/>
      <c r="AX1386" s="11"/>
      <c r="AZ1386"/>
      <c r="BA1386"/>
      <c r="BB1386"/>
      <c r="BC1386"/>
    </row>
    <row r="1387" spans="1:55" s="282" customFormat="1" x14ac:dyDescent="0.25">
      <c r="A1387"/>
      <c r="B1387"/>
      <c r="C1387" s="3"/>
      <c r="D1387"/>
      <c r="E1387"/>
      <c r="F1387"/>
      <c r="G1387" s="3"/>
      <c r="H1387" s="3"/>
      <c r="I1387" s="3"/>
      <c r="J1387" s="288"/>
      <c r="L1387" s="288"/>
      <c r="M1387" s="288"/>
      <c r="N1387" s="288"/>
      <c r="O1387" s="288"/>
      <c r="P1387" s="288"/>
      <c r="Q1387" s="288"/>
      <c r="R1387" s="283"/>
      <c r="S1387" s="280"/>
      <c r="T1387" s="276"/>
      <c r="U1387" s="276"/>
      <c r="V1387" s="276"/>
      <c r="W1387" s="283"/>
      <c r="X1387" s="280"/>
      <c r="Y1387" s="280"/>
      <c r="Z1387" s="280"/>
      <c r="AA1387" s="280"/>
      <c r="AB1387" s="280"/>
      <c r="AC1387" s="280"/>
      <c r="AD1387" s="280"/>
      <c r="AG1387" s="3"/>
      <c r="AH1387" s="3"/>
      <c r="AI1387" s="3"/>
      <c r="AJ1387" s="3"/>
      <c r="AK1387" s="3"/>
      <c r="AL1387" s="3"/>
      <c r="AM1387" s="3"/>
      <c r="AN1387" s="3"/>
      <c r="AO1387" s="3"/>
      <c r="AP1387" s="11"/>
      <c r="AQ1387" s="11"/>
      <c r="AR1387" s="3"/>
      <c r="AS1387" s="3"/>
      <c r="AT1387" s="3"/>
      <c r="AU1387" s="3"/>
      <c r="AV1387" s="3"/>
      <c r="AW1387" s="3"/>
      <c r="AX1387" s="11"/>
      <c r="AZ1387"/>
      <c r="BA1387"/>
      <c r="BB1387"/>
      <c r="BC1387"/>
    </row>
    <row r="1388" spans="1:55" s="282" customFormat="1" x14ac:dyDescent="0.25">
      <c r="A1388"/>
      <c r="B1388"/>
      <c r="C1388" s="3"/>
      <c r="D1388"/>
      <c r="E1388"/>
      <c r="F1388"/>
      <c r="G1388" s="3"/>
      <c r="H1388" s="3"/>
      <c r="I1388" s="3"/>
      <c r="J1388" s="288"/>
      <c r="L1388" s="288"/>
      <c r="M1388" s="288"/>
      <c r="N1388" s="288"/>
      <c r="O1388" s="288"/>
      <c r="P1388" s="288"/>
      <c r="Q1388" s="288"/>
      <c r="R1388" s="283"/>
      <c r="S1388" s="280"/>
      <c r="T1388" s="276"/>
      <c r="U1388" s="276"/>
      <c r="V1388" s="276"/>
      <c r="W1388" s="283"/>
      <c r="X1388" s="280"/>
      <c r="Y1388" s="280"/>
      <c r="Z1388" s="280"/>
      <c r="AA1388" s="280"/>
      <c r="AB1388" s="280"/>
      <c r="AC1388" s="280"/>
      <c r="AD1388" s="280"/>
      <c r="AG1388" s="3"/>
      <c r="AH1388" s="3"/>
      <c r="AI1388" s="3"/>
      <c r="AJ1388" s="3"/>
      <c r="AK1388" s="3"/>
      <c r="AL1388" s="3"/>
      <c r="AM1388" s="3"/>
      <c r="AN1388" s="3"/>
      <c r="AO1388" s="3"/>
      <c r="AP1388" s="11"/>
      <c r="AQ1388" s="11"/>
      <c r="AR1388" s="3"/>
      <c r="AS1388" s="3"/>
      <c r="AT1388" s="3"/>
      <c r="AU1388" s="3"/>
      <c r="AV1388" s="3"/>
      <c r="AW1388" s="3"/>
      <c r="AX1388" s="11"/>
      <c r="AZ1388"/>
      <c r="BA1388"/>
      <c r="BB1388"/>
      <c r="BC1388"/>
    </row>
    <row r="1389" spans="1:55" s="282" customFormat="1" x14ac:dyDescent="0.25">
      <c r="A1389"/>
      <c r="B1389"/>
      <c r="C1389" s="3"/>
      <c r="D1389"/>
      <c r="E1389"/>
      <c r="F1389"/>
      <c r="G1389" s="3"/>
      <c r="H1389" s="3"/>
      <c r="I1389" s="3"/>
      <c r="J1389" s="288"/>
      <c r="L1389" s="288"/>
      <c r="M1389" s="288"/>
      <c r="N1389" s="288"/>
      <c r="O1389" s="288"/>
      <c r="P1389" s="288"/>
      <c r="Q1389" s="288"/>
      <c r="R1389" s="283"/>
      <c r="S1389" s="280"/>
      <c r="T1389" s="276"/>
      <c r="U1389" s="276"/>
      <c r="V1389" s="276"/>
      <c r="W1389" s="283"/>
      <c r="X1389" s="280"/>
      <c r="Y1389" s="280"/>
      <c r="Z1389" s="280"/>
      <c r="AA1389" s="280"/>
      <c r="AB1389" s="280"/>
      <c r="AC1389" s="280"/>
      <c r="AD1389" s="280"/>
      <c r="AG1389" s="3"/>
      <c r="AH1389" s="3"/>
      <c r="AI1389" s="3"/>
      <c r="AJ1389" s="3"/>
      <c r="AK1389" s="3"/>
      <c r="AL1389" s="3"/>
      <c r="AM1389" s="3"/>
      <c r="AN1389" s="3"/>
      <c r="AO1389" s="3"/>
      <c r="AP1389" s="11"/>
      <c r="AQ1389" s="11"/>
      <c r="AR1389" s="3"/>
      <c r="AS1389" s="3"/>
      <c r="AT1389" s="3"/>
      <c r="AU1389" s="3"/>
      <c r="AV1389" s="3"/>
      <c r="AW1389" s="3"/>
      <c r="AX1389" s="11"/>
      <c r="AZ1389"/>
      <c r="BA1389"/>
      <c r="BB1389"/>
      <c r="BC1389"/>
    </row>
    <row r="1390" spans="1:55" s="282" customFormat="1" x14ac:dyDescent="0.25">
      <c r="A1390"/>
      <c r="B1390"/>
      <c r="C1390" s="3"/>
      <c r="D1390"/>
      <c r="E1390"/>
      <c r="F1390"/>
      <c r="G1390" s="3"/>
      <c r="H1390" s="3"/>
      <c r="I1390" s="3"/>
      <c r="J1390" s="288"/>
      <c r="L1390" s="288"/>
      <c r="M1390" s="288"/>
      <c r="N1390" s="288"/>
      <c r="O1390" s="288"/>
      <c r="P1390" s="288"/>
      <c r="Q1390" s="288"/>
      <c r="R1390" s="283"/>
      <c r="S1390" s="280"/>
      <c r="T1390" s="276"/>
      <c r="U1390" s="276"/>
      <c r="V1390" s="276"/>
      <c r="W1390" s="283"/>
      <c r="X1390" s="280"/>
      <c r="Y1390" s="280"/>
      <c r="Z1390" s="280"/>
      <c r="AA1390" s="280"/>
      <c r="AB1390" s="280"/>
      <c r="AC1390" s="280"/>
      <c r="AD1390" s="280"/>
      <c r="AG1390" s="3"/>
      <c r="AH1390" s="3"/>
      <c r="AI1390" s="3"/>
      <c r="AJ1390" s="3"/>
      <c r="AK1390" s="3"/>
      <c r="AL1390" s="3"/>
      <c r="AM1390" s="3"/>
      <c r="AN1390" s="3"/>
      <c r="AO1390" s="3"/>
      <c r="AP1390" s="11"/>
      <c r="AQ1390" s="11"/>
      <c r="AR1390" s="3"/>
      <c r="AS1390" s="3"/>
      <c r="AT1390" s="3"/>
      <c r="AU1390" s="3"/>
      <c r="AV1390" s="3"/>
      <c r="AW1390" s="3"/>
      <c r="AX1390" s="11"/>
      <c r="AZ1390"/>
      <c r="BA1390"/>
      <c r="BB1390"/>
      <c r="BC1390"/>
    </row>
    <row r="1391" spans="1:55" s="282" customFormat="1" x14ac:dyDescent="0.25">
      <c r="A1391"/>
      <c r="B1391"/>
      <c r="C1391" s="3"/>
      <c r="D1391"/>
      <c r="E1391"/>
      <c r="F1391"/>
      <c r="G1391" s="3"/>
      <c r="H1391" s="3"/>
      <c r="I1391" s="3"/>
      <c r="J1391" s="288"/>
      <c r="L1391" s="288"/>
      <c r="M1391" s="288"/>
      <c r="N1391" s="288"/>
      <c r="O1391" s="288"/>
      <c r="P1391" s="288"/>
      <c r="Q1391" s="288"/>
      <c r="R1391" s="283"/>
      <c r="S1391" s="280"/>
      <c r="T1391" s="276"/>
      <c r="U1391" s="276"/>
      <c r="V1391" s="276"/>
      <c r="W1391" s="283"/>
      <c r="X1391" s="280"/>
      <c r="Y1391" s="280"/>
      <c r="Z1391" s="280"/>
      <c r="AA1391" s="280"/>
      <c r="AB1391" s="280"/>
      <c r="AC1391" s="280"/>
      <c r="AD1391" s="280"/>
      <c r="AG1391" s="3"/>
      <c r="AH1391" s="3"/>
      <c r="AI1391" s="3"/>
      <c r="AJ1391" s="3"/>
      <c r="AK1391" s="3"/>
      <c r="AL1391" s="3"/>
      <c r="AM1391" s="3"/>
      <c r="AN1391" s="3"/>
      <c r="AO1391" s="3"/>
      <c r="AP1391" s="11"/>
      <c r="AQ1391" s="11"/>
      <c r="AR1391" s="3"/>
      <c r="AS1391" s="3"/>
      <c r="AT1391" s="3"/>
      <c r="AU1391" s="3"/>
      <c r="AV1391" s="3"/>
      <c r="AW1391" s="3"/>
      <c r="AX1391" s="11"/>
      <c r="AZ1391"/>
      <c r="BA1391"/>
      <c r="BB1391"/>
      <c r="BC1391"/>
    </row>
    <row r="1392" spans="1:55" s="282" customFormat="1" x14ac:dyDescent="0.25">
      <c r="A1392"/>
      <c r="B1392"/>
      <c r="C1392" s="3"/>
      <c r="D1392"/>
      <c r="E1392"/>
      <c r="F1392"/>
      <c r="G1392" s="3"/>
      <c r="H1392" s="3"/>
      <c r="I1392" s="3"/>
      <c r="J1392" s="288"/>
      <c r="L1392" s="288"/>
      <c r="M1392" s="288"/>
      <c r="N1392" s="288"/>
      <c r="O1392" s="288"/>
      <c r="P1392" s="288"/>
      <c r="Q1392" s="288"/>
      <c r="R1392" s="283"/>
      <c r="S1392" s="280"/>
      <c r="T1392" s="276"/>
      <c r="U1392" s="276"/>
      <c r="V1392" s="276"/>
      <c r="W1392" s="283"/>
      <c r="X1392" s="280"/>
      <c r="Y1392" s="280"/>
      <c r="Z1392" s="280"/>
      <c r="AA1392" s="280"/>
      <c r="AB1392" s="280"/>
      <c r="AC1392" s="280"/>
      <c r="AD1392" s="280"/>
      <c r="AG1392" s="3"/>
      <c r="AH1392" s="3"/>
      <c r="AI1392" s="3"/>
      <c r="AJ1392" s="3"/>
      <c r="AK1392" s="3"/>
      <c r="AL1392" s="3"/>
      <c r="AM1392" s="3"/>
      <c r="AN1392" s="3"/>
      <c r="AO1392" s="3"/>
      <c r="AP1392" s="11"/>
      <c r="AQ1392" s="11"/>
      <c r="AR1392" s="3"/>
      <c r="AS1392" s="3"/>
      <c r="AT1392" s="3"/>
      <c r="AU1392" s="3"/>
      <c r="AV1392" s="3"/>
      <c r="AW1392" s="3"/>
      <c r="AX1392" s="11"/>
      <c r="AZ1392"/>
      <c r="BA1392"/>
      <c r="BB1392"/>
      <c r="BC1392"/>
    </row>
    <row r="1393" spans="1:55" s="282" customFormat="1" x14ac:dyDescent="0.25">
      <c r="A1393"/>
      <c r="B1393"/>
      <c r="C1393" s="3"/>
      <c r="D1393"/>
      <c r="E1393"/>
      <c r="F1393"/>
      <c r="G1393" s="3"/>
      <c r="H1393" s="3"/>
      <c r="I1393" s="3"/>
      <c r="J1393" s="288"/>
      <c r="L1393" s="288"/>
      <c r="M1393" s="288"/>
      <c r="N1393" s="288"/>
      <c r="O1393" s="288"/>
      <c r="P1393" s="288"/>
      <c r="Q1393" s="288"/>
      <c r="R1393" s="283"/>
      <c r="S1393" s="280"/>
      <c r="T1393" s="276"/>
      <c r="U1393" s="276"/>
      <c r="V1393" s="276"/>
      <c r="W1393" s="283"/>
      <c r="X1393" s="280"/>
      <c r="Y1393" s="280"/>
      <c r="Z1393" s="280"/>
      <c r="AA1393" s="280"/>
      <c r="AB1393" s="280"/>
      <c r="AC1393" s="280"/>
      <c r="AD1393" s="280"/>
      <c r="AG1393" s="3"/>
      <c r="AH1393" s="3"/>
      <c r="AI1393" s="3"/>
      <c r="AJ1393" s="3"/>
      <c r="AK1393" s="3"/>
      <c r="AL1393" s="3"/>
      <c r="AM1393" s="3"/>
      <c r="AN1393" s="3"/>
      <c r="AO1393" s="3"/>
      <c r="AP1393" s="11"/>
      <c r="AQ1393" s="11"/>
      <c r="AR1393" s="3"/>
      <c r="AS1393" s="3"/>
      <c r="AT1393" s="3"/>
      <c r="AU1393" s="3"/>
      <c r="AV1393" s="3"/>
      <c r="AW1393" s="3"/>
      <c r="AX1393" s="11"/>
      <c r="AZ1393"/>
      <c r="BA1393"/>
      <c r="BB1393"/>
      <c r="BC1393"/>
    </row>
    <row r="1394" spans="1:55" s="282" customFormat="1" x14ac:dyDescent="0.25">
      <c r="A1394"/>
      <c r="B1394"/>
      <c r="C1394" s="3"/>
      <c r="D1394"/>
      <c r="E1394"/>
      <c r="F1394"/>
      <c r="G1394" s="3"/>
      <c r="H1394" s="3"/>
      <c r="I1394" s="3"/>
      <c r="J1394" s="288"/>
      <c r="L1394" s="288"/>
      <c r="M1394" s="288"/>
      <c r="N1394" s="288"/>
      <c r="O1394" s="288"/>
      <c r="P1394" s="288"/>
      <c r="Q1394" s="288"/>
      <c r="R1394" s="283"/>
      <c r="S1394" s="280"/>
      <c r="T1394" s="276"/>
      <c r="U1394" s="276"/>
      <c r="V1394" s="276"/>
      <c r="W1394" s="283"/>
      <c r="X1394" s="280"/>
      <c r="Y1394" s="280"/>
      <c r="Z1394" s="280"/>
      <c r="AA1394" s="280"/>
      <c r="AB1394" s="280"/>
      <c r="AC1394" s="280"/>
      <c r="AD1394" s="280"/>
      <c r="AG1394" s="3"/>
      <c r="AH1394" s="3"/>
      <c r="AI1394" s="3"/>
      <c r="AJ1394" s="3"/>
      <c r="AK1394" s="3"/>
      <c r="AL1394" s="3"/>
      <c r="AM1394" s="3"/>
      <c r="AN1394" s="3"/>
      <c r="AO1394" s="3"/>
      <c r="AP1394" s="11"/>
      <c r="AQ1394" s="11"/>
      <c r="AR1394" s="3"/>
      <c r="AS1394" s="3"/>
      <c r="AT1394" s="3"/>
      <c r="AU1394" s="3"/>
      <c r="AV1394" s="3"/>
      <c r="AW1394" s="3"/>
      <c r="AX1394" s="11"/>
      <c r="AZ1394"/>
      <c r="BA1394"/>
      <c r="BB1394"/>
      <c r="BC1394"/>
    </row>
    <row r="1395" spans="1:55" s="282" customFormat="1" x14ac:dyDescent="0.25">
      <c r="A1395"/>
      <c r="B1395"/>
      <c r="C1395" s="3"/>
      <c r="D1395"/>
      <c r="E1395"/>
      <c r="F1395"/>
      <c r="G1395" s="3"/>
      <c r="H1395" s="3"/>
      <c r="I1395" s="3"/>
      <c r="J1395" s="288"/>
      <c r="L1395" s="288"/>
      <c r="M1395" s="288"/>
      <c r="N1395" s="288"/>
      <c r="O1395" s="288"/>
      <c r="P1395" s="288"/>
      <c r="Q1395" s="288"/>
      <c r="R1395" s="283"/>
      <c r="S1395" s="280"/>
      <c r="T1395" s="276"/>
      <c r="U1395" s="276"/>
      <c r="V1395" s="276"/>
      <c r="W1395" s="283"/>
      <c r="X1395" s="280"/>
      <c r="Y1395" s="280"/>
      <c r="Z1395" s="280"/>
      <c r="AA1395" s="280"/>
      <c r="AB1395" s="280"/>
      <c r="AC1395" s="280"/>
      <c r="AD1395" s="280"/>
      <c r="AG1395" s="3"/>
      <c r="AH1395" s="3"/>
      <c r="AI1395" s="3"/>
      <c r="AJ1395" s="3"/>
      <c r="AK1395" s="3"/>
      <c r="AL1395" s="3"/>
      <c r="AM1395" s="3"/>
      <c r="AN1395" s="3"/>
      <c r="AO1395" s="3"/>
      <c r="AP1395" s="11"/>
      <c r="AQ1395" s="11"/>
      <c r="AR1395" s="3"/>
      <c r="AS1395" s="3"/>
      <c r="AT1395" s="3"/>
      <c r="AU1395" s="3"/>
      <c r="AV1395" s="3"/>
      <c r="AW1395" s="3"/>
      <c r="AX1395" s="11"/>
      <c r="AZ1395"/>
      <c r="BA1395"/>
      <c r="BB1395"/>
      <c r="BC1395"/>
    </row>
    <row r="1396" spans="1:55" s="282" customFormat="1" x14ac:dyDescent="0.25">
      <c r="A1396"/>
      <c r="B1396"/>
      <c r="C1396" s="3"/>
      <c r="D1396"/>
      <c r="E1396"/>
      <c r="F1396"/>
      <c r="G1396" s="3"/>
      <c r="H1396" s="3"/>
      <c r="I1396" s="3"/>
      <c r="J1396" s="288"/>
      <c r="L1396" s="288"/>
      <c r="M1396" s="288"/>
      <c r="N1396" s="288"/>
      <c r="O1396" s="288"/>
      <c r="P1396" s="288"/>
      <c r="Q1396" s="288"/>
      <c r="R1396" s="283"/>
      <c r="S1396" s="280"/>
      <c r="T1396" s="276"/>
      <c r="U1396" s="276"/>
      <c r="V1396" s="276"/>
      <c r="W1396" s="283"/>
      <c r="X1396" s="280"/>
      <c r="Y1396" s="280"/>
      <c r="Z1396" s="280"/>
      <c r="AA1396" s="280"/>
      <c r="AB1396" s="280"/>
      <c r="AC1396" s="280"/>
      <c r="AD1396" s="280"/>
      <c r="AG1396" s="3"/>
      <c r="AH1396" s="3"/>
      <c r="AI1396" s="3"/>
      <c r="AJ1396" s="3"/>
      <c r="AK1396" s="3"/>
      <c r="AL1396" s="3"/>
      <c r="AM1396" s="3"/>
      <c r="AN1396" s="3"/>
      <c r="AO1396" s="3"/>
      <c r="AP1396" s="11"/>
      <c r="AQ1396" s="11"/>
      <c r="AR1396" s="3"/>
      <c r="AS1396" s="3"/>
      <c r="AT1396" s="3"/>
      <c r="AU1396" s="3"/>
      <c r="AV1396" s="3"/>
      <c r="AW1396" s="3"/>
      <c r="AX1396" s="11"/>
      <c r="AZ1396"/>
      <c r="BA1396"/>
      <c r="BB1396"/>
      <c r="BC1396"/>
    </row>
    <row r="1397" spans="1:55" s="282" customFormat="1" x14ac:dyDescent="0.25">
      <c r="A1397"/>
      <c r="B1397"/>
      <c r="C1397" s="3"/>
      <c r="D1397"/>
      <c r="E1397"/>
      <c r="F1397"/>
      <c r="G1397" s="3"/>
      <c r="H1397" s="3"/>
      <c r="I1397" s="3"/>
      <c r="J1397" s="288"/>
      <c r="L1397" s="288"/>
      <c r="M1397" s="288"/>
      <c r="N1397" s="288"/>
      <c r="O1397" s="288"/>
      <c r="P1397" s="288"/>
      <c r="Q1397" s="288"/>
      <c r="R1397" s="283"/>
      <c r="S1397" s="280"/>
      <c r="T1397" s="276"/>
      <c r="U1397" s="276"/>
      <c r="V1397" s="276"/>
      <c r="W1397" s="283"/>
      <c r="X1397" s="280"/>
      <c r="Y1397" s="280"/>
      <c r="Z1397" s="280"/>
      <c r="AA1397" s="280"/>
      <c r="AB1397" s="280"/>
      <c r="AC1397" s="280"/>
      <c r="AD1397" s="280"/>
      <c r="AG1397" s="3"/>
      <c r="AH1397" s="3"/>
      <c r="AI1397" s="3"/>
      <c r="AJ1397" s="3"/>
      <c r="AK1397" s="3"/>
      <c r="AL1397" s="3"/>
      <c r="AM1397" s="3"/>
      <c r="AN1397" s="3"/>
      <c r="AO1397" s="3"/>
      <c r="AP1397" s="11"/>
      <c r="AQ1397" s="11"/>
      <c r="AR1397" s="3"/>
      <c r="AS1397" s="3"/>
      <c r="AT1397" s="3"/>
      <c r="AU1397" s="3"/>
      <c r="AV1397" s="3"/>
      <c r="AW1397" s="3"/>
      <c r="AX1397" s="11"/>
      <c r="AZ1397"/>
      <c r="BA1397"/>
      <c r="BB1397"/>
      <c r="BC1397"/>
    </row>
    <row r="1398" spans="1:55" s="282" customFormat="1" x14ac:dyDescent="0.25">
      <c r="A1398"/>
      <c r="B1398"/>
      <c r="C1398" s="3"/>
      <c r="D1398"/>
      <c r="E1398"/>
      <c r="F1398"/>
      <c r="G1398" s="3"/>
      <c r="H1398" s="3"/>
      <c r="I1398" s="3"/>
      <c r="J1398" s="288"/>
      <c r="L1398" s="288"/>
      <c r="M1398" s="288"/>
      <c r="N1398" s="288"/>
      <c r="O1398" s="288"/>
      <c r="P1398" s="288"/>
      <c r="Q1398" s="288"/>
      <c r="R1398" s="283"/>
      <c r="S1398" s="280"/>
      <c r="T1398" s="276"/>
      <c r="U1398" s="276"/>
      <c r="V1398" s="276"/>
      <c r="W1398" s="283"/>
      <c r="X1398" s="280"/>
      <c r="Y1398" s="280"/>
      <c r="Z1398" s="280"/>
      <c r="AA1398" s="280"/>
      <c r="AB1398" s="280"/>
      <c r="AC1398" s="280"/>
      <c r="AD1398" s="280"/>
      <c r="AG1398" s="3"/>
      <c r="AH1398" s="3"/>
      <c r="AI1398" s="3"/>
      <c r="AJ1398" s="3"/>
      <c r="AK1398" s="3"/>
      <c r="AL1398" s="3"/>
      <c r="AM1398" s="3"/>
      <c r="AN1398" s="3"/>
      <c r="AO1398" s="3"/>
      <c r="AP1398" s="11"/>
      <c r="AQ1398" s="11"/>
      <c r="AR1398" s="3"/>
      <c r="AS1398" s="3"/>
      <c r="AT1398" s="3"/>
      <c r="AU1398" s="3"/>
      <c r="AV1398" s="3"/>
      <c r="AW1398" s="3"/>
      <c r="AX1398" s="11"/>
      <c r="AZ1398"/>
      <c r="BA1398"/>
      <c r="BB1398"/>
      <c r="BC1398"/>
    </row>
    <row r="1399" spans="1:55" s="282" customFormat="1" x14ac:dyDescent="0.25">
      <c r="A1399"/>
      <c r="B1399"/>
      <c r="C1399" s="3"/>
      <c r="D1399"/>
      <c r="E1399"/>
      <c r="F1399"/>
      <c r="G1399" s="3"/>
      <c r="H1399" s="3"/>
      <c r="I1399" s="3"/>
      <c r="J1399" s="288"/>
      <c r="L1399" s="288"/>
      <c r="M1399" s="288"/>
      <c r="N1399" s="288"/>
      <c r="O1399" s="288"/>
      <c r="P1399" s="288"/>
      <c r="Q1399" s="288"/>
      <c r="R1399" s="283"/>
      <c r="S1399" s="280"/>
      <c r="T1399" s="276"/>
      <c r="U1399" s="276"/>
      <c r="V1399" s="276"/>
      <c r="W1399" s="283"/>
      <c r="X1399" s="280"/>
      <c r="Y1399" s="280"/>
      <c r="Z1399" s="280"/>
      <c r="AA1399" s="280"/>
      <c r="AB1399" s="280"/>
      <c r="AC1399" s="280"/>
      <c r="AD1399" s="280"/>
      <c r="AG1399" s="3"/>
      <c r="AH1399" s="3"/>
      <c r="AI1399" s="3"/>
      <c r="AJ1399" s="3"/>
      <c r="AK1399" s="3"/>
      <c r="AL1399" s="3"/>
      <c r="AM1399" s="3"/>
      <c r="AN1399" s="3"/>
      <c r="AO1399" s="3"/>
      <c r="AP1399" s="11"/>
      <c r="AQ1399" s="11"/>
      <c r="AR1399" s="3"/>
      <c r="AS1399" s="3"/>
      <c r="AT1399" s="3"/>
      <c r="AU1399" s="3"/>
      <c r="AV1399" s="3"/>
      <c r="AW1399" s="3"/>
      <c r="AX1399" s="11"/>
      <c r="AZ1399"/>
      <c r="BA1399"/>
      <c r="BB1399"/>
      <c r="BC1399"/>
    </row>
    <row r="1400" spans="1:55" s="282" customFormat="1" x14ac:dyDescent="0.25">
      <c r="A1400"/>
      <c r="B1400"/>
      <c r="C1400" s="3"/>
      <c r="D1400"/>
      <c r="E1400"/>
      <c r="F1400"/>
      <c r="G1400" s="3"/>
      <c r="H1400" s="3"/>
      <c r="I1400" s="3"/>
      <c r="J1400" s="288"/>
      <c r="L1400" s="288"/>
      <c r="M1400" s="288"/>
      <c r="N1400" s="288"/>
      <c r="O1400" s="288"/>
      <c r="P1400" s="288"/>
      <c r="Q1400" s="288"/>
      <c r="R1400" s="283"/>
      <c r="S1400" s="280"/>
      <c r="T1400" s="276"/>
      <c r="U1400" s="276"/>
      <c r="V1400" s="276"/>
      <c r="W1400" s="283"/>
      <c r="X1400" s="280"/>
      <c r="Y1400" s="280"/>
      <c r="Z1400" s="280"/>
      <c r="AA1400" s="280"/>
      <c r="AB1400" s="280"/>
      <c r="AC1400" s="280"/>
      <c r="AD1400" s="280"/>
      <c r="AG1400" s="3"/>
      <c r="AH1400" s="3"/>
      <c r="AI1400" s="3"/>
      <c r="AJ1400" s="3"/>
      <c r="AK1400" s="3"/>
      <c r="AL1400" s="3"/>
      <c r="AM1400" s="3"/>
      <c r="AN1400" s="3"/>
      <c r="AO1400" s="3"/>
      <c r="AP1400" s="11"/>
      <c r="AQ1400" s="11"/>
      <c r="AR1400" s="3"/>
      <c r="AS1400" s="3"/>
      <c r="AT1400" s="3"/>
      <c r="AU1400" s="3"/>
      <c r="AV1400" s="3"/>
      <c r="AW1400" s="3"/>
      <c r="AX1400" s="11"/>
      <c r="AZ1400"/>
      <c r="BA1400"/>
      <c r="BB1400"/>
      <c r="BC1400"/>
    </row>
    <row r="1401" spans="1:55" s="282" customFormat="1" x14ac:dyDescent="0.25">
      <c r="A1401"/>
      <c r="B1401"/>
      <c r="C1401" s="3"/>
      <c r="D1401"/>
      <c r="E1401"/>
      <c r="F1401"/>
      <c r="G1401" s="3"/>
      <c r="H1401" s="3"/>
      <c r="I1401" s="3"/>
      <c r="J1401" s="288"/>
      <c r="L1401" s="288"/>
      <c r="M1401" s="288"/>
      <c r="N1401" s="288"/>
      <c r="O1401" s="288"/>
      <c r="P1401" s="288"/>
      <c r="Q1401" s="288"/>
      <c r="R1401" s="283"/>
      <c r="S1401" s="280"/>
      <c r="T1401" s="276"/>
      <c r="U1401" s="276"/>
      <c r="V1401" s="276"/>
      <c r="W1401" s="283"/>
      <c r="X1401" s="280"/>
      <c r="Y1401" s="280"/>
      <c r="Z1401" s="280"/>
      <c r="AA1401" s="280"/>
      <c r="AB1401" s="280"/>
      <c r="AC1401" s="280"/>
      <c r="AD1401" s="280"/>
      <c r="AG1401" s="3"/>
      <c r="AH1401" s="3"/>
      <c r="AI1401" s="3"/>
      <c r="AJ1401" s="3"/>
      <c r="AK1401" s="3"/>
      <c r="AL1401" s="3"/>
      <c r="AM1401" s="3"/>
      <c r="AN1401" s="3"/>
      <c r="AO1401" s="3"/>
      <c r="AP1401" s="11"/>
      <c r="AQ1401" s="11"/>
      <c r="AR1401" s="3"/>
      <c r="AS1401" s="3"/>
      <c r="AT1401" s="3"/>
      <c r="AU1401" s="3"/>
      <c r="AV1401" s="3"/>
      <c r="AW1401" s="3"/>
      <c r="AX1401" s="11"/>
      <c r="AZ1401"/>
      <c r="BA1401"/>
      <c r="BB1401"/>
      <c r="BC1401"/>
    </row>
    <row r="1402" spans="1:55" s="282" customFormat="1" x14ac:dyDescent="0.25">
      <c r="A1402"/>
      <c r="B1402"/>
      <c r="C1402" s="3"/>
      <c r="D1402"/>
      <c r="E1402"/>
      <c r="F1402"/>
      <c r="G1402" s="3"/>
      <c r="H1402" s="3"/>
      <c r="I1402" s="3"/>
      <c r="J1402" s="288"/>
      <c r="L1402" s="288"/>
      <c r="M1402" s="288"/>
      <c r="N1402" s="288"/>
      <c r="O1402" s="288"/>
      <c r="P1402" s="288"/>
      <c r="Q1402" s="288"/>
      <c r="R1402" s="283"/>
      <c r="S1402" s="280"/>
      <c r="T1402" s="276"/>
      <c r="U1402" s="276"/>
      <c r="V1402" s="276"/>
      <c r="W1402" s="283"/>
      <c r="X1402" s="280"/>
      <c r="Y1402" s="280"/>
      <c r="Z1402" s="280"/>
      <c r="AA1402" s="280"/>
      <c r="AB1402" s="280"/>
      <c r="AC1402" s="280"/>
      <c r="AD1402" s="280"/>
      <c r="AG1402" s="3"/>
      <c r="AH1402" s="3"/>
      <c r="AI1402" s="3"/>
      <c r="AJ1402" s="3"/>
      <c r="AK1402" s="3"/>
      <c r="AL1402" s="3"/>
      <c r="AM1402" s="3"/>
      <c r="AN1402" s="3"/>
      <c r="AO1402" s="3"/>
      <c r="AP1402" s="11"/>
      <c r="AQ1402" s="11"/>
      <c r="AR1402" s="3"/>
      <c r="AS1402" s="3"/>
      <c r="AT1402" s="3"/>
      <c r="AU1402" s="3"/>
      <c r="AV1402" s="3"/>
      <c r="AW1402" s="3"/>
      <c r="AX1402" s="11"/>
      <c r="AZ1402"/>
      <c r="BA1402"/>
      <c r="BB1402"/>
      <c r="BC1402"/>
    </row>
    <row r="1403" spans="1:55" s="282" customFormat="1" x14ac:dyDescent="0.25">
      <c r="A1403"/>
      <c r="B1403"/>
      <c r="C1403" s="3"/>
      <c r="D1403"/>
      <c r="E1403"/>
      <c r="F1403"/>
      <c r="G1403" s="3"/>
      <c r="H1403" s="3"/>
      <c r="I1403" s="3"/>
      <c r="J1403" s="288"/>
      <c r="L1403" s="288"/>
      <c r="M1403" s="288"/>
      <c r="N1403" s="288"/>
      <c r="O1403" s="288"/>
      <c r="P1403" s="288"/>
      <c r="Q1403" s="288"/>
      <c r="R1403" s="283"/>
      <c r="S1403" s="280"/>
      <c r="T1403" s="276"/>
      <c r="U1403" s="276"/>
      <c r="V1403" s="276"/>
      <c r="W1403" s="283"/>
      <c r="X1403" s="280"/>
      <c r="Y1403" s="280"/>
      <c r="Z1403" s="280"/>
      <c r="AA1403" s="280"/>
      <c r="AB1403" s="280"/>
      <c r="AC1403" s="280"/>
      <c r="AD1403" s="280"/>
      <c r="AG1403" s="3"/>
      <c r="AH1403" s="3"/>
      <c r="AI1403" s="3"/>
      <c r="AJ1403" s="3"/>
      <c r="AK1403" s="3"/>
      <c r="AL1403" s="3"/>
      <c r="AM1403" s="3"/>
      <c r="AN1403" s="3"/>
      <c r="AO1403" s="3"/>
      <c r="AP1403" s="11"/>
      <c r="AQ1403" s="11"/>
      <c r="AR1403" s="3"/>
      <c r="AS1403" s="3"/>
      <c r="AT1403" s="3"/>
      <c r="AU1403" s="3"/>
      <c r="AV1403" s="3"/>
      <c r="AW1403" s="3"/>
      <c r="AX1403" s="11"/>
      <c r="AZ1403"/>
      <c r="BA1403"/>
      <c r="BB1403"/>
      <c r="BC1403"/>
    </row>
    <row r="1404" spans="1:55" s="282" customFormat="1" x14ac:dyDescent="0.25">
      <c r="A1404"/>
      <c r="B1404"/>
      <c r="C1404" s="3"/>
      <c r="D1404"/>
      <c r="E1404"/>
      <c r="F1404"/>
      <c r="G1404" s="3"/>
      <c r="H1404" s="3"/>
      <c r="I1404" s="3"/>
      <c r="J1404" s="288"/>
      <c r="L1404" s="288"/>
      <c r="M1404" s="288"/>
      <c r="N1404" s="288"/>
      <c r="O1404" s="288"/>
      <c r="P1404" s="288"/>
      <c r="Q1404" s="288"/>
      <c r="R1404" s="283"/>
      <c r="S1404" s="280"/>
      <c r="T1404" s="276"/>
      <c r="U1404" s="276"/>
      <c r="V1404" s="276"/>
      <c r="W1404" s="283"/>
      <c r="X1404" s="280"/>
      <c r="Y1404" s="280"/>
      <c r="Z1404" s="280"/>
      <c r="AA1404" s="280"/>
      <c r="AB1404" s="280"/>
      <c r="AC1404" s="280"/>
      <c r="AD1404" s="280"/>
      <c r="AG1404" s="3"/>
      <c r="AH1404" s="3"/>
      <c r="AI1404" s="3"/>
      <c r="AJ1404" s="3"/>
      <c r="AK1404" s="3"/>
      <c r="AL1404" s="3"/>
      <c r="AM1404" s="3"/>
      <c r="AN1404" s="3"/>
      <c r="AO1404" s="3"/>
      <c r="AP1404" s="11"/>
      <c r="AQ1404" s="11"/>
      <c r="AR1404" s="3"/>
      <c r="AS1404" s="3"/>
      <c r="AT1404" s="3"/>
      <c r="AU1404" s="3"/>
      <c r="AV1404" s="3"/>
      <c r="AW1404" s="3"/>
      <c r="AX1404" s="11"/>
      <c r="AZ1404"/>
      <c r="BA1404"/>
      <c r="BB1404"/>
      <c r="BC1404"/>
    </row>
    <row r="1405" spans="1:55" s="282" customFormat="1" x14ac:dyDescent="0.25">
      <c r="A1405"/>
      <c r="B1405"/>
      <c r="C1405" s="3"/>
      <c r="D1405"/>
      <c r="E1405"/>
      <c r="F1405"/>
      <c r="G1405" s="3"/>
      <c r="H1405" s="3"/>
      <c r="I1405" s="3"/>
      <c r="J1405" s="288"/>
      <c r="L1405" s="288"/>
      <c r="M1405" s="288"/>
      <c r="N1405" s="288"/>
      <c r="O1405" s="288"/>
      <c r="P1405" s="288"/>
      <c r="Q1405" s="288"/>
      <c r="R1405" s="283"/>
      <c r="S1405" s="280"/>
      <c r="T1405" s="276"/>
      <c r="U1405" s="276"/>
      <c r="V1405" s="276"/>
      <c r="W1405" s="283"/>
      <c r="X1405" s="280"/>
      <c r="Y1405" s="280"/>
      <c r="Z1405" s="280"/>
      <c r="AA1405" s="280"/>
      <c r="AB1405" s="280"/>
      <c r="AC1405" s="280"/>
      <c r="AD1405" s="280"/>
      <c r="AG1405" s="3"/>
      <c r="AH1405" s="3"/>
      <c r="AI1405" s="3"/>
      <c r="AJ1405" s="3"/>
      <c r="AK1405" s="3"/>
      <c r="AL1405" s="3"/>
      <c r="AM1405" s="3"/>
      <c r="AN1405" s="3"/>
      <c r="AO1405" s="3"/>
      <c r="AP1405" s="11"/>
      <c r="AQ1405" s="11"/>
      <c r="AR1405" s="3"/>
      <c r="AS1405" s="3"/>
      <c r="AT1405" s="3"/>
      <c r="AU1405" s="3"/>
      <c r="AV1405" s="3"/>
      <c r="AW1405" s="3"/>
      <c r="AX1405" s="11"/>
      <c r="AZ1405"/>
      <c r="BA1405"/>
      <c r="BB1405"/>
      <c r="BC1405"/>
    </row>
    <row r="1406" spans="1:55" s="282" customFormat="1" x14ac:dyDescent="0.25">
      <c r="A1406"/>
      <c r="B1406"/>
      <c r="C1406" s="3"/>
      <c r="D1406"/>
      <c r="E1406"/>
      <c r="F1406"/>
      <c r="G1406" s="3"/>
      <c r="H1406" s="3"/>
      <c r="I1406" s="3"/>
      <c r="J1406" s="288"/>
      <c r="L1406" s="288"/>
      <c r="M1406" s="288"/>
      <c r="N1406" s="288"/>
      <c r="O1406" s="288"/>
      <c r="P1406" s="288"/>
      <c r="Q1406" s="288"/>
      <c r="R1406" s="283"/>
      <c r="S1406" s="280"/>
      <c r="T1406" s="276"/>
      <c r="U1406" s="276"/>
      <c r="V1406" s="276"/>
      <c r="W1406" s="283"/>
      <c r="X1406" s="280"/>
      <c r="Y1406" s="280"/>
      <c r="Z1406" s="280"/>
      <c r="AA1406" s="280"/>
      <c r="AB1406" s="280"/>
      <c r="AC1406" s="280"/>
      <c r="AD1406" s="280"/>
      <c r="AG1406" s="3"/>
      <c r="AH1406" s="3"/>
      <c r="AI1406" s="3"/>
      <c r="AJ1406" s="3"/>
      <c r="AK1406" s="3"/>
      <c r="AL1406" s="3"/>
      <c r="AM1406" s="3"/>
      <c r="AN1406" s="3"/>
      <c r="AO1406" s="3"/>
      <c r="AP1406" s="11"/>
      <c r="AQ1406" s="11"/>
      <c r="AR1406" s="3"/>
      <c r="AS1406" s="3"/>
      <c r="AT1406" s="3"/>
      <c r="AU1406" s="3"/>
      <c r="AV1406" s="3"/>
      <c r="AW1406" s="3"/>
      <c r="AX1406" s="11"/>
      <c r="AZ1406"/>
      <c r="BA1406"/>
      <c r="BB1406"/>
      <c r="BC1406"/>
    </row>
    <row r="1407" spans="1:55" s="282" customFormat="1" x14ac:dyDescent="0.25">
      <c r="A1407"/>
      <c r="B1407"/>
      <c r="C1407" s="3"/>
      <c r="D1407"/>
      <c r="E1407"/>
      <c r="F1407"/>
      <c r="G1407" s="3"/>
      <c r="H1407" s="3"/>
      <c r="I1407" s="3"/>
      <c r="J1407" s="288"/>
      <c r="L1407" s="288"/>
      <c r="M1407" s="288"/>
      <c r="N1407" s="288"/>
      <c r="O1407" s="288"/>
      <c r="P1407" s="288"/>
      <c r="Q1407" s="288"/>
      <c r="R1407" s="283"/>
      <c r="S1407" s="280"/>
      <c r="T1407" s="276"/>
      <c r="U1407" s="276"/>
      <c r="V1407" s="276"/>
      <c r="W1407" s="283"/>
      <c r="X1407" s="280"/>
      <c r="Y1407" s="280"/>
      <c r="Z1407" s="280"/>
      <c r="AA1407" s="280"/>
      <c r="AB1407" s="280"/>
      <c r="AC1407" s="280"/>
      <c r="AD1407" s="280"/>
      <c r="AG1407" s="3"/>
      <c r="AH1407" s="3"/>
      <c r="AI1407" s="3"/>
      <c r="AJ1407" s="3"/>
      <c r="AK1407" s="3"/>
      <c r="AL1407" s="3"/>
      <c r="AM1407" s="3"/>
      <c r="AN1407" s="3"/>
      <c r="AO1407" s="3"/>
      <c r="AP1407" s="11"/>
      <c r="AQ1407" s="11"/>
      <c r="AR1407" s="3"/>
      <c r="AS1407" s="3"/>
      <c r="AT1407" s="3"/>
      <c r="AU1407" s="3"/>
      <c r="AV1407" s="3"/>
      <c r="AW1407" s="3"/>
      <c r="AX1407" s="11"/>
      <c r="AZ1407"/>
      <c r="BA1407"/>
      <c r="BB1407"/>
      <c r="BC1407"/>
    </row>
    <row r="1408" spans="1:55" s="282" customFormat="1" x14ac:dyDescent="0.25">
      <c r="A1408"/>
      <c r="B1408"/>
      <c r="C1408" s="3"/>
      <c r="D1408"/>
      <c r="E1408"/>
      <c r="F1408"/>
      <c r="G1408" s="3"/>
      <c r="H1408" s="3"/>
      <c r="I1408" s="3"/>
      <c r="J1408" s="288"/>
      <c r="L1408" s="288"/>
      <c r="M1408" s="288"/>
      <c r="N1408" s="288"/>
      <c r="O1408" s="288"/>
      <c r="P1408" s="288"/>
      <c r="Q1408" s="288"/>
      <c r="R1408" s="283"/>
      <c r="S1408" s="280"/>
      <c r="T1408" s="276"/>
      <c r="U1408" s="276"/>
      <c r="V1408" s="276"/>
      <c r="W1408" s="283"/>
      <c r="X1408" s="280"/>
      <c r="Y1408" s="280"/>
      <c r="Z1408" s="280"/>
      <c r="AA1408" s="280"/>
      <c r="AB1408" s="280"/>
      <c r="AC1408" s="280"/>
      <c r="AD1408" s="280"/>
      <c r="AG1408" s="3"/>
      <c r="AH1408" s="3"/>
      <c r="AI1408" s="3"/>
      <c r="AJ1408" s="3"/>
      <c r="AK1408" s="3"/>
      <c r="AL1408" s="3"/>
      <c r="AM1408" s="3"/>
      <c r="AN1408" s="3"/>
      <c r="AO1408" s="3"/>
      <c r="AP1408" s="11"/>
      <c r="AQ1408" s="11"/>
      <c r="AR1408" s="3"/>
      <c r="AS1408" s="3"/>
      <c r="AT1408" s="3"/>
      <c r="AU1408" s="3"/>
      <c r="AV1408" s="3"/>
      <c r="AW1408" s="3"/>
      <c r="AX1408" s="11"/>
      <c r="AZ1408"/>
      <c r="BA1408"/>
      <c r="BB1408"/>
      <c r="BC1408"/>
    </row>
    <row r="1409" spans="1:55" s="282" customFormat="1" x14ac:dyDescent="0.25">
      <c r="A1409"/>
      <c r="B1409"/>
      <c r="C1409" s="3"/>
      <c r="D1409"/>
      <c r="E1409"/>
      <c r="F1409"/>
      <c r="G1409" s="3"/>
      <c r="H1409" s="3"/>
      <c r="I1409" s="3"/>
      <c r="J1409" s="288"/>
      <c r="L1409" s="288"/>
      <c r="M1409" s="288"/>
      <c r="N1409" s="288"/>
      <c r="O1409" s="288"/>
      <c r="P1409" s="288"/>
      <c r="Q1409" s="288"/>
      <c r="R1409" s="283"/>
      <c r="S1409" s="280"/>
      <c r="T1409" s="276"/>
      <c r="U1409" s="276"/>
      <c r="V1409" s="276"/>
      <c r="W1409" s="283"/>
      <c r="X1409" s="280"/>
      <c r="Y1409" s="280"/>
      <c r="Z1409" s="280"/>
      <c r="AA1409" s="280"/>
      <c r="AB1409" s="280"/>
      <c r="AC1409" s="280"/>
      <c r="AD1409" s="280"/>
      <c r="AG1409" s="3"/>
      <c r="AH1409" s="3"/>
      <c r="AI1409" s="3"/>
      <c r="AJ1409" s="3"/>
      <c r="AK1409" s="3"/>
      <c r="AL1409" s="3"/>
      <c r="AM1409" s="3"/>
      <c r="AN1409" s="3"/>
      <c r="AO1409" s="3"/>
      <c r="AP1409" s="11"/>
      <c r="AQ1409" s="11"/>
      <c r="AR1409" s="3"/>
      <c r="AS1409" s="3"/>
      <c r="AT1409" s="3"/>
      <c r="AU1409" s="3"/>
      <c r="AV1409" s="3"/>
      <c r="AW1409" s="3"/>
      <c r="AX1409" s="11"/>
      <c r="AZ1409"/>
      <c r="BA1409"/>
      <c r="BB1409"/>
      <c r="BC1409"/>
    </row>
    <row r="1410" spans="1:55" s="282" customFormat="1" x14ac:dyDescent="0.25">
      <c r="A1410"/>
      <c r="B1410"/>
      <c r="C1410" s="3"/>
      <c r="D1410"/>
      <c r="E1410"/>
      <c r="F1410"/>
      <c r="G1410" s="3"/>
      <c r="H1410" s="3"/>
      <c r="I1410" s="3"/>
      <c r="J1410" s="288"/>
      <c r="L1410" s="288"/>
      <c r="M1410" s="288"/>
      <c r="N1410" s="288"/>
      <c r="O1410" s="288"/>
      <c r="P1410" s="288"/>
      <c r="Q1410" s="288"/>
      <c r="R1410" s="283"/>
      <c r="S1410" s="280"/>
      <c r="T1410" s="276"/>
      <c r="U1410" s="276"/>
      <c r="V1410" s="276"/>
      <c r="W1410" s="283"/>
      <c r="X1410" s="280"/>
      <c r="Y1410" s="280"/>
      <c r="Z1410" s="280"/>
      <c r="AA1410" s="280"/>
      <c r="AB1410" s="280"/>
      <c r="AC1410" s="280"/>
      <c r="AD1410" s="280"/>
      <c r="AG1410" s="3"/>
      <c r="AH1410" s="3"/>
      <c r="AI1410" s="3"/>
      <c r="AJ1410" s="3"/>
      <c r="AK1410" s="3"/>
      <c r="AL1410" s="3"/>
      <c r="AM1410" s="3"/>
      <c r="AN1410" s="3"/>
      <c r="AO1410" s="3"/>
      <c r="AP1410" s="11"/>
      <c r="AQ1410" s="11"/>
      <c r="AR1410" s="3"/>
      <c r="AS1410" s="3"/>
      <c r="AT1410" s="3"/>
      <c r="AU1410" s="3"/>
      <c r="AV1410" s="3"/>
      <c r="AW1410" s="3"/>
      <c r="AX1410" s="11"/>
      <c r="AZ1410"/>
      <c r="BA1410"/>
      <c r="BB1410"/>
      <c r="BC1410"/>
    </row>
    <row r="1411" spans="1:55" s="282" customFormat="1" x14ac:dyDescent="0.25">
      <c r="A1411"/>
      <c r="B1411"/>
      <c r="C1411" s="3"/>
      <c r="D1411"/>
      <c r="E1411"/>
      <c r="F1411"/>
      <c r="G1411" s="3"/>
      <c r="H1411" s="3"/>
      <c r="I1411" s="3"/>
      <c r="J1411" s="288"/>
      <c r="L1411" s="288"/>
      <c r="M1411" s="288"/>
      <c r="N1411" s="288"/>
      <c r="O1411" s="288"/>
      <c r="P1411" s="288"/>
      <c r="Q1411" s="288"/>
      <c r="R1411" s="283"/>
      <c r="S1411" s="280"/>
      <c r="T1411" s="276"/>
      <c r="U1411" s="276"/>
      <c r="V1411" s="276"/>
      <c r="W1411" s="283"/>
      <c r="X1411" s="280"/>
      <c r="Y1411" s="280"/>
      <c r="Z1411" s="280"/>
      <c r="AA1411" s="280"/>
      <c r="AB1411" s="280"/>
      <c r="AC1411" s="280"/>
      <c r="AD1411" s="280"/>
      <c r="AG1411" s="3"/>
      <c r="AH1411" s="3"/>
      <c r="AI1411" s="3"/>
      <c r="AJ1411" s="3"/>
      <c r="AK1411" s="3"/>
      <c r="AL1411" s="3"/>
      <c r="AM1411" s="3"/>
      <c r="AN1411" s="3"/>
      <c r="AO1411" s="3"/>
      <c r="AP1411" s="11"/>
      <c r="AQ1411" s="11"/>
      <c r="AR1411" s="3"/>
      <c r="AS1411" s="3"/>
      <c r="AT1411" s="3"/>
      <c r="AU1411" s="3"/>
      <c r="AV1411" s="3"/>
      <c r="AW1411" s="3"/>
      <c r="AX1411" s="11"/>
      <c r="AZ1411"/>
      <c r="BA1411"/>
      <c r="BB1411"/>
      <c r="BC1411"/>
    </row>
    <row r="1412" spans="1:55" s="282" customFormat="1" x14ac:dyDescent="0.25">
      <c r="A1412"/>
      <c r="B1412"/>
      <c r="C1412" s="3"/>
      <c r="D1412"/>
      <c r="E1412"/>
      <c r="F1412"/>
      <c r="G1412" s="3"/>
      <c r="H1412" s="3"/>
      <c r="I1412" s="3"/>
      <c r="J1412" s="288"/>
      <c r="L1412" s="288"/>
      <c r="M1412" s="288"/>
      <c r="N1412" s="288"/>
      <c r="O1412" s="288"/>
      <c r="P1412" s="288"/>
      <c r="Q1412" s="288"/>
      <c r="R1412" s="283"/>
      <c r="S1412" s="280"/>
      <c r="T1412" s="276"/>
      <c r="U1412" s="276"/>
      <c r="V1412" s="276"/>
      <c r="W1412" s="283"/>
      <c r="X1412" s="280"/>
      <c r="Y1412" s="280"/>
      <c r="Z1412" s="280"/>
      <c r="AA1412" s="280"/>
      <c r="AB1412" s="280"/>
      <c r="AC1412" s="280"/>
      <c r="AD1412" s="280"/>
      <c r="AG1412" s="3"/>
      <c r="AH1412" s="3"/>
      <c r="AI1412" s="3"/>
      <c r="AJ1412" s="3"/>
      <c r="AK1412" s="3"/>
      <c r="AL1412" s="3"/>
      <c r="AM1412" s="3"/>
      <c r="AN1412" s="3"/>
      <c r="AO1412" s="3"/>
      <c r="AP1412" s="11"/>
      <c r="AQ1412" s="11"/>
      <c r="AR1412" s="3"/>
      <c r="AS1412" s="3"/>
      <c r="AT1412" s="3"/>
      <c r="AU1412" s="3"/>
      <c r="AV1412" s="3"/>
      <c r="AW1412" s="3"/>
      <c r="AX1412" s="11"/>
      <c r="AZ1412"/>
      <c r="BA1412"/>
      <c r="BB1412"/>
      <c r="BC1412"/>
    </row>
    <row r="1413" spans="1:55" s="282" customFormat="1" x14ac:dyDescent="0.25">
      <c r="A1413"/>
      <c r="B1413"/>
      <c r="C1413" s="3"/>
      <c r="D1413"/>
      <c r="E1413"/>
      <c r="F1413"/>
      <c r="G1413" s="3"/>
      <c r="H1413" s="3"/>
      <c r="I1413" s="3"/>
      <c r="J1413" s="288"/>
      <c r="L1413" s="288"/>
      <c r="M1413" s="288"/>
      <c r="N1413" s="288"/>
      <c r="O1413" s="288"/>
      <c r="P1413" s="288"/>
      <c r="Q1413" s="288"/>
      <c r="R1413" s="283"/>
      <c r="S1413" s="280"/>
      <c r="T1413" s="276"/>
      <c r="U1413" s="276"/>
      <c r="V1413" s="276"/>
      <c r="W1413" s="283"/>
      <c r="X1413" s="280"/>
      <c r="Y1413" s="280"/>
      <c r="Z1413" s="280"/>
      <c r="AA1413" s="280"/>
      <c r="AB1413" s="280"/>
      <c r="AC1413" s="280"/>
      <c r="AD1413" s="280"/>
      <c r="AG1413" s="3"/>
      <c r="AH1413" s="3"/>
      <c r="AI1413" s="3"/>
      <c r="AJ1413" s="3"/>
      <c r="AK1413" s="3"/>
      <c r="AL1413" s="3"/>
      <c r="AM1413" s="3"/>
      <c r="AN1413" s="3"/>
      <c r="AO1413" s="3"/>
      <c r="AP1413" s="11"/>
      <c r="AQ1413" s="11"/>
      <c r="AR1413" s="3"/>
      <c r="AS1413" s="3"/>
      <c r="AT1413" s="3"/>
      <c r="AU1413" s="3"/>
      <c r="AV1413" s="3"/>
      <c r="AW1413" s="3"/>
      <c r="AX1413" s="11"/>
      <c r="AZ1413"/>
      <c r="BA1413"/>
      <c r="BB1413"/>
      <c r="BC1413"/>
    </row>
    <row r="1414" spans="1:55" s="282" customFormat="1" x14ac:dyDescent="0.25">
      <c r="A1414"/>
      <c r="B1414"/>
      <c r="C1414" s="3"/>
      <c r="D1414"/>
      <c r="E1414"/>
      <c r="F1414"/>
      <c r="G1414" s="3"/>
      <c r="H1414" s="3"/>
      <c r="I1414" s="3"/>
      <c r="J1414" s="288"/>
      <c r="L1414" s="288"/>
      <c r="M1414" s="288"/>
      <c r="N1414" s="288"/>
      <c r="O1414" s="288"/>
      <c r="P1414" s="288"/>
      <c r="Q1414" s="288"/>
      <c r="R1414" s="283"/>
      <c r="S1414" s="280"/>
      <c r="T1414" s="276"/>
      <c r="U1414" s="276"/>
      <c r="V1414" s="276"/>
      <c r="W1414" s="283"/>
      <c r="X1414" s="280"/>
      <c r="Y1414" s="280"/>
      <c r="Z1414" s="280"/>
      <c r="AA1414" s="280"/>
      <c r="AB1414" s="280"/>
      <c r="AC1414" s="280"/>
      <c r="AD1414" s="280"/>
      <c r="AG1414" s="3"/>
      <c r="AH1414" s="3"/>
      <c r="AI1414" s="3"/>
      <c r="AJ1414" s="3"/>
      <c r="AK1414" s="3"/>
      <c r="AL1414" s="3"/>
      <c r="AM1414" s="3"/>
      <c r="AN1414" s="3"/>
      <c r="AO1414" s="3"/>
      <c r="AP1414" s="11"/>
      <c r="AQ1414" s="11"/>
      <c r="AR1414" s="3"/>
      <c r="AS1414" s="3"/>
      <c r="AT1414" s="3"/>
      <c r="AU1414" s="3"/>
      <c r="AV1414" s="3"/>
      <c r="AW1414" s="3"/>
      <c r="AX1414" s="11"/>
      <c r="AZ1414"/>
      <c r="BA1414"/>
      <c r="BB1414"/>
      <c r="BC1414"/>
    </row>
    <row r="1415" spans="1:55" s="282" customFormat="1" x14ac:dyDescent="0.25">
      <c r="A1415"/>
      <c r="B1415"/>
      <c r="C1415" s="3"/>
      <c r="D1415"/>
      <c r="E1415"/>
      <c r="F1415"/>
      <c r="G1415" s="3"/>
      <c r="H1415" s="3"/>
      <c r="I1415" s="3"/>
      <c r="J1415" s="288"/>
      <c r="L1415" s="288"/>
      <c r="M1415" s="288"/>
      <c r="N1415" s="288"/>
      <c r="O1415" s="288"/>
      <c r="P1415" s="288"/>
      <c r="Q1415" s="288"/>
      <c r="R1415" s="283"/>
      <c r="S1415" s="280"/>
      <c r="T1415" s="276"/>
      <c r="U1415" s="276"/>
      <c r="V1415" s="276"/>
      <c r="W1415" s="283"/>
      <c r="X1415" s="280"/>
      <c r="Y1415" s="280"/>
      <c r="Z1415" s="280"/>
      <c r="AA1415" s="280"/>
      <c r="AB1415" s="280"/>
      <c r="AC1415" s="280"/>
      <c r="AD1415" s="280"/>
      <c r="AG1415" s="3"/>
      <c r="AH1415" s="3"/>
      <c r="AI1415" s="3"/>
      <c r="AJ1415" s="3"/>
      <c r="AK1415" s="3"/>
      <c r="AL1415" s="3"/>
      <c r="AM1415" s="3"/>
      <c r="AN1415" s="3"/>
      <c r="AO1415" s="3"/>
      <c r="AP1415" s="11"/>
      <c r="AQ1415" s="11"/>
      <c r="AR1415" s="3"/>
      <c r="AS1415" s="3"/>
      <c r="AT1415" s="3"/>
      <c r="AU1415" s="3"/>
      <c r="AV1415" s="3"/>
      <c r="AW1415" s="3"/>
      <c r="AX1415" s="11"/>
      <c r="AZ1415"/>
      <c r="BA1415"/>
      <c r="BB1415"/>
      <c r="BC1415"/>
    </row>
    <row r="1416" spans="1:55" s="282" customFormat="1" x14ac:dyDescent="0.25">
      <c r="A1416"/>
      <c r="B1416"/>
      <c r="C1416" s="3"/>
      <c r="D1416"/>
      <c r="E1416"/>
      <c r="F1416"/>
      <c r="G1416" s="3"/>
      <c r="H1416" s="3"/>
      <c r="I1416" s="3"/>
      <c r="J1416" s="288"/>
      <c r="L1416" s="288"/>
      <c r="M1416" s="288"/>
      <c r="N1416" s="288"/>
      <c r="O1416" s="288"/>
      <c r="P1416" s="288"/>
      <c r="Q1416" s="288"/>
      <c r="R1416" s="283"/>
      <c r="S1416" s="280"/>
      <c r="T1416" s="276"/>
      <c r="U1416" s="276"/>
      <c r="V1416" s="276"/>
      <c r="W1416" s="283"/>
      <c r="X1416" s="280"/>
      <c r="Y1416" s="280"/>
      <c r="Z1416" s="280"/>
      <c r="AA1416" s="280"/>
      <c r="AB1416" s="280"/>
      <c r="AC1416" s="280"/>
      <c r="AD1416" s="280"/>
      <c r="AG1416" s="3"/>
      <c r="AH1416" s="3"/>
      <c r="AI1416" s="3"/>
      <c r="AJ1416" s="3"/>
      <c r="AK1416" s="3"/>
      <c r="AL1416" s="3"/>
      <c r="AM1416" s="3"/>
      <c r="AN1416" s="3"/>
      <c r="AO1416" s="3"/>
      <c r="AP1416" s="11"/>
      <c r="AQ1416" s="11"/>
      <c r="AR1416" s="3"/>
      <c r="AS1416" s="3"/>
      <c r="AT1416" s="3"/>
      <c r="AU1416" s="3"/>
      <c r="AV1416" s="3"/>
      <c r="AW1416" s="3"/>
      <c r="AX1416" s="11"/>
      <c r="AZ1416"/>
      <c r="BA1416"/>
      <c r="BB1416"/>
      <c r="BC1416"/>
    </row>
    <row r="1417" spans="1:55" s="282" customFormat="1" x14ac:dyDescent="0.25">
      <c r="A1417"/>
      <c r="B1417"/>
      <c r="C1417" s="3"/>
      <c r="D1417"/>
      <c r="E1417"/>
      <c r="F1417"/>
      <c r="G1417" s="3"/>
      <c r="H1417" s="3"/>
      <c r="I1417" s="3"/>
      <c r="J1417" s="288"/>
      <c r="L1417" s="288"/>
      <c r="M1417" s="288"/>
      <c r="N1417" s="288"/>
      <c r="O1417" s="288"/>
      <c r="P1417" s="288"/>
      <c r="Q1417" s="288"/>
      <c r="R1417" s="283"/>
      <c r="S1417" s="280"/>
      <c r="T1417" s="276"/>
      <c r="U1417" s="276"/>
      <c r="V1417" s="276"/>
      <c r="W1417" s="283"/>
      <c r="X1417" s="280"/>
      <c r="Y1417" s="280"/>
      <c r="Z1417" s="280"/>
      <c r="AA1417" s="280"/>
      <c r="AB1417" s="280"/>
      <c r="AC1417" s="280"/>
      <c r="AD1417" s="280"/>
      <c r="AG1417" s="3"/>
      <c r="AH1417" s="3"/>
      <c r="AI1417" s="3"/>
      <c r="AJ1417" s="3"/>
      <c r="AK1417" s="3"/>
      <c r="AL1417" s="3"/>
      <c r="AM1417" s="3"/>
      <c r="AN1417" s="3"/>
      <c r="AO1417" s="3"/>
      <c r="AP1417" s="11"/>
      <c r="AQ1417" s="11"/>
      <c r="AR1417" s="3"/>
      <c r="AS1417" s="3"/>
      <c r="AT1417" s="3"/>
      <c r="AU1417" s="3"/>
      <c r="AV1417" s="3"/>
      <c r="AW1417" s="3"/>
      <c r="AX1417" s="11"/>
      <c r="AZ1417"/>
      <c r="BA1417"/>
      <c r="BB1417"/>
      <c r="BC1417"/>
    </row>
    <row r="1418" spans="1:55" s="282" customFormat="1" x14ac:dyDescent="0.25">
      <c r="A1418"/>
      <c r="B1418"/>
      <c r="C1418" s="3"/>
      <c r="D1418"/>
      <c r="E1418"/>
      <c r="F1418"/>
      <c r="G1418" s="3"/>
      <c r="H1418" s="3"/>
      <c r="I1418" s="3"/>
      <c r="J1418" s="288"/>
      <c r="L1418" s="288"/>
      <c r="M1418" s="288"/>
      <c r="N1418" s="288"/>
      <c r="O1418" s="288"/>
      <c r="P1418" s="288"/>
      <c r="Q1418" s="288"/>
      <c r="R1418" s="283"/>
      <c r="S1418" s="280"/>
      <c r="T1418" s="276"/>
      <c r="U1418" s="276"/>
      <c r="V1418" s="276"/>
      <c r="W1418" s="283"/>
      <c r="X1418" s="280"/>
      <c r="Y1418" s="280"/>
      <c r="Z1418" s="280"/>
      <c r="AA1418" s="280"/>
      <c r="AB1418" s="280"/>
      <c r="AC1418" s="280"/>
      <c r="AD1418" s="280"/>
      <c r="AG1418" s="3"/>
      <c r="AH1418" s="3"/>
      <c r="AI1418" s="3"/>
      <c r="AJ1418" s="3"/>
      <c r="AK1418" s="3"/>
      <c r="AL1418" s="3"/>
      <c r="AM1418" s="3"/>
      <c r="AN1418" s="3"/>
      <c r="AO1418" s="3"/>
      <c r="AP1418" s="11"/>
      <c r="AQ1418" s="11"/>
      <c r="AR1418" s="3"/>
      <c r="AS1418" s="3"/>
      <c r="AT1418" s="3"/>
      <c r="AU1418" s="3"/>
      <c r="AV1418" s="3"/>
      <c r="AW1418" s="3"/>
      <c r="AX1418" s="11"/>
      <c r="AZ1418"/>
      <c r="BA1418"/>
      <c r="BB1418"/>
      <c r="BC1418"/>
    </row>
    <row r="1419" spans="1:55" s="282" customFormat="1" x14ac:dyDescent="0.25">
      <c r="A1419"/>
      <c r="B1419"/>
      <c r="C1419" s="3"/>
      <c r="D1419"/>
      <c r="E1419"/>
      <c r="F1419"/>
      <c r="G1419" s="3"/>
      <c r="H1419" s="3"/>
      <c r="I1419" s="3"/>
      <c r="J1419" s="288"/>
      <c r="L1419" s="288"/>
      <c r="M1419" s="288"/>
      <c r="N1419" s="288"/>
      <c r="O1419" s="288"/>
      <c r="P1419" s="288"/>
      <c r="Q1419" s="288"/>
      <c r="R1419" s="283"/>
      <c r="S1419" s="280"/>
      <c r="T1419" s="276"/>
      <c r="U1419" s="276"/>
      <c r="V1419" s="276"/>
      <c r="W1419" s="283"/>
      <c r="X1419" s="280"/>
      <c r="Y1419" s="280"/>
      <c r="Z1419" s="280"/>
      <c r="AA1419" s="280"/>
      <c r="AB1419" s="280"/>
      <c r="AC1419" s="280"/>
      <c r="AD1419" s="280"/>
      <c r="AG1419" s="3"/>
      <c r="AH1419" s="3"/>
      <c r="AI1419" s="3"/>
      <c r="AJ1419" s="3"/>
      <c r="AK1419" s="3"/>
      <c r="AL1419" s="3"/>
      <c r="AM1419" s="3"/>
      <c r="AN1419" s="3"/>
      <c r="AO1419" s="3"/>
      <c r="AP1419" s="11"/>
      <c r="AQ1419" s="11"/>
      <c r="AR1419" s="3"/>
      <c r="AS1419" s="3"/>
      <c r="AT1419" s="3"/>
      <c r="AU1419" s="3"/>
      <c r="AV1419" s="3"/>
      <c r="AW1419" s="3"/>
      <c r="AX1419" s="11"/>
      <c r="AZ1419"/>
      <c r="BA1419"/>
      <c r="BB1419"/>
      <c r="BC1419"/>
    </row>
    <row r="1420" spans="1:55" s="282" customFormat="1" x14ac:dyDescent="0.25">
      <c r="A1420"/>
      <c r="B1420"/>
      <c r="C1420" s="3"/>
      <c r="D1420"/>
      <c r="E1420"/>
      <c r="F1420"/>
      <c r="G1420" s="3"/>
      <c r="H1420" s="3"/>
      <c r="I1420" s="3"/>
      <c r="J1420" s="288"/>
      <c r="L1420" s="288"/>
      <c r="M1420" s="288"/>
      <c r="N1420" s="288"/>
      <c r="O1420" s="288"/>
      <c r="P1420" s="288"/>
      <c r="Q1420" s="288"/>
      <c r="R1420" s="283"/>
      <c r="S1420" s="280"/>
      <c r="T1420" s="276"/>
      <c r="U1420" s="276"/>
      <c r="V1420" s="276"/>
      <c r="W1420" s="283"/>
      <c r="X1420" s="280"/>
      <c r="Y1420" s="280"/>
      <c r="Z1420" s="280"/>
      <c r="AA1420" s="280"/>
      <c r="AB1420" s="280"/>
      <c r="AC1420" s="280"/>
      <c r="AD1420" s="280"/>
      <c r="AG1420" s="3"/>
      <c r="AH1420" s="3"/>
      <c r="AI1420" s="3"/>
      <c r="AJ1420" s="3"/>
      <c r="AK1420" s="3"/>
      <c r="AL1420" s="3"/>
      <c r="AM1420" s="3"/>
      <c r="AN1420" s="3"/>
      <c r="AO1420" s="3"/>
      <c r="AP1420" s="11"/>
      <c r="AQ1420" s="11"/>
      <c r="AR1420" s="3"/>
      <c r="AS1420" s="3"/>
      <c r="AT1420" s="3"/>
      <c r="AU1420" s="3"/>
      <c r="AV1420" s="3"/>
      <c r="AW1420" s="3"/>
      <c r="AX1420" s="11"/>
      <c r="AZ1420"/>
      <c r="BA1420"/>
      <c r="BB1420"/>
      <c r="BC1420"/>
    </row>
    <row r="1421" spans="1:55" s="282" customFormat="1" x14ac:dyDescent="0.25">
      <c r="A1421"/>
      <c r="B1421"/>
      <c r="C1421" s="3"/>
      <c r="D1421"/>
      <c r="E1421"/>
      <c r="F1421"/>
      <c r="G1421" s="3"/>
      <c r="H1421" s="3"/>
      <c r="I1421" s="3"/>
      <c r="J1421" s="288"/>
      <c r="L1421" s="288"/>
      <c r="M1421" s="288"/>
      <c r="N1421" s="288"/>
      <c r="O1421" s="288"/>
      <c r="P1421" s="288"/>
      <c r="Q1421" s="288"/>
      <c r="R1421" s="283"/>
      <c r="S1421" s="280"/>
      <c r="T1421" s="276"/>
      <c r="U1421" s="276"/>
      <c r="V1421" s="276"/>
      <c r="W1421" s="283"/>
      <c r="X1421" s="280"/>
      <c r="Y1421" s="280"/>
      <c r="Z1421" s="280"/>
      <c r="AA1421" s="280"/>
      <c r="AB1421" s="280"/>
      <c r="AC1421" s="280"/>
      <c r="AD1421" s="280"/>
      <c r="AG1421" s="3"/>
      <c r="AH1421" s="3"/>
      <c r="AI1421" s="3"/>
      <c r="AJ1421" s="3"/>
      <c r="AK1421" s="3"/>
      <c r="AL1421" s="3"/>
      <c r="AM1421" s="3"/>
      <c r="AN1421" s="3"/>
      <c r="AO1421" s="3"/>
      <c r="AP1421" s="11"/>
      <c r="AQ1421" s="11"/>
      <c r="AR1421" s="3"/>
      <c r="AS1421" s="3"/>
      <c r="AT1421" s="3"/>
      <c r="AU1421" s="3"/>
      <c r="AV1421" s="3"/>
      <c r="AW1421" s="3"/>
      <c r="AX1421" s="11"/>
      <c r="AZ1421"/>
      <c r="BA1421"/>
      <c r="BB1421"/>
      <c r="BC1421"/>
    </row>
    <row r="1422" spans="1:55" s="282" customFormat="1" x14ac:dyDescent="0.25">
      <c r="A1422"/>
      <c r="B1422"/>
      <c r="C1422" s="3"/>
      <c r="D1422"/>
      <c r="E1422"/>
      <c r="F1422"/>
      <c r="G1422" s="3"/>
      <c r="H1422" s="3"/>
      <c r="I1422" s="3"/>
      <c r="J1422" s="288"/>
      <c r="L1422" s="288"/>
      <c r="M1422" s="288"/>
      <c r="N1422" s="288"/>
      <c r="O1422" s="288"/>
      <c r="P1422" s="288"/>
      <c r="Q1422" s="288"/>
      <c r="R1422" s="283"/>
      <c r="S1422" s="280"/>
      <c r="T1422" s="276"/>
      <c r="U1422" s="276"/>
      <c r="V1422" s="276"/>
      <c r="W1422" s="283"/>
      <c r="X1422" s="280"/>
      <c r="Y1422" s="280"/>
      <c r="Z1422" s="280"/>
      <c r="AA1422" s="280"/>
      <c r="AB1422" s="280"/>
      <c r="AC1422" s="280"/>
      <c r="AD1422" s="280"/>
      <c r="AG1422" s="3"/>
      <c r="AH1422" s="3"/>
      <c r="AI1422" s="3"/>
      <c r="AJ1422" s="3"/>
      <c r="AK1422" s="3"/>
      <c r="AL1422" s="3"/>
      <c r="AM1422" s="3"/>
      <c r="AN1422" s="3"/>
      <c r="AO1422" s="3"/>
      <c r="AP1422" s="11"/>
      <c r="AQ1422" s="11"/>
      <c r="AR1422" s="3"/>
      <c r="AS1422" s="3"/>
      <c r="AT1422" s="3"/>
      <c r="AU1422" s="3"/>
      <c r="AV1422" s="3"/>
      <c r="AW1422" s="3"/>
      <c r="AX1422" s="11"/>
      <c r="AZ1422"/>
      <c r="BA1422"/>
      <c r="BB1422"/>
      <c r="BC1422"/>
    </row>
    <row r="1423" spans="1:55" s="282" customFormat="1" x14ac:dyDescent="0.25">
      <c r="A1423"/>
      <c r="B1423"/>
      <c r="C1423" s="3"/>
      <c r="D1423"/>
      <c r="E1423"/>
      <c r="F1423"/>
      <c r="G1423" s="3"/>
      <c r="H1423" s="3"/>
      <c r="I1423" s="3"/>
      <c r="J1423" s="288"/>
      <c r="L1423" s="288"/>
      <c r="M1423" s="288"/>
      <c r="N1423" s="288"/>
      <c r="O1423" s="288"/>
      <c r="P1423" s="288"/>
      <c r="Q1423" s="288"/>
      <c r="R1423" s="283"/>
      <c r="S1423" s="280"/>
      <c r="T1423" s="276"/>
      <c r="U1423" s="276"/>
      <c r="V1423" s="276"/>
      <c r="W1423" s="283"/>
      <c r="X1423" s="280"/>
      <c r="Y1423" s="280"/>
      <c r="Z1423" s="280"/>
      <c r="AA1423" s="280"/>
      <c r="AB1423" s="280"/>
      <c r="AC1423" s="280"/>
      <c r="AD1423" s="280"/>
      <c r="AG1423" s="3"/>
      <c r="AH1423" s="3"/>
      <c r="AI1423" s="3"/>
      <c r="AJ1423" s="3"/>
      <c r="AK1423" s="3"/>
      <c r="AL1423" s="3"/>
      <c r="AM1423" s="3"/>
      <c r="AN1423" s="3"/>
      <c r="AO1423" s="3"/>
      <c r="AP1423" s="11"/>
      <c r="AQ1423" s="11"/>
      <c r="AR1423" s="3"/>
      <c r="AS1423" s="3"/>
      <c r="AT1423" s="3"/>
      <c r="AU1423" s="3"/>
      <c r="AV1423" s="3"/>
      <c r="AW1423" s="3"/>
      <c r="AX1423" s="11"/>
      <c r="AZ1423"/>
      <c r="BA1423"/>
      <c r="BB1423"/>
      <c r="BC1423"/>
    </row>
    <row r="1424" spans="1:55" s="282" customFormat="1" x14ac:dyDescent="0.25">
      <c r="A1424"/>
      <c r="B1424"/>
      <c r="C1424" s="3"/>
      <c r="D1424"/>
      <c r="E1424"/>
      <c r="F1424"/>
      <c r="G1424" s="3"/>
      <c r="H1424" s="3"/>
      <c r="I1424" s="3"/>
      <c r="J1424" s="288"/>
      <c r="L1424" s="288"/>
      <c r="M1424" s="288"/>
      <c r="N1424" s="288"/>
      <c r="O1424" s="288"/>
      <c r="P1424" s="288"/>
      <c r="Q1424" s="288"/>
      <c r="R1424" s="283"/>
      <c r="S1424" s="280"/>
      <c r="T1424" s="276"/>
      <c r="U1424" s="276"/>
      <c r="V1424" s="276"/>
      <c r="W1424" s="283"/>
      <c r="X1424" s="280"/>
      <c r="Y1424" s="280"/>
      <c r="Z1424" s="280"/>
      <c r="AA1424" s="280"/>
      <c r="AB1424" s="280"/>
      <c r="AC1424" s="280"/>
      <c r="AD1424" s="280"/>
      <c r="AG1424" s="3"/>
      <c r="AH1424" s="3"/>
      <c r="AI1424" s="3"/>
      <c r="AJ1424" s="3"/>
      <c r="AK1424" s="3"/>
      <c r="AL1424" s="3"/>
      <c r="AM1424" s="3"/>
      <c r="AN1424" s="3"/>
      <c r="AO1424" s="3"/>
      <c r="AP1424" s="11"/>
      <c r="AQ1424" s="11"/>
      <c r="AR1424" s="3"/>
      <c r="AS1424" s="3"/>
      <c r="AT1424" s="3"/>
      <c r="AU1424" s="3"/>
      <c r="AV1424" s="3"/>
      <c r="AW1424" s="3"/>
      <c r="AX1424" s="11"/>
      <c r="AZ1424"/>
      <c r="BA1424"/>
      <c r="BB1424"/>
      <c r="BC1424"/>
    </row>
    <row r="1425" spans="1:55" s="282" customFormat="1" x14ac:dyDescent="0.25">
      <c r="A1425"/>
      <c r="B1425"/>
      <c r="C1425" s="3"/>
      <c r="D1425"/>
      <c r="E1425"/>
      <c r="F1425"/>
      <c r="G1425" s="3"/>
      <c r="H1425" s="3"/>
      <c r="I1425" s="3"/>
      <c r="J1425" s="288"/>
      <c r="L1425" s="288"/>
      <c r="M1425" s="288"/>
      <c r="N1425" s="288"/>
      <c r="O1425" s="288"/>
      <c r="P1425" s="288"/>
      <c r="Q1425" s="288"/>
      <c r="R1425" s="283"/>
      <c r="S1425" s="280"/>
      <c r="T1425" s="276"/>
      <c r="U1425" s="276"/>
      <c r="V1425" s="276"/>
      <c r="W1425" s="283"/>
      <c r="X1425" s="280"/>
      <c r="Y1425" s="280"/>
      <c r="Z1425" s="280"/>
      <c r="AA1425" s="280"/>
      <c r="AB1425" s="280"/>
      <c r="AC1425" s="280"/>
      <c r="AD1425" s="280"/>
      <c r="AG1425" s="3"/>
      <c r="AH1425" s="3"/>
      <c r="AI1425" s="3"/>
      <c r="AJ1425" s="3"/>
      <c r="AK1425" s="3"/>
      <c r="AL1425" s="3"/>
      <c r="AM1425" s="3"/>
      <c r="AN1425" s="3"/>
      <c r="AO1425" s="3"/>
      <c r="AP1425" s="11"/>
      <c r="AQ1425" s="11"/>
      <c r="AR1425" s="3"/>
      <c r="AS1425" s="3"/>
      <c r="AT1425" s="3"/>
      <c r="AU1425" s="3"/>
      <c r="AV1425" s="3"/>
      <c r="AW1425" s="3"/>
      <c r="AX1425" s="11"/>
      <c r="AZ1425"/>
      <c r="BA1425"/>
      <c r="BB1425"/>
      <c r="BC1425"/>
    </row>
    <row r="1426" spans="1:55" s="282" customFormat="1" x14ac:dyDescent="0.25">
      <c r="A1426"/>
      <c r="B1426"/>
      <c r="C1426" s="3"/>
      <c r="D1426"/>
      <c r="E1426"/>
      <c r="F1426"/>
      <c r="G1426" s="3"/>
      <c r="H1426" s="3"/>
      <c r="I1426" s="3"/>
      <c r="J1426" s="288"/>
      <c r="L1426" s="288"/>
      <c r="M1426" s="288"/>
      <c r="N1426" s="288"/>
      <c r="O1426" s="288"/>
      <c r="P1426" s="288"/>
      <c r="Q1426" s="288"/>
      <c r="R1426" s="283"/>
      <c r="S1426" s="280"/>
      <c r="T1426" s="276"/>
      <c r="U1426" s="276"/>
      <c r="V1426" s="276"/>
      <c r="W1426" s="283"/>
      <c r="X1426" s="280"/>
      <c r="Y1426" s="280"/>
      <c r="Z1426" s="280"/>
      <c r="AA1426" s="280"/>
      <c r="AB1426" s="280"/>
      <c r="AC1426" s="280"/>
      <c r="AD1426" s="280"/>
      <c r="AG1426" s="3"/>
      <c r="AH1426" s="3"/>
      <c r="AI1426" s="3"/>
      <c r="AJ1426" s="3"/>
      <c r="AK1426" s="3"/>
      <c r="AL1426" s="3"/>
      <c r="AM1426" s="3"/>
      <c r="AN1426" s="3"/>
      <c r="AO1426" s="3"/>
      <c r="AP1426" s="11"/>
      <c r="AQ1426" s="11"/>
      <c r="AR1426" s="3"/>
      <c r="AS1426" s="3"/>
      <c r="AT1426" s="3"/>
      <c r="AU1426" s="3"/>
      <c r="AV1426" s="3"/>
      <c r="AW1426" s="3"/>
      <c r="AX1426" s="11"/>
      <c r="AZ1426"/>
      <c r="BA1426"/>
      <c r="BB1426"/>
      <c r="BC1426"/>
    </row>
    <row r="1427" spans="1:55" s="282" customFormat="1" x14ac:dyDescent="0.25">
      <c r="A1427"/>
      <c r="B1427"/>
      <c r="C1427" s="3"/>
      <c r="D1427"/>
      <c r="E1427"/>
      <c r="F1427"/>
      <c r="G1427" s="3"/>
      <c r="H1427" s="3"/>
      <c r="I1427" s="3"/>
      <c r="J1427" s="288"/>
      <c r="L1427" s="288"/>
      <c r="M1427" s="288"/>
      <c r="N1427" s="288"/>
      <c r="O1427" s="288"/>
      <c r="P1427" s="288"/>
      <c r="Q1427" s="288"/>
      <c r="R1427" s="283"/>
      <c r="S1427" s="280"/>
      <c r="T1427" s="276"/>
      <c r="U1427" s="276"/>
      <c r="V1427" s="276"/>
      <c r="W1427" s="283"/>
      <c r="X1427" s="280"/>
      <c r="Y1427" s="280"/>
      <c r="Z1427" s="280"/>
      <c r="AA1427" s="280"/>
      <c r="AB1427" s="280"/>
      <c r="AC1427" s="280"/>
      <c r="AD1427" s="280"/>
      <c r="AG1427" s="3"/>
      <c r="AH1427" s="3"/>
      <c r="AI1427" s="3"/>
      <c r="AJ1427" s="3"/>
      <c r="AK1427" s="3"/>
      <c r="AL1427" s="3"/>
      <c r="AM1427" s="3"/>
      <c r="AN1427" s="3"/>
      <c r="AO1427" s="3"/>
      <c r="AP1427" s="11"/>
      <c r="AQ1427" s="11"/>
      <c r="AR1427" s="3"/>
      <c r="AS1427" s="3"/>
      <c r="AT1427" s="3"/>
      <c r="AU1427" s="3"/>
      <c r="AV1427" s="3"/>
      <c r="AW1427" s="3"/>
      <c r="AX1427" s="11"/>
      <c r="AZ1427"/>
      <c r="BA1427"/>
      <c r="BB1427"/>
      <c r="BC1427"/>
    </row>
    <row r="1428" spans="1:55" s="282" customFormat="1" x14ac:dyDescent="0.25">
      <c r="A1428"/>
      <c r="B1428"/>
      <c r="C1428" s="3"/>
      <c r="D1428"/>
      <c r="E1428"/>
      <c r="F1428"/>
      <c r="G1428" s="3"/>
      <c r="H1428" s="3"/>
      <c r="I1428" s="3"/>
      <c r="J1428" s="288"/>
      <c r="L1428" s="288"/>
      <c r="M1428" s="288"/>
      <c r="N1428" s="288"/>
      <c r="O1428" s="288"/>
      <c r="P1428" s="288"/>
      <c r="Q1428" s="288"/>
      <c r="R1428" s="283"/>
      <c r="S1428" s="280"/>
      <c r="T1428" s="276"/>
      <c r="U1428" s="276"/>
      <c r="V1428" s="276"/>
      <c r="W1428" s="283"/>
      <c r="X1428" s="280"/>
      <c r="Y1428" s="280"/>
      <c r="Z1428" s="280"/>
      <c r="AA1428" s="280"/>
      <c r="AB1428" s="280"/>
      <c r="AC1428" s="280"/>
      <c r="AD1428" s="280"/>
      <c r="AG1428" s="3"/>
      <c r="AH1428" s="3"/>
      <c r="AI1428" s="3"/>
      <c r="AJ1428" s="3"/>
      <c r="AK1428" s="3"/>
      <c r="AL1428" s="3"/>
      <c r="AM1428" s="3"/>
      <c r="AN1428" s="3"/>
      <c r="AO1428" s="3"/>
      <c r="AP1428" s="11"/>
      <c r="AQ1428" s="11"/>
      <c r="AR1428" s="3"/>
      <c r="AS1428" s="3"/>
      <c r="AT1428" s="3"/>
      <c r="AU1428" s="3"/>
      <c r="AV1428" s="3"/>
      <c r="AW1428" s="3"/>
      <c r="AX1428" s="11"/>
      <c r="AZ1428"/>
      <c r="BA1428"/>
      <c r="BB1428"/>
      <c r="BC1428"/>
    </row>
    <row r="1429" spans="1:55" s="282" customFormat="1" x14ac:dyDescent="0.25">
      <c r="A1429"/>
      <c r="B1429"/>
      <c r="C1429" s="3"/>
      <c r="D1429"/>
      <c r="E1429"/>
      <c r="F1429"/>
      <c r="G1429" s="3"/>
      <c r="H1429" s="3"/>
      <c r="I1429" s="3"/>
      <c r="J1429" s="288"/>
      <c r="L1429" s="288"/>
      <c r="M1429" s="288"/>
      <c r="N1429" s="288"/>
      <c r="O1429" s="288"/>
      <c r="P1429" s="288"/>
      <c r="Q1429" s="288"/>
      <c r="R1429" s="283"/>
      <c r="S1429" s="280"/>
      <c r="T1429" s="276"/>
      <c r="U1429" s="276"/>
      <c r="V1429" s="276"/>
      <c r="W1429" s="283"/>
      <c r="X1429" s="280"/>
      <c r="Y1429" s="280"/>
      <c r="Z1429" s="280"/>
      <c r="AA1429" s="280"/>
      <c r="AB1429" s="280"/>
      <c r="AC1429" s="280"/>
      <c r="AD1429" s="280"/>
      <c r="AG1429" s="3"/>
      <c r="AH1429" s="3"/>
      <c r="AI1429" s="3"/>
      <c r="AJ1429" s="3"/>
      <c r="AK1429" s="3"/>
      <c r="AL1429" s="3"/>
      <c r="AM1429" s="3"/>
      <c r="AN1429" s="3"/>
      <c r="AO1429" s="3"/>
      <c r="AP1429" s="11"/>
      <c r="AQ1429" s="11"/>
      <c r="AR1429" s="3"/>
      <c r="AS1429" s="3"/>
      <c r="AT1429" s="3"/>
      <c r="AU1429" s="3"/>
      <c r="AV1429" s="3"/>
      <c r="AW1429" s="3"/>
      <c r="AX1429" s="11"/>
      <c r="AZ1429"/>
      <c r="BA1429"/>
      <c r="BB1429"/>
      <c r="BC1429"/>
    </row>
    <row r="1430" spans="1:55" s="282" customFormat="1" x14ac:dyDescent="0.25">
      <c r="A1430"/>
      <c r="B1430"/>
      <c r="C1430" s="3"/>
      <c r="D1430"/>
      <c r="E1430"/>
      <c r="F1430"/>
      <c r="G1430" s="3"/>
      <c r="H1430" s="3"/>
      <c r="I1430" s="3"/>
      <c r="J1430" s="288"/>
      <c r="L1430" s="288"/>
      <c r="M1430" s="288"/>
      <c r="N1430" s="288"/>
      <c r="O1430" s="288"/>
      <c r="P1430" s="288"/>
      <c r="Q1430" s="288"/>
      <c r="R1430" s="283"/>
      <c r="S1430" s="280"/>
      <c r="T1430" s="276"/>
      <c r="U1430" s="276"/>
      <c r="V1430" s="276"/>
      <c r="W1430" s="283"/>
      <c r="X1430" s="280"/>
      <c r="Y1430" s="280"/>
      <c r="Z1430" s="280"/>
      <c r="AA1430" s="280"/>
      <c r="AB1430" s="280"/>
      <c r="AC1430" s="280"/>
      <c r="AD1430" s="280"/>
      <c r="AG1430" s="3"/>
      <c r="AH1430" s="3"/>
      <c r="AI1430" s="3"/>
      <c r="AJ1430" s="3"/>
      <c r="AK1430" s="3"/>
      <c r="AL1430" s="3"/>
      <c r="AM1430" s="3"/>
      <c r="AN1430" s="3"/>
      <c r="AO1430" s="3"/>
      <c r="AP1430" s="11"/>
      <c r="AQ1430" s="11"/>
      <c r="AR1430" s="3"/>
      <c r="AS1430" s="3"/>
      <c r="AT1430" s="3"/>
      <c r="AU1430" s="3"/>
      <c r="AV1430" s="3"/>
      <c r="AW1430" s="3"/>
      <c r="AX1430" s="11"/>
      <c r="AZ1430"/>
      <c r="BA1430"/>
      <c r="BB1430"/>
      <c r="BC1430"/>
    </row>
    <row r="1431" spans="1:55" s="282" customFormat="1" x14ac:dyDescent="0.25">
      <c r="A1431"/>
      <c r="B1431"/>
      <c r="C1431" s="3"/>
      <c r="D1431"/>
      <c r="E1431"/>
      <c r="F1431"/>
      <c r="G1431" s="3"/>
      <c r="H1431" s="3"/>
      <c r="I1431" s="3"/>
      <c r="J1431" s="288"/>
      <c r="L1431" s="288"/>
      <c r="M1431" s="288"/>
      <c r="N1431" s="288"/>
      <c r="O1431" s="288"/>
      <c r="P1431" s="288"/>
      <c r="Q1431" s="288"/>
      <c r="R1431" s="283"/>
      <c r="S1431" s="280"/>
      <c r="T1431" s="276"/>
      <c r="U1431" s="276"/>
      <c r="V1431" s="276"/>
      <c r="W1431" s="283"/>
      <c r="X1431" s="280"/>
      <c r="Y1431" s="280"/>
      <c r="Z1431" s="280"/>
      <c r="AA1431" s="280"/>
      <c r="AB1431" s="280"/>
      <c r="AC1431" s="280"/>
      <c r="AD1431" s="280"/>
      <c r="AG1431" s="3"/>
      <c r="AH1431" s="3"/>
      <c r="AI1431" s="3"/>
      <c r="AJ1431" s="3"/>
      <c r="AK1431" s="3"/>
      <c r="AL1431" s="3"/>
      <c r="AM1431" s="3"/>
      <c r="AN1431" s="3"/>
      <c r="AO1431" s="3"/>
      <c r="AP1431" s="11"/>
      <c r="AQ1431" s="11"/>
      <c r="AR1431" s="3"/>
      <c r="AS1431" s="3"/>
      <c r="AT1431" s="3"/>
      <c r="AU1431" s="3"/>
      <c r="AV1431" s="3"/>
      <c r="AW1431" s="3"/>
      <c r="AX1431" s="11"/>
      <c r="AZ1431"/>
      <c r="BA1431"/>
      <c r="BB1431"/>
      <c r="BC1431"/>
    </row>
    <row r="1432" spans="1:55" s="282" customFormat="1" x14ac:dyDescent="0.25">
      <c r="A1432"/>
      <c r="B1432"/>
      <c r="C1432" s="3"/>
      <c r="D1432"/>
      <c r="E1432"/>
      <c r="F1432"/>
      <c r="G1432" s="3"/>
      <c r="H1432" s="3"/>
      <c r="I1432" s="3"/>
      <c r="J1432" s="288"/>
      <c r="L1432" s="288"/>
      <c r="M1432" s="288"/>
      <c r="N1432" s="288"/>
      <c r="O1432" s="288"/>
      <c r="P1432" s="288"/>
      <c r="Q1432" s="288"/>
      <c r="R1432" s="283"/>
      <c r="S1432" s="280"/>
      <c r="T1432" s="276"/>
      <c r="U1432" s="276"/>
      <c r="V1432" s="276"/>
      <c r="W1432" s="283"/>
      <c r="X1432" s="280"/>
      <c r="Y1432" s="280"/>
      <c r="Z1432" s="280"/>
      <c r="AA1432" s="280"/>
      <c r="AB1432" s="280"/>
      <c r="AC1432" s="280"/>
      <c r="AD1432" s="280"/>
      <c r="AG1432" s="3"/>
      <c r="AH1432" s="3"/>
      <c r="AI1432" s="3"/>
      <c r="AJ1432" s="3"/>
      <c r="AK1432" s="3"/>
      <c r="AL1432" s="3"/>
      <c r="AM1432" s="3"/>
      <c r="AN1432" s="3"/>
      <c r="AO1432" s="3"/>
      <c r="AP1432" s="11"/>
      <c r="AQ1432" s="11"/>
      <c r="AR1432" s="3"/>
      <c r="AS1432" s="3"/>
      <c r="AT1432" s="3"/>
      <c r="AU1432" s="3"/>
      <c r="AV1432" s="3"/>
      <c r="AW1432" s="3"/>
      <c r="AX1432" s="11"/>
      <c r="AZ1432"/>
      <c r="BA1432"/>
      <c r="BB1432"/>
      <c r="BC1432"/>
    </row>
    <row r="1433" spans="1:55" s="282" customFormat="1" x14ac:dyDescent="0.25">
      <c r="A1433"/>
      <c r="B1433"/>
      <c r="C1433" s="3"/>
      <c r="D1433"/>
      <c r="E1433"/>
      <c r="F1433"/>
      <c r="G1433" s="3"/>
      <c r="H1433" s="3"/>
      <c r="I1433" s="3"/>
      <c r="J1433" s="288"/>
      <c r="L1433" s="288"/>
      <c r="M1433" s="288"/>
      <c r="N1433" s="288"/>
      <c r="O1433" s="288"/>
      <c r="P1433" s="288"/>
      <c r="Q1433" s="288"/>
      <c r="R1433" s="283"/>
      <c r="S1433" s="280"/>
      <c r="T1433" s="276"/>
      <c r="U1433" s="276"/>
      <c r="V1433" s="276"/>
      <c r="W1433" s="283"/>
      <c r="X1433" s="280"/>
      <c r="Y1433" s="280"/>
      <c r="Z1433" s="280"/>
      <c r="AA1433" s="280"/>
      <c r="AB1433" s="280"/>
      <c r="AC1433" s="280"/>
      <c r="AD1433" s="280"/>
      <c r="AG1433" s="3"/>
      <c r="AH1433" s="3"/>
      <c r="AI1433" s="3"/>
      <c r="AJ1433" s="3"/>
      <c r="AK1433" s="3"/>
      <c r="AL1433" s="3"/>
      <c r="AM1433" s="3"/>
      <c r="AN1433" s="3"/>
      <c r="AO1433" s="3"/>
      <c r="AP1433" s="11"/>
      <c r="AQ1433" s="11"/>
      <c r="AR1433" s="3"/>
      <c r="AS1433" s="3"/>
      <c r="AT1433" s="3"/>
      <c r="AU1433" s="3"/>
      <c r="AV1433" s="3"/>
      <c r="AW1433" s="3"/>
      <c r="AX1433" s="11"/>
      <c r="AZ1433"/>
      <c r="BA1433"/>
      <c r="BB1433"/>
      <c r="BC1433"/>
    </row>
    <row r="1434" spans="1:55" s="282" customFormat="1" x14ac:dyDescent="0.25">
      <c r="A1434"/>
      <c r="B1434"/>
      <c r="C1434" s="3"/>
      <c r="D1434"/>
      <c r="E1434"/>
      <c r="F1434"/>
      <c r="G1434" s="3"/>
      <c r="H1434" s="3"/>
      <c r="I1434" s="3"/>
      <c r="J1434" s="288"/>
      <c r="L1434" s="288"/>
      <c r="M1434" s="288"/>
      <c r="N1434" s="288"/>
      <c r="O1434" s="288"/>
      <c r="P1434" s="288"/>
      <c r="Q1434" s="288"/>
      <c r="R1434" s="283"/>
      <c r="S1434" s="280"/>
      <c r="T1434" s="276"/>
      <c r="U1434" s="276"/>
      <c r="V1434" s="276"/>
      <c r="W1434" s="283"/>
      <c r="X1434" s="280"/>
      <c r="Y1434" s="280"/>
      <c r="Z1434" s="280"/>
      <c r="AA1434" s="280"/>
      <c r="AB1434" s="280"/>
      <c r="AC1434" s="280"/>
      <c r="AD1434" s="280"/>
      <c r="AG1434" s="3"/>
      <c r="AH1434" s="3"/>
      <c r="AI1434" s="3"/>
      <c r="AJ1434" s="3"/>
      <c r="AK1434" s="3"/>
      <c r="AL1434" s="3"/>
      <c r="AM1434" s="3"/>
      <c r="AN1434" s="3"/>
      <c r="AO1434" s="3"/>
      <c r="AP1434" s="11"/>
      <c r="AQ1434" s="11"/>
      <c r="AR1434" s="3"/>
      <c r="AS1434" s="3"/>
      <c r="AT1434" s="3"/>
      <c r="AU1434" s="3"/>
      <c r="AV1434" s="3"/>
      <c r="AW1434" s="3"/>
      <c r="AX1434" s="11"/>
      <c r="AZ1434"/>
      <c r="BA1434"/>
      <c r="BB1434"/>
      <c r="BC1434"/>
    </row>
    <row r="1435" spans="1:55" s="282" customFormat="1" x14ac:dyDescent="0.25">
      <c r="A1435"/>
      <c r="B1435"/>
      <c r="C1435" s="3"/>
      <c r="D1435"/>
      <c r="E1435"/>
      <c r="F1435"/>
      <c r="G1435" s="3"/>
      <c r="H1435" s="3"/>
      <c r="I1435" s="3"/>
      <c r="J1435" s="288"/>
      <c r="L1435" s="288"/>
      <c r="M1435" s="288"/>
      <c r="N1435" s="288"/>
      <c r="O1435" s="288"/>
      <c r="P1435" s="288"/>
      <c r="Q1435" s="288"/>
      <c r="R1435" s="283"/>
      <c r="S1435" s="280"/>
      <c r="T1435" s="276"/>
      <c r="U1435" s="276"/>
      <c r="V1435" s="276"/>
      <c r="W1435" s="283"/>
      <c r="X1435" s="280"/>
      <c r="Y1435" s="280"/>
      <c r="Z1435" s="280"/>
      <c r="AA1435" s="280"/>
      <c r="AB1435" s="280"/>
      <c r="AC1435" s="280"/>
      <c r="AD1435" s="280"/>
      <c r="AG1435" s="3"/>
      <c r="AH1435" s="3"/>
      <c r="AI1435" s="3"/>
      <c r="AJ1435" s="3"/>
      <c r="AK1435" s="3"/>
      <c r="AL1435" s="3"/>
      <c r="AM1435" s="3"/>
      <c r="AN1435" s="3"/>
      <c r="AO1435" s="3"/>
      <c r="AP1435" s="11"/>
      <c r="AQ1435" s="11"/>
      <c r="AR1435" s="3"/>
      <c r="AS1435" s="3"/>
      <c r="AT1435" s="3"/>
      <c r="AU1435" s="3"/>
      <c r="AV1435" s="3"/>
      <c r="AW1435" s="3"/>
      <c r="AX1435" s="11"/>
      <c r="AZ1435"/>
      <c r="BA1435"/>
      <c r="BB1435"/>
      <c r="BC1435"/>
    </row>
    <row r="1436" spans="1:55" s="282" customFormat="1" x14ac:dyDescent="0.25">
      <c r="A1436"/>
      <c r="B1436"/>
      <c r="C1436" s="3"/>
      <c r="D1436"/>
      <c r="E1436"/>
      <c r="F1436"/>
      <c r="G1436" s="3"/>
      <c r="H1436" s="3"/>
      <c r="I1436" s="3"/>
      <c r="J1436" s="288"/>
      <c r="L1436" s="288"/>
      <c r="M1436" s="288"/>
      <c r="N1436" s="288"/>
      <c r="O1436" s="288"/>
      <c r="P1436" s="288"/>
      <c r="Q1436" s="288"/>
      <c r="R1436" s="283"/>
      <c r="S1436" s="280"/>
      <c r="T1436" s="276"/>
      <c r="U1436" s="276"/>
      <c r="V1436" s="276"/>
      <c r="W1436" s="283"/>
      <c r="X1436" s="280"/>
      <c r="Y1436" s="280"/>
      <c r="Z1436" s="280"/>
      <c r="AA1436" s="280"/>
      <c r="AB1436" s="280"/>
      <c r="AC1436" s="280"/>
      <c r="AD1436" s="280"/>
      <c r="AG1436" s="3"/>
      <c r="AH1436" s="3"/>
      <c r="AI1436" s="3"/>
      <c r="AJ1436" s="3"/>
      <c r="AK1436" s="3"/>
      <c r="AL1436" s="3"/>
      <c r="AM1436" s="3"/>
      <c r="AN1436" s="3"/>
      <c r="AO1436" s="3"/>
      <c r="AP1436" s="11"/>
      <c r="AQ1436" s="11"/>
      <c r="AR1436" s="3"/>
      <c r="AS1436" s="3"/>
      <c r="AT1436" s="3"/>
      <c r="AU1436" s="3"/>
      <c r="AV1436" s="3"/>
      <c r="AW1436" s="3"/>
      <c r="AX1436" s="11"/>
      <c r="AZ1436"/>
      <c r="BA1436"/>
      <c r="BB1436"/>
      <c r="BC1436"/>
    </row>
    <row r="1437" spans="1:55" s="282" customFormat="1" x14ac:dyDescent="0.25">
      <c r="A1437"/>
      <c r="B1437"/>
      <c r="C1437" s="3"/>
      <c r="D1437"/>
      <c r="E1437"/>
      <c r="F1437"/>
      <c r="G1437" s="3"/>
      <c r="H1437" s="3"/>
      <c r="I1437" s="3"/>
      <c r="J1437" s="288"/>
      <c r="L1437" s="288"/>
      <c r="M1437" s="288"/>
      <c r="N1437" s="288"/>
      <c r="O1437" s="288"/>
      <c r="P1437" s="288"/>
      <c r="Q1437" s="288"/>
      <c r="R1437" s="283"/>
      <c r="S1437" s="280"/>
      <c r="T1437" s="276"/>
      <c r="U1437" s="276"/>
      <c r="V1437" s="276"/>
      <c r="W1437" s="283"/>
      <c r="X1437" s="280"/>
      <c r="Y1437" s="280"/>
      <c r="Z1437" s="280"/>
      <c r="AA1437" s="280"/>
      <c r="AB1437" s="280"/>
      <c r="AC1437" s="280"/>
      <c r="AD1437" s="280"/>
      <c r="AG1437" s="3"/>
      <c r="AH1437" s="3"/>
      <c r="AI1437" s="3"/>
      <c r="AJ1437" s="3"/>
      <c r="AK1437" s="3"/>
      <c r="AL1437" s="3"/>
      <c r="AM1437" s="3"/>
      <c r="AN1437" s="3"/>
      <c r="AO1437" s="3"/>
      <c r="AP1437" s="11"/>
      <c r="AQ1437" s="11"/>
      <c r="AR1437" s="3"/>
      <c r="AS1437" s="3"/>
      <c r="AT1437" s="3"/>
      <c r="AU1437" s="3"/>
      <c r="AV1437" s="3"/>
      <c r="AW1437" s="3"/>
      <c r="AX1437" s="11"/>
      <c r="AZ1437"/>
      <c r="BA1437"/>
      <c r="BB1437"/>
      <c r="BC1437"/>
    </row>
    <row r="1438" spans="1:55" s="282" customFormat="1" x14ac:dyDescent="0.25">
      <c r="A1438"/>
      <c r="B1438"/>
      <c r="C1438" s="3"/>
      <c r="D1438"/>
      <c r="E1438"/>
      <c r="F1438"/>
      <c r="G1438" s="3"/>
      <c r="H1438" s="3"/>
      <c r="I1438" s="3"/>
      <c r="J1438" s="288"/>
      <c r="L1438" s="288"/>
      <c r="M1438" s="288"/>
      <c r="N1438" s="288"/>
      <c r="O1438" s="288"/>
      <c r="P1438" s="288"/>
      <c r="Q1438" s="288"/>
      <c r="R1438" s="283"/>
      <c r="S1438" s="280"/>
      <c r="T1438" s="276"/>
      <c r="U1438" s="276"/>
      <c r="V1438" s="276"/>
      <c r="W1438" s="283"/>
      <c r="X1438" s="280"/>
      <c r="Y1438" s="280"/>
      <c r="Z1438" s="280"/>
      <c r="AA1438" s="280"/>
      <c r="AB1438" s="280"/>
      <c r="AC1438" s="280"/>
      <c r="AD1438" s="280"/>
      <c r="AG1438" s="3"/>
      <c r="AH1438" s="3"/>
      <c r="AI1438" s="3"/>
      <c r="AJ1438" s="3"/>
      <c r="AK1438" s="3"/>
      <c r="AL1438" s="3"/>
      <c r="AM1438" s="3"/>
      <c r="AN1438" s="3"/>
      <c r="AO1438" s="3"/>
      <c r="AP1438" s="11"/>
      <c r="AQ1438" s="11"/>
      <c r="AR1438" s="3"/>
      <c r="AS1438" s="3"/>
      <c r="AT1438" s="3"/>
      <c r="AU1438" s="3"/>
      <c r="AV1438" s="3"/>
      <c r="AW1438" s="3"/>
      <c r="AX1438" s="11"/>
      <c r="AZ1438"/>
      <c r="BA1438"/>
      <c r="BB1438"/>
      <c r="BC1438"/>
    </row>
    <row r="1439" spans="1:55" s="282" customFormat="1" x14ac:dyDescent="0.25">
      <c r="A1439"/>
      <c r="B1439"/>
      <c r="C1439" s="3"/>
      <c r="D1439"/>
      <c r="E1439"/>
      <c r="F1439"/>
      <c r="G1439" s="3"/>
      <c r="H1439" s="3"/>
      <c r="I1439" s="3"/>
      <c r="J1439" s="288"/>
      <c r="L1439" s="288"/>
      <c r="M1439" s="288"/>
      <c r="N1439" s="288"/>
      <c r="O1439" s="288"/>
      <c r="P1439" s="288"/>
      <c r="Q1439" s="288"/>
      <c r="R1439" s="283"/>
      <c r="S1439" s="280"/>
      <c r="T1439" s="276"/>
      <c r="U1439" s="276"/>
      <c r="V1439" s="276"/>
      <c r="W1439" s="283"/>
      <c r="X1439" s="280"/>
      <c r="Y1439" s="280"/>
      <c r="Z1439" s="280"/>
      <c r="AA1439" s="280"/>
      <c r="AB1439" s="280"/>
      <c r="AC1439" s="280"/>
      <c r="AD1439" s="280"/>
      <c r="AG1439" s="3"/>
      <c r="AH1439" s="3"/>
      <c r="AI1439" s="3"/>
      <c r="AJ1439" s="3"/>
      <c r="AK1439" s="3"/>
      <c r="AL1439" s="3"/>
      <c r="AM1439" s="3"/>
      <c r="AN1439" s="3"/>
      <c r="AO1439" s="3"/>
      <c r="AP1439" s="11"/>
      <c r="AQ1439" s="11"/>
      <c r="AR1439" s="3"/>
      <c r="AS1439" s="3"/>
      <c r="AT1439" s="3"/>
      <c r="AU1439" s="3"/>
      <c r="AV1439" s="3"/>
      <c r="AW1439" s="3"/>
      <c r="AX1439" s="11"/>
      <c r="AZ1439"/>
      <c r="BA1439"/>
      <c r="BB1439"/>
      <c r="BC1439"/>
    </row>
    <row r="1440" spans="1:55" s="282" customFormat="1" x14ac:dyDescent="0.25">
      <c r="A1440"/>
      <c r="B1440"/>
      <c r="C1440" s="3"/>
      <c r="D1440"/>
      <c r="E1440"/>
      <c r="F1440"/>
      <c r="G1440" s="3"/>
      <c r="H1440" s="3"/>
      <c r="I1440" s="3"/>
      <c r="J1440" s="288"/>
      <c r="L1440" s="288"/>
      <c r="M1440" s="288"/>
      <c r="N1440" s="288"/>
      <c r="O1440" s="288"/>
      <c r="P1440" s="288"/>
      <c r="Q1440" s="288"/>
      <c r="R1440" s="283"/>
      <c r="S1440" s="280"/>
      <c r="T1440" s="276"/>
      <c r="U1440" s="276"/>
      <c r="V1440" s="276"/>
      <c r="W1440" s="283"/>
      <c r="X1440" s="280"/>
      <c r="Y1440" s="280"/>
      <c r="Z1440" s="280"/>
      <c r="AA1440" s="280"/>
      <c r="AB1440" s="280"/>
      <c r="AC1440" s="280"/>
      <c r="AD1440" s="280"/>
      <c r="AG1440" s="3"/>
      <c r="AH1440" s="3"/>
      <c r="AI1440" s="3"/>
      <c r="AJ1440" s="3"/>
      <c r="AK1440" s="3"/>
      <c r="AL1440" s="3"/>
      <c r="AM1440" s="3"/>
      <c r="AN1440" s="3"/>
      <c r="AO1440" s="3"/>
      <c r="AP1440" s="11"/>
      <c r="AQ1440" s="11"/>
      <c r="AR1440" s="3"/>
      <c r="AS1440" s="3"/>
      <c r="AT1440" s="3"/>
      <c r="AU1440" s="3"/>
      <c r="AV1440" s="3"/>
      <c r="AW1440" s="3"/>
      <c r="AX1440" s="11"/>
      <c r="AZ1440"/>
      <c r="BA1440"/>
      <c r="BB1440"/>
      <c r="BC1440"/>
    </row>
    <row r="1441" spans="1:55" s="282" customFormat="1" x14ac:dyDescent="0.25">
      <c r="A1441"/>
      <c r="B1441"/>
      <c r="C1441" s="3"/>
      <c r="D1441"/>
      <c r="E1441"/>
      <c r="F1441"/>
      <c r="G1441" s="3"/>
      <c r="H1441" s="3"/>
      <c r="I1441" s="3"/>
      <c r="J1441" s="288"/>
      <c r="L1441" s="288"/>
      <c r="M1441" s="288"/>
      <c r="N1441" s="288"/>
      <c r="O1441" s="288"/>
      <c r="P1441" s="288"/>
      <c r="Q1441" s="288"/>
      <c r="R1441" s="283"/>
      <c r="S1441" s="280"/>
      <c r="T1441" s="276"/>
      <c r="U1441" s="276"/>
      <c r="V1441" s="276"/>
      <c r="W1441" s="283"/>
      <c r="X1441" s="280"/>
      <c r="Y1441" s="280"/>
      <c r="Z1441" s="280"/>
      <c r="AA1441" s="280"/>
      <c r="AB1441" s="280"/>
      <c r="AC1441" s="280"/>
      <c r="AD1441" s="280"/>
      <c r="AG1441" s="3"/>
      <c r="AH1441" s="3"/>
      <c r="AI1441" s="3"/>
      <c r="AJ1441" s="3"/>
      <c r="AK1441" s="3"/>
      <c r="AL1441" s="3"/>
      <c r="AM1441" s="3"/>
      <c r="AN1441" s="3"/>
      <c r="AO1441" s="3"/>
      <c r="AP1441" s="11"/>
      <c r="AQ1441" s="11"/>
      <c r="AR1441" s="3"/>
      <c r="AS1441" s="3"/>
      <c r="AT1441" s="3"/>
      <c r="AU1441" s="3"/>
      <c r="AV1441" s="3"/>
      <c r="AW1441" s="3"/>
      <c r="AX1441" s="11"/>
      <c r="AZ1441"/>
      <c r="BA1441"/>
      <c r="BB1441"/>
      <c r="BC1441"/>
    </row>
    <row r="1442" spans="1:55" s="282" customFormat="1" x14ac:dyDescent="0.25">
      <c r="A1442"/>
      <c r="B1442"/>
      <c r="C1442" s="3"/>
      <c r="D1442"/>
      <c r="E1442"/>
      <c r="F1442"/>
      <c r="G1442" s="3"/>
      <c r="H1442" s="3"/>
      <c r="I1442" s="3"/>
      <c r="J1442" s="288"/>
      <c r="L1442" s="288"/>
      <c r="M1442" s="288"/>
      <c r="N1442" s="288"/>
      <c r="O1442" s="288"/>
      <c r="P1442" s="288"/>
      <c r="Q1442" s="288"/>
      <c r="R1442" s="283"/>
      <c r="S1442" s="280"/>
      <c r="T1442" s="276"/>
      <c r="U1442" s="276"/>
      <c r="V1442" s="276"/>
      <c r="W1442" s="283"/>
      <c r="X1442" s="280"/>
      <c r="Y1442" s="280"/>
      <c r="Z1442" s="280"/>
      <c r="AA1442" s="280"/>
      <c r="AB1442" s="280"/>
      <c r="AC1442" s="280"/>
      <c r="AD1442" s="280"/>
      <c r="AG1442" s="3"/>
      <c r="AH1442" s="3"/>
      <c r="AI1442" s="3"/>
      <c r="AJ1442" s="3"/>
      <c r="AK1442" s="3"/>
      <c r="AL1442" s="3"/>
      <c r="AM1442" s="3"/>
      <c r="AN1442" s="3"/>
      <c r="AO1442" s="3"/>
      <c r="AP1442" s="11"/>
      <c r="AQ1442" s="11"/>
      <c r="AR1442" s="3"/>
      <c r="AS1442" s="3"/>
      <c r="AT1442" s="3"/>
      <c r="AU1442" s="3"/>
      <c r="AV1442" s="3"/>
      <c r="AW1442" s="3"/>
      <c r="AX1442" s="11"/>
      <c r="AZ1442"/>
      <c r="BA1442"/>
      <c r="BB1442"/>
      <c r="BC1442"/>
    </row>
    <row r="1443" spans="1:55" s="282" customFormat="1" x14ac:dyDescent="0.25">
      <c r="A1443"/>
      <c r="B1443"/>
      <c r="C1443" s="3"/>
      <c r="D1443"/>
      <c r="E1443"/>
      <c r="F1443"/>
      <c r="G1443" s="3"/>
      <c r="H1443" s="3"/>
      <c r="I1443" s="3"/>
      <c r="J1443" s="288"/>
      <c r="L1443" s="288"/>
      <c r="M1443" s="288"/>
      <c r="N1443" s="288"/>
      <c r="O1443" s="288"/>
      <c r="P1443" s="288"/>
      <c r="Q1443" s="288"/>
      <c r="R1443" s="283"/>
      <c r="S1443" s="280"/>
      <c r="T1443" s="276"/>
      <c r="U1443" s="276"/>
      <c r="V1443" s="276"/>
      <c r="W1443" s="283"/>
      <c r="X1443" s="280"/>
      <c r="Y1443" s="280"/>
      <c r="Z1443" s="280"/>
      <c r="AA1443" s="280"/>
      <c r="AB1443" s="280"/>
      <c r="AC1443" s="280"/>
      <c r="AD1443" s="280"/>
      <c r="AG1443" s="3"/>
      <c r="AH1443" s="3"/>
      <c r="AI1443" s="3"/>
      <c r="AJ1443" s="3"/>
      <c r="AK1443" s="3"/>
      <c r="AL1443" s="3"/>
      <c r="AM1443" s="3"/>
      <c r="AN1443" s="3"/>
      <c r="AO1443" s="3"/>
      <c r="AP1443" s="11"/>
      <c r="AQ1443" s="11"/>
      <c r="AR1443" s="3"/>
      <c r="AS1443" s="3"/>
      <c r="AT1443" s="3"/>
      <c r="AU1443" s="3"/>
      <c r="AV1443" s="3"/>
      <c r="AW1443" s="3"/>
      <c r="AX1443" s="11"/>
      <c r="AZ1443"/>
      <c r="BA1443"/>
      <c r="BB1443"/>
      <c r="BC1443"/>
    </row>
    <row r="1444" spans="1:55" s="282" customFormat="1" x14ac:dyDescent="0.25">
      <c r="A1444"/>
      <c r="B1444"/>
      <c r="C1444" s="3"/>
      <c r="D1444"/>
      <c r="E1444"/>
      <c r="F1444"/>
      <c r="G1444" s="3"/>
      <c r="H1444" s="3"/>
      <c r="I1444" s="3"/>
      <c r="J1444" s="288"/>
      <c r="L1444" s="288"/>
      <c r="M1444" s="288"/>
      <c r="N1444" s="288"/>
      <c r="O1444" s="288"/>
      <c r="P1444" s="288"/>
      <c r="Q1444" s="288"/>
      <c r="R1444" s="283"/>
      <c r="S1444" s="280"/>
      <c r="T1444" s="276"/>
      <c r="U1444" s="276"/>
      <c r="V1444" s="276"/>
      <c r="W1444" s="283"/>
      <c r="X1444" s="280"/>
      <c r="Y1444" s="280"/>
      <c r="Z1444" s="280"/>
      <c r="AA1444" s="280"/>
      <c r="AB1444" s="280"/>
      <c r="AC1444" s="280"/>
      <c r="AD1444" s="280"/>
      <c r="AG1444" s="3"/>
      <c r="AH1444" s="3"/>
      <c r="AI1444" s="3"/>
      <c r="AJ1444" s="3"/>
      <c r="AK1444" s="3"/>
      <c r="AL1444" s="3"/>
      <c r="AM1444" s="3"/>
      <c r="AN1444" s="3"/>
      <c r="AO1444" s="3"/>
      <c r="AP1444" s="11"/>
      <c r="AQ1444" s="11"/>
      <c r="AR1444" s="3"/>
      <c r="AS1444" s="3"/>
      <c r="AT1444" s="3"/>
      <c r="AU1444" s="3"/>
      <c r="AV1444" s="3"/>
      <c r="AW1444" s="3"/>
      <c r="AX1444" s="11"/>
      <c r="AZ1444"/>
      <c r="BA1444"/>
      <c r="BB1444"/>
      <c r="BC1444"/>
    </row>
    <row r="1445" spans="1:55" s="282" customFormat="1" x14ac:dyDescent="0.25">
      <c r="A1445"/>
      <c r="B1445"/>
      <c r="C1445" s="3"/>
      <c r="D1445"/>
      <c r="E1445"/>
      <c r="F1445"/>
      <c r="G1445" s="3"/>
      <c r="H1445" s="3"/>
      <c r="I1445" s="3"/>
      <c r="J1445" s="288"/>
      <c r="L1445" s="288"/>
      <c r="M1445" s="288"/>
      <c r="N1445" s="288"/>
      <c r="O1445" s="288"/>
      <c r="P1445" s="288"/>
      <c r="Q1445" s="288"/>
      <c r="R1445" s="283"/>
      <c r="S1445" s="280"/>
      <c r="T1445" s="276"/>
      <c r="U1445" s="276"/>
      <c r="V1445" s="276"/>
      <c r="W1445" s="283"/>
      <c r="X1445" s="280"/>
      <c r="Y1445" s="280"/>
      <c r="Z1445" s="280"/>
      <c r="AA1445" s="280"/>
      <c r="AB1445" s="280"/>
      <c r="AC1445" s="280"/>
      <c r="AD1445" s="280"/>
      <c r="AG1445" s="3"/>
      <c r="AH1445" s="3"/>
      <c r="AI1445" s="3"/>
      <c r="AJ1445" s="3"/>
      <c r="AK1445" s="3"/>
      <c r="AL1445" s="3"/>
      <c r="AM1445" s="3"/>
      <c r="AN1445" s="3"/>
      <c r="AO1445" s="3"/>
      <c r="AP1445" s="11"/>
      <c r="AQ1445" s="11"/>
      <c r="AR1445" s="3"/>
      <c r="AS1445" s="3"/>
      <c r="AT1445" s="3"/>
      <c r="AU1445" s="3"/>
      <c r="AV1445" s="3"/>
      <c r="AW1445" s="3"/>
      <c r="AX1445" s="11"/>
      <c r="AZ1445"/>
      <c r="BA1445"/>
      <c r="BB1445"/>
      <c r="BC1445"/>
    </row>
    <row r="1446" spans="1:55" s="282" customFormat="1" x14ac:dyDescent="0.25">
      <c r="A1446"/>
      <c r="B1446"/>
      <c r="C1446" s="3"/>
      <c r="D1446"/>
      <c r="E1446"/>
      <c r="F1446"/>
      <c r="G1446" s="3"/>
      <c r="H1446" s="3"/>
      <c r="I1446" s="3"/>
      <c r="J1446" s="288"/>
      <c r="L1446" s="288"/>
      <c r="M1446" s="288"/>
      <c r="N1446" s="288"/>
      <c r="O1446" s="288"/>
      <c r="P1446" s="288"/>
      <c r="Q1446" s="288"/>
      <c r="R1446" s="283"/>
      <c r="S1446" s="280"/>
      <c r="T1446" s="276"/>
      <c r="U1446" s="276"/>
      <c r="V1446" s="276"/>
      <c r="W1446" s="283"/>
      <c r="X1446" s="280"/>
      <c r="Y1446" s="280"/>
      <c r="Z1446" s="280"/>
      <c r="AA1446" s="280"/>
      <c r="AB1446" s="280"/>
      <c r="AC1446" s="280"/>
      <c r="AD1446" s="280"/>
      <c r="AG1446" s="3"/>
      <c r="AH1446" s="3"/>
      <c r="AI1446" s="3"/>
      <c r="AJ1446" s="3"/>
      <c r="AK1446" s="3"/>
      <c r="AL1446" s="3"/>
      <c r="AM1446" s="3"/>
      <c r="AN1446" s="3"/>
      <c r="AO1446" s="3"/>
      <c r="AP1446" s="11"/>
      <c r="AQ1446" s="11"/>
      <c r="AR1446" s="3"/>
      <c r="AS1446" s="3"/>
      <c r="AT1446" s="3"/>
      <c r="AU1446" s="3"/>
      <c r="AV1446" s="3"/>
      <c r="AW1446" s="3"/>
      <c r="AX1446" s="11"/>
      <c r="AZ1446"/>
      <c r="BA1446"/>
      <c r="BB1446"/>
      <c r="BC1446"/>
    </row>
    <row r="1447" spans="1:55" s="282" customFormat="1" x14ac:dyDescent="0.25">
      <c r="A1447"/>
      <c r="B1447"/>
      <c r="C1447" s="3"/>
      <c r="D1447"/>
      <c r="E1447"/>
      <c r="F1447"/>
      <c r="G1447" s="3"/>
      <c r="H1447" s="3"/>
      <c r="I1447" s="3"/>
      <c r="J1447" s="288"/>
      <c r="L1447" s="288"/>
      <c r="M1447" s="288"/>
      <c r="N1447" s="288"/>
      <c r="O1447" s="288"/>
      <c r="P1447" s="288"/>
      <c r="Q1447" s="288"/>
      <c r="R1447" s="283"/>
      <c r="S1447" s="280"/>
      <c r="T1447" s="276"/>
      <c r="U1447" s="276"/>
      <c r="V1447" s="276"/>
      <c r="W1447" s="283"/>
      <c r="X1447" s="280"/>
      <c r="Y1447" s="280"/>
      <c r="Z1447" s="280"/>
      <c r="AA1447" s="280"/>
      <c r="AB1447" s="280"/>
      <c r="AC1447" s="280"/>
      <c r="AD1447" s="280"/>
      <c r="AG1447" s="3"/>
      <c r="AH1447" s="3"/>
      <c r="AI1447" s="3"/>
      <c r="AJ1447" s="3"/>
      <c r="AK1447" s="3"/>
      <c r="AL1447" s="3"/>
      <c r="AM1447" s="3"/>
      <c r="AN1447" s="3"/>
      <c r="AO1447" s="3"/>
      <c r="AP1447" s="11"/>
      <c r="AQ1447" s="11"/>
      <c r="AR1447" s="3"/>
      <c r="AS1447" s="3"/>
      <c r="AT1447" s="3"/>
      <c r="AU1447" s="3"/>
      <c r="AV1447" s="3"/>
      <c r="AW1447" s="3"/>
      <c r="AX1447" s="11"/>
      <c r="AZ1447"/>
      <c r="BA1447"/>
      <c r="BB1447"/>
      <c r="BC1447"/>
    </row>
    <row r="1448" spans="1:55" s="282" customFormat="1" x14ac:dyDescent="0.25">
      <c r="A1448"/>
      <c r="B1448"/>
      <c r="C1448" s="3"/>
      <c r="D1448"/>
      <c r="E1448"/>
      <c r="F1448"/>
      <c r="G1448" s="3"/>
      <c r="H1448" s="3"/>
      <c r="I1448" s="3"/>
      <c r="J1448" s="288"/>
      <c r="L1448" s="288"/>
      <c r="M1448" s="288"/>
      <c r="N1448" s="288"/>
      <c r="O1448" s="288"/>
      <c r="P1448" s="288"/>
      <c r="Q1448" s="288"/>
      <c r="R1448" s="283"/>
      <c r="S1448" s="280"/>
      <c r="T1448" s="276"/>
      <c r="U1448" s="276"/>
      <c r="V1448" s="276"/>
      <c r="W1448" s="283"/>
      <c r="X1448" s="280"/>
      <c r="Y1448" s="280"/>
      <c r="Z1448" s="280"/>
      <c r="AA1448" s="280"/>
      <c r="AB1448" s="280"/>
      <c r="AC1448" s="280"/>
      <c r="AD1448" s="280"/>
      <c r="AG1448" s="3"/>
      <c r="AH1448" s="3"/>
      <c r="AI1448" s="3"/>
      <c r="AJ1448" s="3"/>
      <c r="AK1448" s="3"/>
      <c r="AL1448" s="3"/>
      <c r="AM1448" s="3"/>
      <c r="AN1448" s="3"/>
      <c r="AO1448" s="3"/>
      <c r="AP1448" s="11"/>
      <c r="AQ1448" s="11"/>
      <c r="AR1448" s="3"/>
      <c r="AS1448" s="3"/>
      <c r="AT1448" s="3"/>
      <c r="AU1448" s="3"/>
      <c r="AV1448" s="3"/>
      <c r="AW1448" s="3"/>
      <c r="AX1448" s="11"/>
      <c r="AZ1448"/>
      <c r="BA1448"/>
      <c r="BB1448"/>
      <c r="BC1448"/>
    </row>
    <row r="1449" spans="1:55" s="282" customFormat="1" x14ac:dyDescent="0.25">
      <c r="A1449"/>
      <c r="B1449"/>
      <c r="C1449" s="3"/>
      <c r="D1449"/>
      <c r="E1449"/>
      <c r="F1449"/>
      <c r="G1449" s="3"/>
      <c r="H1449" s="3"/>
      <c r="I1449" s="3"/>
      <c r="J1449" s="288"/>
      <c r="L1449" s="288"/>
      <c r="M1449" s="288"/>
      <c r="N1449" s="288"/>
      <c r="O1449" s="288"/>
      <c r="P1449" s="288"/>
      <c r="Q1449" s="288"/>
      <c r="R1449" s="283"/>
      <c r="S1449" s="280"/>
      <c r="T1449" s="276"/>
      <c r="U1449" s="276"/>
      <c r="V1449" s="276"/>
      <c r="W1449" s="283"/>
      <c r="X1449" s="280"/>
      <c r="Y1449" s="280"/>
      <c r="Z1449" s="280"/>
      <c r="AA1449" s="280"/>
      <c r="AB1449" s="280"/>
      <c r="AC1449" s="280"/>
      <c r="AD1449" s="280"/>
      <c r="AG1449" s="3"/>
      <c r="AH1449" s="3"/>
      <c r="AI1449" s="3"/>
      <c r="AJ1449" s="3"/>
      <c r="AK1449" s="3"/>
      <c r="AL1449" s="3"/>
      <c r="AM1449" s="3"/>
      <c r="AN1449" s="3"/>
      <c r="AO1449" s="3"/>
      <c r="AP1449" s="11"/>
      <c r="AQ1449" s="11"/>
      <c r="AR1449" s="3"/>
      <c r="AS1449" s="3"/>
      <c r="AT1449" s="3"/>
      <c r="AU1449" s="3"/>
      <c r="AV1449" s="3"/>
      <c r="AW1449" s="3"/>
      <c r="AX1449" s="11"/>
      <c r="AZ1449"/>
      <c r="BA1449"/>
      <c r="BB1449"/>
      <c r="BC1449"/>
    </row>
    <row r="1450" spans="1:55" s="282" customFormat="1" x14ac:dyDescent="0.25">
      <c r="A1450"/>
      <c r="B1450"/>
      <c r="C1450" s="3"/>
      <c r="D1450"/>
      <c r="E1450"/>
      <c r="F1450"/>
      <c r="G1450" s="3"/>
      <c r="H1450" s="3"/>
      <c r="I1450" s="3"/>
      <c r="J1450" s="288"/>
      <c r="L1450" s="288"/>
      <c r="M1450" s="288"/>
      <c r="N1450" s="288"/>
      <c r="O1450" s="288"/>
      <c r="P1450" s="288"/>
      <c r="Q1450" s="288"/>
      <c r="R1450" s="283"/>
      <c r="S1450" s="280"/>
      <c r="T1450" s="276"/>
      <c r="U1450" s="276"/>
      <c r="V1450" s="276"/>
      <c r="W1450" s="283"/>
      <c r="X1450" s="280"/>
      <c r="Y1450" s="280"/>
      <c r="Z1450" s="280"/>
      <c r="AA1450" s="280"/>
      <c r="AB1450" s="280"/>
      <c r="AC1450" s="280"/>
      <c r="AD1450" s="280"/>
      <c r="AG1450" s="3"/>
      <c r="AH1450" s="3"/>
      <c r="AI1450" s="3"/>
      <c r="AJ1450" s="3"/>
      <c r="AK1450" s="3"/>
      <c r="AL1450" s="3"/>
      <c r="AM1450" s="3"/>
      <c r="AN1450" s="3"/>
      <c r="AO1450" s="3"/>
      <c r="AP1450" s="11"/>
      <c r="AQ1450" s="11"/>
      <c r="AR1450" s="3"/>
      <c r="AS1450" s="3"/>
      <c r="AT1450" s="3"/>
      <c r="AU1450" s="3"/>
      <c r="AV1450" s="3"/>
      <c r="AW1450" s="3"/>
      <c r="AX1450" s="11"/>
      <c r="AZ1450"/>
      <c r="BA1450"/>
      <c r="BB1450"/>
      <c r="BC1450"/>
    </row>
    <row r="1451" spans="1:55" s="282" customFormat="1" x14ac:dyDescent="0.25">
      <c r="A1451"/>
      <c r="B1451"/>
      <c r="C1451" s="3"/>
      <c r="D1451"/>
      <c r="E1451"/>
      <c r="F1451"/>
      <c r="G1451" s="3"/>
      <c r="H1451" s="3"/>
      <c r="I1451" s="3"/>
      <c r="J1451" s="288"/>
      <c r="L1451" s="288"/>
      <c r="M1451" s="288"/>
      <c r="N1451" s="288"/>
      <c r="O1451" s="288"/>
      <c r="P1451" s="288"/>
      <c r="Q1451" s="288"/>
      <c r="R1451" s="283"/>
      <c r="S1451" s="280"/>
      <c r="T1451" s="276"/>
      <c r="U1451" s="276"/>
      <c r="V1451" s="276"/>
      <c r="W1451" s="283"/>
      <c r="X1451" s="280"/>
      <c r="Y1451" s="280"/>
      <c r="Z1451" s="280"/>
      <c r="AA1451" s="280"/>
      <c r="AB1451" s="280"/>
      <c r="AC1451" s="280"/>
      <c r="AD1451" s="280"/>
      <c r="AG1451" s="3"/>
      <c r="AH1451" s="3"/>
      <c r="AI1451" s="3"/>
      <c r="AJ1451" s="3"/>
      <c r="AK1451" s="3"/>
      <c r="AL1451" s="3"/>
      <c r="AM1451" s="3"/>
      <c r="AN1451" s="3"/>
      <c r="AO1451" s="3"/>
      <c r="AP1451" s="11"/>
      <c r="AQ1451" s="11"/>
      <c r="AR1451" s="3"/>
      <c r="AS1451" s="3"/>
      <c r="AT1451" s="3"/>
      <c r="AU1451" s="3"/>
      <c r="AV1451" s="3"/>
      <c r="AW1451" s="3"/>
      <c r="AX1451" s="11"/>
      <c r="AZ1451"/>
      <c r="BA1451"/>
      <c r="BB1451"/>
      <c r="BC1451"/>
    </row>
    <row r="1452" spans="1:55" s="282" customFormat="1" x14ac:dyDescent="0.25">
      <c r="A1452"/>
      <c r="B1452"/>
      <c r="C1452" s="3"/>
      <c r="D1452"/>
      <c r="E1452"/>
      <c r="F1452"/>
      <c r="G1452" s="3"/>
      <c r="H1452" s="3"/>
      <c r="I1452" s="3"/>
      <c r="J1452" s="288"/>
      <c r="L1452" s="288"/>
      <c r="M1452" s="288"/>
      <c r="N1452" s="288"/>
      <c r="O1452" s="288"/>
      <c r="P1452" s="288"/>
      <c r="Q1452" s="288"/>
      <c r="R1452" s="283"/>
      <c r="S1452" s="280"/>
      <c r="T1452" s="276"/>
      <c r="U1452" s="276"/>
      <c r="V1452" s="276"/>
      <c r="W1452" s="283"/>
      <c r="X1452" s="280"/>
      <c r="Y1452" s="280"/>
      <c r="Z1452" s="280"/>
      <c r="AA1452" s="280"/>
      <c r="AB1452" s="280"/>
      <c r="AC1452" s="280"/>
      <c r="AD1452" s="280"/>
      <c r="AG1452" s="3"/>
      <c r="AH1452" s="3"/>
      <c r="AI1452" s="3"/>
      <c r="AJ1452" s="3"/>
      <c r="AK1452" s="3"/>
      <c r="AL1452" s="3"/>
      <c r="AM1452" s="3"/>
      <c r="AN1452" s="3"/>
      <c r="AO1452" s="3"/>
      <c r="AP1452" s="11"/>
      <c r="AQ1452" s="11"/>
      <c r="AR1452" s="3"/>
      <c r="AS1452" s="3"/>
      <c r="AT1452" s="3"/>
      <c r="AU1452" s="3"/>
      <c r="AV1452" s="3"/>
      <c r="AW1452" s="3"/>
      <c r="AX1452" s="11"/>
      <c r="AZ1452"/>
      <c r="BA1452"/>
      <c r="BB1452"/>
      <c r="BC1452"/>
    </row>
    <row r="1453" spans="1:55" s="282" customFormat="1" x14ac:dyDescent="0.25">
      <c r="A1453"/>
      <c r="B1453"/>
      <c r="C1453" s="3"/>
      <c r="D1453"/>
      <c r="E1453"/>
      <c r="F1453"/>
      <c r="G1453" s="3"/>
      <c r="H1453" s="3"/>
      <c r="I1453" s="3"/>
      <c r="J1453" s="288"/>
      <c r="L1453" s="288"/>
      <c r="M1453" s="288"/>
      <c r="N1453" s="288"/>
      <c r="O1453" s="288"/>
      <c r="P1453" s="288"/>
      <c r="Q1453" s="288"/>
      <c r="R1453" s="283"/>
      <c r="S1453" s="280"/>
      <c r="T1453" s="276"/>
      <c r="U1453" s="276"/>
      <c r="V1453" s="276"/>
      <c r="W1453" s="283"/>
      <c r="X1453" s="280"/>
      <c r="Y1453" s="280"/>
      <c r="Z1453" s="280"/>
      <c r="AA1453" s="280"/>
      <c r="AB1453" s="280"/>
      <c r="AC1453" s="280"/>
      <c r="AD1453" s="280"/>
      <c r="AG1453" s="3"/>
      <c r="AH1453" s="3"/>
      <c r="AI1453" s="3"/>
      <c r="AJ1453" s="3"/>
      <c r="AK1453" s="3"/>
      <c r="AL1453" s="3"/>
      <c r="AM1453" s="3"/>
      <c r="AN1453" s="3"/>
      <c r="AO1453" s="3"/>
      <c r="AP1453" s="11"/>
      <c r="AQ1453" s="11"/>
      <c r="AR1453" s="3"/>
      <c r="AS1453" s="3"/>
      <c r="AT1453" s="3"/>
      <c r="AU1453" s="3"/>
      <c r="AV1453" s="3"/>
      <c r="AW1453" s="3"/>
      <c r="AX1453" s="11"/>
      <c r="AZ1453"/>
      <c r="BA1453"/>
      <c r="BB1453"/>
      <c r="BC1453"/>
    </row>
    <row r="1454" spans="1:55" s="282" customFormat="1" x14ac:dyDescent="0.25">
      <c r="A1454"/>
      <c r="B1454"/>
      <c r="C1454" s="3"/>
      <c r="D1454"/>
      <c r="E1454"/>
      <c r="F1454"/>
      <c r="G1454" s="3"/>
      <c r="H1454" s="3"/>
      <c r="I1454" s="3"/>
      <c r="J1454" s="288"/>
      <c r="L1454" s="288"/>
      <c r="M1454" s="288"/>
      <c r="N1454" s="288"/>
      <c r="O1454" s="288"/>
      <c r="P1454" s="288"/>
      <c r="Q1454" s="288"/>
      <c r="R1454" s="283"/>
      <c r="S1454" s="280"/>
      <c r="T1454" s="276"/>
      <c r="U1454" s="276"/>
      <c r="V1454" s="276"/>
      <c r="W1454" s="283"/>
      <c r="X1454" s="280"/>
      <c r="Y1454" s="280"/>
      <c r="Z1454" s="280"/>
      <c r="AA1454" s="280"/>
      <c r="AB1454" s="280"/>
      <c r="AC1454" s="280"/>
      <c r="AD1454" s="280"/>
      <c r="AG1454" s="3"/>
      <c r="AH1454" s="3"/>
      <c r="AI1454" s="3"/>
      <c r="AJ1454" s="3"/>
      <c r="AK1454" s="3"/>
      <c r="AL1454" s="3"/>
      <c r="AM1454" s="3"/>
      <c r="AN1454" s="3"/>
      <c r="AO1454" s="3"/>
      <c r="AP1454" s="11"/>
      <c r="AQ1454" s="11"/>
      <c r="AR1454" s="3"/>
      <c r="AS1454" s="3"/>
      <c r="AT1454" s="3"/>
      <c r="AU1454" s="3"/>
      <c r="AV1454" s="3"/>
      <c r="AW1454" s="3"/>
      <c r="AX1454" s="11"/>
      <c r="AZ1454"/>
      <c r="BA1454"/>
      <c r="BB1454"/>
      <c r="BC1454"/>
    </row>
    <row r="1455" spans="1:55" s="282" customFormat="1" x14ac:dyDescent="0.25">
      <c r="A1455"/>
      <c r="B1455"/>
      <c r="C1455" s="3"/>
      <c r="D1455"/>
      <c r="E1455"/>
      <c r="F1455"/>
      <c r="G1455" s="3"/>
      <c r="H1455" s="3"/>
      <c r="I1455" s="3"/>
      <c r="J1455" s="288"/>
      <c r="L1455" s="288"/>
      <c r="M1455" s="288"/>
      <c r="N1455" s="288"/>
      <c r="O1455" s="288"/>
      <c r="P1455" s="288"/>
      <c r="Q1455" s="288"/>
      <c r="R1455" s="283"/>
      <c r="S1455" s="280"/>
      <c r="T1455" s="276"/>
      <c r="U1455" s="276"/>
      <c r="V1455" s="276"/>
      <c r="W1455" s="283"/>
      <c r="X1455" s="280"/>
      <c r="Y1455" s="280"/>
      <c r="Z1455" s="280"/>
      <c r="AA1455" s="280"/>
      <c r="AB1455" s="280"/>
      <c r="AC1455" s="280"/>
      <c r="AD1455" s="280"/>
      <c r="AG1455" s="3"/>
      <c r="AH1455" s="3"/>
      <c r="AI1455" s="3"/>
      <c r="AJ1455" s="3"/>
      <c r="AK1455" s="3"/>
      <c r="AL1455" s="3"/>
      <c r="AM1455" s="3"/>
      <c r="AN1455" s="3"/>
      <c r="AO1455" s="3"/>
      <c r="AP1455" s="11"/>
      <c r="AQ1455" s="11"/>
      <c r="AR1455" s="3"/>
      <c r="AS1455" s="3"/>
      <c r="AT1455" s="3"/>
      <c r="AU1455" s="3"/>
      <c r="AV1455" s="3"/>
      <c r="AW1455" s="3"/>
      <c r="AX1455" s="11"/>
      <c r="AZ1455"/>
      <c r="BA1455"/>
      <c r="BB1455"/>
      <c r="BC1455"/>
    </row>
    <row r="1456" spans="1:55" s="282" customFormat="1" x14ac:dyDescent="0.25">
      <c r="A1456"/>
      <c r="B1456"/>
      <c r="C1456" s="3"/>
      <c r="D1456"/>
      <c r="E1456"/>
      <c r="F1456"/>
      <c r="G1456" s="3"/>
      <c r="H1456" s="3"/>
      <c r="I1456" s="3"/>
      <c r="J1456" s="288"/>
      <c r="L1456" s="288"/>
      <c r="M1456" s="288"/>
      <c r="N1456" s="288"/>
      <c r="O1456" s="288"/>
      <c r="P1456" s="288"/>
      <c r="Q1456" s="288"/>
      <c r="R1456" s="283"/>
      <c r="S1456" s="280"/>
      <c r="T1456" s="276"/>
      <c r="U1456" s="276"/>
      <c r="V1456" s="276"/>
      <c r="W1456" s="283"/>
      <c r="X1456" s="280"/>
      <c r="Y1456" s="280"/>
      <c r="Z1456" s="280"/>
      <c r="AA1456" s="280"/>
      <c r="AB1456" s="280"/>
      <c r="AC1456" s="280"/>
      <c r="AD1456" s="280"/>
      <c r="AG1456" s="3"/>
      <c r="AH1456" s="3"/>
      <c r="AI1456" s="3"/>
      <c r="AJ1456" s="3"/>
      <c r="AK1456" s="3"/>
      <c r="AL1456" s="3"/>
      <c r="AM1456" s="3"/>
      <c r="AN1456" s="3"/>
      <c r="AO1456" s="3"/>
      <c r="AP1456" s="11"/>
      <c r="AQ1456" s="11"/>
      <c r="AR1456" s="3"/>
      <c r="AS1456" s="3"/>
      <c r="AT1456" s="3"/>
      <c r="AU1456" s="3"/>
      <c r="AV1456" s="3"/>
      <c r="AW1456" s="3"/>
      <c r="AX1456" s="11"/>
      <c r="AZ1456"/>
      <c r="BA1456"/>
      <c r="BB1456"/>
      <c r="BC1456"/>
    </row>
    <row r="1457" spans="1:55" s="282" customFormat="1" x14ac:dyDescent="0.25">
      <c r="A1457"/>
      <c r="B1457"/>
      <c r="C1457" s="3"/>
      <c r="D1457"/>
      <c r="E1457"/>
      <c r="F1457"/>
      <c r="G1457" s="3"/>
      <c r="H1457" s="3"/>
      <c r="I1457" s="3"/>
      <c r="J1457" s="288"/>
      <c r="L1457" s="288"/>
      <c r="M1457" s="288"/>
      <c r="N1457" s="288"/>
      <c r="O1457" s="288"/>
      <c r="P1457" s="288"/>
      <c r="Q1457" s="288"/>
      <c r="R1457" s="283"/>
      <c r="S1457" s="280"/>
      <c r="T1457" s="276"/>
      <c r="U1457" s="276"/>
      <c r="V1457" s="276"/>
      <c r="W1457" s="283"/>
      <c r="X1457" s="280"/>
      <c r="Y1457" s="280"/>
      <c r="Z1457" s="280"/>
      <c r="AA1457" s="280"/>
      <c r="AB1457" s="280"/>
      <c r="AC1457" s="280"/>
      <c r="AD1457" s="280"/>
      <c r="AG1457" s="3"/>
      <c r="AH1457" s="3"/>
      <c r="AI1457" s="3"/>
      <c r="AJ1457" s="3"/>
      <c r="AK1457" s="3"/>
      <c r="AL1457" s="3"/>
      <c r="AM1457" s="3"/>
      <c r="AN1457" s="3"/>
      <c r="AO1457" s="3"/>
      <c r="AP1457" s="11"/>
      <c r="AQ1457" s="11"/>
      <c r="AR1457" s="3"/>
      <c r="AS1457" s="3"/>
      <c r="AT1457" s="3"/>
      <c r="AU1457" s="3"/>
      <c r="AV1457" s="3"/>
      <c r="AW1457" s="3"/>
      <c r="AX1457" s="11"/>
      <c r="AZ1457"/>
      <c r="BA1457"/>
      <c r="BB1457"/>
      <c r="BC1457"/>
    </row>
    <row r="1458" spans="1:55" s="282" customFormat="1" x14ac:dyDescent="0.25">
      <c r="A1458"/>
      <c r="B1458"/>
      <c r="C1458" s="3"/>
      <c r="D1458"/>
      <c r="E1458"/>
      <c r="F1458"/>
      <c r="G1458" s="3"/>
      <c r="H1458" s="3"/>
      <c r="I1458" s="3"/>
      <c r="J1458" s="288"/>
      <c r="L1458" s="288"/>
      <c r="M1458" s="288"/>
      <c r="N1458" s="288"/>
      <c r="O1458" s="288"/>
      <c r="P1458" s="288"/>
      <c r="Q1458" s="288"/>
      <c r="R1458" s="283"/>
      <c r="S1458" s="280"/>
      <c r="T1458" s="276"/>
      <c r="U1458" s="276"/>
      <c r="V1458" s="276"/>
      <c r="W1458" s="283"/>
      <c r="X1458" s="280"/>
      <c r="Y1458" s="280"/>
      <c r="Z1458" s="280"/>
      <c r="AA1458" s="280"/>
      <c r="AB1458" s="280"/>
      <c r="AC1458" s="280"/>
      <c r="AD1458" s="280"/>
      <c r="AG1458" s="3"/>
      <c r="AH1458" s="3"/>
      <c r="AI1458" s="3"/>
      <c r="AJ1458" s="3"/>
      <c r="AK1458" s="3"/>
      <c r="AL1458" s="3"/>
      <c r="AM1458" s="3"/>
      <c r="AN1458" s="3"/>
      <c r="AO1458" s="3"/>
      <c r="AP1458" s="11"/>
      <c r="AQ1458" s="11"/>
      <c r="AR1458" s="3"/>
      <c r="AS1458" s="3"/>
      <c r="AT1458" s="3"/>
      <c r="AU1458" s="3"/>
      <c r="AV1458" s="3"/>
      <c r="AW1458" s="3"/>
      <c r="AX1458" s="11"/>
      <c r="AZ1458"/>
      <c r="BA1458"/>
      <c r="BB1458"/>
      <c r="BC1458"/>
    </row>
    <row r="1459" spans="1:55" s="282" customFormat="1" x14ac:dyDescent="0.25">
      <c r="A1459"/>
      <c r="B1459"/>
      <c r="C1459" s="3"/>
      <c r="D1459"/>
      <c r="E1459"/>
      <c r="F1459"/>
      <c r="G1459" s="3"/>
      <c r="H1459" s="3"/>
      <c r="I1459" s="3"/>
      <c r="J1459" s="288"/>
      <c r="L1459" s="288"/>
      <c r="M1459" s="288"/>
      <c r="N1459" s="288"/>
      <c r="O1459" s="288"/>
      <c r="P1459" s="288"/>
      <c r="Q1459" s="288"/>
      <c r="R1459" s="283"/>
      <c r="S1459" s="280"/>
      <c r="T1459" s="276"/>
      <c r="U1459" s="276"/>
      <c r="V1459" s="276"/>
      <c r="W1459" s="283"/>
      <c r="X1459" s="280"/>
      <c r="Y1459" s="280"/>
      <c r="Z1459" s="280"/>
      <c r="AA1459" s="280"/>
      <c r="AB1459" s="280"/>
      <c r="AC1459" s="280"/>
      <c r="AD1459" s="280"/>
      <c r="AG1459" s="3"/>
      <c r="AH1459" s="3"/>
      <c r="AI1459" s="3"/>
      <c r="AJ1459" s="3"/>
      <c r="AK1459" s="3"/>
      <c r="AL1459" s="3"/>
      <c r="AM1459" s="3"/>
      <c r="AN1459" s="3"/>
      <c r="AO1459" s="3"/>
      <c r="AP1459" s="11"/>
      <c r="AQ1459" s="11"/>
      <c r="AR1459" s="3"/>
      <c r="AS1459" s="3"/>
      <c r="AT1459" s="3"/>
      <c r="AU1459" s="3"/>
      <c r="AV1459" s="3"/>
      <c r="AW1459" s="3"/>
      <c r="AX1459" s="11"/>
      <c r="AZ1459"/>
      <c r="BA1459"/>
      <c r="BB1459"/>
      <c r="BC1459"/>
    </row>
    <row r="1460" spans="1:55" s="282" customFormat="1" x14ac:dyDescent="0.25">
      <c r="A1460"/>
      <c r="B1460"/>
      <c r="C1460" s="3"/>
      <c r="D1460"/>
      <c r="E1460"/>
      <c r="F1460"/>
      <c r="G1460" s="3"/>
      <c r="H1460" s="3"/>
      <c r="I1460" s="3"/>
      <c r="J1460" s="288"/>
      <c r="L1460" s="288"/>
      <c r="M1460" s="288"/>
      <c r="N1460" s="288"/>
      <c r="O1460" s="288"/>
      <c r="P1460" s="288"/>
      <c r="Q1460" s="288"/>
      <c r="R1460" s="283"/>
      <c r="S1460" s="280"/>
      <c r="T1460" s="276"/>
      <c r="U1460" s="276"/>
      <c r="V1460" s="276"/>
      <c r="W1460" s="283"/>
      <c r="X1460" s="280"/>
      <c r="Y1460" s="280"/>
      <c r="Z1460" s="280"/>
      <c r="AA1460" s="280"/>
      <c r="AB1460" s="280"/>
      <c r="AC1460" s="280"/>
      <c r="AD1460" s="280"/>
      <c r="AG1460" s="3"/>
      <c r="AH1460" s="3"/>
      <c r="AI1460" s="3"/>
      <c r="AJ1460" s="3"/>
      <c r="AK1460" s="3"/>
      <c r="AL1460" s="3"/>
      <c r="AM1460" s="3"/>
      <c r="AN1460" s="3"/>
      <c r="AO1460" s="3"/>
      <c r="AP1460" s="11"/>
      <c r="AQ1460" s="11"/>
      <c r="AR1460" s="3"/>
      <c r="AS1460" s="3"/>
      <c r="AT1460" s="3"/>
      <c r="AU1460" s="3"/>
      <c r="AV1460" s="3"/>
      <c r="AW1460" s="3"/>
      <c r="AX1460" s="11"/>
      <c r="AZ1460"/>
      <c r="BA1460"/>
      <c r="BB1460"/>
      <c r="BC1460"/>
    </row>
    <row r="1461" spans="1:55" s="282" customFormat="1" x14ac:dyDescent="0.25">
      <c r="A1461"/>
      <c r="B1461"/>
      <c r="C1461" s="3"/>
      <c r="D1461"/>
      <c r="E1461"/>
      <c r="F1461"/>
      <c r="G1461" s="3"/>
      <c r="H1461" s="3"/>
      <c r="I1461" s="3"/>
      <c r="J1461" s="288"/>
      <c r="L1461" s="288"/>
      <c r="M1461" s="288"/>
      <c r="N1461" s="288"/>
      <c r="O1461" s="288"/>
      <c r="P1461" s="288"/>
      <c r="Q1461" s="288"/>
      <c r="R1461" s="283"/>
      <c r="S1461" s="280"/>
      <c r="T1461" s="276"/>
      <c r="U1461" s="276"/>
      <c r="V1461" s="276"/>
      <c r="W1461" s="283"/>
      <c r="X1461" s="280"/>
      <c r="Y1461" s="280"/>
      <c r="Z1461" s="280"/>
      <c r="AA1461" s="280"/>
      <c r="AB1461" s="280"/>
      <c r="AC1461" s="280"/>
      <c r="AD1461" s="280"/>
      <c r="AG1461" s="3"/>
      <c r="AH1461" s="3"/>
      <c r="AI1461" s="3"/>
      <c r="AJ1461" s="3"/>
      <c r="AK1461" s="3"/>
      <c r="AL1461" s="3"/>
      <c r="AM1461" s="3"/>
      <c r="AN1461" s="3"/>
      <c r="AO1461" s="3"/>
      <c r="AP1461" s="11"/>
      <c r="AQ1461" s="11"/>
      <c r="AR1461" s="3"/>
      <c r="AS1461" s="3"/>
      <c r="AT1461" s="3"/>
      <c r="AU1461" s="3"/>
      <c r="AV1461" s="3"/>
      <c r="AW1461" s="3"/>
      <c r="AX1461" s="11"/>
      <c r="AZ1461"/>
      <c r="BA1461"/>
      <c r="BB1461"/>
      <c r="BC1461"/>
    </row>
    <row r="1462" spans="1:55" s="282" customFormat="1" x14ac:dyDescent="0.25">
      <c r="A1462"/>
      <c r="B1462"/>
      <c r="C1462" s="3"/>
      <c r="D1462"/>
      <c r="E1462"/>
      <c r="F1462"/>
      <c r="G1462" s="3"/>
      <c r="H1462" s="3"/>
      <c r="I1462" s="3"/>
      <c r="J1462" s="288"/>
      <c r="L1462" s="288"/>
      <c r="M1462" s="288"/>
      <c r="N1462" s="288"/>
      <c r="O1462" s="288"/>
      <c r="P1462" s="288"/>
      <c r="Q1462" s="288"/>
      <c r="R1462" s="283"/>
      <c r="S1462" s="280"/>
      <c r="T1462" s="276"/>
      <c r="U1462" s="276"/>
      <c r="V1462" s="276"/>
      <c r="W1462" s="283"/>
      <c r="X1462" s="280"/>
      <c r="Y1462" s="280"/>
      <c r="Z1462" s="280"/>
      <c r="AA1462" s="280"/>
      <c r="AB1462" s="280"/>
      <c r="AC1462" s="280"/>
      <c r="AD1462" s="280"/>
      <c r="AG1462" s="3"/>
      <c r="AH1462" s="3"/>
      <c r="AI1462" s="3"/>
      <c r="AJ1462" s="3"/>
      <c r="AK1462" s="3"/>
      <c r="AL1462" s="3"/>
      <c r="AM1462" s="3"/>
      <c r="AN1462" s="3"/>
      <c r="AO1462" s="3"/>
      <c r="AP1462" s="11"/>
      <c r="AQ1462" s="11"/>
      <c r="AR1462" s="3"/>
      <c r="AS1462" s="3"/>
      <c r="AT1462" s="3"/>
      <c r="AU1462" s="3"/>
      <c r="AV1462" s="3"/>
      <c r="AW1462" s="3"/>
      <c r="AX1462" s="11"/>
      <c r="AZ1462"/>
      <c r="BA1462"/>
      <c r="BB1462"/>
      <c r="BC1462"/>
    </row>
    <row r="1463" spans="1:55" s="282" customFormat="1" x14ac:dyDescent="0.25">
      <c r="A1463"/>
      <c r="B1463"/>
      <c r="C1463" s="3"/>
      <c r="D1463"/>
      <c r="E1463"/>
      <c r="F1463"/>
      <c r="G1463" s="3"/>
      <c r="H1463" s="3"/>
      <c r="I1463" s="3"/>
      <c r="J1463" s="288"/>
      <c r="L1463" s="288"/>
      <c r="M1463" s="288"/>
      <c r="N1463" s="288"/>
      <c r="O1463" s="288"/>
      <c r="P1463" s="288"/>
      <c r="Q1463" s="288"/>
      <c r="R1463" s="283"/>
      <c r="S1463" s="280"/>
      <c r="T1463" s="276"/>
      <c r="U1463" s="276"/>
      <c r="V1463" s="276"/>
      <c r="W1463" s="283"/>
      <c r="X1463" s="280"/>
      <c r="Y1463" s="280"/>
      <c r="Z1463" s="280"/>
      <c r="AA1463" s="280"/>
      <c r="AB1463" s="280"/>
      <c r="AC1463" s="280"/>
      <c r="AD1463" s="280"/>
      <c r="AG1463" s="3"/>
      <c r="AH1463" s="3"/>
      <c r="AI1463" s="3"/>
      <c r="AJ1463" s="3"/>
      <c r="AK1463" s="3"/>
      <c r="AL1463" s="3"/>
      <c r="AM1463" s="3"/>
      <c r="AN1463" s="3"/>
      <c r="AO1463" s="3"/>
      <c r="AP1463" s="11"/>
      <c r="AQ1463" s="11"/>
      <c r="AR1463" s="3"/>
      <c r="AS1463" s="3"/>
      <c r="AT1463" s="3"/>
      <c r="AU1463" s="3"/>
      <c r="AV1463" s="3"/>
      <c r="AW1463" s="3"/>
      <c r="AX1463" s="11"/>
      <c r="AZ1463"/>
      <c r="BA1463"/>
      <c r="BB1463"/>
      <c r="BC1463"/>
    </row>
    <row r="1464" spans="1:55" s="282" customFormat="1" x14ac:dyDescent="0.25">
      <c r="A1464"/>
      <c r="B1464"/>
      <c r="C1464" s="3"/>
      <c r="D1464"/>
      <c r="E1464"/>
      <c r="F1464"/>
      <c r="G1464" s="3"/>
      <c r="H1464" s="3"/>
      <c r="I1464" s="3"/>
      <c r="J1464" s="288"/>
      <c r="L1464" s="288"/>
      <c r="M1464" s="288"/>
      <c r="N1464" s="288"/>
      <c r="O1464" s="288"/>
      <c r="P1464" s="288"/>
      <c r="Q1464" s="288"/>
      <c r="R1464" s="283"/>
      <c r="S1464" s="280"/>
      <c r="T1464" s="276"/>
      <c r="U1464" s="276"/>
      <c r="V1464" s="276"/>
      <c r="W1464" s="283"/>
      <c r="X1464" s="280"/>
      <c r="Y1464" s="280"/>
      <c r="Z1464" s="280"/>
      <c r="AA1464" s="280"/>
      <c r="AB1464" s="280"/>
      <c r="AC1464" s="280"/>
      <c r="AD1464" s="280"/>
      <c r="AG1464" s="3"/>
      <c r="AH1464" s="3"/>
      <c r="AI1464" s="3"/>
      <c r="AJ1464" s="3"/>
      <c r="AK1464" s="3"/>
      <c r="AL1464" s="3"/>
      <c r="AM1464" s="3"/>
      <c r="AN1464" s="3"/>
      <c r="AO1464" s="3"/>
      <c r="AP1464" s="11"/>
      <c r="AQ1464" s="11"/>
      <c r="AR1464" s="3"/>
      <c r="AS1464" s="3"/>
      <c r="AT1464" s="3"/>
      <c r="AU1464" s="3"/>
      <c r="AV1464" s="3"/>
      <c r="AW1464" s="3"/>
      <c r="AX1464" s="11"/>
      <c r="AZ1464"/>
      <c r="BA1464"/>
      <c r="BB1464"/>
      <c r="BC1464"/>
    </row>
    <row r="1465" spans="1:55" s="282" customFormat="1" x14ac:dyDescent="0.25">
      <c r="A1465"/>
      <c r="B1465"/>
      <c r="C1465" s="3"/>
      <c r="D1465"/>
      <c r="E1465"/>
      <c r="F1465"/>
      <c r="G1465" s="3"/>
      <c r="H1465" s="3"/>
      <c r="I1465" s="3"/>
      <c r="J1465" s="288"/>
      <c r="L1465" s="288"/>
      <c r="M1465" s="288"/>
      <c r="N1465" s="288"/>
      <c r="O1465" s="288"/>
      <c r="P1465" s="288"/>
      <c r="Q1465" s="288"/>
      <c r="R1465" s="283"/>
      <c r="S1465" s="280"/>
      <c r="T1465" s="276"/>
      <c r="U1465" s="276"/>
      <c r="V1465" s="276"/>
      <c r="W1465" s="283"/>
      <c r="X1465" s="280"/>
      <c r="Y1465" s="280"/>
      <c r="Z1465" s="280"/>
      <c r="AA1465" s="280"/>
      <c r="AB1465" s="280"/>
      <c r="AC1465" s="280"/>
      <c r="AD1465" s="280"/>
      <c r="AG1465" s="3"/>
      <c r="AH1465" s="3"/>
      <c r="AI1465" s="3"/>
      <c r="AJ1465" s="3"/>
      <c r="AK1465" s="3"/>
      <c r="AL1465" s="3"/>
      <c r="AM1465" s="3"/>
      <c r="AN1465" s="3"/>
      <c r="AO1465" s="3"/>
      <c r="AP1465" s="11"/>
      <c r="AQ1465" s="11"/>
      <c r="AR1465" s="3"/>
      <c r="AS1465" s="3"/>
      <c r="AT1465" s="3"/>
      <c r="AU1465" s="3"/>
      <c r="AV1465" s="3"/>
      <c r="AW1465" s="3"/>
      <c r="AX1465" s="11"/>
      <c r="AZ1465"/>
      <c r="BA1465"/>
      <c r="BB1465"/>
      <c r="BC1465"/>
    </row>
    <row r="1466" spans="1:55" s="282" customFormat="1" x14ac:dyDescent="0.25">
      <c r="A1466"/>
      <c r="B1466"/>
      <c r="C1466" s="3"/>
      <c r="D1466"/>
      <c r="E1466"/>
      <c r="F1466"/>
      <c r="G1466" s="3"/>
      <c r="H1466" s="3"/>
      <c r="I1466" s="3"/>
      <c r="J1466" s="288"/>
      <c r="L1466" s="288"/>
      <c r="M1466" s="288"/>
      <c r="N1466" s="288"/>
      <c r="O1466" s="288"/>
      <c r="P1466" s="288"/>
      <c r="Q1466" s="288"/>
      <c r="R1466" s="283"/>
      <c r="S1466" s="280"/>
      <c r="T1466" s="276"/>
      <c r="U1466" s="276"/>
      <c r="V1466" s="276"/>
      <c r="W1466" s="283"/>
      <c r="X1466" s="280"/>
      <c r="Y1466" s="280"/>
      <c r="Z1466" s="280"/>
      <c r="AA1466" s="280"/>
      <c r="AB1466" s="280"/>
      <c r="AC1466" s="280"/>
      <c r="AD1466" s="280"/>
      <c r="AG1466" s="3"/>
      <c r="AH1466" s="3"/>
      <c r="AI1466" s="3"/>
      <c r="AJ1466" s="3"/>
      <c r="AK1466" s="3"/>
      <c r="AL1466" s="3"/>
      <c r="AM1466" s="3"/>
      <c r="AN1466" s="3"/>
      <c r="AO1466" s="3"/>
      <c r="AP1466" s="11"/>
      <c r="AQ1466" s="11"/>
      <c r="AR1466" s="3"/>
      <c r="AS1466" s="3"/>
      <c r="AT1466" s="3"/>
      <c r="AU1466" s="3"/>
      <c r="AV1466" s="3"/>
      <c r="AW1466" s="3"/>
      <c r="AX1466" s="11"/>
      <c r="AZ1466"/>
      <c r="BA1466"/>
      <c r="BB1466"/>
      <c r="BC1466"/>
    </row>
    <row r="1467" spans="1:55" s="282" customFormat="1" x14ac:dyDescent="0.25">
      <c r="A1467"/>
      <c r="B1467"/>
      <c r="C1467" s="3"/>
      <c r="D1467"/>
      <c r="E1467"/>
      <c r="F1467"/>
      <c r="G1467" s="3"/>
      <c r="H1467" s="3"/>
      <c r="I1467" s="3"/>
      <c r="J1467" s="288"/>
      <c r="L1467" s="288"/>
      <c r="M1467" s="288"/>
      <c r="N1467" s="288"/>
      <c r="O1467" s="288"/>
      <c r="P1467" s="288"/>
      <c r="Q1467" s="288"/>
      <c r="R1467" s="283"/>
      <c r="S1467" s="280"/>
      <c r="T1467" s="276"/>
      <c r="U1467" s="276"/>
      <c r="V1467" s="276"/>
      <c r="W1467" s="283"/>
      <c r="X1467" s="280"/>
      <c r="Y1467" s="280"/>
      <c r="Z1467" s="280"/>
      <c r="AA1467" s="280"/>
      <c r="AB1467" s="280"/>
      <c r="AC1467" s="280"/>
      <c r="AD1467" s="280"/>
      <c r="AG1467" s="3"/>
      <c r="AH1467" s="3"/>
      <c r="AI1467" s="3"/>
      <c r="AJ1467" s="3"/>
      <c r="AK1467" s="3"/>
      <c r="AL1467" s="3"/>
      <c r="AM1467" s="3"/>
      <c r="AN1467" s="3"/>
      <c r="AO1467" s="3"/>
      <c r="AP1467" s="11"/>
      <c r="AQ1467" s="11"/>
      <c r="AR1467" s="3"/>
      <c r="AS1467" s="3"/>
      <c r="AT1467" s="3"/>
      <c r="AU1467" s="3"/>
      <c r="AV1467" s="3"/>
      <c r="AW1467" s="3"/>
      <c r="AX1467" s="11"/>
      <c r="AZ1467"/>
      <c r="BA1467"/>
      <c r="BB1467"/>
      <c r="BC1467"/>
    </row>
    <row r="1468" spans="1:55" s="282" customFormat="1" x14ac:dyDescent="0.25">
      <c r="A1468"/>
      <c r="B1468"/>
      <c r="C1468" s="3"/>
      <c r="D1468"/>
      <c r="E1468"/>
      <c r="F1468"/>
      <c r="G1468" s="3"/>
      <c r="H1468" s="3"/>
      <c r="I1468" s="3"/>
      <c r="J1468" s="288"/>
      <c r="L1468" s="288"/>
      <c r="M1468" s="288"/>
      <c r="N1468" s="288"/>
      <c r="O1468" s="288"/>
      <c r="P1468" s="288"/>
      <c r="Q1468" s="288"/>
      <c r="R1468" s="283"/>
      <c r="S1468" s="280"/>
      <c r="T1468" s="276"/>
      <c r="U1468" s="276"/>
      <c r="V1468" s="276"/>
      <c r="W1468" s="283"/>
      <c r="X1468" s="280"/>
      <c r="Y1468" s="280"/>
      <c r="Z1468" s="280"/>
      <c r="AA1468" s="280"/>
      <c r="AB1468" s="280"/>
      <c r="AC1468" s="280"/>
      <c r="AD1468" s="280"/>
      <c r="AG1468" s="3"/>
      <c r="AH1468" s="3"/>
      <c r="AI1468" s="3"/>
      <c r="AJ1468" s="3"/>
      <c r="AK1468" s="3"/>
      <c r="AL1468" s="3"/>
      <c r="AM1468" s="3"/>
      <c r="AN1468" s="3"/>
      <c r="AO1468" s="3"/>
      <c r="AP1468" s="11"/>
      <c r="AQ1468" s="11"/>
      <c r="AR1468" s="3"/>
      <c r="AS1468" s="3"/>
      <c r="AT1468" s="3"/>
      <c r="AU1468" s="3"/>
      <c r="AV1468" s="3"/>
      <c r="AW1468" s="3"/>
      <c r="AX1468" s="11"/>
      <c r="AZ1468"/>
      <c r="BA1468"/>
      <c r="BB1468"/>
      <c r="BC1468"/>
    </row>
    <row r="1469" spans="1:55" s="282" customFormat="1" x14ac:dyDescent="0.25">
      <c r="A1469"/>
      <c r="B1469"/>
      <c r="C1469" s="3"/>
      <c r="D1469"/>
      <c r="E1469"/>
      <c r="F1469"/>
      <c r="G1469" s="3"/>
      <c r="H1469" s="3"/>
      <c r="I1469" s="3"/>
      <c r="J1469" s="288"/>
      <c r="L1469" s="288"/>
      <c r="M1469" s="288"/>
      <c r="N1469" s="288"/>
      <c r="O1469" s="288"/>
      <c r="P1469" s="288"/>
      <c r="Q1469" s="288"/>
      <c r="R1469" s="283"/>
      <c r="S1469" s="280"/>
      <c r="T1469" s="276"/>
      <c r="U1469" s="276"/>
      <c r="V1469" s="276"/>
      <c r="W1469" s="283"/>
      <c r="X1469" s="280"/>
      <c r="Y1469" s="280"/>
      <c r="Z1469" s="280"/>
      <c r="AA1469" s="280"/>
      <c r="AB1469" s="280"/>
      <c r="AC1469" s="280"/>
      <c r="AD1469" s="280"/>
      <c r="AG1469" s="3"/>
      <c r="AH1469" s="3"/>
      <c r="AI1469" s="3"/>
      <c r="AJ1469" s="3"/>
      <c r="AK1469" s="3"/>
      <c r="AL1469" s="3"/>
      <c r="AM1469" s="3"/>
      <c r="AN1469" s="3"/>
      <c r="AO1469" s="3"/>
      <c r="AP1469" s="11"/>
      <c r="AQ1469" s="11"/>
      <c r="AR1469" s="3"/>
      <c r="AS1469" s="3"/>
      <c r="AT1469" s="3"/>
      <c r="AU1469" s="3"/>
      <c r="AV1469" s="3"/>
      <c r="AW1469" s="3"/>
      <c r="AX1469" s="11"/>
      <c r="AZ1469"/>
      <c r="BA1469"/>
      <c r="BB1469"/>
      <c r="BC1469"/>
    </row>
    <row r="1470" spans="1:55" s="282" customFormat="1" x14ac:dyDescent="0.25">
      <c r="A1470"/>
      <c r="B1470"/>
      <c r="C1470" s="3"/>
      <c r="D1470"/>
      <c r="E1470"/>
      <c r="F1470"/>
      <c r="G1470" s="3"/>
      <c r="H1470" s="3"/>
      <c r="I1470" s="3"/>
      <c r="J1470" s="288"/>
      <c r="L1470" s="288"/>
      <c r="M1470" s="288"/>
      <c r="N1470" s="288"/>
      <c r="O1470" s="288"/>
      <c r="P1470" s="288"/>
      <c r="Q1470" s="288"/>
      <c r="R1470" s="283"/>
      <c r="S1470" s="280"/>
      <c r="T1470" s="276"/>
      <c r="U1470" s="276"/>
      <c r="V1470" s="276"/>
      <c r="W1470" s="283"/>
      <c r="X1470" s="280"/>
      <c r="Y1470" s="280"/>
      <c r="Z1470" s="280"/>
      <c r="AA1470" s="280"/>
      <c r="AB1470" s="280"/>
      <c r="AC1470" s="280"/>
      <c r="AD1470" s="280"/>
      <c r="AG1470" s="3"/>
      <c r="AH1470" s="3"/>
      <c r="AI1470" s="3"/>
      <c r="AJ1470" s="3"/>
      <c r="AK1470" s="3"/>
      <c r="AL1470" s="3"/>
      <c r="AM1470" s="3"/>
      <c r="AN1470" s="3"/>
      <c r="AO1470" s="3"/>
      <c r="AP1470" s="11"/>
      <c r="AQ1470" s="11"/>
      <c r="AR1470" s="3"/>
      <c r="AS1470" s="3"/>
      <c r="AT1470" s="3"/>
      <c r="AU1470" s="3"/>
      <c r="AV1470" s="3"/>
      <c r="AW1470" s="3"/>
      <c r="AX1470" s="11"/>
      <c r="AZ1470"/>
      <c r="BA1470"/>
      <c r="BB1470"/>
      <c r="BC1470"/>
    </row>
    <row r="1471" spans="1:55" s="282" customFormat="1" x14ac:dyDescent="0.25">
      <c r="A1471"/>
      <c r="B1471"/>
      <c r="C1471" s="3"/>
      <c r="D1471"/>
      <c r="E1471"/>
      <c r="F1471"/>
      <c r="G1471" s="3"/>
      <c r="H1471" s="3"/>
      <c r="I1471" s="3"/>
      <c r="J1471" s="288"/>
      <c r="L1471" s="288"/>
      <c r="M1471" s="288"/>
      <c r="N1471" s="288"/>
      <c r="O1471" s="288"/>
      <c r="P1471" s="288"/>
      <c r="Q1471" s="288"/>
      <c r="R1471" s="283"/>
      <c r="S1471" s="280"/>
      <c r="T1471" s="276"/>
      <c r="U1471" s="276"/>
      <c r="V1471" s="276"/>
      <c r="W1471" s="283"/>
      <c r="X1471" s="280"/>
      <c r="Y1471" s="280"/>
      <c r="Z1471" s="280"/>
      <c r="AA1471" s="280"/>
      <c r="AB1471" s="280"/>
      <c r="AC1471" s="280"/>
      <c r="AD1471" s="280"/>
      <c r="AG1471" s="3"/>
      <c r="AH1471" s="3"/>
      <c r="AI1471" s="3"/>
      <c r="AJ1471" s="3"/>
      <c r="AK1471" s="3"/>
      <c r="AL1471" s="3"/>
      <c r="AM1471" s="3"/>
      <c r="AN1471" s="3"/>
      <c r="AO1471" s="3"/>
      <c r="AP1471" s="11"/>
      <c r="AQ1471" s="11"/>
      <c r="AR1471" s="3"/>
      <c r="AS1471" s="3"/>
      <c r="AT1471" s="3"/>
      <c r="AU1471" s="3"/>
      <c r="AV1471" s="3"/>
      <c r="AW1471" s="3"/>
      <c r="AX1471" s="11"/>
      <c r="AZ1471"/>
      <c r="BA1471"/>
      <c r="BB1471"/>
      <c r="BC1471"/>
    </row>
    <row r="1472" spans="1:55" s="282" customFormat="1" x14ac:dyDescent="0.25">
      <c r="A1472"/>
      <c r="B1472"/>
      <c r="C1472" s="3"/>
      <c r="D1472"/>
      <c r="E1472"/>
      <c r="F1472"/>
      <c r="G1472" s="3"/>
      <c r="H1472" s="3"/>
      <c r="I1472" s="3"/>
      <c r="J1472" s="288"/>
      <c r="L1472" s="288"/>
      <c r="M1472" s="288"/>
      <c r="N1472" s="288"/>
      <c r="O1472" s="288"/>
      <c r="P1472" s="288"/>
      <c r="Q1472" s="288"/>
      <c r="R1472" s="283"/>
      <c r="S1472" s="280"/>
      <c r="T1472" s="276"/>
      <c r="U1472" s="276"/>
      <c r="V1472" s="276"/>
      <c r="W1472" s="283"/>
      <c r="X1472" s="280"/>
      <c r="Y1472" s="280"/>
      <c r="Z1472" s="280"/>
      <c r="AA1472" s="280"/>
      <c r="AB1472" s="280"/>
      <c r="AC1472" s="280"/>
      <c r="AD1472" s="280"/>
      <c r="AG1472" s="3"/>
      <c r="AH1472" s="3"/>
      <c r="AI1472" s="3"/>
      <c r="AJ1472" s="3"/>
      <c r="AK1472" s="3"/>
      <c r="AL1472" s="3"/>
      <c r="AM1472" s="3"/>
      <c r="AN1472" s="3"/>
      <c r="AO1472" s="3"/>
      <c r="AP1472" s="11"/>
      <c r="AQ1472" s="11"/>
      <c r="AR1472" s="3"/>
      <c r="AS1472" s="3"/>
      <c r="AT1472" s="3"/>
      <c r="AU1472" s="3"/>
      <c r="AV1472" s="3"/>
      <c r="AW1472" s="3"/>
      <c r="AX1472" s="11"/>
      <c r="AZ1472"/>
      <c r="BA1472"/>
      <c r="BB1472"/>
      <c r="BC1472"/>
    </row>
    <row r="1473" spans="1:55" s="282" customFormat="1" x14ac:dyDescent="0.25">
      <c r="A1473"/>
      <c r="B1473"/>
      <c r="C1473" s="3"/>
      <c r="D1473"/>
      <c r="E1473"/>
      <c r="F1473"/>
      <c r="G1473" s="3"/>
      <c r="H1473" s="3"/>
      <c r="I1473" s="3"/>
      <c r="J1473" s="288"/>
      <c r="L1473" s="288"/>
      <c r="M1473" s="288"/>
      <c r="N1473" s="288"/>
      <c r="O1473" s="288"/>
      <c r="P1473" s="288"/>
      <c r="Q1473" s="288"/>
      <c r="R1473" s="283"/>
      <c r="S1473" s="280"/>
      <c r="T1473" s="276"/>
      <c r="U1473" s="276"/>
      <c r="V1473" s="276"/>
      <c r="W1473" s="283"/>
      <c r="X1473" s="280"/>
      <c r="Y1473" s="280"/>
      <c r="Z1473" s="280"/>
      <c r="AA1473" s="280"/>
      <c r="AB1473" s="280"/>
      <c r="AC1473" s="280"/>
      <c r="AD1473" s="280"/>
      <c r="AG1473" s="3"/>
      <c r="AH1473" s="3"/>
      <c r="AI1473" s="3"/>
      <c r="AJ1473" s="3"/>
      <c r="AK1473" s="3"/>
      <c r="AL1473" s="3"/>
      <c r="AM1473" s="3"/>
      <c r="AN1473" s="3"/>
      <c r="AO1473" s="3"/>
      <c r="AP1473" s="11"/>
      <c r="AQ1473" s="11"/>
      <c r="AR1473" s="3"/>
      <c r="AS1473" s="3"/>
      <c r="AT1473" s="3"/>
      <c r="AU1473" s="3"/>
      <c r="AV1473" s="3"/>
      <c r="AW1473" s="3"/>
      <c r="AX1473" s="11"/>
      <c r="AZ1473"/>
      <c r="BA1473"/>
      <c r="BB1473"/>
      <c r="BC1473"/>
    </row>
    <row r="1474" spans="1:55" s="282" customFormat="1" x14ac:dyDescent="0.25">
      <c r="A1474"/>
      <c r="B1474"/>
      <c r="C1474" s="3"/>
      <c r="D1474"/>
      <c r="E1474"/>
      <c r="F1474"/>
      <c r="G1474" s="3"/>
      <c r="H1474" s="3"/>
      <c r="I1474" s="3"/>
      <c r="J1474" s="288"/>
      <c r="L1474" s="288"/>
      <c r="M1474" s="288"/>
      <c r="N1474" s="288"/>
      <c r="O1474" s="288"/>
      <c r="P1474" s="288"/>
      <c r="Q1474" s="288"/>
      <c r="R1474" s="283"/>
      <c r="S1474" s="280"/>
      <c r="T1474" s="276"/>
      <c r="U1474" s="276"/>
      <c r="V1474" s="276"/>
      <c r="W1474" s="283"/>
      <c r="X1474" s="280"/>
      <c r="Y1474" s="280"/>
      <c r="Z1474" s="280"/>
      <c r="AA1474" s="280"/>
      <c r="AB1474" s="280"/>
      <c r="AC1474" s="280"/>
      <c r="AD1474" s="280"/>
      <c r="AG1474" s="3"/>
      <c r="AH1474" s="3"/>
      <c r="AI1474" s="3"/>
      <c r="AJ1474" s="3"/>
      <c r="AK1474" s="3"/>
      <c r="AL1474" s="3"/>
      <c r="AM1474" s="3"/>
      <c r="AN1474" s="3"/>
      <c r="AO1474" s="3"/>
      <c r="AP1474" s="11"/>
      <c r="AQ1474" s="11"/>
      <c r="AR1474" s="3"/>
      <c r="AS1474" s="3"/>
      <c r="AT1474" s="3"/>
      <c r="AU1474" s="3"/>
      <c r="AV1474" s="3"/>
      <c r="AW1474" s="3"/>
      <c r="AX1474" s="11"/>
      <c r="AZ1474"/>
      <c r="BA1474"/>
      <c r="BB1474"/>
      <c r="BC1474"/>
    </row>
    <row r="1475" spans="1:55" s="282" customFormat="1" x14ac:dyDescent="0.25">
      <c r="A1475"/>
      <c r="B1475"/>
      <c r="C1475" s="3"/>
      <c r="D1475"/>
      <c r="E1475"/>
      <c r="F1475"/>
      <c r="G1475" s="3"/>
      <c r="H1475" s="3"/>
      <c r="I1475" s="3"/>
      <c r="J1475" s="288"/>
      <c r="L1475" s="288"/>
      <c r="M1475" s="288"/>
      <c r="N1475" s="288"/>
      <c r="O1475" s="288"/>
      <c r="P1475" s="288"/>
      <c r="Q1475" s="288"/>
      <c r="R1475" s="283"/>
      <c r="S1475" s="280"/>
      <c r="T1475" s="276"/>
      <c r="U1475" s="276"/>
      <c r="V1475" s="276"/>
      <c r="W1475" s="283"/>
      <c r="X1475" s="280"/>
      <c r="Y1475" s="280"/>
      <c r="Z1475" s="280"/>
      <c r="AA1475" s="280"/>
      <c r="AB1475" s="280"/>
      <c r="AC1475" s="280"/>
      <c r="AD1475" s="280"/>
      <c r="AG1475" s="3"/>
      <c r="AH1475" s="3"/>
      <c r="AI1475" s="3"/>
      <c r="AJ1475" s="3"/>
      <c r="AK1475" s="3"/>
      <c r="AL1475" s="3"/>
      <c r="AM1475" s="3"/>
      <c r="AN1475" s="3"/>
      <c r="AO1475" s="3"/>
      <c r="AP1475" s="11"/>
      <c r="AQ1475" s="11"/>
      <c r="AR1475" s="3"/>
      <c r="AS1475" s="3"/>
      <c r="AT1475" s="3"/>
      <c r="AU1475" s="3"/>
      <c r="AV1475" s="3"/>
      <c r="AW1475" s="3"/>
      <c r="AX1475" s="11"/>
      <c r="AZ1475"/>
      <c r="BA1475"/>
      <c r="BB1475"/>
      <c r="BC1475"/>
    </row>
    <row r="1476" spans="1:55" s="282" customFormat="1" x14ac:dyDescent="0.25">
      <c r="A1476"/>
      <c r="B1476"/>
      <c r="C1476" s="3"/>
      <c r="D1476"/>
      <c r="E1476"/>
      <c r="F1476"/>
      <c r="G1476" s="3"/>
      <c r="H1476" s="3"/>
      <c r="I1476" s="3"/>
      <c r="J1476" s="288"/>
      <c r="L1476" s="288"/>
      <c r="M1476" s="288"/>
      <c r="N1476" s="288"/>
      <c r="O1476" s="288"/>
      <c r="P1476" s="288"/>
      <c r="Q1476" s="288"/>
      <c r="R1476" s="283"/>
      <c r="S1476" s="280"/>
      <c r="T1476" s="276"/>
      <c r="U1476" s="276"/>
      <c r="V1476" s="276"/>
      <c r="W1476" s="283"/>
      <c r="X1476" s="280"/>
      <c r="Y1476" s="280"/>
      <c r="Z1476" s="280"/>
      <c r="AA1476" s="280"/>
      <c r="AB1476" s="280"/>
      <c r="AC1476" s="280"/>
      <c r="AD1476" s="280"/>
      <c r="AG1476" s="3"/>
      <c r="AH1476" s="3"/>
      <c r="AI1476" s="3"/>
      <c r="AJ1476" s="3"/>
      <c r="AK1476" s="3"/>
      <c r="AL1476" s="3"/>
      <c r="AM1476" s="3"/>
      <c r="AN1476" s="3"/>
      <c r="AO1476" s="3"/>
      <c r="AP1476" s="11"/>
      <c r="AQ1476" s="11"/>
      <c r="AR1476" s="3"/>
      <c r="AS1476" s="3"/>
      <c r="AT1476" s="3"/>
      <c r="AU1476" s="3"/>
      <c r="AV1476" s="3"/>
      <c r="AW1476" s="3"/>
      <c r="AX1476" s="11"/>
      <c r="AZ1476"/>
      <c r="BA1476"/>
      <c r="BB1476"/>
      <c r="BC1476"/>
    </row>
    <row r="1477" spans="1:55" s="282" customFormat="1" x14ac:dyDescent="0.25">
      <c r="A1477"/>
      <c r="B1477"/>
      <c r="C1477" s="3"/>
      <c r="D1477"/>
      <c r="E1477"/>
      <c r="F1477"/>
      <c r="G1477" s="3"/>
      <c r="H1477" s="3"/>
      <c r="I1477" s="3"/>
      <c r="J1477" s="288"/>
      <c r="L1477" s="288"/>
      <c r="M1477" s="288"/>
      <c r="N1477" s="288"/>
      <c r="O1477" s="288"/>
      <c r="P1477" s="288"/>
      <c r="Q1477" s="288"/>
      <c r="R1477" s="283"/>
      <c r="S1477" s="280"/>
      <c r="T1477" s="276"/>
      <c r="U1477" s="276"/>
      <c r="V1477" s="276"/>
      <c r="W1477" s="283"/>
      <c r="X1477" s="280"/>
      <c r="Y1477" s="280"/>
      <c r="Z1477" s="280"/>
      <c r="AA1477" s="280"/>
      <c r="AB1477" s="280"/>
      <c r="AC1477" s="280"/>
      <c r="AD1477" s="280"/>
      <c r="AG1477" s="3"/>
      <c r="AH1477" s="3"/>
      <c r="AI1477" s="3"/>
      <c r="AJ1477" s="3"/>
      <c r="AK1477" s="3"/>
      <c r="AL1477" s="3"/>
      <c r="AM1477" s="3"/>
      <c r="AN1477" s="3"/>
      <c r="AO1477" s="3"/>
      <c r="AP1477" s="11"/>
      <c r="AQ1477" s="11"/>
      <c r="AR1477" s="3"/>
      <c r="AS1477" s="3"/>
      <c r="AT1477" s="3"/>
      <c r="AU1477" s="3"/>
      <c r="AV1477" s="3"/>
      <c r="AW1477" s="3"/>
      <c r="AX1477" s="11"/>
      <c r="AZ1477"/>
      <c r="BA1477"/>
      <c r="BB1477"/>
      <c r="BC1477"/>
    </row>
    <row r="1478" spans="1:55" s="282" customFormat="1" x14ac:dyDescent="0.25">
      <c r="A1478"/>
      <c r="B1478"/>
      <c r="C1478" s="3"/>
      <c r="D1478"/>
      <c r="E1478"/>
      <c r="F1478"/>
      <c r="G1478" s="3"/>
      <c r="H1478" s="3"/>
      <c r="I1478" s="3"/>
      <c r="J1478" s="288"/>
      <c r="L1478" s="288"/>
      <c r="M1478" s="288"/>
      <c r="N1478" s="288"/>
      <c r="O1478" s="288"/>
      <c r="P1478" s="288"/>
      <c r="Q1478" s="288"/>
      <c r="R1478" s="283"/>
      <c r="S1478" s="280"/>
      <c r="T1478" s="276"/>
      <c r="U1478" s="276"/>
      <c r="V1478" s="276"/>
      <c r="W1478" s="283"/>
      <c r="X1478" s="280"/>
      <c r="Y1478" s="280"/>
      <c r="Z1478" s="280"/>
      <c r="AA1478" s="280"/>
      <c r="AB1478" s="280"/>
      <c r="AC1478" s="280"/>
      <c r="AD1478" s="280"/>
      <c r="AG1478" s="3"/>
      <c r="AH1478" s="3"/>
      <c r="AI1478" s="3"/>
      <c r="AJ1478" s="3"/>
      <c r="AK1478" s="3"/>
      <c r="AL1478" s="3"/>
      <c r="AM1478" s="3"/>
      <c r="AN1478" s="3"/>
      <c r="AO1478" s="3"/>
      <c r="AP1478" s="11"/>
      <c r="AQ1478" s="11"/>
      <c r="AR1478" s="3"/>
      <c r="AS1478" s="3"/>
      <c r="AT1478" s="3"/>
      <c r="AU1478" s="3"/>
      <c r="AV1478" s="3"/>
      <c r="AW1478" s="3"/>
      <c r="AX1478" s="11"/>
      <c r="AZ1478"/>
      <c r="BA1478"/>
      <c r="BB1478"/>
      <c r="BC1478"/>
    </row>
    <row r="1479" spans="1:55" s="282" customFormat="1" x14ac:dyDescent="0.25">
      <c r="A1479"/>
      <c r="B1479"/>
      <c r="C1479" s="3"/>
      <c r="D1479"/>
      <c r="E1479"/>
      <c r="F1479"/>
      <c r="G1479" s="3"/>
      <c r="H1479" s="3"/>
      <c r="I1479" s="3"/>
      <c r="J1479" s="288"/>
      <c r="L1479" s="288"/>
      <c r="M1479" s="288"/>
      <c r="N1479" s="288"/>
      <c r="O1479" s="288"/>
      <c r="P1479" s="288"/>
      <c r="Q1479" s="288"/>
      <c r="R1479" s="283"/>
      <c r="S1479" s="280"/>
      <c r="T1479" s="276"/>
      <c r="U1479" s="276"/>
      <c r="V1479" s="276"/>
      <c r="W1479" s="283"/>
      <c r="X1479" s="280"/>
      <c r="Y1479" s="280"/>
      <c r="Z1479" s="280"/>
      <c r="AA1479" s="280"/>
      <c r="AB1479" s="280"/>
      <c r="AC1479" s="280"/>
      <c r="AD1479" s="280"/>
      <c r="AG1479" s="3"/>
      <c r="AH1479" s="3"/>
      <c r="AI1479" s="3"/>
      <c r="AJ1479" s="3"/>
      <c r="AK1479" s="3"/>
      <c r="AL1479" s="3"/>
      <c r="AM1479" s="3"/>
      <c r="AN1479" s="3"/>
      <c r="AO1479" s="3"/>
      <c r="AP1479" s="11"/>
      <c r="AQ1479" s="11"/>
      <c r="AR1479" s="3"/>
      <c r="AS1479" s="3"/>
      <c r="AT1479" s="3"/>
      <c r="AU1479" s="3"/>
      <c r="AV1479" s="3"/>
      <c r="AW1479" s="3"/>
      <c r="AX1479" s="11"/>
      <c r="AZ1479"/>
      <c r="BA1479"/>
      <c r="BB1479"/>
      <c r="BC1479"/>
    </row>
    <row r="1480" spans="1:55" s="282" customFormat="1" x14ac:dyDescent="0.25">
      <c r="A1480"/>
      <c r="B1480"/>
      <c r="C1480" s="3"/>
      <c r="D1480"/>
      <c r="E1480"/>
      <c r="F1480"/>
      <c r="G1480" s="3"/>
      <c r="H1480" s="3"/>
      <c r="I1480" s="3"/>
      <c r="J1480" s="288"/>
      <c r="L1480" s="288"/>
      <c r="M1480" s="288"/>
      <c r="N1480" s="288"/>
      <c r="O1480" s="288"/>
      <c r="P1480" s="288"/>
      <c r="Q1480" s="288"/>
      <c r="R1480" s="283"/>
      <c r="S1480" s="280"/>
      <c r="T1480" s="276"/>
      <c r="U1480" s="276"/>
      <c r="V1480" s="276"/>
      <c r="W1480" s="283"/>
      <c r="X1480" s="280"/>
      <c r="Y1480" s="280"/>
      <c r="Z1480" s="280"/>
      <c r="AA1480" s="280"/>
      <c r="AB1480" s="280"/>
      <c r="AC1480" s="280"/>
      <c r="AD1480" s="280"/>
      <c r="AG1480" s="3"/>
      <c r="AH1480" s="3"/>
      <c r="AI1480" s="3"/>
      <c r="AJ1480" s="3"/>
      <c r="AK1480" s="3"/>
      <c r="AL1480" s="3"/>
      <c r="AM1480" s="3"/>
      <c r="AN1480" s="3"/>
      <c r="AO1480" s="3"/>
      <c r="AP1480" s="11"/>
      <c r="AQ1480" s="11"/>
      <c r="AR1480" s="3"/>
      <c r="AS1480" s="3"/>
      <c r="AT1480" s="3"/>
      <c r="AU1480" s="3"/>
      <c r="AV1480" s="3"/>
      <c r="AW1480" s="3"/>
      <c r="AX1480" s="11"/>
      <c r="AZ1480"/>
      <c r="BA1480"/>
      <c r="BB1480"/>
      <c r="BC1480"/>
    </row>
    <row r="1481" spans="1:55" s="282" customFormat="1" x14ac:dyDescent="0.25">
      <c r="A1481"/>
      <c r="B1481"/>
      <c r="C1481" s="3"/>
      <c r="D1481"/>
      <c r="E1481"/>
      <c r="F1481"/>
      <c r="G1481" s="3"/>
      <c r="H1481" s="3"/>
      <c r="I1481" s="3"/>
      <c r="J1481" s="288"/>
      <c r="L1481" s="288"/>
      <c r="M1481" s="288"/>
      <c r="N1481" s="288"/>
      <c r="O1481" s="288"/>
      <c r="P1481" s="288"/>
      <c r="Q1481" s="288"/>
      <c r="R1481" s="283"/>
      <c r="S1481" s="280"/>
      <c r="T1481" s="276"/>
      <c r="U1481" s="276"/>
      <c r="V1481" s="276"/>
      <c r="W1481" s="283"/>
      <c r="X1481" s="280"/>
      <c r="Y1481" s="280"/>
      <c r="Z1481" s="280"/>
      <c r="AA1481" s="280"/>
      <c r="AB1481" s="280"/>
      <c r="AC1481" s="280"/>
      <c r="AD1481" s="280"/>
      <c r="AG1481" s="3"/>
      <c r="AH1481" s="3"/>
      <c r="AI1481" s="3"/>
      <c r="AJ1481" s="3"/>
      <c r="AK1481" s="3"/>
      <c r="AL1481" s="3"/>
      <c r="AM1481" s="3"/>
      <c r="AN1481" s="3"/>
      <c r="AO1481" s="3"/>
      <c r="AP1481" s="11"/>
      <c r="AQ1481" s="11"/>
      <c r="AR1481" s="3"/>
      <c r="AS1481" s="3"/>
      <c r="AT1481" s="3"/>
      <c r="AU1481" s="3"/>
      <c r="AV1481" s="3"/>
      <c r="AW1481" s="3"/>
      <c r="AX1481" s="11"/>
      <c r="AZ1481"/>
      <c r="BA1481"/>
      <c r="BB1481"/>
      <c r="BC1481"/>
    </row>
    <row r="1482" spans="1:55" s="282" customFormat="1" x14ac:dyDescent="0.25">
      <c r="A1482"/>
      <c r="B1482"/>
      <c r="C1482" s="3"/>
      <c r="D1482"/>
      <c r="E1482"/>
      <c r="F1482"/>
      <c r="G1482" s="3"/>
      <c r="H1482" s="3"/>
      <c r="I1482" s="3"/>
      <c r="J1482" s="288"/>
      <c r="L1482" s="288"/>
      <c r="M1482" s="288"/>
      <c r="N1482" s="288"/>
      <c r="O1482" s="288"/>
      <c r="P1482" s="288"/>
      <c r="Q1482" s="288"/>
      <c r="R1482" s="283"/>
      <c r="S1482" s="280"/>
      <c r="T1482" s="276"/>
      <c r="U1482" s="276"/>
      <c r="V1482" s="276"/>
      <c r="W1482" s="283"/>
      <c r="X1482" s="280"/>
      <c r="Y1482" s="280"/>
      <c r="Z1482" s="280"/>
      <c r="AA1482" s="280"/>
      <c r="AB1482" s="280"/>
      <c r="AC1482" s="280"/>
      <c r="AD1482" s="280"/>
      <c r="AG1482" s="3"/>
      <c r="AH1482" s="3"/>
      <c r="AI1482" s="3"/>
      <c r="AJ1482" s="3"/>
      <c r="AK1482" s="3"/>
      <c r="AL1482" s="3"/>
      <c r="AM1482" s="3"/>
      <c r="AN1482" s="3"/>
      <c r="AO1482" s="3"/>
      <c r="AP1482" s="11"/>
      <c r="AQ1482" s="11"/>
      <c r="AR1482" s="3"/>
      <c r="AS1482" s="3"/>
      <c r="AT1482" s="3"/>
      <c r="AU1482" s="3"/>
      <c r="AV1482" s="3"/>
      <c r="AW1482" s="3"/>
      <c r="AX1482" s="11"/>
      <c r="AZ1482"/>
      <c r="BA1482"/>
      <c r="BB1482"/>
      <c r="BC1482"/>
    </row>
    <row r="1483" spans="1:55" s="282" customFormat="1" x14ac:dyDescent="0.25">
      <c r="A1483"/>
      <c r="B1483"/>
      <c r="C1483" s="3"/>
      <c r="D1483"/>
      <c r="E1483"/>
      <c r="F1483"/>
      <c r="G1483" s="3"/>
      <c r="H1483" s="3"/>
      <c r="I1483" s="3"/>
      <c r="J1483" s="288"/>
      <c r="L1483" s="288"/>
      <c r="M1483" s="288"/>
      <c r="N1483" s="288"/>
      <c r="O1483" s="288"/>
      <c r="P1483" s="288"/>
      <c r="Q1483" s="288"/>
      <c r="R1483" s="283"/>
      <c r="S1483" s="280"/>
      <c r="T1483" s="276"/>
      <c r="U1483" s="276"/>
      <c r="V1483" s="276"/>
      <c r="W1483" s="283"/>
      <c r="X1483" s="280"/>
      <c r="Y1483" s="280"/>
      <c r="Z1483" s="280"/>
      <c r="AA1483" s="280"/>
      <c r="AB1483" s="280"/>
      <c r="AC1483" s="280"/>
      <c r="AD1483" s="280"/>
      <c r="AG1483" s="3"/>
      <c r="AH1483" s="3"/>
      <c r="AI1483" s="3"/>
      <c r="AJ1483" s="3"/>
      <c r="AK1483" s="3"/>
      <c r="AL1483" s="3"/>
      <c r="AM1483" s="3"/>
      <c r="AN1483" s="3"/>
      <c r="AO1483" s="3"/>
      <c r="AP1483" s="11"/>
      <c r="AQ1483" s="11"/>
      <c r="AR1483" s="3"/>
      <c r="AS1483" s="3"/>
      <c r="AT1483" s="3"/>
      <c r="AU1483" s="3"/>
      <c r="AV1483" s="3"/>
      <c r="AW1483" s="3"/>
      <c r="AX1483" s="11"/>
      <c r="AZ1483"/>
      <c r="BA1483"/>
      <c r="BB1483"/>
      <c r="BC1483"/>
    </row>
    <row r="1484" spans="1:55" s="282" customFormat="1" x14ac:dyDescent="0.25">
      <c r="A1484"/>
      <c r="B1484"/>
      <c r="C1484" s="3"/>
      <c r="D1484"/>
      <c r="E1484"/>
      <c r="F1484"/>
      <c r="G1484" s="3"/>
      <c r="H1484" s="3"/>
      <c r="I1484" s="3"/>
      <c r="J1484" s="288"/>
      <c r="L1484" s="288"/>
      <c r="M1484" s="288"/>
      <c r="N1484" s="288"/>
      <c r="O1484" s="288"/>
      <c r="P1484" s="288"/>
      <c r="Q1484" s="288"/>
      <c r="R1484" s="283"/>
      <c r="S1484" s="280"/>
      <c r="T1484" s="276"/>
      <c r="U1484" s="276"/>
      <c r="V1484" s="276"/>
      <c r="W1484" s="283"/>
      <c r="X1484" s="280"/>
      <c r="Y1484" s="280"/>
      <c r="Z1484" s="280"/>
      <c r="AA1484" s="280"/>
      <c r="AB1484" s="280"/>
      <c r="AC1484" s="280"/>
      <c r="AD1484" s="280"/>
      <c r="AG1484" s="3"/>
      <c r="AH1484" s="3"/>
      <c r="AI1484" s="3"/>
      <c r="AJ1484" s="3"/>
      <c r="AK1484" s="3"/>
      <c r="AL1484" s="3"/>
      <c r="AM1484" s="3"/>
      <c r="AN1484" s="3"/>
      <c r="AO1484" s="3"/>
      <c r="AP1484" s="11"/>
      <c r="AQ1484" s="11"/>
      <c r="AR1484" s="3"/>
      <c r="AS1484" s="3"/>
      <c r="AT1484" s="3"/>
      <c r="AU1484" s="3"/>
      <c r="AV1484" s="3"/>
      <c r="AW1484" s="3"/>
      <c r="AX1484" s="11"/>
      <c r="AZ1484"/>
      <c r="BA1484"/>
      <c r="BB1484"/>
      <c r="BC1484"/>
    </row>
    <row r="1485" spans="1:55" s="282" customFormat="1" x14ac:dyDescent="0.25">
      <c r="A1485"/>
      <c r="B1485"/>
      <c r="C1485" s="3"/>
      <c r="D1485"/>
      <c r="E1485"/>
      <c r="F1485"/>
      <c r="G1485" s="3"/>
      <c r="H1485" s="3"/>
      <c r="I1485" s="3"/>
      <c r="J1485" s="288"/>
      <c r="L1485" s="288"/>
      <c r="M1485" s="288"/>
      <c r="N1485" s="288"/>
      <c r="O1485" s="288"/>
      <c r="P1485" s="288"/>
      <c r="Q1485" s="288"/>
      <c r="R1485" s="283"/>
      <c r="S1485" s="280"/>
      <c r="T1485" s="276"/>
      <c r="U1485" s="276"/>
      <c r="V1485" s="276"/>
      <c r="W1485" s="283"/>
      <c r="X1485" s="280"/>
      <c r="Y1485" s="280"/>
      <c r="Z1485" s="280"/>
      <c r="AA1485" s="280"/>
      <c r="AB1485" s="280"/>
      <c r="AC1485" s="280"/>
      <c r="AD1485" s="280"/>
      <c r="AG1485" s="3"/>
      <c r="AH1485" s="3"/>
      <c r="AI1485" s="3"/>
      <c r="AJ1485" s="3"/>
      <c r="AK1485" s="3"/>
      <c r="AL1485" s="3"/>
      <c r="AM1485" s="3"/>
      <c r="AN1485" s="3"/>
      <c r="AO1485" s="3"/>
      <c r="AP1485" s="11"/>
      <c r="AQ1485" s="11"/>
      <c r="AR1485" s="3"/>
      <c r="AS1485" s="3"/>
      <c r="AT1485" s="3"/>
      <c r="AU1485" s="3"/>
      <c r="AV1485" s="3"/>
      <c r="AW1485" s="3"/>
      <c r="AX1485" s="11"/>
      <c r="AZ1485"/>
      <c r="BA1485"/>
      <c r="BB1485"/>
      <c r="BC1485"/>
    </row>
    <row r="1486" spans="1:55" s="282" customFormat="1" x14ac:dyDescent="0.25">
      <c r="A1486"/>
      <c r="B1486"/>
      <c r="C1486" s="3"/>
      <c r="D1486"/>
      <c r="E1486"/>
      <c r="F1486"/>
      <c r="G1486" s="3"/>
      <c r="H1486" s="3"/>
      <c r="I1486" s="3"/>
      <c r="J1486" s="288"/>
      <c r="L1486" s="288"/>
      <c r="M1486" s="288"/>
      <c r="N1486" s="288"/>
      <c r="O1486" s="288"/>
      <c r="P1486" s="288"/>
      <c r="Q1486" s="288"/>
      <c r="R1486" s="283"/>
      <c r="S1486" s="280"/>
      <c r="T1486" s="276"/>
      <c r="U1486" s="276"/>
      <c r="V1486" s="276"/>
      <c r="W1486" s="283"/>
      <c r="X1486" s="280"/>
      <c r="Y1486" s="280"/>
      <c r="Z1486" s="280"/>
      <c r="AA1486" s="280"/>
      <c r="AB1486" s="280"/>
      <c r="AC1486" s="280"/>
      <c r="AD1486" s="280"/>
      <c r="AG1486" s="3"/>
      <c r="AH1486" s="3"/>
      <c r="AI1486" s="3"/>
      <c r="AJ1486" s="3"/>
      <c r="AK1486" s="3"/>
      <c r="AL1486" s="3"/>
      <c r="AM1486" s="3"/>
      <c r="AN1486" s="3"/>
      <c r="AO1486" s="3"/>
      <c r="AP1486" s="11"/>
      <c r="AQ1486" s="11"/>
      <c r="AR1486" s="3"/>
      <c r="AS1486" s="3"/>
      <c r="AT1486" s="3"/>
      <c r="AU1486" s="3"/>
      <c r="AV1486" s="3"/>
      <c r="AW1486" s="3"/>
      <c r="AX1486" s="11"/>
      <c r="AZ1486"/>
      <c r="BA1486"/>
      <c r="BB1486"/>
      <c r="BC1486"/>
    </row>
    <row r="1487" spans="1:55" s="282" customFormat="1" x14ac:dyDescent="0.25">
      <c r="A1487"/>
      <c r="B1487"/>
      <c r="C1487" s="3"/>
      <c r="D1487"/>
      <c r="E1487"/>
      <c r="F1487"/>
      <c r="G1487" s="3"/>
      <c r="H1487" s="3"/>
      <c r="I1487" s="3"/>
      <c r="J1487" s="288"/>
      <c r="L1487" s="288"/>
      <c r="M1487" s="288"/>
      <c r="N1487" s="288"/>
      <c r="O1487" s="288"/>
      <c r="P1487" s="288"/>
      <c r="Q1487" s="288"/>
      <c r="R1487" s="283"/>
      <c r="S1487" s="280"/>
      <c r="T1487" s="276"/>
      <c r="U1487" s="276"/>
      <c r="V1487" s="276"/>
      <c r="W1487" s="283"/>
      <c r="X1487" s="280"/>
      <c r="Y1487" s="280"/>
      <c r="Z1487" s="280"/>
      <c r="AA1487" s="280"/>
      <c r="AB1487" s="280"/>
      <c r="AC1487" s="280"/>
      <c r="AD1487" s="280"/>
      <c r="AG1487" s="3"/>
      <c r="AH1487" s="3"/>
      <c r="AI1487" s="3"/>
      <c r="AJ1487" s="3"/>
      <c r="AK1487" s="3"/>
      <c r="AL1487" s="3"/>
      <c r="AM1487" s="3"/>
      <c r="AN1487" s="3"/>
      <c r="AO1487" s="3"/>
      <c r="AP1487" s="11"/>
      <c r="AQ1487" s="11"/>
      <c r="AR1487" s="3"/>
      <c r="AS1487" s="3"/>
      <c r="AT1487" s="3"/>
      <c r="AU1487" s="3"/>
      <c r="AV1487" s="3"/>
      <c r="AW1487" s="3"/>
      <c r="AX1487" s="11"/>
      <c r="AZ1487"/>
      <c r="BA1487"/>
      <c r="BB1487"/>
      <c r="BC1487"/>
    </row>
    <row r="1488" spans="1:55" s="282" customFormat="1" x14ac:dyDescent="0.25">
      <c r="A1488"/>
      <c r="B1488"/>
      <c r="C1488" s="3"/>
      <c r="D1488"/>
      <c r="E1488"/>
      <c r="F1488"/>
      <c r="G1488" s="3"/>
      <c r="H1488" s="3"/>
      <c r="I1488" s="3"/>
      <c r="J1488" s="288"/>
      <c r="L1488" s="288"/>
      <c r="M1488" s="288"/>
      <c r="N1488" s="288"/>
      <c r="O1488" s="288"/>
      <c r="P1488" s="288"/>
      <c r="Q1488" s="288"/>
      <c r="R1488" s="283"/>
      <c r="S1488" s="280"/>
      <c r="T1488" s="276"/>
      <c r="U1488" s="276"/>
      <c r="V1488" s="276"/>
      <c r="W1488" s="283"/>
      <c r="X1488" s="280"/>
      <c r="Y1488" s="280"/>
      <c r="Z1488" s="280"/>
      <c r="AA1488" s="280"/>
      <c r="AB1488" s="280"/>
      <c r="AC1488" s="280"/>
      <c r="AD1488" s="280"/>
      <c r="AG1488" s="3"/>
      <c r="AH1488" s="3"/>
      <c r="AI1488" s="3"/>
      <c r="AJ1488" s="3"/>
      <c r="AK1488" s="3"/>
      <c r="AL1488" s="3"/>
      <c r="AM1488" s="3"/>
      <c r="AN1488" s="3"/>
      <c r="AO1488" s="3"/>
      <c r="AP1488" s="11"/>
      <c r="AQ1488" s="11"/>
      <c r="AR1488" s="3"/>
      <c r="AS1488" s="3"/>
      <c r="AT1488" s="3"/>
      <c r="AU1488" s="3"/>
      <c r="AV1488" s="3"/>
      <c r="AW1488" s="3"/>
      <c r="AX1488" s="11"/>
      <c r="AZ1488"/>
      <c r="BA1488"/>
      <c r="BB1488"/>
      <c r="BC1488"/>
    </row>
    <row r="1489" spans="1:55" s="282" customFormat="1" x14ac:dyDescent="0.25">
      <c r="A1489"/>
      <c r="B1489"/>
      <c r="C1489" s="3"/>
      <c r="D1489"/>
      <c r="E1489"/>
      <c r="F1489"/>
      <c r="G1489" s="3"/>
      <c r="H1489" s="3"/>
      <c r="I1489" s="3"/>
      <c r="J1489" s="288"/>
      <c r="L1489" s="288"/>
      <c r="M1489" s="288"/>
      <c r="N1489" s="288"/>
      <c r="O1489" s="288"/>
      <c r="P1489" s="288"/>
      <c r="Q1489" s="288"/>
      <c r="R1489" s="283"/>
      <c r="S1489" s="280"/>
      <c r="T1489" s="276"/>
      <c r="U1489" s="276"/>
      <c r="V1489" s="276"/>
      <c r="W1489" s="283"/>
      <c r="X1489" s="280"/>
      <c r="Y1489" s="280"/>
      <c r="Z1489" s="280"/>
      <c r="AA1489" s="280"/>
      <c r="AB1489" s="280"/>
      <c r="AC1489" s="280"/>
      <c r="AD1489" s="280"/>
      <c r="AG1489" s="3"/>
      <c r="AH1489" s="3"/>
      <c r="AI1489" s="3"/>
      <c r="AJ1489" s="3"/>
      <c r="AK1489" s="3"/>
      <c r="AL1489" s="3"/>
      <c r="AM1489" s="3"/>
      <c r="AN1489" s="3"/>
      <c r="AO1489" s="3"/>
      <c r="AP1489" s="11"/>
      <c r="AQ1489" s="11"/>
      <c r="AR1489" s="3"/>
      <c r="AS1489" s="3"/>
      <c r="AT1489" s="3"/>
      <c r="AU1489" s="3"/>
      <c r="AV1489" s="3"/>
      <c r="AW1489" s="3"/>
      <c r="AX1489" s="11"/>
      <c r="AZ1489"/>
      <c r="BA1489"/>
      <c r="BB1489"/>
      <c r="BC1489"/>
    </row>
    <row r="1490" spans="1:55" s="282" customFormat="1" x14ac:dyDescent="0.25">
      <c r="A1490"/>
      <c r="B1490"/>
      <c r="C1490" s="3"/>
      <c r="D1490"/>
      <c r="E1490"/>
      <c r="F1490"/>
      <c r="G1490" s="3"/>
      <c r="H1490" s="3"/>
      <c r="I1490" s="3"/>
      <c r="J1490" s="288"/>
      <c r="L1490" s="288"/>
      <c r="M1490" s="288"/>
      <c r="N1490" s="288"/>
      <c r="O1490" s="288"/>
      <c r="P1490" s="288"/>
      <c r="Q1490" s="288"/>
      <c r="R1490" s="283"/>
      <c r="S1490" s="280"/>
      <c r="T1490" s="276"/>
      <c r="U1490" s="276"/>
      <c r="V1490" s="276"/>
      <c r="W1490" s="283"/>
      <c r="X1490" s="280"/>
      <c r="Y1490" s="280"/>
      <c r="Z1490" s="280"/>
      <c r="AA1490" s="280"/>
      <c r="AB1490" s="280"/>
      <c r="AC1490" s="280"/>
      <c r="AD1490" s="280"/>
      <c r="AG1490" s="3"/>
      <c r="AH1490" s="3"/>
      <c r="AI1490" s="3"/>
      <c r="AJ1490" s="3"/>
      <c r="AK1490" s="3"/>
      <c r="AL1490" s="3"/>
      <c r="AM1490" s="3"/>
      <c r="AN1490" s="3"/>
      <c r="AO1490" s="3"/>
      <c r="AP1490" s="11"/>
      <c r="AQ1490" s="11"/>
      <c r="AR1490" s="3"/>
      <c r="AS1490" s="3"/>
      <c r="AT1490" s="3"/>
      <c r="AU1490" s="3"/>
      <c r="AV1490" s="3"/>
      <c r="AW1490" s="3"/>
      <c r="AX1490" s="11"/>
      <c r="AZ1490"/>
      <c r="BA1490"/>
      <c r="BB1490"/>
      <c r="BC1490"/>
    </row>
    <row r="1491" spans="1:55" s="282" customFormat="1" x14ac:dyDescent="0.25">
      <c r="A1491"/>
      <c r="B1491"/>
      <c r="C1491" s="3"/>
      <c r="D1491"/>
      <c r="E1491"/>
      <c r="F1491"/>
      <c r="G1491" s="3"/>
      <c r="H1491" s="3"/>
      <c r="I1491" s="3"/>
      <c r="J1491" s="288"/>
      <c r="L1491" s="288"/>
      <c r="M1491" s="288"/>
      <c r="N1491" s="288"/>
      <c r="O1491" s="288"/>
      <c r="P1491" s="288"/>
      <c r="Q1491" s="288"/>
      <c r="R1491" s="283"/>
      <c r="S1491" s="280"/>
      <c r="T1491" s="276"/>
      <c r="U1491" s="276"/>
      <c r="V1491" s="276"/>
      <c r="W1491" s="283"/>
      <c r="X1491" s="280"/>
      <c r="Y1491" s="280"/>
      <c r="Z1491" s="280"/>
      <c r="AA1491" s="280"/>
      <c r="AB1491" s="280"/>
      <c r="AC1491" s="280"/>
      <c r="AD1491" s="280"/>
      <c r="AG1491" s="3"/>
      <c r="AH1491" s="3"/>
      <c r="AI1491" s="3"/>
      <c r="AJ1491" s="3"/>
      <c r="AK1491" s="3"/>
      <c r="AL1491" s="3"/>
      <c r="AM1491" s="3"/>
      <c r="AN1491" s="3"/>
      <c r="AO1491" s="3"/>
      <c r="AP1491" s="11"/>
      <c r="AQ1491" s="11"/>
      <c r="AR1491" s="3"/>
      <c r="AS1491" s="3"/>
      <c r="AT1491" s="3"/>
      <c r="AU1491" s="3"/>
      <c r="AV1491" s="3"/>
      <c r="AW1491" s="3"/>
      <c r="AX1491" s="11"/>
      <c r="AZ1491"/>
      <c r="BA1491"/>
      <c r="BB1491"/>
      <c r="BC1491"/>
    </row>
    <row r="1492" spans="1:55" s="282" customFormat="1" x14ac:dyDescent="0.25">
      <c r="A1492"/>
      <c r="B1492"/>
      <c r="C1492" s="3"/>
      <c r="D1492"/>
      <c r="E1492"/>
      <c r="F1492"/>
      <c r="G1492" s="3"/>
      <c r="H1492" s="3"/>
      <c r="I1492" s="3"/>
      <c r="J1492" s="288"/>
      <c r="L1492" s="288"/>
      <c r="M1492" s="288"/>
      <c r="N1492" s="288"/>
      <c r="O1492" s="288"/>
      <c r="P1492" s="288"/>
      <c r="Q1492" s="288"/>
      <c r="R1492" s="283"/>
      <c r="S1492" s="280"/>
      <c r="T1492" s="276"/>
      <c r="U1492" s="276"/>
      <c r="V1492" s="276"/>
      <c r="W1492" s="283"/>
      <c r="X1492" s="280"/>
      <c r="Y1492" s="280"/>
      <c r="Z1492" s="280"/>
      <c r="AA1492" s="280"/>
      <c r="AB1492" s="280"/>
      <c r="AC1492" s="280"/>
      <c r="AD1492" s="280"/>
      <c r="AG1492" s="3"/>
      <c r="AH1492" s="3"/>
      <c r="AI1492" s="3"/>
      <c r="AJ1492" s="3"/>
      <c r="AK1492" s="3"/>
      <c r="AL1492" s="3"/>
      <c r="AM1492" s="3"/>
      <c r="AN1492" s="3"/>
      <c r="AO1492" s="3"/>
      <c r="AP1492" s="11"/>
      <c r="AQ1492" s="11"/>
      <c r="AR1492" s="3"/>
      <c r="AS1492" s="3"/>
      <c r="AT1492" s="3"/>
      <c r="AU1492" s="3"/>
      <c r="AV1492" s="3"/>
      <c r="AW1492" s="3"/>
      <c r="AX1492" s="11"/>
      <c r="AZ1492"/>
      <c r="BA1492"/>
      <c r="BB1492"/>
      <c r="BC1492"/>
    </row>
    <row r="1493" spans="1:55" s="282" customFormat="1" x14ac:dyDescent="0.25">
      <c r="A1493"/>
      <c r="B1493"/>
      <c r="C1493" s="3"/>
      <c r="D1493"/>
      <c r="E1493"/>
      <c r="F1493"/>
      <c r="G1493" s="3"/>
      <c r="H1493" s="3"/>
      <c r="I1493" s="3"/>
      <c r="J1493" s="288"/>
      <c r="L1493" s="288"/>
      <c r="M1493" s="288"/>
      <c r="N1493" s="288"/>
      <c r="O1493" s="288"/>
      <c r="P1493" s="288"/>
      <c r="Q1493" s="288"/>
      <c r="R1493" s="283"/>
      <c r="S1493" s="280"/>
      <c r="T1493" s="276"/>
      <c r="U1493" s="276"/>
      <c r="V1493" s="276"/>
      <c r="W1493" s="283"/>
      <c r="X1493" s="280"/>
      <c r="Y1493" s="280"/>
      <c r="Z1493" s="280"/>
      <c r="AA1493" s="280"/>
      <c r="AB1493" s="280"/>
      <c r="AC1493" s="280"/>
      <c r="AD1493" s="280"/>
      <c r="AG1493" s="3"/>
      <c r="AH1493" s="3"/>
      <c r="AI1493" s="3"/>
      <c r="AJ1493" s="3"/>
      <c r="AK1493" s="3"/>
      <c r="AL1493" s="3"/>
      <c r="AM1493" s="3"/>
      <c r="AN1493" s="3"/>
      <c r="AO1493" s="3"/>
      <c r="AP1493" s="11"/>
      <c r="AQ1493" s="11"/>
      <c r="AR1493" s="3"/>
      <c r="AS1493" s="3"/>
      <c r="AT1493" s="3"/>
      <c r="AU1493" s="3"/>
      <c r="AV1493" s="3"/>
      <c r="AW1493" s="3"/>
      <c r="AX1493" s="11"/>
      <c r="AZ1493"/>
      <c r="BA1493"/>
      <c r="BB1493"/>
      <c r="BC1493"/>
    </row>
    <row r="1494" spans="1:55" s="282" customFormat="1" x14ac:dyDescent="0.25">
      <c r="A1494"/>
      <c r="B1494"/>
      <c r="C1494" s="3"/>
      <c r="D1494"/>
      <c r="E1494"/>
      <c r="F1494"/>
      <c r="G1494" s="3"/>
      <c r="H1494" s="3"/>
      <c r="I1494" s="3"/>
      <c r="J1494" s="288"/>
      <c r="L1494" s="288"/>
      <c r="M1494" s="288"/>
      <c r="N1494" s="288"/>
      <c r="O1494" s="288"/>
      <c r="P1494" s="288"/>
      <c r="Q1494" s="288"/>
      <c r="R1494" s="283"/>
      <c r="S1494" s="280"/>
      <c r="T1494" s="276"/>
      <c r="U1494" s="276"/>
      <c r="V1494" s="276"/>
      <c r="W1494" s="283"/>
      <c r="X1494" s="280"/>
      <c r="Y1494" s="280"/>
      <c r="Z1494" s="280"/>
      <c r="AA1494" s="280"/>
      <c r="AB1494" s="280"/>
      <c r="AC1494" s="280"/>
      <c r="AD1494" s="280"/>
      <c r="AG1494" s="3"/>
      <c r="AH1494" s="3"/>
      <c r="AI1494" s="3"/>
      <c r="AJ1494" s="3"/>
      <c r="AK1494" s="3"/>
      <c r="AL1494" s="3"/>
      <c r="AM1494" s="3"/>
      <c r="AN1494" s="3"/>
      <c r="AO1494" s="3"/>
      <c r="AP1494" s="11"/>
      <c r="AQ1494" s="11"/>
      <c r="AR1494" s="3"/>
      <c r="AS1494" s="3"/>
      <c r="AT1494" s="3"/>
      <c r="AU1494" s="3"/>
      <c r="AV1494" s="3"/>
      <c r="AW1494" s="3"/>
      <c r="AX1494" s="11"/>
      <c r="AZ1494"/>
      <c r="BA1494"/>
      <c r="BB1494"/>
      <c r="BC1494"/>
    </row>
    <row r="1495" spans="1:55" s="282" customFormat="1" x14ac:dyDescent="0.25">
      <c r="A1495"/>
      <c r="B1495"/>
      <c r="C1495" s="3"/>
      <c r="D1495"/>
      <c r="E1495"/>
      <c r="F1495"/>
      <c r="G1495" s="3"/>
      <c r="H1495" s="3"/>
      <c r="I1495" s="3"/>
      <c r="J1495" s="288"/>
      <c r="L1495" s="288"/>
      <c r="M1495" s="288"/>
      <c r="N1495" s="288"/>
      <c r="O1495" s="288"/>
      <c r="P1495" s="288"/>
      <c r="Q1495" s="288"/>
      <c r="R1495" s="283"/>
      <c r="S1495" s="280"/>
      <c r="T1495" s="276"/>
      <c r="U1495" s="276"/>
      <c r="V1495" s="276"/>
      <c r="W1495" s="283"/>
      <c r="X1495" s="280"/>
      <c r="Y1495" s="280"/>
      <c r="Z1495" s="280"/>
      <c r="AA1495" s="280"/>
      <c r="AB1495" s="280"/>
      <c r="AC1495" s="280"/>
      <c r="AD1495" s="280"/>
      <c r="AG1495" s="3"/>
      <c r="AH1495" s="3"/>
      <c r="AI1495" s="3"/>
      <c r="AJ1495" s="3"/>
      <c r="AK1495" s="3"/>
      <c r="AL1495" s="3"/>
      <c r="AM1495" s="3"/>
      <c r="AN1495" s="3"/>
      <c r="AO1495" s="3"/>
      <c r="AP1495" s="11"/>
      <c r="AQ1495" s="11"/>
      <c r="AR1495" s="3"/>
      <c r="AS1495" s="3"/>
      <c r="AT1495" s="3"/>
      <c r="AU1495" s="3"/>
      <c r="AV1495" s="3"/>
      <c r="AW1495" s="3"/>
      <c r="AX1495" s="11"/>
      <c r="AZ1495"/>
      <c r="BA1495"/>
      <c r="BB1495"/>
      <c r="BC1495"/>
    </row>
    <row r="1496" spans="1:55" s="282" customFormat="1" x14ac:dyDescent="0.25">
      <c r="A1496"/>
      <c r="B1496"/>
      <c r="C1496" s="3"/>
      <c r="D1496"/>
      <c r="E1496"/>
      <c r="F1496"/>
      <c r="G1496" s="3"/>
      <c r="H1496" s="3"/>
      <c r="I1496" s="3"/>
      <c r="J1496" s="288"/>
      <c r="L1496" s="288"/>
      <c r="M1496" s="288"/>
      <c r="N1496" s="288"/>
      <c r="O1496" s="288"/>
      <c r="P1496" s="288"/>
      <c r="Q1496" s="288"/>
      <c r="R1496" s="283"/>
      <c r="S1496" s="280"/>
      <c r="T1496" s="276"/>
      <c r="U1496" s="276"/>
      <c r="V1496" s="276"/>
      <c r="W1496" s="283"/>
      <c r="X1496" s="280"/>
      <c r="Y1496" s="280"/>
      <c r="Z1496" s="280"/>
      <c r="AA1496" s="280"/>
      <c r="AB1496" s="280"/>
      <c r="AC1496" s="280"/>
      <c r="AD1496" s="280"/>
      <c r="AG1496" s="3"/>
      <c r="AH1496" s="3"/>
      <c r="AI1496" s="3"/>
      <c r="AJ1496" s="3"/>
      <c r="AK1496" s="3"/>
      <c r="AL1496" s="3"/>
      <c r="AM1496" s="3"/>
      <c r="AN1496" s="3"/>
      <c r="AO1496" s="3"/>
      <c r="AP1496" s="11"/>
      <c r="AQ1496" s="11"/>
      <c r="AR1496" s="3"/>
      <c r="AS1496" s="3"/>
      <c r="AT1496" s="3"/>
      <c r="AU1496" s="3"/>
      <c r="AV1496" s="3"/>
      <c r="AW1496" s="3"/>
      <c r="AX1496" s="11"/>
      <c r="AZ1496"/>
      <c r="BA1496"/>
      <c r="BB1496"/>
      <c r="BC1496"/>
    </row>
    <row r="1497" spans="1:55" s="282" customFormat="1" x14ac:dyDescent="0.25">
      <c r="A1497"/>
      <c r="B1497"/>
      <c r="C1497" s="3"/>
      <c r="D1497"/>
      <c r="E1497"/>
      <c r="F1497"/>
      <c r="G1497" s="3"/>
      <c r="H1497" s="3"/>
      <c r="I1497" s="3"/>
      <c r="J1497" s="288"/>
      <c r="L1497" s="288"/>
      <c r="M1497" s="288"/>
      <c r="N1497" s="288"/>
      <c r="O1497" s="288"/>
      <c r="P1497" s="288"/>
      <c r="Q1497" s="288"/>
      <c r="R1497" s="283"/>
      <c r="S1497" s="280"/>
      <c r="T1497" s="276"/>
      <c r="U1497" s="276"/>
      <c r="V1497" s="276"/>
      <c r="W1497" s="283"/>
      <c r="X1497" s="280"/>
      <c r="Y1497" s="280"/>
      <c r="Z1497" s="280"/>
      <c r="AA1497" s="280"/>
      <c r="AB1497" s="280"/>
      <c r="AC1497" s="280"/>
      <c r="AD1497" s="280"/>
      <c r="AG1497" s="3"/>
      <c r="AH1497" s="3"/>
      <c r="AI1497" s="3"/>
      <c r="AJ1497" s="3"/>
      <c r="AK1497" s="3"/>
      <c r="AL1497" s="3"/>
      <c r="AM1497" s="3"/>
      <c r="AN1497" s="3"/>
      <c r="AO1497" s="3"/>
      <c r="AP1497" s="11"/>
      <c r="AQ1497" s="11"/>
      <c r="AR1497" s="3"/>
      <c r="AS1497" s="3"/>
      <c r="AT1497" s="3"/>
      <c r="AU1497" s="3"/>
      <c r="AV1497" s="3"/>
      <c r="AW1497" s="3"/>
      <c r="AX1497" s="11"/>
      <c r="AZ1497"/>
      <c r="BA1497"/>
      <c r="BB1497"/>
      <c r="BC1497"/>
    </row>
    <row r="1498" spans="1:55" s="282" customFormat="1" x14ac:dyDescent="0.25">
      <c r="A1498"/>
      <c r="B1498"/>
      <c r="C1498" s="3"/>
      <c r="D1498"/>
      <c r="E1498"/>
      <c r="F1498"/>
      <c r="G1498" s="3"/>
      <c r="H1498" s="3"/>
      <c r="I1498" s="3"/>
      <c r="J1498" s="288"/>
      <c r="L1498" s="288"/>
      <c r="M1498" s="288"/>
      <c r="N1498" s="288"/>
      <c r="O1498" s="288"/>
      <c r="P1498" s="288"/>
      <c r="Q1498" s="288"/>
      <c r="R1498" s="283"/>
      <c r="S1498" s="280"/>
      <c r="T1498" s="276"/>
      <c r="U1498" s="276"/>
      <c r="V1498" s="276"/>
      <c r="W1498" s="283"/>
      <c r="X1498" s="280"/>
      <c r="Y1498" s="280"/>
      <c r="Z1498" s="280"/>
      <c r="AA1498" s="280"/>
      <c r="AB1498" s="280"/>
      <c r="AC1498" s="280"/>
      <c r="AD1498" s="280"/>
      <c r="AG1498" s="3"/>
      <c r="AH1498" s="3"/>
      <c r="AI1498" s="3"/>
      <c r="AJ1498" s="3"/>
      <c r="AK1498" s="3"/>
      <c r="AL1498" s="3"/>
      <c r="AM1498" s="3"/>
      <c r="AN1498" s="3"/>
      <c r="AO1498" s="3"/>
      <c r="AP1498" s="11"/>
      <c r="AQ1498" s="11"/>
      <c r="AR1498" s="3"/>
      <c r="AS1498" s="3"/>
      <c r="AT1498" s="3"/>
      <c r="AU1498" s="3"/>
      <c r="AV1498" s="3"/>
      <c r="AW1498" s="3"/>
      <c r="AX1498" s="11"/>
      <c r="AZ1498"/>
      <c r="BA1498"/>
      <c r="BB1498"/>
      <c r="BC1498"/>
    </row>
    <row r="1499" spans="1:55" s="282" customFormat="1" x14ac:dyDescent="0.25">
      <c r="A1499"/>
      <c r="B1499"/>
      <c r="C1499" s="3"/>
      <c r="D1499"/>
      <c r="E1499"/>
      <c r="F1499"/>
      <c r="G1499" s="3"/>
      <c r="H1499" s="3"/>
      <c r="I1499" s="3"/>
      <c r="J1499" s="288"/>
      <c r="L1499" s="288"/>
      <c r="M1499" s="288"/>
      <c r="N1499" s="288"/>
      <c r="O1499" s="288"/>
      <c r="P1499" s="288"/>
      <c r="Q1499" s="288"/>
      <c r="R1499" s="283"/>
      <c r="S1499" s="280"/>
      <c r="T1499" s="276"/>
      <c r="U1499" s="276"/>
      <c r="V1499" s="276"/>
      <c r="W1499" s="283"/>
      <c r="X1499" s="280"/>
      <c r="Y1499" s="280"/>
      <c r="Z1499" s="280"/>
      <c r="AA1499" s="280"/>
      <c r="AB1499" s="280"/>
      <c r="AC1499" s="280"/>
      <c r="AD1499" s="280"/>
      <c r="AG1499" s="3"/>
      <c r="AH1499" s="3"/>
      <c r="AI1499" s="3"/>
      <c r="AJ1499" s="3"/>
      <c r="AK1499" s="3"/>
      <c r="AL1499" s="3"/>
      <c r="AM1499" s="3"/>
      <c r="AN1499" s="3"/>
      <c r="AO1499" s="3"/>
      <c r="AP1499" s="11"/>
      <c r="AQ1499" s="11"/>
      <c r="AR1499" s="3"/>
      <c r="AS1499" s="3"/>
      <c r="AT1499" s="3"/>
      <c r="AU1499" s="3"/>
      <c r="AV1499" s="3"/>
      <c r="AW1499" s="3"/>
      <c r="AX1499" s="11"/>
      <c r="AZ1499"/>
      <c r="BA1499"/>
      <c r="BB1499"/>
      <c r="BC1499"/>
    </row>
    <row r="1500" spans="1:55" s="282" customFormat="1" x14ac:dyDescent="0.25">
      <c r="A1500"/>
      <c r="B1500"/>
      <c r="C1500" s="3"/>
      <c r="D1500"/>
      <c r="E1500"/>
      <c r="F1500"/>
      <c r="G1500" s="3"/>
      <c r="H1500" s="3"/>
      <c r="I1500" s="3"/>
      <c r="J1500" s="288"/>
      <c r="L1500" s="288"/>
      <c r="M1500" s="288"/>
      <c r="N1500" s="288"/>
      <c r="O1500" s="288"/>
      <c r="P1500" s="288"/>
      <c r="Q1500" s="288"/>
      <c r="R1500" s="283"/>
      <c r="S1500" s="280"/>
      <c r="T1500" s="276"/>
      <c r="U1500" s="276"/>
      <c r="V1500" s="276"/>
      <c r="W1500" s="283"/>
      <c r="X1500" s="280"/>
      <c r="Y1500" s="280"/>
      <c r="Z1500" s="280"/>
      <c r="AA1500" s="280"/>
      <c r="AB1500" s="280"/>
      <c r="AC1500" s="280"/>
      <c r="AD1500" s="280"/>
      <c r="AG1500" s="3"/>
      <c r="AH1500" s="3"/>
      <c r="AI1500" s="3"/>
      <c r="AJ1500" s="3"/>
      <c r="AK1500" s="3"/>
      <c r="AL1500" s="3"/>
      <c r="AM1500" s="3"/>
      <c r="AN1500" s="3"/>
      <c r="AO1500" s="3"/>
      <c r="AP1500" s="11"/>
      <c r="AQ1500" s="11"/>
      <c r="AR1500" s="3"/>
      <c r="AS1500" s="3"/>
      <c r="AT1500" s="3"/>
      <c r="AU1500" s="3"/>
      <c r="AV1500" s="3"/>
      <c r="AW1500" s="3"/>
      <c r="AX1500" s="11"/>
      <c r="AZ1500"/>
      <c r="BA1500"/>
      <c r="BB1500"/>
      <c r="BC1500"/>
    </row>
    <row r="1501" spans="1:55" s="282" customFormat="1" x14ac:dyDescent="0.25">
      <c r="A1501"/>
      <c r="B1501"/>
      <c r="C1501" s="3"/>
      <c r="D1501"/>
      <c r="E1501"/>
      <c r="F1501"/>
      <c r="G1501" s="3"/>
      <c r="H1501" s="3"/>
      <c r="I1501" s="3"/>
      <c r="J1501" s="288"/>
      <c r="L1501" s="288"/>
      <c r="M1501" s="288"/>
      <c r="N1501" s="288"/>
      <c r="O1501" s="288"/>
      <c r="P1501" s="288"/>
      <c r="Q1501" s="288"/>
      <c r="R1501" s="283"/>
      <c r="S1501" s="280"/>
      <c r="T1501" s="276"/>
      <c r="U1501" s="276"/>
      <c r="V1501" s="276"/>
      <c r="W1501" s="283"/>
      <c r="X1501" s="280"/>
      <c r="Y1501" s="280"/>
      <c r="Z1501" s="280"/>
      <c r="AA1501" s="280"/>
      <c r="AB1501" s="280"/>
      <c r="AC1501" s="280"/>
      <c r="AD1501" s="280"/>
      <c r="AG1501" s="3"/>
      <c r="AH1501" s="3"/>
      <c r="AI1501" s="3"/>
      <c r="AJ1501" s="3"/>
      <c r="AK1501" s="3"/>
      <c r="AL1501" s="3"/>
      <c r="AM1501" s="3"/>
      <c r="AN1501" s="3"/>
      <c r="AO1501" s="3"/>
      <c r="AP1501" s="11"/>
      <c r="AQ1501" s="11"/>
      <c r="AR1501" s="3"/>
      <c r="AS1501" s="3"/>
      <c r="AT1501" s="3"/>
      <c r="AU1501" s="3"/>
      <c r="AV1501" s="3"/>
      <c r="AW1501" s="3"/>
      <c r="AX1501" s="11"/>
      <c r="AZ1501"/>
      <c r="BA1501"/>
      <c r="BB1501"/>
      <c r="BC1501"/>
    </row>
    <row r="1502" spans="1:55" s="282" customFormat="1" x14ac:dyDescent="0.25">
      <c r="A1502"/>
      <c r="B1502"/>
      <c r="C1502" s="3"/>
      <c r="D1502"/>
      <c r="E1502"/>
      <c r="F1502"/>
      <c r="G1502" s="3"/>
      <c r="H1502" s="3"/>
      <c r="I1502" s="3"/>
      <c r="J1502" s="288"/>
      <c r="L1502" s="288"/>
      <c r="M1502" s="288"/>
      <c r="N1502" s="288"/>
      <c r="O1502" s="288"/>
      <c r="P1502" s="288"/>
      <c r="Q1502" s="288"/>
      <c r="R1502" s="283"/>
      <c r="S1502" s="280"/>
      <c r="T1502" s="276"/>
      <c r="U1502" s="276"/>
      <c r="V1502" s="276"/>
      <c r="W1502" s="283"/>
      <c r="X1502" s="280"/>
      <c r="Y1502" s="280"/>
      <c r="Z1502" s="280"/>
      <c r="AA1502" s="280"/>
      <c r="AB1502" s="280"/>
      <c r="AC1502" s="280"/>
      <c r="AD1502" s="280"/>
      <c r="AG1502" s="3"/>
      <c r="AH1502" s="3"/>
      <c r="AI1502" s="3"/>
      <c r="AJ1502" s="3"/>
      <c r="AK1502" s="3"/>
      <c r="AL1502" s="3"/>
      <c r="AM1502" s="3"/>
      <c r="AN1502" s="3"/>
      <c r="AO1502" s="3"/>
      <c r="AP1502" s="11"/>
      <c r="AQ1502" s="11"/>
      <c r="AR1502" s="3"/>
      <c r="AS1502" s="3"/>
      <c r="AT1502" s="3"/>
      <c r="AU1502" s="3"/>
      <c r="AV1502" s="3"/>
      <c r="AW1502" s="3"/>
      <c r="AX1502" s="11"/>
      <c r="AZ1502"/>
      <c r="BA1502"/>
      <c r="BB1502"/>
      <c r="BC1502"/>
    </row>
    <row r="1503" spans="1:55" s="282" customFormat="1" x14ac:dyDescent="0.25">
      <c r="A1503"/>
      <c r="B1503"/>
      <c r="C1503" s="3"/>
      <c r="D1503"/>
      <c r="E1503"/>
      <c r="F1503"/>
      <c r="G1503" s="3"/>
      <c r="H1503" s="3"/>
      <c r="I1503" s="3"/>
      <c r="J1503" s="288"/>
      <c r="L1503" s="288"/>
      <c r="M1503" s="288"/>
      <c r="N1503" s="288"/>
      <c r="O1503" s="288"/>
      <c r="P1503" s="288"/>
      <c r="Q1503" s="288"/>
      <c r="R1503" s="283"/>
      <c r="S1503" s="280"/>
      <c r="T1503" s="276"/>
      <c r="U1503" s="276"/>
      <c r="V1503" s="276"/>
      <c r="W1503" s="283"/>
      <c r="X1503" s="280"/>
      <c r="Y1503" s="280"/>
      <c r="Z1503" s="280"/>
      <c r="AA1503" s="280"/>
      <c r="AB1503" s="280"/>
      <c r="AC1503" s="280"/>
      <c r="AD1503" s="280"/>
      <c r="AG1503" s="3"/>
      <c r="AH1503" s="3"/>
      <c r="AI1503" s="3"/>
      <c r="AJ1503" s="3"/>
      <c r="AK1503" s="3"/>
      <c r="AL1503" s="3"/>
      <c r="AM1503" s="3"/>
      <c r="AN1503" s="3"/>
      <c r="AO1503" s="3"/>
      <c r="AP1503" s="11"/>
      <c r="AQ1503" s="11"/>
      <c r="AR1503" s="3"/>
      <c r="AS1503" s="3"/>
      <c r="AT1503" s="3"/>
      <c r="AU1503" s="3"/>
      <c r="AV1503" s="3"/>
      <c r="AW1503" s="3"/>
      <c r="AX1503" s="11"/>
      <c r="AZ1503"/>
      <c r="BA1503"/>
      <c r="BB1503"/>
      <c r="BC1503"/>
    </row>
    <row r="1504" spans="1:55" s="282" customFormat="1" x14ac:dyDescent="0.25">
      <c r="A1504"/>
      <c r="B1504"/>
      <c r="C1504" s="3"/>
      <c r="D1504"/>
      <c r="E1504"/>
      <c r="F1504"/>
      <c r="G1504" s="3"/>
      <c r="H1504" s="3"/>
      <c r="I1504" s="3"/>
      <c r="J1504" s="288"/>
      <c r="L1504" s="288"/>
      <c r="M1504" s="288"/>
      <c r="N1504" s="288"/>
      <c r="O1504" s="288"/>
      <c r="P1504" s="288"/>
      <c r="Q1504" s="288"/>
      <c r="R1504" s="283"/>
      <c r="S1504" s="280"/>
      <c r="T1504" s="276"/>
      <c r="U1504" s="276"/>
      <c r="V1504" s="276"/>
      <c r="W1504" s="283"/>
      <c r="X1504" s="280"/>
      <c r="Y1504" s="280"/>
      <c r="Z1504" s="280"/>
      <c r="AA1504" s="280"/>
      <c r="AB1504" s="280"/>
      <c r="AC1504" s="280"/>
      <c r="AD1504" s="280"/>
      <c r="AG1504" s="3"/>
      <c r="AH1504" s="3"/>
      <c r="AI1504" s="3"/>
      <c r="AJ1504" s="3"/>
      <c r="AK1504" s="3"/>
      <c r="AL1504" s="3"/>
      <c r="AM1504" s="3"/>
      <c r="AN1504" s="3"/>
      <c r="AO1504" s="3"/>
      <c r="AP1504" s="11"/>
      <c r="AQ1504" s="11"/>
      <c r="AR1504" s="3"/>
      <c r="AS1504" s="3"/>
      <c r="AT1504" s="3"/>
      <c r="AU1504" s="3"/>
      <c r="AV1504" s="3"/>
      <c r="AW1504" s="3"/>
      <c r="AX1504" s="11"/>
      <c r="AZ1504"/>
      <c r="BA1504"/>
      <c r="BB1504"/>
      <c r="BC1504"/>
    </row>
    <row r="1505" spans="1:55" s="282" customFormat="1" x14ac:dyDescent="0.25">
      <c r="A1505"/>
      <c r="B1505"/>
      <c r="C1505" s="3"/>
      <c r="D1505"/>
      <c r="E1505"/>
      <c r="F1505"/>
      <c r="G1505" s="3"/>
      <c r="H1505" s="3"/>
      <c r="I1505" s="3"/>
      <c r="J1505" s="288"/>
      <c r="L1505" s="288"/>
      <c r="M1505" s="288"/>
      <c r="N1505" s="288"/>
      <c r="O1505" s="288"/>
      <c r="P1505" s="288"/>
      <c r="Q1505" s="288"/>
      <c r="R1505" s="283"/>
      <c r="S1505" s="280"/>
      <c r="T1505" s="276"/>
      <c r="U1505" s="276"/>
      <c r="V1505" s="276"/>
      <c r="W1505" s="283"/>
      <c r="X1505" s="280"/>
      <c r="Y1505" s="280"/>
      <c r="Z1505" s="280"/>
      <c r="AA1505" s="280"/>
      <c r="AB1505" s="280"/>
      <c r="AC1505" s="280"/>
      <c r="AD1505" s="280"/>
      <c r="AG1505" s="3"/>
      <c r="AH1505" s="3"/>
      <c r="AI1505" s="3"/>
      <c r="AJ1505" s="3"/>
      <c r="AK1505" s="3"/>
      <c r="AL1505" s="3"/>
      <c r="AM1505" s="3"/>
      <c r="AN1505" s="3"/>
      <c r="AO1505" s="3"/>
      <c r="AP1505" s="11"/>
      <c r="AQ1505" s="11"/>
      <c r="AR1505" s="3"/>
      <c r="AS1505" s="3"/>
      <c r="AT1505" s="3"/>
      <c r="AU1505" s="3"/>
      <c r="AV1505" s="3"/>
      <c r="AW1505" s="3"/>
      <c r="AX1505" s="11"/>
      <c r="AZ1505"/>
      <c r="BA1505"/>
      <c r="BB1505"/>
      <c r="BC1505"/>
    </row>
    <row r="1506" spans="1:55" s="282" customFormat="1" x14ac:dyDescent="0.25">
      <c r="A1506"/>
      <c r="B1506"/>
      <c r="C1506" s="3"/>
      <c r="D1506"/>
      <c r="E1506"/>
      <c r="F1506"/>
      <c r="G1506" s="3"/>
      <c r="H1506" s="3"/>
      <c r="I1506" s="3"/>
      <c r="J1506" s="288"/>
      <c r="L1506" s="288"/>
      <c r="M1506" s="288"/>
      <c r="N1506" s="288"/>
      <c r="O1506" s="288"/>
      <c r="P1506" s="288"/>
      <c r="Q1506" s="288"/>
      <c r="R1506" s="283"/>
      <c r="S1506" s="280"/>
      <c r="T1506" s="276"/>
      <c r="U1506" s="276"/>
      <c r="V1506" s="276"/>
      <c r="W1506" s="283"/>
      <c r="X1506" s="280"/>
      <c r="Y1506" s="280"/>
      <c r="Z1506" s="280"/>
      <c r="AA1506" s="280"/>
      <c r="AB1506" s="280"/>
      <c r="AC1506" s="280"/>
      <c r="AD1506" s="280"/>
      <c r="AG1506" s="3"/>
      <c r="AH1506" s="3"/>
      <c r="AI1506" s="3"/>
      <c r="AJ1506" s="3"/>
      <c r="AK1506" s="3"/>
      <c r="AL1506" s="3"/>
      <c r="AM1506" s="3"/>
      <c r="AN1506" s="3"/>
      <c r="AO1506" s="3"/>
      <c r="AP1506" s="11"/>
      <c r="AQ1506" s="11"/>
      <c r="AR1506" s="3"/>
      <c r="AS1506" s="3"/>
      <c r="AT1506" s="3"/>
      <c r="AU1506" s="3"/>
      <c r="AV1506" s="3"/>
      <c r="AW1506" s="3"/>
      <c r="AX1506" s="11"/>
      <c r="AZ1506"/>
      <c r="BA1506"/>
      <c r="BB1506"/>
      <c r="BC1506"/>
    </row>
    <row r="1507" spans="1:55" s="282" customFormat="1" x14ac:dyDescent="0.25">
      <c r="A1507"/>
      <c r="B1507"/>
      <c r="C1507" s="3"/>
      <c r="D1507"/>
      <c r="E1507"/>
      <c r="F1507"/>
      <c r="G1507" s="3"/>
      <c r="H1507" s="3"/>
      <c r="I1507" s="3"/>
      <c r="J1507" s="288"/>
      <c r="L1507" s="288"/>
      <c r="M1507" s="288"/>
      <c r="N1507" s="288"/>
      <c r="O1507" s="288"/>
      <c r="P1507" s="288"/>
      <c r="Q1507" s="288"/>
      <c r="R1507" s="283"/>
      <c r="S1507" s="280"/>
      <c r="T1507" s="276"/>
      <c r="U1507" s="276"/>
      <c r="V1507" s="276"/>
      <c r="W1507" s="283"/>
      <c r="X1507" s="280"/>
      <c r="Y1507" s="280"/>
      <c r="Z1507" s="280"/>
      <c r="AA1507" s="280"/>
      <c r="AB1507" s="280"/>
      <c r="AC1507" s="280"/>
      <c r="AD1507" s="280"/>
      <c r="AG1507" s="3"/>
      <c r="AH1507" s="3"/>
      <c r="AI1507" s="3"/>
      <c r="AJ1507" s="3"/>
      <c r="AK1507" s="3"/>
      <c r="AL1507" s="3"/>
      <c r="AM1507" s="3"/>
      <c r="AN1507" s="3"/>
      <c r="AO1507" s="3"/>
      <c r="AP1507" s="11"/>
      <c r="AQ1507" s="11"/>
      <c r="AR1507" s="3"/>
      <c r="AS1507" s="3"/>
      <c r="AT1507" s="3"/>
      <c r="AU1507" s="3"/>
      <c r="AV1507" s="3"/>
      <c r="AW1507" s="3"/>
      <c r="AX1507" s="11"/>
      <c r="AZ1507"/>
      <c r="BA1507"/>
      <c r="BB1507"/>
      <c r="BC1507"/>
    </row>
    <row r="1508" spans="1:55" s="282" customFormat="1" x14ac:dyDescent="0.25">
      <c r="A1508"/>
      <c r="B1508"/>
      <c r="C1508" s="3"/>
      <c r="D1508"/>
      <c r="E1508"/>
      <c r="F1508"/>
      <c r="G1508" s="3"/>
      <c r="H1508" s="3"/>
      <c r="I1508" s="3"/>
      <c r="J1508" s="288"/>
      <c r="L1508" s="288"/>
      <c r="M1508" s="288"/>
      <c r="N1508" s="288"/>
      <c r="O1508" s="288"/>
      <c r="P1508" s="288"/>
      <c r="Q1508" s="288"/>
      <c r="R1508" s="283"/>
      <c r="S1508" s="280"/>
      <c r="T1508" s="276"/>
      <c r="U1508" s="276"/>
      <c r="V1508" s="276"/>
      <c r="W1508" s="283"/>
      <c r="X1508" s="280"/>
      <c r="Y1508" s="280"/>
      <c r="Z1508" s="280"/>
      <c r="AA1508" s="280"/>
      <c r="AB1508" s="280"/>
      <c r="AC1508" s="280"/>
      <c r="AD1508" s="280"/>
      <c r="AG1508" s="3"/>
      <c r="AH1508" s="3"/>
      <c r="AI1508" s="3"/>
      <c r="AJ1508" s="3"/>
      <c r="AK1508" s="3"/>
      <c r="AL1508" s="3"/>
      <c r="AM1508" s="3"/>
      <c r="AN1508" s="3"/>
      <c r="AO1508" s="3"/>
      <c r="AP1508" s="11"/>
      <c r="AQ1508" s="11"/>
      <c r="AR1508" s="3"/>
      <c r="AS1508" s="3"/>
      <c r="AT1508" s="3"/>
      <c r="AU1508" s="3"/>
      <c r="AV1508" s="3"/>
      <c r="AW1508" s="3"/>
      <c r="AX1508" s="11"/>
      <c r="AZ1508"/>
      <c r="BA1508"/>
      <c r="BB1508"/>
      <c r="BC1508"/>
    </row>
    <row r="1509" spans="1:55" s="282" customFormat="1" x14ac:dyDescent="0.25">
      <c r="A1509"/>
      <c r="B1509"/>
      <c r="C1509" s="3"/>
      <c r="D1509"/>
      <c r="E1509"/>
      <c r="F1509"/>
      <c r="G1509" s="3"/>
      <c r="H1509" s="3"/>
      <c r="I1509" s="3"/>
      <c r="J1509" s="288"/>
      <c r="L1509" s="288"/>
      <c r="M1509" s="288"/>
      <c r="N1509" s="288"/>
      <c r="O1509" s="288"/>
      <c r="P1509" s="288"/>
      <c r="Q1509" s="288"/>
      <c r="R1509" s="283"/>
      <c r="S1509" s="280"/>
      <c r="T1509" s="276"/>
      <c r="U1509" s="276"/>
      <c r="V1509" s="276"/>
      <c r="W1509" s="283"/>
      <c r="X1509" s="280"/>
      <c r="Y1509" s="280"/>
      <c r="Z1509" s="280"/>
      <c r="AA1509" s="280"/>
      <c r="AB1509" s="280"/>
      <c r="AC1509" s="280"/>
      <c r="AD1509" s="280"/>
      <c r="AG1509" s="3"/>
      <c r="AH1509" s="3"/>
      <c r="AI1509" s="3"/>
      <c r="AJ1509" s="3"/>
      <c r="AK1509" s="3"/>
      <c r="AL1509" s="3"/>
      <c r="AM1509" s="3"/>
      <c r="AN1509" s="3"/>
      <c r="AO1509" s="3"/>
      <c r="AP1509" s="11"/>
      <c r="AQ1509" s="11"/>
      <c r="AR1509" s="3"/>
      <c r="AS1509" s="3"/>
      <c r="AT1509" s="3"/>
      <c r="AU1509" s="3"/>
      <c r="AV1509" s="3"/>
      <c r="AW1509" s="3"/>
      <c r="AX1509" s="11"/>
      <c r="AZ1509"/>
      <c r="BA1509"/>
      <c r="BB1509"/>
      <c r="BC1509"/>
    </row>
    <row r="1510" spans="1:55" s="282" customFormat="1" x14ac:dyDescent="0.25">
      <c r="A1510"/>
      <c r="B1510"/>
      <c r="C1510" s="3"/>
      <c r="D1510"/>
      <c r="E1510"/>
      <c r="F1510"/>
      <c r="G1510" s="3"/>
      <c r="H1510" s="3"/>
      <c r="I1510" s="3"/>
      <c r="J1510" s="288"/>
      <c r="L1510" s="288"/>
      <c r="M1510" s="288"/>
      <c r="N1510" s="288"/>
      <c r="O1510" s="288"/>
      <c r="P1510" s="288"/>
      <c r="Q1510" s="288"/>
      <c r="R1510" s="283"/>
      <c r="S1510" s="280"/>
      <c r="T1510" s="276"/>
      <c r="U1510" s="276"/>
      <c r="V1510" s="276"/>
      <c r="W1510" s="283"/>
      <c r="X1510" s="280"/>
      <c r="Y1510" s="280"/>
      <c r="Z1510" s="280"/>
      <c r="AA1510" s="280"/>
      <c r="AB1510" s="280"/>
      <c r="AC1510" s="280"/>
      <c r="AD1510" s="280"/>
      <c r="AG1510" s="3"/>
      <c r="AH1510" s="3"/>
      <c r="AI1510" s="3"/>
      <c r="AJ1510" s="3"/>
      <c r="AK1510" s="3"/>
      <c r="AL1510" s="3"/>
      <c r="AM1510" s="3"/>
      <c r="AN1510" s="3"/>
      <c r="AO1510" s="3"/>
      <c r="AP1510" s="11"/>
      <c r="AQ1510" s="11"/>
      <c r="AR1510" s="3"/>
      <c r="AS1510" s="3"/>
      <c r="AT1510" s="3"/>
      <c r="AU1510" s="3"/>
      <c r="AV1510" s="3"/>
      <c r="AW1510" s="3"/>
      <c r="AX1510" s="11"/>
      <c r="AZ1510"/>
      <c r="BA1510"/>
      <c r="BB1510"/>
      <c r="BC1510"/>
    </row>
    <row r="1511" spans="1:55" s="282" customFormat="1" x14ac:dyDescent="0.25">
      <c r="A1511"/>
      <c r="B1511"/>
      <c r="C1511" s="3"/>
      <c r="D1511"/>
      <c r="E1511"/>
      <c r="F1511"/>
      <c r="G1511" s="3"/>
      <c r="H1511" s="3"/>
      <c r="I1511" s="3"/>
      <c r="J1511" s="288"/>
      <c r="L1511" s="288"/>
      <c r="M1511" s="288"/>
      <c r="N1511" s="288"/>
      <c r="O1511" s="288"/>
      <c r="P1511" s="288"/>
      <c r="Q1511" s="288"/>
      <c r="R1511" s="283"/>
      <c r="S1511" s="280"/>
      <c r="T1511" s="276"/>
      <c r="U1511" s="276"/>
      <c r="V1511" s="276"/>
      <c r="W1511" s="283"/>
      <c r="X1511" s="280"/>
      <c r="Y1511" s="280"/>
      <c r="Z1511" s="280"/>
      <c r="AA1511" s="280"/>
      <c r="AB1511" s="280"/>
      <c r="AC1511" s="280"/>
      <c r="AD1511" s="280"/>
      <c r="AG1511" s="3"/>
      <c r="AH1511" s="3"/>
      <c r="AI1511" s="3"/>
      <c r="AJ1511" s="3"/>
      <c r="AK1511" s="3"/>
      <c r="AL1511" s="3"/>
      <c r="AM1511" s="3"/>
      <c r="AN1511" s="3"/>
      <c r="AO1511" s="3"/>
      <c r="AP1511" s="11"/>
      <c r="AQ1511" s="11"/>
      <c r="AR1511" s="3"/>
      <c r="AS1511" s="3"/>
      <c r="AT1511" s="3"/>
      <c r="AU1511" s="3"/>
      <c r="AV1511" s="3"/>
      <c r="AW1511" s="3"/>
      <c r="AX1511" s="11"/>
      <c r="AZ1511"/>
      <c r="BA1511"/>
      <c r="BB1511"/>
      <c r="BC1511"/>
    </row>
    <row r="1512" spans="1:55" s="282" customFormat="1" x14ac:dyDescent="0.25">
      <c r="A1512"/>
      <c r="B1512"/>
      <c r="C1512" s="3"/>
      <c r="D1512"/>
      <c r="E1512"/>
      <c r="F1512"/>
      <c r="G1512" s="3"/>
      <c r="H1512" s="3"/>
      <c r="I1512" s="3"/>
      <c r="J1512" s="288"/>
      <c r="L1512" s="288"/>
      <c r="M1512" s="288"/>
      <c r="N1512" s="288"/>
      <c r="O1512" s="288"/>
      <c r="P1512" s="288"/>
      <c r="Q1512" s="288"/>
      <c r="R1512" s="283"/>
      <c r="S1512" s="280"/>
      <c r="T1512" s="276"/>
      <c r="U1512" s="276"/>
      <c r="V1512" s="276"/>
      <c r="W1512" s="283"/>
      <c r="X1512" s="280"/>
      <c r="Y1512" s="280"/>
      <c r="Z1512" s="280"/>
      <c r="AA1512" s="280"/>
      <c r="AB1512" s="280"/>
      <c r="AC1512" s="280"/>
      <c r="AD1512" s="280"/>
      <c r="AG1512" s="3"/>
      <c r="AH1512" s="3"/>
      <c r="AI1512" s="3"/>
      <c r="AJ1512" s="3"/>
      <c r="AK1512" s="3"/>
      <c r="AL1512" s="3"/>
      <c r="AM1512" s="3"/>
      <c r="AN1512" s="3"/>
      <c r="AO1512" s="3"/>
      <c r="AP1512" s="11"/>
      <c r="AQ1512" s="11"/>
      <c r="AR1512" s="3"/>
      <c r="AS1512" s="3"/>
      <c r="AT1512" s="3"/>
      <c r="AU1512" s="3"/>
      <c r="AV1512" s="3"/>
      <c r="AW1512" s="3"/>
      <c r="AX1512" s="11"/>
      <c r="AZ1512"/>
      <c r="BA1512"/>
      <c r="BB1512"/>
      <c r="BC1512"/>
    </row>
    <row r="1513" spans="1:55" s="282" customFormat="1" x14ac:dyDescent="0.25">
      <c r="A1513"/>
      <c r="B1513"/>
      <c r="C1513" s="3"/>
      <c r="D1513"/>
      <c r="E1513"/>
      <c r="F1513"/>
      <c r="G1513" s="3"/>
      <c r="H1513" s="3"/>
      <c r="I1513" s="3"/>
      <c r="J1513" s="288"/>
      <c r="L1513" s="288"/>
      <c r="M1513" s="288"/>
      <c r="N1513" s="288"/>
      <c r="O1513" s="288"/>
      <c r="P1513" s="288"/>
      <c r="Q1513" s="288"/>
      <c r="R1513" s="283"/>
      <c r="S1513" s="280"/>
      <c r="T1513" s="276"/>
      <c r="U1513" s="276"/>
      <c r="V1513" s="276"/>
      <c r="W1513" s="283"/>
      <c r="X1513" s="280"/>
      <c r="Y1513" s="280"/>
      <c r="Z1513" s="280"/>
      <c r="AA1513" s="280"/>
      <c r="AB1513" s="280"/>
      <c r="AC1513" s="280"/>
      <c r="AD1513" s="280"/>
      <c r="AG1513" s="3"/>
      <c r="AH1513" s="3"/>
      <c r="AI1513" s="3"/>
      <c r="AJ1513" s="3"/>
      <c r="AK1513" s="3"/>
      <c r="AL1513" s="3"/>
      <c r="AM1513" s="3"/>
      <c r="AN1513" s="3"/>
      <c r="AO1513" s="3"/>
      <c r="AP1513" s="11"/>
      <c r="AQ1513" s="11"/>
      <c r="AR1513" s="3"/>
      <c r="AS1513" s="3"/>
      <c r="AT1513" s="3"/>
      <c r="AU1513" s="3"/>
      <c r="AV1513" s="3"/>
      <c r="AW1513" s="3"/>
      <c r="AX1513" s="11"/>
      <c r="AZ1513"/>
      <c r="BA1513"/>
      <c r="BB1513"/>
      <c r="BC1513"/>
    </row>
    <row r="1514" spans="1:55" s="282" customFormat="1" x14ac:dyDescent="0.25">
      <c r="A1514"/>
      <c r="B1514"/>
      <c r="C1514" s="3"/>
      <c r="D1514"/>
      <c r="E1514"/>
      <c r="F1514"/>
      <c r="G1514" s="3"/>
      <c r="H1514" s="3"/>
      <c r="I1514" s="3"/>
      <c r="J1514" s="288"/>
      <c r="L1514" s="288"/>
      <c r="M1514" s="288"/>
      <c r="N1514" s="288"/>
      <c r="O1514" s="288"/>
      <c r="P1514" s="288"/>
      <c r="Q1514" s="288"/>
      <c r="R1514" s="283"/>
      <c r="S1514" s="280"/>
      <c r="T1514" s="276"/>
      <c r="U1514" s="276"/>
      <c r="V1514" s="276"/>
      <c r="W1514" s="283"/>
      <c r="X1514" s="280"/>
      <c r="Y1514" s="280"/>
      <c r="Z1514" s="280"/>
      <c r="AA1514" s="280"/>
      <c r="AB1514" s="280"/>
      <c r="AC1514" s="280"/>
      <c r="AD1514" s="280"/>
      <c r="AG1514" s="3"/>
      <c r="AH1514" s="3"/>
      <c r="AI1514" s="3"/>
      <c r="AJ1514" s="3"/>
      <c r="AK1514" s="3"/>
      <c r="AL1514" s="3"/>
      <c r="AM1514" s="3"/>
      <c r="AN1514" s="3"/>
      <c r="AO1514" s="3"/>
      <c r="AP1514" s="11"/>
      <c r="AQ1514" s="11"/>
      <c r="AR1514" s="3"/>
      <c r="AS1514" s="3"/>
      <c r="AT1514" s="3"/>
      <c r="AU1514" s="3"/>
      <c r="AV1514" s="3"/>
      <c r="AW1514" s="3"/>
      <c r="AX1514" s="11"/>
      <c r="AZ1514"/>
      <c r="BA1514"/>
      <c r="BB1514"/>
      <c r="BC1514"/>
    </row>
    <row r="1515" spans="1:55" s="282" customFormat="1" x14ac:dyDescent="0.25">
      <c r="A1515"/>
      <c r="B1515"/>
      <c r="C1515" s="3"/>
      <c r="D1515"/>
      <c r="E1515"/>
      <c r="F1515"/>
      <c r="G1515" s="3"/>
      <c r="H1515" s="3"/>
      <c r="I1515" s="3"/>
      <c r="J1515" s="288"/>
      <c r="L1515" s="288"/>
      <c r="M1515" s="288"/>
      <c r="N1515" s="288"/>
      <c r="O1515" s="288"/>
      <c r="P1515" s="288"/>
      <c r="Q1515" s="288"/>
      <c r="R1515" s="283"/>
      <c r="S1515" s="280"/>
      <c r="T1515" s="276"/>
      <c r="U1515" s="276"/>
      <c r="V1515" s="276"/>
      <c r="W1515" s="283"/>
      <c r="X1515" s="280"/>
      <c r="Y1515" s="280"/>
      <c r="Z1515" s="280"/>
      <c r="AA1515" s="280"/>
      <c r="AB1515" s="280"/>
      <c r="AC1515" s="280"/>
      <c r="AD1515" s="280"/>
      <c r="AG1515" s="3"/>
      <c r="AH1515" s="3"/>
      <c r="AI1515" s="3"/>
      <c r="AJ1515" s="3"/>
      <c r="AK1515" s="3"/>
      <c r="AL1515" s="3"/>
      <c r="AM1515" s="3"/>
      <c r="AN1515" s="3"/>
      <c r="AO1515" s="3"/>
      <c r="AP1515" s="11"/>
      <c r="AQ1515" s="11"/>
      <c r="AR1515" s="3"/>
      <c r="AS1515" s="3"/>
      <c r="AT1515" s="3"/>
      <c r="AU1515" s="3"/>
      <c r="AV1515" s="3"/>
      <c r="AW1515" s="3"/>
      <c r="AX1515" s="11"/>
      <c r="AZ1515"/>
      <c r="BA1515"/>
      <c r="BB1515"/>
      <c r="BC1515"/>
    </row>
    <row r="1516" spans="1:55" s="282" customFormat="1" x14ac:dyDescent="0.25">
      <c r="A1516"/>
      <c r="B1516"/>
      <c r="C1516" s="3"/>
      <c r="D1516"/>
      <c r="E1516"/>
      <c r="F1516"/>
      <c r="G1516" s="3"/>
      <c r="H1516" s="3"/>
      <c r="I1516" s="3"/>
      <c r="J1516" s="288"/>
      <c r="L1516" s="288"/>
      <c r="M1516" s="288"/>
      <c r="N1516" s="288"/>
      <c r="O1516" s="288"/>
      <c r="P1516" s="288"/>
      <c r="Q1516" s="288"/>
      <c r="R1516" s="283"/>
      <c r="S1516" s="280"/>
      <c r="T1516" s="276"/>
      <c r="U1516" s="276"/>
      <c r="V1516" s="276"/>
      <c r="W1516" s="283"/>
      <c r="X1516" s="280"/>
      <c r="Y1516" s="280"/>
      <c r="Z1516" s="280"/>
      <c r="AA1516" s="280"/>
      <c r="AB1516" s="280"/>
      <c r="AC1516" s="280"/>
      <c r="AD1516" s="280"/>
      <c r="AG1516" s="3"/>
      <c r="AH1516" s="3"/>
      <c r="AI1516" s="3"/>
      <c r="AJ1516" s="3"/>
      <c r="AK1516" s="3"/>
      <c r="AL1516" s="3"/>
      <c r="AM1516" s="3"/>
      <c r="AN1516" s="3"/>
      <c r="AO1516" s="3"/>
      <c r="AP1516" s="11"/>
      <c r="AQ1516" s="11"/>
      <c r="AR1516" s="3"/>
      <c r="AS1516" s="3"/>
      <c r="AT1516" s="3"/>
      <c r="AU1516" s="3"/>
      <c r="AV1516" s="3"/>
      <c r="AW1516" s="3"/>
      <c r="AX1516" s="11"/>
      <c r="AZ1516"/>
      <c r="BA1516"/>
      <c r="BB1516"/>
      <c r="BC1516"/>
    </row>
    <row r="1517" spans="1:55" s="282" customFormat="1" x14ac:dyDescent="0.25">
      <c r="A1517"/>
      <c r="B1517"/>
      <c r="C1517" s="3"/>
      <c r="D1517"/>
      <c r="E1517"/>
      <c r="F1517"/>
      <c r="G1517" s="3"/>
      <c r="H1517" s="3"/>
      <c r="I1517" s="3"/>
      <c r="J1517" s="288"/>
      <c r="L1517" s="288"/>
      <c r="M1517" s="288"/>
      <c r="N1517" s="288"/>
      <c r="O1517" s="288"/>
      <c r="P1517" s="288"/>
      <c r="Q1517" s="288"/>
      <c r="R1517" s="283"/>
      <c r="S1517" s="280"/>
      <c r="T1517" s="276"/>
      <c r="U1517" s="276"/>
      <c r="V1517" s="276"/>
      <c r="W1517" s="283"/>
      <c r="X1517" s="280"/>
      <c r="Y1517" s="280"/>
      <c r="Z1517" s="280"/>
      <c r="AA1517" s="280"/>
      <c r="AB1517" s="280"/>
      <c r="AC1517" s="280"/>
      <c r="AD1517" s="280"/>
      <c r="AG1517" s="3"/>
      <c r="AH1517" s="3"/>
      <c r="AI1517" s="3"/>
      <c r="AJ1517" s="3"/>
      <c r="AK1517" s="3"/>
      <c r="AL1517" s="3"/>
      <c r="AM1517" s="3"/>
      <c r="AN1517" s="3"/>
      <c r="AO1517" s="3"/>
      <c r="AP1517" s="11"/>
      <c r="AQ1517" s="11"/>
      <c r="AR1517" s="3"/>
      <c r="AS1517" s="3"/>
      <c r="AT1517" s="3"/>
      <c r="AU1517" s="3"/>
      <c r="AV1517" s="3"/>
      <c r="AW1517" s="3"/>
      <c r="AX1517" s="11"/>
      <c r="AZ1517"/>
      <c r="BA1517"/>
      <c r="BB1517"/>
      <c r="BC1517"/>
    </row>
    <row r="1518" spans="1:55" s="282" customFormat="1" x14ac:dyDescent="0.25">
      <c r="A1518"/>
      <c r="B1518"/>
      <c r="C1518" s="3"/>
      <c r="D1518"/>
      <c r="E1518"/>
      <c r="F1518"/>
      <c r="G1518" s="3"/>
      <c r="H1518" s="3"/>
      <c r="I1518" s="3"/>
      <c r="J1518" s="288"/>
      <c r="L1518" s="288"/>
      <c r="M1518" s="288"/>
      <c r="N1518" s="288"/>
      <c r="O1518" s="288"/>
      <c r="P1518" s="288"/>
      <c r="Q1518" s="288"/>
      <c r="R1518" s="283"/>
      <c r="S1518" s="280"/>
      <c r="T1518" s="276"/>
      <c r="U1518" s="276"/>
      <c r="V1518" s="276"/>
      <c r="W1518" s="283"/>
      <c r="X1518" s="280"/>
      <c r="Y1518" s="280"/>
      <c r="Z1518" s="280"/>
      <c r="AA1518" s="280"/>
      <c r="AB1518" s="280"/>
      <c r="AC1518" s="280"/>
      <c r="AD1518" s="280"/>
      <c r="AG1518" s="3"/>
      <c r="AH1518" s="3"/>
      <c r="AI1518" s="3"/>
      <c r="AJ1518" s="3"/>
      <c r="AK1518" s="3"/>
      <c r="AL1518" s="3"/>
      <c r="AM1518" s="3"/>
      <c r="AN1518" s="3"/>
      <c r="AO1518" s="3"/>
      <c r="AP1518" s="11"/>
      <c r="AQ1518" s="11"/>
      <c r="AR1518" s="3"/>
      <c r="AS1518" s="3"/>
      <c r="AT1518" s="3"/>
      <c r="AU1518" s="3"/>
      <c r="AV1518" s="3"/>
      <c r="AW1518" s="3"/>
      <c r="AX1518" s="11"/>
      <c r="AZ1518"/>
      <c r="BA1518"/>
      <c r="BB1518"/>
      <c r="BC1518"/>
    </row>
    <row r="1519" spans="1:55" s="282" customFormat="1" x14ac:dyDescent="0.25">
      <c r="A1519"/>
      <c r="B1519"/>
      <c r="C1519" s="3"/>
      <c r="D1519"/>
      <c r="E1519"/>
      <c r="F1519"/>
      <c r="G1519" s="3"/>
      <c r="H1519" s="3"/>
      <c r="I1519" s="3"/>
      <c r="J1519" s="288"/>
      <c r="L1519" s="288"/>
      <c r="M1519" s="288"/>
      <c r="N1519" s="288"/>
      <c r="O1519" s="288"/>
      <c r="P1519" s="288"/>
      <c r="Q1519" s="288"/>
      <c r="R1519" s="283"/>
      <c r="S1519" s="280"/>
      <c r="T1519" s="276"/>
      <c r="U1519" s="276"/>
      <c r="V1519" s="276"/>
      <c r="W1519" s="283"/>
      <c r="X1519" s="280"/>
      <c r="Y1519" s="280"/>
      <c r="Z1519" s="280"/>
      <c r="AA1519" s="280"/>
      <c r="AB1519" s="280"/>
      <c r="AC1519" s="280"/>
      <c r="AD1519" s="280"/>
      <c r="AG1519" s="3"/>
      <c r="AH1519" s="3"/>
      <c r="AI1519" s="3"/>
      <c r="AJ1519" s="3"/>
      <c r="AK1519" s="3"/>
      <c r="AL1519" s="3"/>
      <c r="AM1519" s="3"/>
      <c r="AN1519" s="3"/>
      <c r="AO1519" s="3"/>
      <c r="AP1519" s="11"/>
      <c r="AQ1519" s="11"/>
      <c r="AR1519" s="3"/>
      <c r="AS1519" s="3"/>
      <c r="AT1519" s="3"/>
      <c r="AU1519" s="3"/>
      <c r="AV1519" s="3"/>
      <c r="AW1519" s="3"/>
      <c r="AX1519" s="11"/>
      <c r="AZ1519"/>
      <c r="BA1519"/>
      <c r="BB1519"/>
      <c r="BC1519"/>
    </row>
    <row r="1520" spans="1:55" s="282" customFormat="1" x14ac:dyDescent="0.25">
      <c r="A1520"/>
      <c r="B1520"/>
      <c r="C1520" s="3"/>
      <c r="D1520"/>
      <c r="E1520"/>
      <c r="F1520"/>
      <c r="G1520" s="3"/>
      <c r="H1520" s="3"/>
      <c r="I1520" s="3"/>
      <c r="J1520" s="288"/>
      <c r="L1520" s="288"/>
      <c r="M1520" s="288"/>
      <c r="N1520" s="288"/>
      <c r="O1520" s="288"/>
      <c r="P1520" s="288"/>
      <c r="Q1520" s="288"/>
      <c r="R1520" s="283"/>
      <c r="S1520" s="280"/>
      <c r="T1520" s="276"/>
      <c r="U1520" s="276"/>
      <c r="V1520" s="276"/>
      <c r="W1520" s="283"/>
      <c r="X1520" s="280"/>
      <c r="Y1520" s="280"/>
      <c r="Z1520" s="280"/>
      <c r="AA1520" s="280"/>
      <c r="AB1520" s="280"/>
      <c r="AC1520" s="280"/>
      <c r="AD1520" s="280"/>
      <c r="AG1520" s="3"/>
      <c r="AH1520" s="3"/>
      <c r="AI1520" s="3"/>
      <c r="AJ1520" s="3"/>
      <c r="AK1520" s="3"/>
      <c r="AL1520" s="3"/>
      <c r="AM1520" s="3"/>
      <c r="AN1520" s="3"/>
      <c r="AO1520" s="3"/>
      <c r="AP1520" s="11"/>
      <c r="AQ1520" s="11"/>
      <c r="AR1520" s="3"/>
      <c r="AS1520" s="3"/>
      <c r="AT1520" s="3"/>
      <c r="AU1520" s="3"/>
      <c r="AV1520" s="3"/>
      <c r="AW1520" s="3"/>
      <c r="AX1520" s="11"/>
      <c r="AZ1520"/>
      <c r="BA1520"/>
      <c r="BB1520"/>
      <c r="BC1520"/>
    </row>
    <row r="1521" spans="1:55" s="282" customFormat="1" x14ac:dyDescent="0.25">
      <c r="A1521"/>
      <c r="B1521"/>
      <c r="C1521" s="3"/>
      <c r="D1521"/>
      <c r="E1521"/>
      <c r="F1521"/>
      <c r="G1521" s="3"/>
      <c r="H1521" s="3"/>
      <c r="I1521" s="3"/>
      <c r="J1521" s="288"/>
      <c r="L1521" s="288"/>
      <c r="M1521" s="288"/>
      <c r="N1521" s="288"/>
      <c r="O1521" s="288"/>
      <c r="P1521" s="288"/>
      <c r="Q1521" s="288"/>
      <c r="R1521" s="283"/>
      <c r="S1521" s="280"/>
      <c r="T1521" s="276"/>
      <c r="U1521" s="276"/>
      <c r="V1521" s="276"/>
      <c r="W1521" s="283"/>
      <c r="X1521" s="280"/>
      <c r="Y1521" s="280"/>
      <c r="Z1521" s="280"/>
      <c r="AA1521" s="280"/>
      <c r="AB1521" s="280"/>
      <c r="AC1521" s="280"/>
      <c r="AD1521" s="280"/>
      <c r="AG1521" s="3"/>
      <c r="AH1521" s="3"/>
      <c r="AI1521" s="3"/>
      <c r="AJ1521" s="3"/>
      <c r="AK1521" s="3"/>
      <c r="AL1521" s="3"/>
      <c r="AM1521" s="3"/>
      <c r="AN1521" s="3"/>
      <c r="AO1521" s="3"/>
      <c r="AP1521" s="11"/>
      <c r="AQ1521" s="11"/>
      <c r="AR1521" s="3"/>
      <c r="AS1521" s="3"/>
      <c r="AT1521" s="3"/>
      <c r="AU1521" s="3"/>
      <c r="AV1521" s="3"/>
      <c r="AW1521" s="3"/>
      <c r="AX1521" s="11"/>
      <c r="AZ1521"/>
      <c r="BA1521"/>
      <c r="BB1521"/>
      <c r="BC1521"/>
    </row>
    <row r="1522" spans="1:55" s="282" customFormat="1" x14ac:dyDescent="0.25">
      <c r="A1522"/>
      <c r="B1522"/>
      <c r="C1522" s="3"/>
      <c r="D1522"/>
      <c r="E1522"/>
      <c r="F1522"/>
      <c r="G1522" s="3"/>
      <c r="H1522" s="3"/>
      <c r="I1522" s="3"/>
      <c r="J1522" s="288"/>
      <c r="L1522" s="288"/>
      <c r="M1522" s="288"/>
      <c r="N1522" s="288"/>
      <c r="O1522" s="288"/>
      <c r="P1522" s="288"/>
      <c r="Q1522" s="288"/>
      <c r="R1522" s="283"/>
      <c r="S1522" s="280"/>
      <c r="T1522" s="276"/>
      <c r="U1522" s="276"/>
      <c r="V1522" s="276"/>
      <c r="W1522" s="283"/>
      <c r="X1522" s="280"/>
      <c r="Y1522" s="280"/>
      <c r="Z1522" s="280"/>
      <c r="AA1522" s="280"/>
      <c r="AB1522" s="280"/>
      <c r="AC1522" s="280"/>
      <c r="AD1522" s="280"/>
      <c r="AG1522" s="3"/>
      <c r="AH1522" s="3"/>
      <c r="AI1522" s="3"/>
      <c r="AJ1522" s="3"/>
      <c r="AK1522" s="3"/>
      <c r="AL1522" s="3"/>
      <c r="AM1522" s="3"/>
      <c r="AN1522" s="3"/>
      <c r="AO1522" s="3"/>
      <c r="AP1522" s="11"/>
      <c r="AQ1522" s="11"/>
      <c r="AR1522" s="3"/>
      <c r="AS1522" s="3"/>
      <c r="AT1522" s="3"/>
      <c r="AU1522" s="3"/>
      <c r="AV1522" s="3"/>
      <c r="AW1522" s="3"/>
      <c r="AX1522" s="11"/>
      <c r="AZ1522"/>
      <c r="BA1522"/>
      <c r="BB1522"/>
      <c r="BC1522"/>
    </row>
    <row r="1523" spans="1:55" s="282" customFormat="1" x14ac:dyDescent="0.25">
      <c r="A1523"/>
      <c r="B1523"/>
      <c r="C1523" s="3"/>
      <c r="D1523"/>
      <c r="E1523"/>
      <c r="F1523"/>
      <c r="G1523" s="3"/>
      <c r="H1523" s="3"/>
      <c r="I1523" s="3"/>
      <c r="J1523" s="288"/>
      <c r="L1523" s="288"/>
      <c r="M1523" s="288"/>
      <c r="N1523" s="288"/>
      <c r="O1523" s="288"/>
      <c r="P1523" s="288"/>
      <c r="Q1523" s="288"/>
      <c r="R1523" s="283"/>
      <c r="S1523" s="280"/>
      <c r="T1523" s="276"/>
      <c r="U1523" s="276"/>
      <c r="V1523" s="276"/>
      <c r="W1523" s="283"/>
      <c r="X1523" s="280"/>
      <c r="Y1523" s="280"/>
      <c r="Z1523" s="280"/>
      <c r="AA1523" s="280"/>
      <c r="AB1523" s="280"/>
      <c r="AC1523" s="280"/>
      <c r="AD1523" s="280"/>
      <c r="AG1523" s="3"/>
      <c r="AH1523" s="3"/>
      <c r="AI1523" s="3"/>
      <c r="AJ1523" s="3"/>
      <c r="AK1523" s="3"/>
      <c r="AL1523" s="3"/>
      <c r="AM1523" s="3"/>
      <c r="AN1523" s="3"/>
      <c r="AO1523" s="3"/>
      <c r="AP1523" s="11"/>
      <c r="AQ1523" s="11"/>
      <c r="AR1523" s="3"/>
      <c r="AS1523" s="3"/>
      <c r="AT1523" s="3"/>
      <c r="AU1523" s="3"/>
      <c r="AV1523" s="3"/>
      <c r="AW1523" s="3"/>
      <c r="AX1523" s="11"/>
      <c r="AZ1523"/>
      <c r="BA1523"/>
      <c r="BB1523"/>
      <c r="BC1523"/>
    </row>
    <row r="1524" spans="1:55" s="282" customFormat="1" x14ac:dyDescent="0.25">
      <c r="A1524"/>
      <c r="B1524"/>
      <c r="C1524" s="3"/>
      <c r="D1524"/>
      <c r="E1524"/>
      <c r="F1524"/>
      <c r="G1524" s="3"/>
      <c r="H1524" s="3"/>
      <c r="I1524" s="3"/>
      <c r="J1524" s="288"/>
      <c r="L1524" s="288"/>
      <c r="M1524" s="288"/>
      <c r="N1524" s="288"/>
      <c r="O1524" s="288"/>
      <c r="P1524" s="288"/>
      <c r="Q1524" s="288"/>
      <c r="R1524" s="283"/>
      <c r="S1524" s="280"/>
      <c r="T1524" s="276"/>
      <c r="U1524" s="276"/>
      <c r="V1524" s="276"/>
      <c r="W1524" s="283"/>
      <c r="X1524" s="280"/>
      <c r="Y1524" s="280"/>
      <c r="Z1524" s="280"/>
      <c r="AA1524" s="280"/>
      <c r="AB1524" s="280"/>
      <c r="AC1524" s="280"/>
      <c r="AD1524" s="280"/>
      <c r="AG1524" s="3"/>
      <c r="AH1524" s="3"/>
      <c r="AI1524" s="3"/>
      <c r="AJ1524" s="3"/>
      <c r="AK1524" s="3"/>
      <c r="AL1524" s="3"/>
      <c r="AM1524" s="3"/>
      <c r="AN1524" s="3"/>
      <c r="AO1524" s="3"/>
      <c r="AP1524" s="11"/>
      <c r="AQ1524" s="11"/>
      <c r="AR1524" s="3"/>
      <c r="AS1524" s="3"/>
      <c r="AT1524" s="3"/>
      <c r="AU1524" s="3"/>
      <c r="AV1524" s="3"/>
      <c r="AW1524" s="3"/>
      <c r="AX1524" s="11"/>
      <c r="AZ1524"/>
      <c r="BA1524"/>
      <c r="BB1524"/>
      <c r="BC1524"/>
    </row>
    <row r="1525" spans="1:55" s="282" customFormat="1" x14ac:dyDescent="0.25">
      <c r="A1525"/>
      <c r="B1525"/>
      <c r="C1525" s="3"/>
      <c r="D1525"/>
      <c r="E1525"/>
      <c r="F1525"/>
      <c r="G1525" s="3"/>
      <c r="H1525" s="3"/>
      <c r="I1525" s="3"/>
      <c r="J1525" s="288"/>
      <c r="L1525" s="288"/>
      <c r="M1525" s="288"/>
      <c r="N1525" s="288"/>
      <c r="O1525" s="288"/>
      <c r="P1525" s="288"/>
      <c r="Q1525" s="288"/>
      <c r="R1525" s="283"/>
      <c r="S1525" s="280"/>
      <c r="T1525" s="276"/>
      <c r="U1525" s="276"/>
      <c r="V1525" s="276"/>
      <c r="W1525" s="283"/>
      <c r="X1525" s="280"/>
      <c r="Y1525" s="280"/>
      <c r="Z1525" s="280"/>
      <c r="AA1525" s="280"/>
      <c r="AB1525" s="280"/>
      <c r="AC1525" s="280"/>
      <c r="AD1525" s="280"/>
      <c r="AG1525" s="3"/>
      <c r="AH1525" s="3"/>
      <c r="AI1525" s="3"/>
      <c r="AJ1525" s="3"/>
      <c r="AK1525" s="3"/>
      <c r="AL1525" s="3"/>
      <c r="AM1525" s="3"/>
      <c r="AN1525" s="3"/>
      <c r="AO1525" s="3"/>
      <c r="AP1525" s="11"/>
      <c r="AQ1525" s="11"/>
      <c r="AR1525" s="3"/>
      <c r="AS1525" s="3"/>
      <c r="AT1525" s="3"/>
      <c r="AU1525" s="3"/>
      <c r="AV1525" s="3"/>
      <c r="AW1525" s="3"/>
      <c r="AX1525" s="11"/>
      <c r="AZ1525"/>
      <c r="BA1525"/>
      <c r="BB1525"/>
      <c r="BC1525"/>
    </row>
    <row r="1526" spans="1:55" s="282" customFormat="1" x14ac:dyDescent="0.25">
      <c r="A1526"/>
      <c r="B1526"/>
      <c r="C1526" s="3"/>
      <c r="D1526"/>
      <c r="E1526"/>
      <c r="F1526"/>
      <c r="G1526" s="3"/>
      <c r="H1526" s="3"/>
      <c r="I1526" s="3"/>
      <c r="J1526" s="288"/>
      <c r="L1526" s="288"/>
      <c r="M1526" s="288"/>
      <c r="N1526" s="288"/>
      <c r="O1526" s="288"/>
      <c r="P1526" s="288"/>
      <c r="Q1526" s="288"/>
      <c r="R1526" s="283"/>
      <c r="S1526" s="280"/>
      <c r="T1526" s="276"/>
      <c r="U1526" s="276"/>
      <c r="V1526" s="276"/>
      <c r="W1526" s="283"/>
      <c r="X1526" s="280"/>
      <c r="Y1526" s="280"/>
      <c r="Z1526" s="280"/>
      <c r="AA1526" s="280"/>
      <c r="AB1526" s="280"/>
      <c r="AC1526" s="280"/>
      <c r="AD1526" s="280"/>
      <c r="AG1526" s="3"/>
      <c r="AH1526" s="3"/>
      <c r="AI1526" s="3"/>
      <c r="AJ1526" s="3"/>
      <c r="AK1526" s="3"/>
      <c r="AL1526" s="3"/>
      <c r="AM1526" s="3"/>
      <c r="AN1526" s="3"/>
      <c r="AO1526" s="3"/>
      <c r="AP1526" s="11"/>
      <c r="AQ1526" s="11"/>
      <c r="AR1526" s="3"/>
      <c r="AS1526" s="3"/>
      <c r="AT1526" s="3"/>
      <c r="AU1526" s="3"/>
      <c r="AV1526" s="3"/>
      <c r="AW1526" s="3"/>
      <c r="AX1526" s="11"/>
      <c r="AZ1526"/>
      <c r="BA1526"/>
      <c r="BB1526"/>
      <c r="BC1526"/>
    </row>
    <row r="1527" spans="1:55" s="282" customFormat="1" x14ac:dyDescent="0.25">
      <c r="A1527"/>
      <c r="B1527"/>
      <c r="C1527" s="3"/>
      <c r="D1527"/>
      <c r="E1527"/>
      <c r="F1527"/>
      <c r="G1527" s="3"/>
      <c r="H1527" s="3"/>
      <c r="I1527" s="3"/>
      <c r="J1527" s="288"/>
      <c r="L1527" s="288"/>
      <c r="M1527" s="288"/>
      <c r="N1527" s="288"/>
      <c r="O1527" s="288"/>
      <c r="P1527" s="288"/>
      <c r="Q1527" s="288"/>
      <c r="R1527" s="283"/>
      <c r="S1527" s="280"/>
      <c r="T1527" s="276"/>
      <c r="U1527" s="276"/>
      <c r="V1527" s="276"/>
      <c r="W1527" s="283"/>
      <c r="X1527" s="280"/>
      <c r="Y1527" s="280"/>
      <c r="Z1527" s="280"/>
      <c r="AA1527" s="280"/>
      <c r="AB1527" s="280"/>
      <c r="AC1527" s="280"/>
      <c r="AD1527" s="280"/>
      <c r="AG1527" s="3"/>
      <c r="AH1527" s="3"/>
      <c r="AI1527" s="3"/>
      <c r="AJ1527" s="3"/>
      <c r="AK1527" s="3"/>
      <c r="AL1527" s="3"/>
      <c r="AM1527" s="3"/>
      <c r="AN1527" s="3"/>
      <c r="AO1527" s="3"/>
      <c r="AP1527" s="11"/>
      <c r="AQ1527" s="11"/>
      <c r="AR1527" s="3"/>
      <c r="AS1527" s="3"/>
      <c r="AT1527" s="3"/>
      <c r="AU1527" s="3"/>
      <c r="AV1527" s="3"/>
      <c r="AW1527" s="3"/>
      <c r="AX1527" s="11"/>
      <c r="AZ1527"/>
      <c r="BA1527"/>
      <c r="BB1527"/>
      <c r="BC1527"/>
    </row>
    <row r="1528" spans="1:55" s="282" customFormat="1" x14ac:dyDescent="0.25">
      <c r="A1528"/>
      <c r="B1528"/>
      <c r="C1528" s="3"/>
      <c r="D1528"/>
      <c r="E1528"/>
      <c r="F1528"/>
      <c r="G1528" s="3"/>
      <c r="H1528" s="3"/>
      <c r="I1528" s="3"/>
      <c r="J1528" s="288"/>
      <c r="L1528" s="288"/>
      <c r="M1528" s="288"/>
      <c r="N1528" s="288"/>
      <c r="O1528" s="288"/>
      <c r="P1528" s="288"/>
      <c r="Q1528" s="288"/>
      <c r="R1528" s="283"/>
      <c r="S1528" s="280"/>
      <c r="T1528" s="276"/>
      <c r="U1528" s="276"/>
      <c r="V1528" s="276"/>
      <c r="W1528" s="283"/>
      <c r="X1528" s="280"/>
      <c r="Y1528" s="280"/>
      <c r="Z1528" s="280"/>
      <c r="AA1528" s="280"/>
      <c r="AB1528" s="280"/>
      <c r="AC1528" s="280"/>
      <c r="AD1528" s="280"/>
      <c r="AG1528" s="3"/>
      <c r="AH1528" s="3"/>
      <c r="AI1528" s="3"/>
      <c r="AJ1528" s="3"/>
      <c r="AK1528" s="3"/>
      <c r="AL1528" s="3"/>
      <c r="AM1528" s="3"/>
      <c r="AN1528" s="3"/>
      <c r="AO1528" s="3"/>
      <c r="AP1528" s="11"/>
      <c r="AQ1528" s="11"/>
      <c r="AR1528" s="3"/>
      <c r="AS1528" s="3"/>
      <c r="AT1528" s="3"/>
      <c r="AU1528" s="3"/>
      <c r="AV1528" s="3"/>
      <c r="AW1528" s="3"/>
      <c r="AX1528" s="11"/>
      <c r="AZ1528"/>
      <c r="BA1528"/>
      <c r="BB1528"/>
      <c r="BC1528"/>
    </row>
    <row r="1529" spans="1:55" s="282" customFormat="1" x14ac:dyDescent="0.25">
      <c r="A1529"/>
      <c r="B1529"/>
      <c r="C1529" s="3"/>
      <c r="D1529"/>
      <c r="E1529"/>
      <c r="F1529"/>
      <c r="G1529" s="3"/>
      <c r="H1529" s="3"/>
      <c r="I1529" s="3"/>
      <c r="J1529" s="288"/>
      <c r="L1529" s="288"/>
      <c r="M1529" s="288"/>
      <c r="N1529" s="288"/>
      <c r="O1529" s="288"/>
      <c r="P1529" s="288"/>
      <c r="Q1529" s="288"/>
      <c r="R1529" s="283"/>
      <c r="S1529" s="280"/>
      <c r="T1529" s="276"/>
      <c r="U1529" s="276"/>
      <c r="V1529" s="276"/>
      <c r="W1529" s="283"/>
      <c r="X1529" s="280"/>
      <c r="Y1529" s="280"/>
      <c r="Z1529" s="280"/>
      <c r="AA1529" s="280"/>
      <c r="AB1529" s="280"/>
      <c r="AC1529" s="280"/>
      <c r="AD1529" s="280"/>
      <c r="AG1529" s="3"/>
      <c r="AH1529" s="3"/>
      <c r="AI1529" s="3"/>
      <c r="AJ1529" s="3"/>
      <c r="AK1529" s="3"/>
      <c r="AL1529" s="3"/>
      <c r="AM1529" s="3"/>
      <c r="AN1529" s="3"/>
      <c r="AO1529" s="3"/>
      <c r="AP1529" s="11"/>
      <c r="AQ1529" s="11"/>
      <c r="AR1529" s="3"/>
      <c r="AS1529" s="3"/>
      <c r="AT1529" s="3"/>
      <c r="AU1529" s="3"/>
      <c r="AV1529" s="3"/>
      <c r="AW1529" s="3"/>
      <c r="AX1529" s="11"/>
      <c r="AZ1529"/>
      <c r="BA1529"/>
      <c r="BB1529"/>
      <c r="BC1529"/>
    </row>
    <row r="1530" spans="1:55" s="282" customFormat="1" x14ac:dyDescent="0.25">
      <c r="A1530"/>
      <c r="B1530"/>
      <c r="C1530" s="3"/>
      <c r="D1530"/>
      <c r="E1530"/>
      <c r="F1530"/>
      <c r="G1530" s="3"/>
      <c r="H1530" s="3"/>
      <c r="I1530" s="3"/>
      <c r="J1530" s="288"/>
      <c r="L1530" s="288"/>
      <c r="M1530" s="288"/>
      <c r="N1530" s="288"/>
      <c r="O1530" s="288"/>
      <c r="P1530" s="288"/>
      <c r="Q1530" s="288"/>
      <c r="R1530" s="283"/>
      <c r="S1530" s="280"/>
      <c r="T1530" s="276"/>
      <c r="U1530" s="276"/>
      <c r="V1530" s="276"/>
      <c r="W1530" s="283"/>
      <c r="X1530" s="280"/>
      <c r="Y1530" s="280"/>
      <c r="Z1530" s="280"/>
      <c r="AA1530" s="280"/>
      <c r="AB1530" s="280"/>
      <c r="AC1530" s="280"/>
      <c r="AD1530" s="280"/>
      <c r="AG1530" s="3"/>
      <c r="AH1530" s="3"/>
      <c r="AI1530" s="3"/>
      <c r="AJ1530" s="3"/>
      <c r="AK1530" s="3"/>
      <c r="AL1530" s="3"/>
      <c r="AM1530" s="3"/>
      <c r="AN1530" s="3"/>
      <c r="AO1530" s="3"/>
      <c r="AP1530" s="11"/>
      <c r="AQ1530" s="11"/>
      <c r="AR1530" s="3"/>
      <c r="AS1530" s="3"/>
      <c r="AT1530" s="3"/>
      <c r="AU1530" s="3"/>
      <c r="AV1530" s="3"/>
      <c r="AW1530" s="3"/>
      <c r="AX1530" s="11"/>
      <c r="AZ1530"/>
      <c r="BA1530"/>
      <c r="BB1530"/>
      <c r="BC1530"/>
    </row>
    <row r="1531" spans="1:55" s="282" customFormat="1" x14ac:dyDescent="0.25">
      <c r="A1531"/>
      <c r="B1531"/>
      <c r="C1531" s="3"/>
      <c r="D1531"/>
      <c r="E1531"/>
      <c r="F1531"/>
      <c r="G1531" s="3"/>
      <c r="H1531" s="3"/>
      <c r="I1531" s="3"/>
      <c r="J1531" s="288"/>
      <c r="L1531" s="288"/>
      <c r="M1531" s="288"/>
      <c r="N1531" s="288"/>
      <c r="O1531" s="288"/>
      <c r="P1531" s="288"/>
      <c r="Q1531" s="288"/>
      <c r="R1531" s="283"/>
      <c r="S1531" s="280"/>
      <c r="T1531" s="276"/>
      <c r="U1531" s="276"/>
      <c r="V1531" s="276"/>
      <c r="W1531" s="283"/>
      <c r="X1531" s="280"/>
      <c r="Y1531" s="280"/>
      <c r="Z1531" s="280"/>
      <c r="AA1531" s="280"/>
      <c r="AB1531" s="280"/>
      <c r="AC1531" s="280"/>
      <c r="AD1531" s="280"/>
      <c r="AG1531" s="3"/>
      <c r="AH1531" s="3"/>
      <c r="AI1531" s="3"/>
      <c r="AJ1531" s="3"/>
      <c r="AK1531" s="3"/>
      <c r="AL1531" s="3"/>
      <c r="AM1531" s="3"/>
      <c r="AN1531" s="3"/>
      <c r="AO1531" s="3"/>
      <c r="AP1531" s="11"/>
      <c r="AQ1531" s="11"/>
      <c r="AR1531" s="3"/>
      <c r="AS1531" s="3"/>
      <c r="AT1531" s="3"/>
      <c r="AU1531" s="3"/>
      <c r="AV1531" s="3"/>
      <c r="AW1531" s="3"/>
      <c r="AX1531" s="11"/>
      <c r="AZ1531"/>
      <c r="BA1531"/>
      <c r="BB1531"/>
      <c r="BC1531"/>
    </row>
    <row r="1532" spans="1:55" s="282" customFormat="1" x14ac:dyDescent="0.25">
      <c r="A1532"/>
      <c r="B1532"/>
      <c r="C1532" s="3"/>
      <c r="D1532"/>
      <c r="E1532"/>
      <c r="F1532"/>
      <c r="G1532" s="3"/>
      <c r="H1532" s="3"/>
      <c r="I1532" s="3"/>
      <c r="J1532" s="288"/>
      <c r="L1532" s="288"/>
      <c r="M1532" s="288"/>
      <c r="N1532" s="288"/>
      <c r="O1532" s="288"/>
      <c r="P1532" s="288"/>
      <c r="Q1532" s="288"/>
      <c r="R1532" s="283"/>
      <c r="S1532" s="280"/>
      <c r="T1532" s="276"/>
      <c r="U1532" s="276"/>
      <c r="V1532" s="276"/>
      <c r="W1532" s="283"/>
      <c r="X1532" s="280"/>
      <c r="Y1532" s="280"/>
      <c r="Z1532" s="280"/>
      <c r="AA1532" s="280"/>
      <c r="AB1532" s="280"/>
      <c r="AC1532" s="280"/>
      <c r="AD1532" s="280"/>
      <c r="AG1532" s="3"/>
      <c r="AH1532" s="3"/>
      <c r="AI1532" s="3"/>
      <c r="AJ1532" s="3"/>
      <c r="AK1532" s="3"/>
      <c r="AL1532" s="3"/>
      <c r="AM1532" s="3"/>
      <c r="AN1532" s="3"/>
      <c r="AO1532" s="3"/>
      <c r="AP1532" s="11"/>
      <c r="AQ1532" s="11"/>
      <c r="AR1532" s="3"/>
      <c r="AS1532" s="3"/>
      <c r="AT1532" s="3"/>
      <c r="AU1532" s="3"/>
      <c r="AV1532" s="3"/>
      <c r="AW1532" s="3"/>
      <c r="AX1532" s="11"/>
      <c r="AZ1532"/>
      <c r="BA1532"/>
      <c r="BB1532"/>
      <c r="BC1532"/>
    </row>
    <row r="1533" spans="1:55" s="282" customFormat="1" x14ac:dyDescent="0.25">
      <c r="A1533"/>
      <c r="B1533"/>
      <c r="C1533" s="3"/>
      <c r="D1533"/>
      <c r="E1533"/>
      <c r="F1533"/>
      <c r="G1533" s="3"/>
      <c r="H1533" s="3"/>
      <c r="I1533" s="3"/>
      <c r="J1533" s="288"/>
      <c r="L1533" s="288"/>
      <c r="M1533" s="288"/>
      <c r="N1533" s="288"/>
      <c r="O1533" s="288"/>
      <c r="P1533" s="288"/>
      <c r="Q1533" s="288"/>
      <c r="R1533" s="283"/>
      <c r="S1533" s="280"/>
      <c r="T1533" s="276"/>
      <c r="U1533" s="276"/>
      <c r="V1533" s="276"/>
      <c r="W1533" s="283"/>
      <c r="X1533" s="280"/>
      <c r="Y1533" s="280"/>
      <c r="Z1533" s="280"/>
      <c r="AA1533" s="280"/>
      <c r="AB1533" s="280"/>
      <c r="AC1533" s="280"/>
      <c r="AD1533" s="280"/>
      <c r="AG1533" s="3"/>
      <c r="AH1533" s="3"/>
      <c r="AI1533" s="3"/>
      <c r="AJ1533" s="3"/>
      <c r="AK1533" s="3"/>
      <c r="AL1533" s="3"/>
      <c r="AM1533" s="3"/>
      <c r="AN1533" s="3"/>
      <c r="AO1533" s="3"/>
      <c r="AP1533" s="11"/>
      <c r="AQ1533" s="11"/>
      <c r="AR1533" s="3"/>
      <c r="AS1533" s="3"/>
      <c r="AT1533" s="3"/>
      <c r="AU1533" s="3"/>
      <c r="AV1533" s="3"/>
      <c r="AW1533" s="3"/>
      <c r="AX1533" s="11"/>
      <c r="AZ1533"/>
      <c r="BA1533"/>
      <c r="BB1533"/>
      <c r="BC1533"/>
    </row>
    <row r="1534" spans="1:55" s="282" customFormat="1" x14ac:dyDescent="0.25">
      <c r="A1534"/>
      <c r="B1534"/>
      <c r="C1534" s="3"/>
      <c r="D1534"/>
      <c r="E1534"/>
      <c r="F1534"/>
      <c r="G1534" s="3"/>
      <c r="H1534" s="3"/>
      <c r="I1534" s="3"/>
      <c r="J1534" s="288"/>
      <c r="L1534" s="288"/>
      <c r="M1534" s="288"/>
      <c r="N1534" s="288"/>
      <c r="O1534" s="288"/>
      <c r="P1534" s="288"/>
      <c r="Q1534" s="288"/>
      <c r="R1534" s="283"/>
      <c r="S1534" s="280"/>
      <c r="T1534" s="276"/>
      <c r="U1534" s="276"/>
      <c r="V1534" s="276"/>
      <c r="W1534" s="283"/>
      <c r="X1534" s="280"/>
      <c r="Y1534" s="280"/>
      <c r="Z1534" s="280"/>
      <c r="AA1534" s="280"/>
      <c r="AB1534" s="280"/>
      <c r="AC1534" s="280"/>
      <c r="AD1534" s="280"/>
      <c r="AG1534" s="3"/>
      <c r="AH1534" s="3"/>
      <c r="AI1534" s="3"/>
      <c r="AJ1534" s="3"/>
      <c r="AK1534" s="3"/>
      <c r="AL1534" s="3"/>
      <c r="AM1534" s="3"/>
      <c r="AN1534" s="3"/>
      <c r="AO1534" s="3"/>
      <c r="AP1534" s="11"/>
      <c r="AQ1534" s="11"/>
      <c r="AR1534" s="3"/>
      <c r="AS1534" s="3"/>
      <c r="AT1534" s="3"/>
      <c r="AU1534" s="3"/>
      <c r="AV1534" s="3"/>
      <c r="AW1534" s="3"/>
      <c r="AX1534" s="11"/>
      <c r="AZ1534"/>
      <c r="BA1534"/>
      <c r="BB1534"/>
      <c r="BC1534"/>
    </row>
    <row r="1535" spans="1:55" s="282" customFormat="1" x14ac:dyDescent="0.25">
      <c r="A1535"/>
      <c r="B1535"/>
      <c r="C1535" s="3"/>
      <c r="D1535"/>
      <c r="E1535"/>
      <c r="F1535"/>
      <c r="G1535" s="3"/>
      <c r="H1535" s="3"/>
      <c r="I1535" s="3"/>
      <c r="J1535" s="288"/>
      <c r="L1535" s="288"/>
      <c r="M1535" s="288"/>
      <c r="N1535" s="288"/>
      <c r="O1535" s="288"/>
      <c r="P1535" s="288"/>
      <c r="Q1535" s="288"/>
      <c r="R1535" s="283"/>
      <c r="S1535" s="280"/>
      <c r="T1535" s="276"/>
      <c r="U1535" s="276"/>
      <c r="V1535" s="276"/>
      <c r="W1535" s="283"/>
      <c r="X1535" s="280"/>
      <c r="Y1535" s="280"/>
      <c r="Z1535" s="280"/>
      <c r="AA1535" s="280"/>
      <c r="AB1535" s="280"/>
      <c r="AC1535" s="280"/>
      <c r="AD1535" s="280"/>
      <c r="AG1535" s="3"/>
      <c r="AH1535" s="3"/>
      <c r="AI1535" s="3"/>
      <c r="AJ1535" s="3"/>
      <c r="AK1535" s="3"/>
      <c r="AL1535" s="3"/>
      <c r="AM1535" s="3"/>
      <c r="AN1535" s="3"/>
      <c r="AO1535" s="3"/>
      <c r="AP1535" s="11"/>
      <c r="AQ1535" s="11"/>
      <c r="AR1535" s="3"/>
      <c r="AS1535" s="3"/>
      <c r="AT1535" s="3"/>
      <c r="AU1535" s="3"/>
      <c r="AV1535" s="3"/>
      <c r="AW1535" s="3"/>
      <c r="AX1535" s="11"/>
      <c r="AZ1535"/>
      <c r="BA1535"/>
      <c r="BB1535"/>
      <c r="BC1535"/>
    </row>
    <row r="1536" spans="1:55" s="282" customFormat="1" x14ac:dyDescent="0.25">
      <c r="A1536"/>
      <c r="B1536"/>
      <c r="C1536" s="3"/>
      <c r="D1536"/>
      <c r="E1536"/>
      <c r="F1536"/>
      <c r="G1536" s="3"/>
      <c r="H1536" s="3"/>
      <c r="I1536" s="3"/>
      <c r="J1536" s="288"/>
      <c r="L1536" s="288"/>
      <c r="M1536" s="288"/>
      <c r="N1536" s="288"/>
      <c r="O1536" s="288"/>
      <c r="P1536" s="288"/>
      <c r="Q1536" s="288"/>
      <c r="R1536" s="283"/>
      <c r="S1536" s="280"/>
      <c r="T1536" s="276"/>
      <c r="U1536" s="276"/>
      <c r="V1536" s="276"/>
      <c r="W1536" s="283"/>
      <c r="X1536" s="280"/>
      <c r="Y1536" s="280"/>
      <c r="Z1536" s="280"/>
      <c r="AA1536" s="280"/>
      <c r="AB1536" s="280"/>
      <c r="AC1536" s="280"/>
      <c r="AD1536" s="280"/>
      <c r="AG1536" s="3"/>
      <c r="AH1536" s="3"/>
      <c r="AI1536" s="3"/>
      <c r="AJ1536" s="3"/>
      <c r="AK1536" s="3"/>
      <c r="AL1536" s="3"/>
      <c r="AM1536" s="3"/>
      <c r="AN1536" s="3"/>
      <c r="AO1536" s="3"/>
      <c r="AP1536" s="11"/>
      <c r="AQ1536" s="11"/>
      <c r="AR1536" s="3"/>
      <c r="AS1536" s="3"/>
      <c r="AT1536" s="3"/>
      <c r="AU1536" s="3"/>
      <c r="AV1536" s="3"/>
      <c r="AW1536" s="3"/>
      <c r="AX1536" s="11"/>
      <c r="AZ1536"/>
      <c r="BA1536"/>
      <c r="BB1536"/>
      <c r="BC1536"/>
    </row>
    <row r="1537" spans="1:55" s="282" customFormat="1" x14ac:dyDescent="0.25">
      <c r="A1537"/>
      <c r="B1537"/>
      <c r="C1537" s="3"/>
      <c r="D1537"/>
      <c r="E1537"/>
      <c r="F1537"/>
      <c r="G1537" s="3"/>
      <c r="H1537" s="3"/>
      <c r="I1537" s="3"/>
      <c r="J1537" s="288"/>
      <c r="L1537" s="288"/>
      <c r="M1537" s="288"/>
      <c r="N1537" s="288"/>
      <c r="O1537" s="288"/>
      <c r="P1537" s="288"/>
      <c r="Q1537" s="288"/>
      <c r="R1537" s="283"/>
      <c r="S1537" s="280"/>
      <c r="T1537" s="276"/>
      <c r="U1537" s="276"/>
      <c r="V1537" s="276"/>
      <c r="W1537" s="283"/>
      <c r="X1537" s="280"/>
      <c r="Y1537" s="280"/>
      <c r="Z1537" s="280"/>
      <c r="AA1537" s="280"/>
      <c r="AB1537" s="280"/>
      <c r="AC1537" s="280"/>
      <c r="AD1537" s="280"/>
      <c r="AG1537" s="3"/>
      <c r="AH1537" s="3"/>
      <c r="AI1537" s="3"/>
      <c r="AJ1537" s="3"/>
      <c r="AK1537" s="3"/>
      <c r="AL1537" s="3"/>
      <c r="AM1537" s="3"/>
      <c r="AN1537" s="3"/>
      <c r="AO1537" s="3"/>
      <c r="AP1537" s="11"/>
      <c r="AQ1537" s="11"/>
      <c r="AR1537" s="3"/>
      <c r="AS1537" s="3"/>
      <c r="AT1537" s="3"/>
      <c r="AU1537" s="3"/>
      <c r="AV1537" s="3"/>
      <c r="AW1537" s="3"/>
      <c r="AX1537" s="11"/>
      <c r="AZ1537"/>
      <c r="BA1537"/>
      <c r="BB1537"/>
      <c r="BC1537"/>
    </row>
    <row r="1538" spans="1:55" s="282" customFormat="1" x14ac:dyDescent="0.25">
      <c r="A1538"/>
      <c r="B1538"/>
      <c r="C1538" s="3"/>
      <c r="D1538"/>
      <c r="E1538"/>
      <c r="F1538"/>
      <c r="G1538" s="3"/>
      <c r="H1538" s="3"/>
      <c r="I1538" s="3"/>
      <c r="J1538" s="288"/>
      <c r="L1538" s="288"/>
      <c r="M1538" s="288"/>
      <c r="N1538" s="288"/>
      <c r="O1538" s="288"/>
      <c r="P1538" s="288"/>
      <c r="Q1538" s="288"/>
      <c r="R1538" s="283"/>
      <c r="S1538" s="280"/>
      <c r="T1538" s="276"/>
      <c r="U1538" s="276"/>
      <c r="V1538" s="276"/>
      <c r="W1538" s="283"/>
      <c r="X1538" s="280"/>
      <c r="Y1538" s="280"/>
      <c r="Z1538" s="280"/>
      <c r="AA1538" s="280"/>
      <c r="AB1538" s="280"/>
      <c r="AC1538" s="280"/>
      <c r="AD1538" s="280"/>
      <c r="AG1538" s="3"/>
      <c r="AH1538" s="3"/>
      <c r="AI1538" s="3"/>
      <c r="AJ1538" s="3"/>
      <c r="AK1538" s="3"/>
      <c r="AL1538" s="3"/>
      <c r="AM1538" s="3"/>
      <c r="AN1538" s="3"/>
      <c r="AO1538" s="3"/>
      <c r="AP1538" s="11"/>
      <c r="AQ1538" s="11"/>
      <c r="AR1538" s="3"/>
      <c r="AS1538" s="3"/>
      <c r="AT1538" s="3"/>
      <c r="AU1538" s="3"/>
      <c r="AV1538" s="3"/>
      <c r="AW1538" s="3"/>
      <c r="AX1538" s="11"/>
      <c r="AZ1538"/>
      <c r="BA1538"/>
      <c r="BB1538"/>
      <c r="BC1538"/>
    </row>
    <row r="1539" spans="1:55" s="282" customFormat="1" x14ac:dyDescent="0.25">
      <c r="A1539"/>
      <c r="B1539"/>
      <c r="C1539" s="3"/>
      <c r="D1539"/>
      <c r="E1539"/>
      <c r="F1539"/>
      <c r="G1539" s="3"/>
      <c r="H1539" s="3"/>
      <c r="I1539" s="3"/>
      <c r="J1539" s="288"/>
      <c r="L1539" s="288"/>
      <c r="M1539" s="288"/>
      <c r="N1539" s="288"/>
      <c r="O1539" s="288"/>
      <c r="P1539" s="288"/>
      <c r="Q1539" s="288"/>
      <c r="R1539" s="283"/>
      <c r="S1539" s="280"/>
      <c r="T1539" s="276"/>
      <c r="U1539" s="276"/>
      <c r="V1539" s="276"/>
      <c r="W1539" s="283"/>
      <c r="X1539" s="280"/>
      <c r="Y1539" s="280"/>
      <c r="Z1539" s="280"/>
      <c r="AA1539" s="280"/>
      <c r="AB1539" s="280"/>
      <c r="AC1539" s="280"/>
      <c r="AD1539" s="280"/>
      <c r="AG1539" s="3"/>
      <c r="AH1539" s="3"/>
      <c r="AI1539" s="3"/>
      <c r="AJ1539" s="3"/>
      <c r="AK1539" s="3"/>
      <c r="AL1539" s="3"/>
      <c r="AM1539" s="3"/>
      <c r="AN1539" s="3"/>
      <c r="AO1539" s="3"/>
      <c r="AP1539" s="11"/>
      <c r="AQ1539" s="11"/>
      <c r="AR1539" s="3"/>
      <c r="AS1539" s="3"/>
      <c r="AT1539" s="3"/>
      <c r="AU1539" s="3"/>
      <c r="AV1539" s="3"/>
      <c r="AW1539" s="3"/>
      <c r="AX1539" s="11"/>
      <c r="AZ1539"/>
      <c r="BA1539"/>
      <c r="BB1539"/>
      <c r="BC1539"/>
    </row>
    <row r="1540" spans="1:55" s="282" customFormat="1" x14ac:dyDescent="0.25">
      <c r="A1540"/>
      <c r="B1540"/>
      <c r="C1540" s="3"/>
      <c r="D1540"/>
      <c r="E1540"/>
      <c r="F1540"/>
      <c r="G1540" s="3"/>
      <c r="H1540" s="3"/>
      <c r="I1540" s="3"/>
      <c r="J1540" s="288"/>
      <c r="L1540" s="288"/>
      <c r="M1540" s="288"/>
      <c r="N1540" s="288"/>
      <c r="O1540" s="288"/>
      <c r="P1540" s="288"/>
      <c r="Q1540" s="288"/>
      <c r="R1540" s="283"/>
      <c r="S1540" s="280"/>
      <c r="T1540" s="276"/>
      <c r="U1540" s="276"/>
      <c r="V1540" s="276"/>
      <c r="W1540" s="283"/>
      <c r="X1540" s="280"/>
      <c r="Y1540" s="280"/>
      <c r="Z1540" s="280"/>
      <c r="AA1540" s="280"/>
      <c r="AB1540" s="280"/>
      <c r="AC1540" s="280"/>
      <c r="AD1540" s="280"/>
      <c r="AG1540" s="3"/>
      <c r="AH1540" s="3"/>
      <c r="AI1540" s="3"/>
      <c r="AJ1540" s="3"/>
      <c r="AK1540" s="3"/>
      <c r="AL1540" s="3"/>
      <c r="AM1540" s="3"/>
      <c r="AN1540" s="3"/>
      <c r="AO1540" s="3"/>
      <c r="AP1540" s="11"/>
      <c r="AQ1540" s="11"/>
      <c r="AR1540" s="3"/>
      <c r="AS1540" s="3"/>
      <c r="AT1540" s="3"/>
      <c r="AU1540" s="3"/>
      <c r="AV1540" s="3"/>
      <c r="AW1540" s="3"/>
      <c r="AX1540" s="11"/>
      <c r="AZ1540"/>
      <c r="BA1540"/>
      <c r="BB1540"/>
      <c r="BC1540"/>
    </row>
    <row r="1541" spans="1:55" s="282" customFormat="1" x14ac:dyDescent="0.25">
      <c r="A1541"/>
      <c r="B1541"/>
      <c r="C1541" s="3"/>
      <c r="D1541"/>
      <c r="E1541"/>
      <c r="F1541"/>
      <c r="G1541" s="3"/>
      <c r="H1541" s="3"/>
      <c r="I1541" s="3"/>
      <c r="J1541" s="288"/>
      <c r="L1541" s="288"/>
      <c r="M1541" s="288"/>
      <c r="N1541" s="288"/>
      <c r="O1541" s="288"/>
      <c r="P1541" s="288"/>
      <c r="Q1541" s="288"/>
      <c r="R1541" s="283"/>
      <c r="S1541" s="280"/>
      <c r="T1541" s="276"/>
      <c r="U1541" s="276"/>
      <c r="V1541" s="276"/>
      <c r="W1541" s="283"/>
      <c r="X1541" s="280"/>
      <c r="Y1541" s="280"/>
      <c r="Z1541" s="280"/>
      <c r="AA1541" s="280"/>
      <c r="AB1541" s="280"/>
      <c r="AC1541" s="280"/>
      <c r="AD1541" s="280"/>
      <c r="AG1541" s="3"/>
      <c r="AH1541" s="3"/>
      <c r="AI1541" s="3"/>
      <c r="AJ1541" s="3"/>
      <c r="AK1541" s="3"/>
      <c r="AL1541" s="3"/>
      <c r="AM1541" s="3"/>
      <c r="AN1541" s="3"/>
      <c r="AO1541" s="3"/>
      <c r="AP1541" s="11"/>
      <c r="AQ1541" s="11"/>
      <c r="AR1541" s="3"/>
      <c r="AS1541" s="3"/>
      <c r="AT1541" s="3"/>
      <c r="AU1541" s="3"/>
      <c r="AV1541" s="3"/>
      <c r="AW1541" s="3"/>
      <c r="AX1541" s="11"/>
      <c r="AZ1541"/>
      <c r="BA1541"/>
      <c r="BB1541"/>
      <c r="BC1541"/>
    </row>
    <row r="1542" spans="1:55" s="282" customFormat="1" x14ac:dyDescent="0.25">
      <c r="A1542"/>
      <c r="B1542"/>
      <c r="C1542" s="3"/>
      <c r="D1542"/>
      <c r="E1542"/>
      <c r="F1542"/>
      <c r="G1542" s="3"/>
      <c r="H1542" s="3"/>
      <c r="I1542" s="3"/>
      <c r="J1542" s="288"/>
      <c r="L1542" s="288"/>
      <c r="M1542" s="288"/>
      <c r="N1542" s="288"/>
      <c r="O1542" s="288"/>
      <c r="P1542" s="288"/>
      <c r="Q1542" s="288"/>
      <c r="R1542" s="283"/>
      <c r="S1542" s="280"/>
      <c r="T1542" s="276"/>
      <c r="U1542" s="276"/>
      <c r="V1542" s="276"/>
      <c r="W1542" s="283"/>
      <c r="X1542" s="280"/>
      <c r="Y1542" s="280"/>
      <c r="Z1542" s="280"/>
      <c r="AA1542" s="280"/>
      <c r="AB1542" s="280"/>
      <c r="AC1542" s="280"/>
      <c r="AD1542" s="280"/>
      <c r="AG1542" s="3"/>
      <c r="AH1542" s="3"/>
      <c r="AI1542" s="3"/>
      <c r="AJ1542" s="3"/>
      <c r="AK1542" s="3"/>
      <c r="AL1542" s="3"/>
      <c r="AM1542" s="3"/>
      <c r="AN1542" s="3"/>
      <c r="AO1542" s="3"/>
      <c r="AP1542" s="11"/>
      <c r="AQ1542" s="11"/>
      <c r="AR1542" s="3"/>
      <c r="AS1542" s="3"/>
      <c r="AT1542" s="3"/>
      <c r="AU1542" s="3"/>
      <c r="AV1542" s="3"/>
      <c r="AW1542" s="3"/>
      <c r="AX1542" s="11"/>
      <c r="AZ1542"/>
      <c r="BA1542"/>
      <c r="BB1542"/>
      <c r="BC1542"/>
    </row>
    <row r="1543" spans="1:55" s="282" customFormat="1" x14ac:dyDescent="0.25">
      <c r="A1543"/>
      <c r="B1543"/>
      <c r="C1543" s="3"/>
      <c r="D1543"/>
      <c r="E1543"/>
      <c r="F1543"/>
      <c r="G1543" s="3"/>
      <c r="H1543" s="3"/>
      <c r="I1543" s="3"/>
      <c r="J1543" s="288"/>
      <c r="L1543" s="288"/>
      <c r="M1543" s="288"/>
      <c r="N1543" s="288"/>
      <c r="O1543" s="288"/>
      <c r="P1543" s="288"/>
      <c r="Q1543" s="288"/>
      <c r="R1543" s="283"/>
      <c r="S1543" s="280"/>
      <c r="T1543" s="276"/>
      <c r="U1543" s="276"/>
      <c r="V1543" s="276"/>
      <c r="W1543" s="283"/>
      <c r="X1543" s="280"/>
      <c r="Y1543" s="280"/>
      <c r="Z1543" s="280"/>
      <c r="AA1543" s="280"/>
      <c r="AB1543" s="280"/>
      <c r="AC1543" s="280"/>
      <c r="AD1543" s="280"/>
      <c r="AG1543" s="3"/>
      <c r="AH1543" s="3"/>
      <c r="AI1543" s="3"/>
      <c r="AJ1543" s="3"/>
      <c r="AK1543" s="3"/>
      <c r="AL1543" s="3"/>
      <c r="AM1543" s="3"/>
      <c r="AN1543" s="3"/>
      <c r="AO1543" s="3"/>
      <c r="AP1543" s="11"/>
      <c r="AQ1543" s="11"/>
      <c r="AR1543" s="3"/>
      <c r="AS1543" s="3"/>
      <c r="AT1543" s="3"/>
      <c r="AU1543" s="3"/>
      <c r="AV1543" s="3"/>
      <c r="AW1543" s="3"/>
      <c r="AX1543" s="11"/>
      <c r="AZ1543"/>
      <c r="BA1543"/>
      <c r="BB1543"/>
      <c r="BC1543"/>
    </row>
    <row r="1544" spans="1:55" s="282" customFormat="1" x14ac:dyDescent="0.25">
      <c r="A1544"/>
      <c r="B1544"/>
      <c r="C1544" s="3"/>
      <c r="D1544"/>
      <c r="E1544"/>
      <c r="F1544"/>
      <c r="G1544" s="3"/>
      <c r="H1544" s="3"/>
      <c r="I1544" s="3"/>
      <c r="J1544" s="288"/>
      <c r="L1544" s="288"/>
      <c r="M1544" s="288"/>
      <c r="N1544" s="288"/>
      <c r="O1544" s="288"/>
      <c r="P1544" s="288"/>
      <c r="Q1544" s="288"/>
      <c r="R1544" s="283"/>
      <c r="S1544" s="280"/>
      <c r="T1544" s="276"/>
      <c r="U1544" s="276"/>
      <c r="V1544" s="276"/>
      <c r="W1544" s="283"/>
      <c r="X1544" s="280"/>
      <c r="Y1544" s="280"/>
      <c r="Z1544" s="280"/>
      <c r="AA1544" s="280"/>
      <c r="AB1544" s="280"/>
      <c r="AC1544" s="280"/>
      <c r="AD1544" s="280"/>
      <c r="AG1544" s="3"/>
      <c r="AH1544" s="3"/>
      <c r="AI1544" s="3"/>
      <c r="AJ1544" s="3"/>
      <c r="AK1544" s="3"/>
      <c r="AL1544" s="3"/>
      <c r="AM1544" s="3"/>
      <c r="AN1544" s="3"/>
      <c r="AO1544" s="3"/>
      <c r="AP1544" s="11"/>
      <c r="AQ1544" s="11"/>
      <c r="AR1544" s="3"/>
      <c r="AS1544" s="3"/>
      <c r="AT1544" s="3"/>
      <c r="AU1544" s="3"/>
      <c r="AV1544" s="3"/>
      <c r="AW1544" s="3"/>
      <c r="AX1544" s="11"/>
      <c r="AZ1544"/>
      <c r="BA1544"/>
      <c r="BB1544"/>
      <c r="BC1544"/>
    </row>
    <row r="1545" spans="1:55" s="282" customFormat="1" x14ac:dyDescent="0.25">
      <c r="A1545"/>
      <c r="B1545"/>
      <c r="C1545" s="3"/>
      <c r="D1545"/>
      <c r="E1545"/>
      <c r="F1545"/>
      <c r="G1545" s="3"/>
      <c r="H1545" s="3"/>
      <c r="I1545" s="3"/>
      <c r="J1545" s="288"/>
      <c r="L1545" s="288"/>
      <c r="M1545" s="288"/>
      <c r="N1545" s="288"/>
      <c r="O1545" s="288"/>
      <c r="P1545" s="288"/>
      <c r="Q1545" s="288"/>
      <c r="R1545" s="283"/>
      <c r="S1545" s="280"/>
      <c r="T1545" s="276"/>
      <c r="U1545" s="276"/>
      <c r="V1545" s="276"/>
      <c r="W1545" s="283"/>
      <c r="X1545" s="280"/>
      <c r="Y1545" s="280"/>
      <c r="Z1545" s="280"/>
      <c r="AA1545" s="280"/>
      <c r="AB1545" s="280"/>
      <c r="AC1545" s="280"/>
      <c r="AD1545" s="280"/>
      <c r="AG1545" s="3"/>
      <c r="AH1545" s="3"/>
      <c r="AI1545" s="3"/>
      <c r="AJ1545" s="3"/>
      <c r="AK1545" s="3"/>
      <c r="AL1545" s="3"/>
      <c r="AM1545" s="3"/>
      <c r="AN1545" s="3"/>
      <c r="AO1545" s="3"/>
      <c r="AP1545" s="11"/>
      <c r="AQ1545" s="11"/>
      <c r="AR1545" s="3"/>
      <c r="AS1545" s="3"/>
      <c r="AT1545" s="3"/>
      <c r="AU1545" s="3"/>
      <c r="AV1545" s="3"/>
      <c r="AW1545" s="3"/>
      <c r="AX1545" s="11"/>
      <c r="AZ1545"/>
      <c r="BA1545"/>
      <c r="BB1545"/>
      <c r="BC1545"/>
    </row>
    <row r="1546" spans="1:55" s="282" customFormat="1" x14ac:dyDescent="0.25">
      <c r="A1546"/>
      <c r="B1546"/>
      <c r="C1546" s="3"/>
      <c r="D1546"/>
      <c r="E1546"/>
      <c r="F1546"/>
      <c r="G1546" s="3"/>
      <c r="H1546" s="3"/>
      <c r="I1546" s="3"/>
      <c r="J1546" s="288"/>
      <c r="L1546" s="288"/>
      <c r="M1546" s="288"/>
      <c r="N1546" s="288"/>
      <c r="O1546" s="288"/>
      <c r="P1546" s="288"/>
      <c r="Q1546" s="288"/>
      <c r="R1546" s="283"/>
      <c r="S1546" s="280"/>
      <c r="T1546" s="276"/>
      <c r="U1546" s="276"/>
      <c r="V1546" s="276"/>
      <c r="W1546" s="283"/>
      <c r="X1546" s="280"/>
      <c r="Y1546" s="280"/>
      <c r="Z1546" s="280"/>
      <c r="AA1546" s="280"/>
      <c r="AB1546" s="280"/>
      <c r="AC1546" s="280"/>
      <c r="AD1546" s="280"/>
      <c r="AG1546" s="3"/>
      <c r="AH1546" s="3"/>
      <c r="AI1546" s="3"/>
      <c r="AJ1546" s="3"/>
      <c r="AK1546" s="3"/>
      <c r="AL1546" s="3"/>
      <c r="AM1546" s="3"/>
      <c r="AN1546" s="3"/>
      <c r="AO1546" s="3"/>
      <c r="AP1546" s="11"/>
      <c r="AQ1546" s="11"/>
      <c r="AR1546" s="3"/>
      <c r="AS1546" s="3"/>
      <c r="AT1546" s="3"/>
      <c r="AU1546" s="3"/>
      <c r="AV1546" s="3"/>
      <c r="AW1546" s="3"/>
      <c r="AX1546" s="11"/>
      <c r="AZ1546"/>
      <c r="BA1546"/>
      <c r="BB1546"/>
      <c r="BC1546"/>
    </row>
    <row r="1547" spans="1:55" s="282" customFormat="1" x14ac:dyDescent="0.25">
      <c r="A1547"/>
      <c r="B1547"/>
      <c r="C1547" s="3"/>
      <c r="D1547"/>
      <c r="E1547"/>
      <c r="F1547"/>
      <c r="G1547" s="3"/>
      <c r="H1547" s="3"/>
      <c r="I1547" s="3"/>
      <c r="J1547" s="288"/>
      <c r="L1547" s="288"/>
      <c r="M1547" s="288"/>
      <c r="N1547" s="288"/>
      <c r="O1547" s="288"/>
      <c r="P1547" s="288"/>
      <c r="Q1547" s="288"/>
      <c r="R1547" s="283"/>
      <c r="S1547" s="280"/>
      <c r="T1547" s="276"/>
      <c r="U1547" s="276"/>
      <c r="V1547" s="276"/>
      <c r="W1547" s="283"/>
      <c r="X1547" s="280"/>
      <c r="Y1547" s="280"/>
      <c r="Z1547" s="280"/>
      <c r="AA1547" s="280"/>
      <c r="AB1547" s="280"/>
      <c r="AC1547" s="280"/>
      <c r="AD1547" s="280"/>
      <c r="AG1547" s="3"/>
      <c r="AH1547" s="3"/>
      <c r="AI1547" s="3"/>
      <c r="AJ1547" s="3"/>
      <c r="AK1547" s="3"/>
      <c r="AL1547" s="3"/>
      <c r="AM1547" s="3"/>
      <c r="AN1547" s="3"/>
      <c r="AO1547" s="3"/>
      <c r="AP1547" s="11"/>
      <c r="AQ1547" s="11"/>
      <c r="AR1547" s="3"/>
      <c r="AS1547" s="3"/>
      <c r="AT1547" s="3"/>
      <c r="AU1547" s="3"/>
      <c r="AV1547" s="3"/>
      <c r="AW1547" s="3"/>
      <c r="AX1547" s="11"/>
      <c r="AZ1547"/>
      <c r="BA1547"/>
      <c r="BB1547"/>
      <c r="BC1547"/>
    </row>
    <row r="1548" spans="1:55" s="282" customFormat="1" x14ac:dyDescent="0.25">
      <c r="A1548"/>
      <c r="B1548"/>
      <c r="C1548" s="3"/>
      <c r="D1548"/>
      <c r="E1548"/>
      <c r="F1548"/>
      <c r="G1548" s="3"/>
      <c r="H1548" s="3"/>
      <c r="I1548" s="3"/>
      <c r="J1548" s="288"/>
      <c r="L1548" s="288"/>
      <c r="M1548" s="288"/>
      <c r="N1548" s="288"/>
      <c r="O1548" s="288"/>
      <c r="P1548" s="288"/>
      <c r="Q1548" s="288"/>
      <c r="R1548" s="283"/>
      <c r="S1548" s="280"/>
      <c r="T1548" s="276"/>
      <c r="U1548" s="276"/>
      <c r="V1548" s="276"/>
      <c r="W1548" s="283"/>
      <c r="X1548" s="280"/>
      <c r="Y1548" s="280"/>
      <c r="Z1548" s="280"/>
      <c r="AA1548" s="280"/>
      <c r="AB1548" s="280"/>
      <c r="AC1548" s="280"/>
      <c r="AD1548" s="280"/>
      <c r="AG1548" s="3"/>
      <c r="AH1548" s="3"/>
      <c r="AI1548" s="3"/>
      <c r="AJ1548" s="3"/>
      <c r="AK1548" s="3"/>
      <c r="AL1548" s="3"/>
      <c r="AM1548" s="3"/>
      <c r="AN1548" s="3"/>
      <c r="AO1548" s="3"/>
      <c r="AP1548" s="11"/>
      <c r="AQ1548" s="11"/>
      <c r="AR1548" s="3"/>
      <c r="AS1548" s="3"/>
      <c r="AT1548" s="3"/>
      <c r="AU1548" s="3"/>
      <c r="AV1548" s="3"/>
      <c r="AW1548" s="3"/>
      <c r="AX1548" s="11"/>
      <c r="AZ1548"/>
      <c r="BA1548"/>
      <c r="BB1548"/>
      <c r="BC1548"/>
    </row>
    <row r="1549" spans="1:55" s="282" customFormat="1" x14ac:dyDescent="0.25">
      <c r="A1549"/>
      <c r="B1549"/>
      <c r="C1549" s="3"/>
      <c r="D1549"/>
      <c r="E1549"/>
      <c r="F1549"/>
      <c r="G1549" s="3"/>
      <c r="H1549" s="3"/>
      <c r="I1549" s="3"/>
      <c r="J1549" s="288"/>
      <c r="L1549" s="288"/>
      <c r="M1549" s="288"/>
      <c r="N1549" s="288"/>
      <c r="O1549" s="288"/>
      <c r="P1549" s="288"/>
      <c r="Q1549" s="288"/>
      <c r="R1549" s="283"/>
      <c r="S1549" s="280"/>
      <c r="T1549" s="276"/>
      <c r="U1549" s="276"/>
      <c r="V1549" s="276"/>
      <c r="W1549" s="283"/>
      <c r="X1549" s="280"/>
      <c r="Y1549" s="280"/>
      <c r="Z1549" s="280"/>
      <c r="AA1549" s="280"/>
      <c r="AB1549" s="280"/>
      <c r="AC1549" s="280"/>
      <c r="AD1549" s="280"/>
      <c r="AG1549" s="3"/>
      <c r="AH1549" s="3"/>
      <c r="AI1549" s="3"/>
      <c r="AJ1549" s="3"/>
      <c r="AK1549" s="3"/>
      <c r="AL1549" s="3"/>
      <c r="AM1549" s="3"/>
      <c r="AN1549" s="3"/>
      <c r="AO1549" s="3"/>
      <c r="AP1549" s="11"/>
      <c r="AQ1549" s="11"/>
      <c r="AR1549" s="3"/>
      <c r="AS1549" s="3"/>
      <c r="AT1549" s="3"/>
      <c r="AU1549" s="3"/>
      <c r="AV1549" s="3"/>
      <c r="AW1549" s="3"/>
      <c r="AX1549" s="11"/>
      <c r="AZ1549"/>
      <c r="BA1549"/>
      <c r="BB1549"/>
      <c r="BC1549"/>
    </row>
    <row r="1550" spans="1:55" s="282" customFormat="1" x14ac:dyDescent="0.25">
      <c r="A1550"/>
      <c r="B1550"/>
      <c r="C1550" s="3"/>
      <c r="D1550"/>
      <c r="E1550"/>
      <c r="F1550"/>
      <c r="G1550" s="3"/>
      <c r="H1550" s="3"/>
      <c r="I1550" s="3"/>
      <c r="J1550" s="288"/>
      <c r="L1550" s="288"/>
      <c r="M1550" s="288"/>
      <c r="N1550" s="288"/>
      <c r="O1550" s="288"/>
      <c r="P1550" s="288"/>
      <c r="Q1550" s="288"/>
      <c r="R1550" s="283"/>
      <c r="S1550" s="280"/>
      <c r="T1550" s="276"/>
      <c r="U1550" s="276"/>
      <c r="V1550" s="276"/>
      <c r="W1550" s="283"/>
      <c r="X1550" s="280"/>
      <c r="Y1550" s="280"/>
      <c r="Z1550" s="280"/>
      <c r="AA1550" s="280"/>
      <c r="AB1550" s="280"/>
      <c r="AC1550" s="280"/>
      <c r="AD1550" s="280"/>
      <c r="AG1550" s="3"/>
      <c r="AH1550" s="3"/>
      <c r="AI1550" s="3"/>
      <c r="AJ1550" s="3"/>
      <c r="AK1550" s="3"/>
      <c r="AL1550" s="3"/>
      <c r="AM1550" s="3"/>
      <c r="AN1550" s="3"/>
      <c r="AO1550" s="3"/>
      <c r="AP1550" s="11"/>
      <c r="AQ1550" s="11"/>
      <c r="AR1550" s="3"/>
      <c r="AS1550" s="3"/>
      <c r="AT1550" s="3"/>
      <c r="AU1550" s="3"/>
      <c r="AV1550" s="3"/>
      <c r="AW1550" s="3"/>
      <c r="AX1550" s="11"/>
      <c r="AZ1550"/>
      <c r="BA1550"/>
      <c r="BB1550"/>
      <c r="BC1550"/>
    </row>
    <row r="1551" spans="1:55" s="282" customFormat="1" x14ac:dyDescent="0.25">
      <c r="A1551"/>
      <c r="B1551"/>
      <c r="C1551" s="3"/>
      <c r="D1551"/>
      <c r="E1551"/>
      <c r="F1551"/>
      <c r="G1551" s="3"/>
      <c r="H1551" s="3"/>
      <c r="I1551" s="3"/>
      <c r="J1551" s="288"/>
      <c r="L1551" s="288"/>
      <c r="M1551" s="288"/>
      <c r="N1551" s="288"/>
      <c r="O1551" s="288"/>
      <c r="P1551" s="288"/>
      <c r="Q1551" s="288"/>
      <c r="R1551" s="283"/>
      <c r="S1551" s="280"/>
      <c r="T1551" s="276"/>
      <c r="U1551" s="276"/>
      <c r="V1551" s="276"/>
      <c r="W1551" s="283"/>
      <c r="X1551" s="280"/>
      <c r="Y1551" s="280"/>
      <c r="Z1551" s="280"/>
      <c r="AA1551" s="280"/>
      <c r="AB1551" s="280"/>
      <c r="AC1551" s="280"/>
      <c r="AD1551" s="280"/>
      <c r="AG1551" s="3"/>
      <c r="AH1551" s="3"/>
      <c r="AI1551" s="3"/>
      <c r="AJ1551" s="3"/>
      <c r="AK1551" s="3"/>
      <c r="AL1551" s="3"/>
      <c r="AM1551" s="3"/>
      <c r="AN1551" s="3"/>
      <c r="AO1551" s="3"/>
      <c r="AP1551" s="11"/>
      <c r="AQ1551" s="11"/>
      <c r="AR1551" s="3"/>
      <c r="AS1551" s="3"/>
      <c r="AT1551" s="3"/>
      <c r="AU1551" s="3"/>
      <c r="AV1551" s="3"/>
      <c r="AW1551" s="3"/>
      <c r="AX1551" s="11"/>
      <c r="AZ1551"/>
      <c r="BA1551"/>
      <c r="BB1551"/>
      <c r="BC1551"/>
    </row>
    <row r="1552" spans="1:55" s="282" customFormat="1" x14ac:dyDescent="0.25">
      <c r="A1552"/>
      <c r="B1552"/>
      <c r="C1552" s="3"/>
      <c r="D1552"/>
      <c r="E1552"/>
      <c r="F1552"/>
      <c r="G1552" s="3"/>
      <c r="H1552" s="3"/>
      <c r="I1552" s="3"/>
      <c r="J1552" s="288"/>
      <c r="L1552" s="288"/>
      <c r="M1552" s="288"/>
      <c r="N1552" s="288"/>
      <c r="O1552" s="288"/>
      <c r="P1552" s="288"/>
      <c r="Q1552" s="288"/>
      <c r="R1552" s="283"/>
      <c r="S1552" s="280"/>
      <c r="T1552" s="276"/>
      <c r="U1552" s="276"/>
      <c r="V1552" s="276"/>
      <c r="W1552" s="283"/>
      <c r="X1552" s="280"/>
      <c r="Y1552" s="280"/>
      <c r="Z1552" s="280"/>
      <c r="AA1552" s="280"/>
      <c r="AB1552" s="280"/>
      <c r="AC1552" s="280"/>
      <c r="AD1552" s="280"/>
      <c r="AG1552" s="3"/>
      <c r="AH1552" s="3"/>
      <c r="AI1552" s="3"/>
      <c r="AJ1552" s="3"/>
      <c r="AK1552" s="3"/>
      <c r="AL1552" s="3"/>
      <c r="AM1552" s="3"/>
      <c r="AN1552" s="3"/>
      <c r="AO1552" s="3"/>
      <c r="AP1552" s="11"/>
      <c r="AQ1552" s="11"/>
      <c r="AR1552" s="3"/>
      <c r="AS1552" s="3"/>
      <c r="AT1552" s="3"/>
      <c r="AU1552" s="3"/>
      <c r="AV1552" s="3"/>
      <c r="AW1552" s="3"/>
      <c r="AX1552" s="11"/>
      <c r="AZ1552"/>
      <c r="BA1552"/>
      <c r="BB1552"/>
      <c r="BC1552"/>
    </row>
    <row r="1553" spans="1:55" s="282" customFormat="1" x14ac:dyDescent="0.25">
      <c r="A1553"/>
      <c r="B1553"/>
      <c r="C1553" s="3"/>
      <c r="D1553"/>
      <c r="E1553"/>
      <c r="F1553"/>
      <c r="G1553" s="3"/>
      <c r="H1553" s="3"/>
      <c r="I1553" s="3"/>
      <c r="J1553" s="288"/>
      <c r="L1553" s="288"/>
      <c r="M1553" s="288"/>
      <c r="N1553" s="288"/>
      <c r="O1553" s="288"/>
      <c r="P1553" s="288"/>
      <c r="Q1553" s="288"/>
      <c r="R1553" s="283"/>
      <c r="S1553" s="280"/>
      <c r="T1553" s="276"/>
      <c r="U1553" s="276"/>
      <c r="V1553" s="276"/>
      <c r="W1553" s="283"/>
      <c r="X1553" s="280"/>
      <c r="Y1553" s="280"/>
      <c r="Z1553" s="280"/>
      <c r="AA1553" s="280"/>
      <c r="AB1553" s="280"/>
      <c r="AC1553" s="280"/>
      <c r="AD1553" s="280"/>
      <c r="AG1553" s="3"/>
      <c r="AH1553" s="3"/>
      <c r="AI1553" s="3"/>
      <c r="AJ1553" s="3"/>
      <c r="AK1553" s="3"/>
      <c r="AL1553" s="3"/>
      <c r="AM1553" s="3"/>
      <c r="AN1553" s="3"/>
      <c r="AO1553" s="3"/>
      <c r="AP1553" s="11"/>
      <c r="AQ1553" s="11"/>
      <c r="AR1553" s="3"/>
      <c r="AS1553" s="3"/>
      <c r="AT1553" s="3"/>
      <c r="AU1553" s="3"/>
      <c r="AV1553" s="3"/>
      <c r="AW1553" s="3"/>
      <c r="AX1553" s="11"/>
      <c r="AZ1553"/>
      <c r="BA1553"/>
      <c r="BB1553"/>
      <c r="BC1553"/>
    </row>
    <row r="1554" spans="1:55" s="282" customFormat="1" x14ac:dyDescent="0.25">
      <c r="A1554"/>
      <c r="B1554"/>
      <c r="C1554" s="3"/>
      <c r="D1554"/>
      <c r="E1554"/>
      <c r="F1554"/>
      <c r="G1554" s="3"/>
      <c r="H1554" s="3"/>
      <c r="I1554" s="3"/>
      <c r="J1554" s="288"/>
      <c r="L1554" s="288"/>
      <c r="M1554" s="288"/>
      <c r="N1554" s="288"/>
      <c r="O1554" s="288"/>
      <c r="P1554" s="288"/>
      <c r="Q1554" s="288"/>
      <c r="R1554" s="283"/>
      <c r="S1554" s="280"/>
      <c r="T1554" s="276"/>
      <c r="U1554" s="276"/>
      <c r="V1554" s="276"/>
      <c r="W1554" s="283"/>
      <c r="X1554" s="280"/>
      <c r="Y1554" s="280"/>
      <c r="Z1554" s="280"/>
      <c r="AA1554" s="280"/>
      <c r="AB1554" s="280"/>
      <c r="AC1554" s="280"/>
      <c r="AD1554" s="280"/>
      <c r="AG1554" s="3"/>
      <c r="AH1554" s="3"/>
      <c r="AI1554" s="3"/>
      <c r="AJ1554" s="3"/>
      <c r="AK1554" s="3"/>
      <c r="AL1554" s="3"/>
      <c r="AM1554" s="3"/>
      <c r="AN1554" s="3"/>
      <c r="AO1554" s="3"/>
      <c r="AP1554" s="11"/>
      <c r="AQ1554" s="11"/>
      <c r="AR1554" s="3"/>
      <c r="AS1554" s="3"/>
      <c r="AT1554" s="3"/>
      <c r="AU1554" s="3"/>
      <c r="AV1554" s="3"/>
      <c r="AW1554" s="3"/>
      <c r="AX1554" s="11"/>
      <c r="AZ1554"/>
      <c r="BA1554"/>
      <c r="BB1554"/>
      <c r="BC1554"/>
    </row>
    <row r="1555" spans="1:55" s="282" customFormat="1" x14ac:dyDescent="0.25">
      <c r="A1555"/>
      <c r="B1555"/>
      <c r="C1555" s="3"/>
      <c r="D1555"/>
      <c r="E1555"/>
      <c r="F1555"/>
      <c r="G1555" s="3"/>
      <c r="H1555" s="3"/>
      <c r="I1555" s="3"/>
      <c r="J1555" s="288"/>
      <c r="L1555" s="288"/>
      <c r="M1555" s="288"/>
      <c r="N1555" s="288"/>
      <c r="O1555" s="288"/>
      <c r="P1555" s="288"/>
      <c r="Q1555" s="288"/>
      <c r="R1555" s="283"/>
      <c r="S1555" s="280"/>
      <c r="T1555" s="276"/>
      <c r="U1555" s="276"/>
      <c r="V1555" s="276"/>
      <c r="W1555" s="283"/>
      <c r="X1555" s="280"/>
      <c r="Y1555" s="280"/>
      <c r="Z1555" s="280"/>
      <c r="AA1555" s="280"/>
      <c r="AB1555" s="280"/>
      <c r="AC1555" s="280"/>
      <c r="AD1555" s="280"/>
      <c r="AG1555" s="3"/>
      <c r="AH1555" s="3"/>
      <c r="AI1555" s="3"/>
      <c r="AJ1555" s="3"/>
      <c r="AK1555" s="3"/>
      <c r="AL1555" s="3"/>
      <c r="AM1555" s="3"/>
      <c r="AN1555" s="3"/>
      <c r="AO1555" s="3"/>
      <c r="AP1555" s="11"/>
      <c r="AQ1555" s="11"/>
      <c r="AR1555" s="3"/>
      <c r="AS1555" s="3"/>
      <c r="AT1555" s="3"/>
      <c r="AU1555" s="3"/>
      <c r="AV1555" s="3"/>
      <c r="AW1555" s="3"/>
      <c r="AX1555" s="11"/>
      <c r="AZ1555"/>
      <c r="BA1555"/>
      <c r="BB1555"/>
      <c r="BC1555"/>
    </row>
    <row r="1556" spans="1:55" s="282" customFormat="1" x14ac:dyDescent="0.25">
      <c r="A1556"/>
      <c r="B1556"/>
      <c r="C1556" s="3"/>
      <c r="D1556"/>
      <c r="E1556"/>
      <c r="F1556"/>
      <c r="G1556" s="3"/>
      <c r="H1556" s="3"/>
      <c r="I1556" s="3"/>
      <c r="J1556" s="288"/>
      <c r="L1556" s="288"/>
      <c r="M1556" s="288"/>
      <c r="N1556" s="288"/>
      <c r="O1556" s="288"/>
      <c r="P1556" s="288"/>
      <c r="Q1556" s="288"/>
      <c r="R1556" s="283"/>
      <c r="S1556" s="280"/>
      <c r="T1556" s="276"/>
      <c r="U1556" s="276"/>
      <c r="V1556" s="276"/>
      <c r="W1556" s="283"/>
      <c r="X1556" s="280"/>
      <c r="Y1556" s="280"/>
      <c r="Z1556" s="280"/>
      <c r="AA1556" s="280"/>
      <c r="AB1556" s="280"/>
      <c r="AC1556" s="280"/>
      <c r="AD1556" s="280"/>
      <c r="AG1556" s="3"/>
      <c r="AH1556" s="3"/>
      <c r="AI1556" s="3"/>
      <c r="AJ1556" s="3"/>
      <c r="AK1556" s="3"/>
      <c r="AL1556" s="3"/>
      <c r="AM1556" s="3"/>
      <c r="AN1556" s="3"/>
      <c r="AO1556" s="3"/>
      <c r="AP1556" s="11"/>
      <c r="AQ1556" s="11"/>
      <c r="AR1556" s="3"/>
      <c r="AS1556" s="3"/>
      <c r="AT1556" s="3"/>
      <c r="AU1556" s="3"/>
      <c r="AV1556" s="3"/>
      <c r="AW1556" s="3"/>
      <c r="AX1556" s="11"/>
      <c r="AZ1556"/>
      <c r="BA1556"/>
      <c r="BB1556"/>
      <c r="BC1556"/>
    </row>
    <row r="1557" spans="1:55" s="282" customFormat="1" x14ac:dyDescent="0.25">
      <c r="A1557"/>
      <c r="B1557"/>
      <c r="C1557" s="3"/>
      <c r="D1557"/>
      <c r="E1557"/>
      <c r="F1557"/>
      <c r="G1557" s="3"/>
      <c r="H1557" s="3"/>
      <c r="I1557" s="3"/>
      <c r="J1557" s="288"/>
      <c r="L1557" s="288"/>
      <c r="M1557" s="288"/>
      <c r="N1557" s="288"/>
      <c r="O1557" s="288"/>
      <c r="P1557" s="288"/>
      <c r="Q1557" s="288"/>
      <c r="R1557" s="283"/>
      <c r="S1557" s="280"/>
      <c r="T1557" s="276"/>
      <c r="U1557" s="276"/>
      <c r="V1557" s="276"/>
      <c r="W1557" s="283"/>
      <c r="X1557" s="280"/>
      <c r="Y1557" s="280"/>
      <c r="Z1557" s="280"/>
      <c r="AA1557" s="280"/>
      <c r="AB1557" s="280"/>
      <c r="AC1557" s="280"/>
      <c r="AD1557" s="280"/>
      <c r="AG1557" s="3"/>
      <c r="AH1557" s="3"/>
      <c r="AI1557" s="3"/>
      <c r="AJ1557" s="3"/>
      <c r="AK1557" s="3"/>
      <c r="AL1557" s="3"/>
      <c r="AM1557" s="3"/>
      <c r="AN1557" s="3"/>
      <c r="AO1557" s="3"/>
      <c r="AP1557" s="11"/>
      <c r="AQ1557" s="11"/>
      <c r="AR1557" s="3"/>
      <c r="AS1557" s="3"/>
      <c r="AT1557" s="3"/>
      <c r="AU1557" s="3"/>
      <c r="AV1557" s="3"/>
      <c r="AW1557" s="3"/>
      <c r="AX1557" s="11"/>
      <c r="AZ1557"/>
      <c r="BA1557"/>
      <c r="BB1557"/>
      <c r="BC1557"/>
    </row>
    <row r="1558" spans="1:55" s="282" customFormat="1" x14ac:dyDescent="0.25">
      <c r="A1558"/>
      <c r="B1558"/>
      <c r="C1558" s="3"/>
      <c r="D1558"/>
      <c r="E1558"/>
      <c r="F1558"/>
      <c r="G1558" s="3"/>
      <c r="H1558" s="3"/>
      <c r="I1558" s="3"/>
      <c r="J1558" s="288"/>
      <c r="L1558" s="288"/>
      <c r="M1558" s="288"/>
      <c r="N1558" s="288"/>
      <c r="O1558" s="288"/>
      <c r="P1558" s="288"/>
      <c r="Q1558" s="288"/>
      <c r="R1558" s="283"/>
      <c r="S1558" s="280"/>
      <c r="T1558" s="276"/>
      <c r="U1558" s="276"/>
      <c r="V1558" s="276"/>
      <c r="W1558" s="283"/>
      <c r="X1558" s="280"/>
      <c r="Y1558" s="280"/>
      <c r="Z1558" s="280"/>
      <c r="AA1558" s="280"/>
      <c r="AB1558" s="280"/>
      <c r="AC1558" s="280"/>
      <c r="AD1558" s="280"/>
      <c r="AG1558" s="3"/>
      <c r="AH1558" s="3"/>
      <c r="AI1558" s="3"/>
      <c r="AJ1558" s="3"/>
      <c r="AK1558" s="3"/>
      <c r="AL1558" s="3"/>
      <c r="AM1558" s="3"/>
      <c r="AN1558" s="3"/>
      <c r="AO1558" s="3"/>
      <c r="AP1558" s="11"/>
      <c r="AQ1558" s="11"/>
      <c r="AR1558" s="3"/>
      <c r="AS1558" s="3"/>
      <c r="AT1558" s="3"/>
      <c r="AU1558" s="3"/>
      <c r="AV1558" s="3"/>
      <c r="AW1558" s="3"/>
      <c r="AX1558" s="11"/>
      <c r="AZ1558"/>
      <c r="BA1558"/>
      <c r="BB1558"/>
      <c r="BC1558"/>
    </row>
    <row r="1559" spans="1:55" s="282" customFormat="1" x14ac:dyDescent="0.25">
      <c r="A1559"/>
      <c r="B1559"/>
      <c r="C1559" s="3"/>
      <c r="D1559"/>
      <c r="E1559"/>
      <c r="F1559"/>
      <c r="G1559" s="3"/>
      <c r="H1559" s="3"/>
      <c r="I1559" s="3"/>
      <c r="J1559" s="288"/>
      <c r="L1559" s="288"/>
      <c r="M1559" s="288"/>
      <c r="N1559" s="288"/>
      <c r="O1559" s="288"/>
      <c r="P1559" s="288"/>
      <c r="Q1559" s="288"/>
      <c r="R1559" s="283"/>
      <c r="S1559" s="280"/>
      <c r="T1559" s="276"/>
      <c r="U1559" s="276"/>
      <c r="V1559" s="276"/>
      <c r="W1559" s="283"/>
      <c r="X1559" s="280"/>
      <c r="Y1559" s="280"/>
      <c r="Z1559" s="280"/>
      <c r="AA1559" s="280"/>
      <c r="AB1559" s="280"/>
      <c r="AC1559" s="280"/>
      <c r="AD1559" s="280"/>
      <c r="AG1559" s="3"/>
      <c r="AH1559" s="3"/>
      <c r="AI1559" s="3"/>
      <c r="AJ1559" s="3"/>
      <c r="AK1559" s="3"/>
      <c r="AL1559" s="3"/>
      <c r="AM1559" s="3"/>
      <c r="AN1559" s="3"/>
      <c r="AO1559" s="3"/>
      <c r="AP1559" s="11"/>
      <c r="AQ1559" s="11"/>
      <c r="AR1559" s="3"/>
      <c r="AS1559" s="3"/>
      <c r="AT1559" s="3"/>
      <c r="AU1559" s="3"/>
      <c r="AV1559" s="3"/>
      <c r="AW1559" s="3"/>
      <c r="AX1559" s="11"/>
      <c r="AZ1559"/>
      <c r="BA1559"/>
      <c r="BB1559"/>
      <c r="BC1559"/>
    </row>
    <row r="1560" spans="1:55" s="282" customFormat="1" x14ac:dyDescent="0.25">
      <c r="A1560"/>
      <c r="B1560"/>
      <c r="C1560" s="3"/>
      <c r="D1560"/>
      <c r="E1560"/>
      <c r="F1560"/>
      <c r="G1560" s="3"/>
      <c r="H1560" s="3"/>
      <c r="I1560" s="3"/>
      <c r="J1560" s="288"/>
      <c r="L1560" s="288"/>
      <c r="M1560" s="288"/>
      <c r="N1560" s="288"/>
      <c r="O1560" s="288"/>
      <c r="P1560" s="288"/>
      <c r="Q1560" s="288"/>
      <c r="R1560" s="283"/>
      <c r="S1560" s="280"/>
      <c r="T1560" s="276"/>
      <c r="U1560" s="276"/>
      <c r="V1560" s="276"/>
      <c r="W1560" s="283"/>
      <c r="X1560" s="280"/>
      <c r="Y1560" s="280"/>
      <c r="Z1560" s="280"/>
      <c r="AA1560" s="280"/>
      <c r="AB1560" s="280"/>
      <c r="AC1560" s="280"/>
      <c r="AD1560" s="280"/>
      <c r="AG1560" s="3"/>
      <c r="AH1560" s="3"/>
      <c r="AI1560" s="3"/>
      <c r="AJ1560" s="3"/>
      <c r="AK1560" s="3"/>
      <c r="AL1560" s="3"/>
      <c r="AM1560" s="3"/>
      <c r="AN1560" s="3"/>
      <c r="AO1560" s="3"/>
      <c r="AP1560" s="11"/>
      <c r="AQ1560" s="11"/>
      <c r="AR1560" s="3"/>
      <c r="AS1560" s="3"/>
      <c r="AT1560" s="3"/>
      <c r="AU1560" s="3"/>
      <c r="AV1560" s="3"/>
      <c r="AW1560" s="3"/>
      <c r="AX1560" s="11"/>
      <c r="AZ1560"/>
      <c r="BA1560"/>
      <c r="BB1560"/>
      <c r="BC1560"/>
    </row>
    <row r="1561" spans="1:55" s="282" customFormat="1" x14ac:dyDescent="0.25">
      <c r="A1561"/>
      <c r="B1561"/>
      <c r="C1561" s="3"/>
      <c r="D1561"/>
      <c r="E1561"/>
      <c r="F1561"/>
      <c r="G1561" s="3"/>
      <c r="H1561" s="3"/>
      <c r="I1561" s="3"/>
      <c r="J1561" s="288"/>
      <c r="L1561" s="288"/>
      <c r="M1561" s="288"/>
      <c r="N1561" s="288"/>
      <c r="O1561" s="288"/>
      <c r="P1561" s="288"/>
      <c r="Q1561" s="288"/>
      <c r="R1561" s="283"/>
      <c r="S1561" s="280"/>
      <c r="T1561" s="276"/>
      <c r="U1561" s="276"/>
      <c r="V1561" s="276"/>
      <c r="W1561" s="283"/>
      <c r="X1561" s="280"/>
      <c r="Y1561" s="280"/>
      <c r="Z1561" s="280"/>
      <c r="AA1561" s="280"/>
      <c r="AB1561" s="280"/>
      <c r="AC1561" s="280"/>
      <c r="AD1561" s="280"/>
      <c r="AG1561" s="3"/>
      <c r="AH1561" s="3"/>
      <c r="AI1561" s="3"/>
      <c r="AJ1561" s="3"/>
      <c r="AK1561" s="3"/>
      <c r="AL1561" s="3"/>
      <c r="AM1561" s="3"/>
      <c r="AN1561" s="3"/>
      <c r="AO1561" s="3"/>
      <c r="AP1561" s="11"/>
      <c r="AQ1561" s="11"/>
      <c r="AR1561" s="3"/>
      <c r="AS1561" s="3"/>
      <c r="AT1561" s="3"/>
      <c r="AU1561" s="3"/>
      <c r="AV1561" s="3"/>
      <c r="AW1561" s="3"/>
      <c r="AX1561" s="11"/>
      <c r="AZ1561"/>
      <c r="BA1561"/>
      <c r="BB1561"/>
      <c r="BC1561"/>
    </row>
    <row r="1562" spans="1:55" s="282" customFormat="1" x14ac:dyDescent="0.25">
      <c r="A1562"/>
      <c r="B1562"/>
      <c r="C1562" s="3"/>
      <c r="D1562"/>
      <c r="E1562"/>
      <c r="F1562"/>
      <c r="G1562" s="3"/>
      <c r="H1562" s="3"/>
      <c r="I1562" s="3"/>
      <c r="J1562" s="288"/>
      <c r="L1562" s="288"/>
      <c r="M1562" s="288"/>
      <c r="N1562" s="288"/>
      <c r="O1562" s="288"/>
      <c r="P1562" s="288"/>
      <c r="Q1562" s="288"/>
      <c r="R1562" s="283"/>
      <c r="S1562" s="280"/>
      <c r="T1562" s="276"/>
      <c r="U1562" s="276"/>
      <c r="V1562" s="276"/>
      <c r="W1562" s="283"/>
      <c r="X1562" s="280"/>
      <c r="Y1562" s="280"/>
      <c r="Z1562" s="280"/>
      <c r="AA1562" s="280"/>
      <c r="AB1562" s="280"/>
      <c r="AC1562" s="280"/>
      <c r="AD1562" s="280"/>
      <c r="AG1562" s="3"/>
      <c r="AH1562" s="3"/>
      <c r="AI1562" s="3"/>
      <c r="AJ1562" s="3"/>
      <c r="AK1562" s="3"/>
      <c r="AL1562" s="3"/>
      <c r="AM1562" s="3"/>
      <c r="AN1562" s="3"/>
      <c r="AO1562" s="3"/>
      <c r="AP1562" s="11"/>
      <c r="AQ1562" s="11"/>
      <c r="AR1562" s="3"/>
      <c r="AS1562" s="3"/>
      <c r="AT1562" s="3"/>
      <c r="AU1562" s="3"/>
      <c r="AV1562" s="3"/>
      <c r="AW1562" s="3"/>
      <c r="AX1562" s="11"/>
      <c r="AZ1562"/>
      <c r="BA1562"/>
      <c r="BB1562"/>
      <c r="BC1562"/>
    </row>
    <row r="1563" spans="1:55" s="282" customFormat="1" x14ac:dyDescent="0.25">
      <c r="A1563"/>
      <c r="B1563"/>
      <c r="C1563" s="3"/>
      <c r="D1563"/>
      <c r="E1563"/>
      <c r="F1563"/>
      <c r="G1563" s="3"/>
      <c r="H1563" s="3"/>
      <c r="I1563" s="3"/>
      <c r="J1563" s="288"/>
      <c r="L1563" s="288"/>
      <c r="M1563" s="288"/>
      <c r="N1563" s="288"/>
      <c r="O1563" s="288"/>
      <c r="P1563" s="288"/>
      <c r="Q1563" s="288"/>
      <c r="R1563" s="283"/>
      <c r="S1563" s="280"/>
      <c r="T1563" s="276"/>
      <c r="U1563" s="276"/>
      <c r="V1563" s="276"/>
      <c r="W1563" s="283"/>
      <c r="X1563" s="280"/>
      <c r="Y1563" s="280"/>
      <c r="Z1563" s="280"/>
      <c r="AA1563" s="280"/>
      <c r="AB1563" s="280"/>
      <c r="AC1563" s="280"/>
      <c r="AD1563" s="280"/>
      <c r="AG1563" s="3"/>
      <c r="AH1563" s="3"/>
      <c r="AI1563" s="3"/>
      <c r="AJ1563" s="3"/>
      <c r="AK1563" s="3"/>
      <c r="AL1563" s="3"/>
      <c r="AM1563" s="3"/>
      <c r="AN1563" s="3"/>
      <c r="AO1563" s="3"/>
      <c r="AP1563" s="11"/>
      <c r="AQ1563" s="11"/>
      <c r="AR1563" s="3"/>
      <c r="AS1563" s="3"/>
      <c r="AT1563" s="3"/>
      <c r="AU1563" s="3"/>
      <c r="AV1563" s="3"/>
      <c r="AW1563" s="3"/>
      <c r="AX1563" s="11"/>
      <c r="AZ1563"/>
      <c r="BA1563"/>
      <c r="BB1563"/>
      <c r="BC1563"/>
    </row>
    <row r="1564" spans="1:55" s="282" customFormat="1" x14ac:dyDescent="0.25">
      <c r="A1564"/>
      <c r="B1564"/>
      <c r="C1564" s="3"/>
      <c r="D1564"/>
      <c r="E1564"/>
      <c r="F1564"/>
      <c r="G1564" s="3"/>
      <c r="H1564" s="3"/>
      <c r="I1564" s="3"/>
      <c r="J1564" s="288"/>
      <c r="L1564" s="288"/>
      <c r="M1564" s="288"/>
      <c r="N1564" s="288"/>
      <c r="O1564" s="288"/>
      <c r="P1564" s="288"/>
      <c r="Q1564" s="288"/>
      <c r="R1564" s="283"/>
      <c r="S1564" s="280"/>
      <c r="T1564" s="276"/>
      <c r="U1564" s="276"/>
      <c r="V1564" s="276"/>
      <c r="W1564" s="283"/>
      <c r="X1564" s="280"/>
      <c r="Y1564" s="280"/>
      <c r="Z1564" s="280"/>
      <c r="AA1564" s="280"/>
      <c r="AB1564" s="280"/>
      <c r="AC1564" s="280"/>
      <c r="AD1564" s="280"/>
      <c r="AG1564" s="3"/>
      <c r="AH1564" s="3"/>
      <c r="AI1564" s="3"/>
      <c r="AJ1564" s="3"/>
      <c r="AK1564" s="3"/>
      <c r="AL1564" s="3"/>
      <c r="AM1564" s="3"/>
      <c r="AN1564" s="3"/>
      <c r="AO1564" s="3"/>
      <c r="AP1564" s="11"/>
      <c r="AQ1564" s="11"/>
      <c r="AR1564" s="3"/>
      <c r="AS1564" s="3"/>
      <c r="AT1564" s="3"/>
      <c r="AU1564" s="3"/>
      <c r="AV1564" s="3"/>
      <c r="AW1564" s="3"/>
      <c r="AX1564" s="11"/>
      <c r="AZ1564"/>
      <c r="BA1564"/>
      <c r="BB1564"/>
      <c r="BC1564"/>
    </row>
    <row r="1565" spans="1:55" s="282" customFormat="1" x14ac:dyDescent="0.25">
      <c r="A1565"/>
      <c r="B1565"/>
      <c r="C1565" s="3"/>
      <c r="D1565"/>
      <c r="E1565"/>
      <c r="F1565"/>
      <c r="G1565" s="3"/>
      <c r="H1565" s="3"/>
      <c r="I1565" s="3"/>
      <c r="J1565" s="288"/>
      <c r="L1565" s="288"/>
      <c r="M1565" s="288"/>
      <c r="N1565" s="288"/>
      <c r="O1565" s="288"/>
      <c r="P1565" s="288"/>
      <c r="Q1565" s="288"/>
      <c r="R1565" s="283"/>
      <c r="S1565" s="280"/>
      <c r="T1565" s="276"/>
      <c r="U1565" s="276"/>
      <c r="V1565" s="276"/>
      <c r="W1565" s="283"/>
      <c r="X1565" s="280"/>
      <c r="Y1565" s="280"/>
      <c r="Z1565" s="280"/>
      <c r="AA1565" s="280"/>
      <c r="AB1565" s="280"/>
      <c r="AC1565" s="280"/>
      <c r="AD1565" s="280"/>
      <c r="AG1565" s="3"/>
      <c r="AH1565" s="3"/>
      <c r="AI1565" s="3"/>
      <c r="AJ1565" s="3"/>
      <c r="AK1565" s="3"/>
      <c r="AL1565" s="3"/>
      <c r="AM1565" s="3"/>
      <c r="AN1565" s="3"/>
      <c r="AO1565" s="3"/>
      <c r="AP1565" s="11"/>
      <c r="AQ1565" s="11"/>
      <c r="AR1565" s="3"/>
      <c r="AS1565" s="3"/>
      <c r="AT1565" s="3"/>
      <c r="AU1565" s="3"/>
      <c r="AV1565" s="3"/>
      <c r="AW1565" s="3"/>
      <c r="AX1565" s="11"/>
      <c r="AZ1565"/>
      <c r="BA1565"/>
      <c r="BB1565"/>
      <c r="BC1565"/>
    </row>
    <row r="1566" spans="1:55" s="282" customFormat="1" x14ac:dyDescent="0.25">
      <c r="A1566"/>
      <c r="B1566"/>
      <c r="C1566" s="3"/>
      <c r="D1566"/>
      <c r="E1566"/>
      <c r="F1566"/>
      <c r="G1566" s="3"/>
      <c r="H1566" s="3"/>
      <c r="I1566" s="3"/>
      <c r="J1566" s="288"/>
      <c r="L1566" s="288"/>
      <c r="M1566" s="288"/>
      <c r="N1566" s="288"/>
      <c r="O1566" s="288"/>
      <c r="P1566" s="288"/>
      <c r="Q1566" s="288"/>
      <c r="R1566" s="283"/>
      <c r="S1566" s="280"/>
      <c r="T1566" s="276"/>
      <c r="U1566" s="276"/>
      <c r="V1566" s="276"/>
      <c r="W1566" s="283"/>
      <c r="X1566" s="280"/>
      <c r="Y1566" s="280"/>
      <c r="Z1566" s="280"/>
      <c r="AA1566" s="280"/>
      <c r="AB1566" s="280"/>
      <c r="AC1566" s="280"/>
      <c r="AD1566" s="280"/>
      <c r="AG1566" s="3"/>
      <c r="AH1566" s="3"/>
      <c r="AI1566" s="3"/>
      <c r="AJ1566" s="3"/>
      <c r="AK1566" s="3"/>
      <c r="AL1566" s="3"/>
      <c r="AM1566" s="3"/>
      <c r="AN1566" s="3"/>
      <c r="AO1566" s="3"/>
      <c r="AP1566" s="11"/>
      <c r="AQ1566" s="11"/>
      <c r="AR1566" s="3"/>
      <c r="AS1566" s="3"/>
      <c r="AT1566" s="3"/>
      <c r="AU1566" s="3"/>
      <c r="AV1566" s="3"/>
      <c r="AW1566" s="3"/>
      <c r="AX1566" s="11"/>
      <c r="AZ1566"/>
      <c r="BA1566"/>
      <c r="BB1566"/>
      <c r="BC1566"/>
    </row>
    <row r="1567" spans="1:55" s="282" customFormat="1" x14ac:dyDescent="0.25">
      <c r="A1567"/>
      <c r="B1567"/>
      <c r="C1567" s="3"/>
      <c r="D1567"/>
      <c r="E1567"/>
      <c r="F1567"/>
      <c r="G1567" s="3"/>
      <c r="H1567" s="3"/>
      <c r="I1567" s="3"/>
      <c r="J1567" s="288"/>
      <c r="L1567" s="288"/>
      <c r="M1567" s="288"/>
      <c r="N1567" s="288"/>
      <c r="O1567" s="288"/>
      <c r="P1567" s="288"/>
      <c r="Q1567" s="288"/>
      <c r="R1567" s="283"/>
      <c r="S1567" s="280"/>
      <c r="T1567" s="276"/>
      <c r="U1567" s="276"/>
      <c r="V1567" s="276"/>
      <c r="W1567" s="283"/>
      <c r="X1567" s="280"/>
      <c r="Y1567" s="280"/>
      <c r="Z1567" s="280"/>
      <c r="AA1567" s="280"/>
      <c r="AB1567" s="280"/>
      <c r="AC1567" s="280"/>
      <c r="AD1567" s="280"/>
      <c r="AG1567" s="3"/>
      <c r="AH1567" s="3"/>
      <c r="AI1567" s="3"/>
      <c r="AJ1567" s="3"/>
      <c r="AK1567" s="3"/>
      <c r="AL1567" s="3"/>
      <c r="AM1567" s="3"/>
      <c r="AN1567" s="3"/>
      <c r="AO1567" s="3"/>
      <c r="AP1567" s="11"/>
      <c r="AQ1567" s="11"/>
      <c r="AR1567" s="3"/>
      <c r="AS1567" s="3"/>
      <c r="AT1567" s="3"/>
      <c r="AU1567" s="3"/>
      <c r="AV1567" s="3"/>
      <c r="AW1567" s="3"/>
      <c r="AX1567" s="11"/>
      <c r="AZ1567"/>
      <c r="BA1567"/>
      <c r="BB1567"/>
      <c r="BC1567"/>
    </row>
    <row r="1568" spans="1:55" s="282" customFormat="1" x14ac:dyDescent="0.25">
      <c r="A1568"/>
      <c r="B1568"/>
      <c r="C1568" s="3"/>
      <c r="D1568"/>
      <c r="E1568"/>
      <c r="F1568"/>
      <c r="G1568" s="3"/>
      <c r="H1568" s="3"/>
      <c r="I1568" s="3"/>
      <c r="J1568" s="288"/>
      <c r="L1568" s="288"/>
      <c r="M1568" s="288"/>
      <c r="N1568" s="288"/>
      <c r="O1568" s="288"/>
      <c r="P1568" s="288"/>
      <c r="Q1568" s="288"/>
      <c r="R1568" s="283"/>
      <c r="S1568" s="280"/>
      <c r="T1568" s="276"/>
      <c r="U1568" s="276"/>
      <c r="V1568" s="276"/>
      <c r="W1568" s="283"/>
      <c r="X1568" s="280"/>
      <c r="Y1568" s="280"/>
      <c r="Z1568" s="280"/>
      <c r="AA1568" s="280"/>
      <c r="AB1568" s="280"/>
      <c r="AC1568" s="280"/>
      <c r="AD1568" s="280"/>
      <c r="AG1568" s="3"/>
      <c r="AH1568" s="3"/>
      <c r="AI1568" s="3"/>
      <c r="AJ1568" s="3"/>
      <c r="AK1568" s="3"/>
      <c r="AL1568" s="3"/>
      <c r="AM1568" s="3"/>
      <c r="AN1568" s="3"/>
      <c r="AO1568" s="3"/>
      <c r="AP1568" s="11"/>
      <c r="AQ1568" s="11"/>
      <c r="AR1568" s="3"/>
      <c r="AS1568" s="3"/>
      <c r="AT1568" s="3"/>
      <c r="AU1568" s="3"/>
      <c r="AV1568" s="3"/>
      <c r="AW1568" s="3"/>
      <c r="AX1568" s="11"/>
      <c r="AZ1568"/>
      <c r="BA1568"/>
      <c r="BB1568"/>
      <c r="BC1568"/>
    </row>
    <row r="1569" spans="1:55" s="282" customFormat="1" x14ac:dyDescent="0.25">
      <c r="A1569"/>
      <c r="B1569"/>
      <c r="C1569" s="3"/>
      <c r="D1569"/>
      <c r="E1569"/>
      <c r="F1569"/>
      <c r="G1569" s="3"/>
      <c r="H1569" s="3"/>
      <c r="I1569" s="3"/>
      <c r="J1569" s="288"/>
      <c r="L1569" s="288"/>
      <c r="M1569" s="288"/>
      <c r="N1569" s="288"/>
      <c r="O1569" s="288"/>
      <c r="P1569" s="288"/>
      <c r="Q1569" s="288"/>
      <c r="R1569" s="283"/>
      <c r="S1569" s="280"/>
      <c r="T1569" s="276"/>
      <c r="U1569" s="276"/>
      <c r="V1569" s="276"/>
      <c r="W1569" s="283"/>
      <c r="X1569" s="280"/>
      <c r="Y1569" s="280"/>
      <c r="Z1569" s="280"/>
      <c r="AA1569" s="280"/>
      <c r="AB1569" s="280"/>
      <c r="AC1569" s="280"/>
      <c r="AD1569" s="280"/>
      <c r="AG1569" s="3"/>
      <c r="AH1569" s="3"/>
      <c r="AI1569" s="3"/>
      <c r="AJ1569" s="3"/>
      <c r="AK1569" s="3"/>
      <c r="AL1569" s="3"/>
      <c r="AM1569" s="3"/>
      <c r="AN1569" s="3"/>
      <c r="AO1569" s="3"/>
      <c r="AP1569" s="11"/>
      <c r="AQ1569" s="11"/>
      <c r="AR1569" s="3"/>
      <c r="AS1569" s="3"/>
      <c r="AT1569" s="3"/>
      <c r="AU1569" s="3"/>
      <c r="AV1569" s="3"/>
      <c r="AW1569" s="3"/>
      <c r="AX1569" s="11"/>
      <c r="AZ1569"/>
      <c r="BA1569"/>
      <c r="BB1569"/>
      <c r="BC1569"/>
    </row>
    <row r="1570" spans="1:55" s="282" customFormat="1" x14ac:dyDescent="0.25">
      <c r="A1570"/>
      <c r="B1570"/>
      <c r="C1570" s="3"/>
      <c r="D1570"/>
      <c r="E1570"/>
      <c r="F1570"/>
      <c r="G1570" s="3"/>
      <c r="H1570" s="3"/>
      <c r="I1570" s="3"/>
      <c r="J1570" s="288"/>
      <c r="L1570" s="288"/>
      <c r="M1570" s="288"/>
      <c r="N1570" s="288"/>
      <c r="O1570" s="288"/>
      <c r="P1570" s="288"/>
      <c r="Q1570" s="288"/>
      <c r="R1570" s="283"/>
      <c r="S1570" s="280"/>
      <c r="T1570" s="276"/>
      <c r="U1570" s="276"/>
      <c r="V1570" s="276"/>
      <c r="W1570" s="283"/>
      <c r="X1570" s="280"/>
      <c r="Y1570" s="280"/>
      <c r="Z1570" s="280"/>
      <c r="AA1570" s="280"/>
      <c r="AB1570" s="280"/>
      <c r="AC1570" s="280"/>
      <c r="AD1570" s="280"/>
      <c r="AG1570" s="3"/>
      <c r="AH1570" s="3"/>
      <c r="AI1570" s="3"/>
      <c r="AJ1570" s="3"/>
      <c r="AK1570" s="3"/>
      <c r="AL1570" s="3"/>
      <c r="AM1570" s="3"/>
      <c r="AN1570" s="3"/>
      <c r="AO1570" s="3"/>
      <c r="AP1570" s="11"/>
      <c r="AQ1570" s="11"/>
      <c r="AR1570" s="3"/>
      <c r="AS1570" s="3"/>
      <c r="AT1570" s="3"/>
      <c r="AU1570" s="3"/>
      <c r="AV1570" s="3"/>
      <c r="AW1570" s="3"/>
      <c r="AX1570" s="11"/>
      <c r="AZ1570"/>
      <c r="BA1570"/>
      <c r="BB1570"/>
      <c r="BC1570"/>
    </row>
    <row r="1571" spans="1:55" s="282" customFormat="1" x14ac:dyDescent="0.25">
      <c r="A1571"/>
      <c r="B1571"/>
      <c r="C1571" s="3"/>
      <c r="D1571"/>
      <c r="E1571"/>
      <c r="F1571"/>
      <c r="G1571" s="3"/>
      <c r="H1571" s="3"/>
      <c r="I1571" s="3"/>
      <c r="J1571" s="288"/>
      <c r="L1571" s="288"/>
      <c r="M1571" s="288"/>
      <c r="N1571" s="288"/>
      <c r="O1571" s="288"/>
      <c r="P1571" s="288"/>
      <c r="Q1571" s="288"/>
      <c r="R1571" s="283"/>
      <c r="S1571" s="280"/>
      <c r="T1571" s="276"/>
      <c r="U1571" s="276"/>
      <c r="V1571" s="276"/>
      <c r="W1571" s="283"/>
      <c r="X1571" s="280"/>
      <c r="Y1571" s="280"/>
      <c r="Z1571" s="280"/>
      <c r="AA1571" s="280"/>
      <c r="AB1571" s="280"/>
      <c r="AC1571" s="280"/>
      <c r="AD1571" s="280"/>
      <c r="AG1571" s="3"/>
      <c r="AH1571" s="3"/>
      <c r="AI1571" s="3"/>
      <c r="AJ1571" s="3"/>
      <c r="AK1571" s="3"/>
      <c r="AL1571" s="3"/>
      <c r="AM1571" s="3"/>
      <c r="AN1571" s="3"/>
      <c r="AO1571" s="3"/>
      <c r="AP1571" s="11"/>
      <c r="AQ1571" s="11"/>
      <c r="AR1571" s="3"/>
      <c r="AS1571" s="3"/>
      <c r="AT1571" s="3"/>
      <c r="AU1571" s="3"/>
      <c r="AV1571" s="3"/>
      <c r="AW1571" s="3"/>
      <c r="AX1571" s="11"/>
      <c r="AZ1571"/>
      <c r="BA1571"/>
      <c r="BB1571"/>
      <c r="BC1571"/>
    </row>
    <row r="1572" spans="1:55" s="282" customFormat="1" x14ac:dyDescent="0.25">
      <c r="A1572"/>
      <c r="B1572"/>
      <c r="C1572" s="3"/>
      <c r="D1572"/>
      <c r="E1572"/>
      <c r="F1572"/>
      <c r="G1572" s="3"/>
      <c r="H1572" s="3"/>
      <c r="I1572" s="3"/>
      <c r="J1572" s="288"/>
      <c r="L1572" s="288"/>
      <c r="M1572" s="288"/>
      <c r="N1572" s="288"/>
      <c r="O1572" s="288"/>
      <c r="P1572" s="288"/>
      <c r="Q1572" s="288"/>
      <c r="R1572" s="283"/>
      <c r="S1572" s="280"/>
      <c r="T1572" s="276"/>
      <c r="U1572" s="276"/>
      <c r="V1572" s="276"/>
      <c r="W1572" s="283"/>
      <c r="X1572" s="280"/>
      <c r="Y1572" s="280"/>
      <c r="Z1572" s="280"/>
      <c r="AA1572" s="280"/>
      <c r="AB1572" s="280"/>
      <c r="AC1572" s="280"/>
      <c r="AD1572" s="280"/>
      <c r="AG1572" s="3"/>
      <c r="AH1572" s="3"/>
      <c r="AI1572" s="3"/>
      <c r="AJ1572" s="3"/>
      <c r="AK1572" s="3"/>
      <c r="AL1572" s="3"/>
      <c r="AM1572" s="3"/>
      <c r="AN1572" s="3"/>
      <c r="AO1572" s="3"/>
      <c r="AP1572" s="11"/>
      <c r="AQ1572" s="11"/>
      <c r="AR1572" s="3"/>
      <c r="AS1572" s="3"/>
      <c r="AT1572" s="3"/>
      <c r="AU1572" s="3"/>
      <c r="AV1572" s="3"/>
      <c r="AW1572" s="3"/>
      <c r="AX1572" s="11"/>
      <c r="AZ1572"/>
      <c r="BA1572"/>
      <c r="BB1572"/>
      <c r="BC1572"/>
    </row>
    <row r="1573" spans="1:55" s="282" customFormat="1" x14ac:dyDescent="0.25">
      <c r="A1573"/>
      <c r="B1573"/>
      <c r="C1573" s="3"/>
      <c r="D1573"/>
      <c r="E1573"/>
      <c r="F1573"/>
      <c r="G1573" s="3"/>
      <c r="H1573" s="3"/>
      <c r="I1573" s="3"/>
      <c r="J1573" s="288"/>
      <c r="L1573" s="288"/>
      <c r="M1573" s="288"/>
      <c r="N1573" s="288"/>
      <c r="O1573" s="288"/>
      <c r="P1573" s="288"/>
      <c r="Q1573" s="288"/>
      <c r="R1573" s="283"/>
      <c r="S1573" s="280"/>
      <c r="T1573" s="276"/>
      <c r="U1573" s="276"/>
      <c r="V1573" s="276"/>
      <c r="W1573" s="283"/>
      <c r="X1573" s="280"/>
      <c r="Y1573" s="280"/>
      <c r="Z1573" s="280"/>
      <c r="AA1573" s="280"/>
      <c r="AB1573" s="280"/>
      <c r="AC1573" s="280"/>
      <c r="AD1573" s="280"/>
      <c r="AG1573" s="3"/>
      <c r="AH1573" s="3"/>
      <c r="AI1573" s="3"/>
      <c r="AJ1573" s="3"/>
      <c r="AK1573" s="3"/>
      <c r="AL1573" s="3"/>
      <c r="AM1573" s="3"/>
      <c r="AN1573" s="3"/>
      <c r="AO1573" s="3"/>
      <c r="AP1573" s="11"/>
      <c r="AQ1573" s="11"/>
      <c r="AR1573" s="3"/>
      <c r="AS1573" s="3"/>
      <c r="AT1573" s="3"/>
      <c r="AU1573" s="3"/>
      <c r="AV1573" s="3"/>
      <c r="AW1573" s="3"/>
      <c r="AX1573" s="11"/>
      <c r="AZ1573"/>
      <c r="BA1573"/>
      <c r="BB1573"/>
      <c r="BC1573"/>
    </row>
    <row r="1574" spans="1:55" s="282" customFormat="1" x14ac:dyDescent="0.25">
      <c r="A1574"/>
      <c r="B1574"/>
      <c r="C1574" s="3"/>
      <c r="D1574"/>
      <c r="E1574"/>
      <c r="F1574"/>
      <c r="G1574" s="3"/>
      <c r="H1574" s="3"/>
      <c r="I1574" s="3"/>
      <c r="J1574" s="288"/>
      <c r="L1574" s="288"/>
      <c r="M1574" s="288"/>
      <c r="N1574" s="288"/>
      <c r="O1574" s="288"/>
      <c r="P1574" s="288"/>
      <c r="Q1574" s="288"/>
      <c r="R1574" s="283"/>
      <c r="S1574" s="280"/>
      <c r="T1574" s="276"/>
      <c r="U1574" s="276"/>
      <c r="V1574" s="276"/>
      <c r="W1574" s="283"/>
      <c r="X1574" s="280"/>
      <c r="Y1574" s="280"/>
      <c r="Z1574" s="280"/>
      <c r="AA1574" s="280"/>
      <c r="AB1574" s="280"/>
      <c r="AC1574" s="280"/>
      <c r="AD1574" s="280"/>
      <c r="AG1574" s="3"/>
      <c r="AH1574" s="3"/>
      <c r="AI1574" s="3"/>
      <c r="AJ1574" s="3"/>
      <c r="AK1574" s="3"/>
      <c r="AL1574" s="3"/>
      <c r="AM1574" s="3"/>
      <c r="AN1574" s="3"/>
      <c r="AO1574" s="3"/>
      <c r="AP1574" s="11"/>
      <c r="AQ1574" s="11"/>
      <c r="AR1574" s="3"/>
      <c r="AS1574" s="3"/>
      <c r="AT1574" s="3"/>
      <c r="AU1574" s="3"/>
      <c r="AV1574" s="3"/>
      <c r="AW1574" s="3"/>
      <c r="AX1574" s="11"/>
      <c r="AZ1574"/>
      <c r="BA1574"/>
      <c r="BB1574"/>
      <c r="BC1574"/>
    </row>
    <row r="1575" spans="1:55" s="282" customFormat="1" x14ac:dyDescent="0.25">
      <c r="A1575"/>
      <c r="B1575"/>
      <c r="C1575" s="3"/>
      <c r="D1575"/>
      <c r="E1575"/>
      <c r="F1575"/>
      <c r="G1575" s="3"/>
      <c r="H1575" s="3"/>
      <c r="I1575" s="3"/>
      <c r="J1575" s="288"/>
      <c r="L1575" s="288"/>
      <c r="M1575" s="288"/>
      <c r="N1575" s="288"/>
      <c r="O1575" s="288"/>
      <c r="P1575" s="288"/>
      <c r="Q1575" s="288"/>
      <c r="R1575" s="283"/>
      <c r="S1575" s="280"/>
      <c r="T1575" s="276"/>
      <c r="U1575" s="276"/>
      <c r="V1575" s="276"/>
      <c r="W1575" s="283"/>
      <c r="X1575" s="280"/>
      <c r="Y1575" s="280"/>
      <c r="Z1575" s="280"/>
      <c r="AA1575" s="280"/>
      <c r="AB1575" s="280"/>
      <c r="AC1575" s="280"/>
      <c r="AD1575" s="280"/>
      <c r="AG1575" s="3"/>
      <c r="AH1575" s="3"/>
      <c r="AI1575" s="3"/>
      <c r="AJ1575" s="3"/>
      <c r="AK1575" s="3"/>
      <c r="AL1575" s="3"/>
      <c r="AM1575" s="3"/>
      <c r="AN1575" s="3"/>
      <c r="AO1575" s="3"/>
      <c r="AP1575" s="11"/>
      <c r="AQ1575" s="11"/>
      <c r="AR1575" s="3"/>
      <c r="AS1575" s="3"/>
      <c r="AT1575" s="3"/>
      <c r="AU1575" s="3"/>
      <c r="AV1575" s="3"/>
      <c r="AW1575" s="3"/>
      <c r="AX1575" s="11"/>
      <c r="AZ1575"/>
      <c r="BA1575"/>
      <c r="BB1575"/>
      <c r="BC1575"/>
    </row>
    <row r="1576" spans="1:55" s="282" customFormat="1" x14ac:dyDescent="0.25">
      <c r="A1576"/>
      <c r="B1576"/>
      <c r="C1576" s="3"/>
      <c r="D1576"/>
      <c r="E1576"/>
      <c r="F1576"/>
      <c r="G1576" s="3"/>
      <c r="H1576" s="3"/>
      <c r="I1576" s="3"/>
      <c r="J1576" s="288"/>
      <c r="L1576" s="288"/>
      <c r="M1576" s="288"/>
      <c r="N1576" s="288"/>
      <c r="O1576" s="288"/>
      <c r="P1576" s="288"/>
      <c r="Q1576" s="288"/>
      <c r="R1576" s="283"/>
      <c r="S1576" s="280"/>
      <c r="T1576" s="276"/>
      <c r="U1576" s="276"/>
      <c r="V1576" s="276"/>
      <c r="W1576" s="283"/>
      <c r="X1576" s="280"/>
      <c r="Y1576" s="280"/>
      <c r="Z1576" s="280"/>
      <c r="AA1576" s="280"/>
      <c r="AB1576" s="280"/>
      <c r="AC1576" s="280"/>
      <c r="AD1576" s="280"/>
      <c r="AG1576" s="3"/>
      <c r="AH1576" s="3"/>
      <c r="AI1576" s="3"/>
      <c r="AJ1576" s="3"/>
      <c r="AK1576" s="3"/>
      <c r="AL1576" s="3"/>
      <c r="AM1576" s="3"/>
      <c r="AN1576" s="3"/>
      <c r="AO1576" s="3"/>
      <c r="AP1576" s="11"/>
      <c r="AQ1576" s="11"/>
      <c r="AR1576" s="3"/>
      <c r="AS1576" s="3"/>
      <c r="AT1576" s="3"/>
      <c r="AU1576" s="3"/>
      <c r="AV1576" s="3"/>
      <c r="AW1576" s="3"/>
      <c r="AX1576" s="11"/>
      <c r="AZ1576"/>
      <c r="BA1576"/>
      <c r="BB1576"/>
      <c r="BC1576"/>
    </row>
    <row r="1577" spans="1:55" s="282" customFormat="1" x14ac:dyDescent="0.25">
      <c r="A1577"/>
      <c r="B1577"/>
      <c r="C1577" s="3"/>
      <c r="D1577"/>
      <c r="E1577"/>
      <c r="F1577"/>
      <c r="G1577" s="3"/>
      <c r="H1577" s="3"/>
      <c r="I1577" s="3"/>
      <c r="J1577" s="288"/>
      <c r="L1577" s="288"/>
      <c r="M1577" s="288"/>
      <c r="N1577" s="288"/>
      <c r="O1577" s="288"/>
      <c r="P1577" s="288"/>
      <c r="Q1577" s="288"/>
      <c r="R1577" s="283"/>
      <c r="S1577" s="280"/>
      <c r="T1577" s="276"/>
      <c r="U1577" s="276"/>
      <c r="V1577" s="276"/>
      <c r="W1577" s="283"/>
      <c r="X1577" s="280"/>
      <c r="Y1577" s="280"/>
      <c r="Z1577" s="280"/>
      <c r="AA1577" s="280"/>
      <c r="AB1577" s="280"/>
      <c r="AC1577" s="280"/>
      <c r="AD1577" s="280"/>
      <c r="AG1577" s="3"/>
      <c r="AH1577" s="3"/>
      <c r="AI1577" s="3"/>
      <c r="AJ1577" s="3"/>
      <c r="AK1577" s="3"/>
      <c r="AL1577" s="3"/>
      <c r="AM1577" s="3"/>
      <c r="AN1577" s="3"/>
      <c r="AO1577" s="3"/>
      <c r="AP1577" s="11"/>
      <c r="AQ1577" s="11"/>
      <c r="AR1577" s="3"/>
      <c r="AS1577" s="3"/>
      <c r="AT1577" s="3"/>
      <c r="AU1577" s="3"/>
      <c r="AV1577" s="3"/>
      <c r="AW1577" s="3"/>
      <c r="AX1577" s="11"/>
      <c r="AZ1577"/>
      <c r="BA1577"/>
      <c r="BB1577"/>
      <c r="BC1577"/>
    </row>
    <row r="1578" spans="1:55" s="282" customFormat="1" x14ac:dyDescent="0.25">
      <c r="A1578"/>
      <c r="B1578"/>
      <c r="C1578" s="3"/>
      <c r="D1578"/>
      <c r="E1578"/>
      <c r="F1578"/>
      <c r="G1578" s="3"/>
      <c r="H1578" s="3"/>
      <c r="I1578" s="3"/>
      <c r="J1578" s="288"/>
      <c r="L1578" s="288"/>
      <c r="M1578" s="288"/>
      <c r="N1578" s="288"/>
      <c r="O1578" s="288"/>
      <c r="P1578" s="288"/>
      <c r="Q1578" s="288"/>
      <c r="R1578" s="283"/>
      <c r="S1578" s="280"/>
      <c r="T1578" s="276"/>
      <c r="U1578" s="276"/>
      <c r="V1578" s="276"/>
      <c r="W1578" s="283"/>
      <c r="X1578" s="280"/>
      <c r="Y1578" s="280"/>
      <c r="Z1578" s="280"/>
      <c r="AA1578" s="280"/>
      <c r="AB1578" s="280"/>
      <c r="AC1578" s="280"/>
      <c r="AD1578" s="280"/>
      <c r="AG1578" s="3"/>
      <c r="AH1578" s="3"/>
      <c r="AI1578" s="3"/>
      <c r="AJ1578" s="3"/>
      <c r="AK1578" s="3"/>
      <c r="AL1578" s="3"/>
      <c r="AM1578" s="3"/>
      <c r="AN1578" s="3"/>
      <c r="AO1578" s="3"/>
      <c r="AP1578" s="11"/>
      <c r="AQ1578" s="11"/>
      <c r="AR1578" s="3"/>
      <c r="AS1578" s="3"/>
      <c r="AT1578" s="3"/>
      <c r="AU1578" s="3"/>
      <c r="AV1578" s="3"/>
      <c r="AW1578" s="3"/>
      <c r="AX1578" s="11"/>
      <c r="AZ1578"/>
      <c r="BA1578"/>
      <c r="BB1578"/>
      <c r="BC1578"/>
    </row>
    <row r="1579" spans="1:55" s="282" customFormat="1" x14ac:dyDescent="0.25">
      <c r="A1579"/>
      <c r="B1579"/>
      <c r="C1579" s="3"/>
      <c r="D1579"/>
      <c r="E1579"/>
      <c r="F1579"/>
      <c r="G1579" s="3"/>
      <c r="H1579" s="3"/>
      <c r="I1579" s="3"/>
      <c r="J1579" s="288"/>
      <c r="L1579" s="288"/>
      <c r="M1579" s="288"/>
      <c r="N1579" s="288"/>
      <c r="O1579" s="288"/>
      <c r="P1579" s="288"/>
      <c r="Q1579" s="288"/>
      <c r="R1579" s="283"/>
      <c r="S1579" s="280"/>
      <c r="T1579" s="276"/>
      <c r="U1579" s="276"/>
      <c r="V1579" s="276"/>
      <c r="W1579" s="283"/>
      <c r="X1579" s="280"/>
      <c r="Y1579" s="280"/>
      <c r="Z1579" s="280"/>
      <c r="AA1579" s="280"/>
      <c r="AB1579" s="280"/>
      <c r="AC1579" s="280"/>
      <c r="AD1579" s="280"/>
      <c r="AG1579" s="3"/>
      <c r="AH1579" s="3"/>
      <c r="AI1579" s="3"/>
      <c r="AJ1579" s="3"/>
      <c r="AK1579" s="3"/>
      <c r="AL1579" s="3"/>
      <c r="AM1579" s="3"/>
      <c r="AN1579" s="3"/>
      <c r="AO1579" s="3"/>
      <c r="AP1579" s="11"/>
      <c r="AQ1579" s="11"/>
      <c r="AR1579" s="3"/>
      <c r="AS1579" s="3"/>
      <c r="AT1579" s="3"/>
      <c r="AU1579" s="3"/>
      <c r="AV1579" s="3"/>
      <c r="AW1579" s="3"/>
      <c r="AX1579" s="11"/>
      <c r="AZ1579"/>
      <c r="BA1579"/>
      <c r="BB1579"/>
      <c r="BC1579"/>
    </row>
    <row r="1580" spans="1:55" s="282" customFormat="1" x14ac:dyDescent="0.25">
      <c r="A1580"/>
      <c r="B1580"/>
      <c r="C1580" s="3"/>
      <c r="D1580"/>
      <c r="E1580"/>
      <c r="F1580"/>
      <c r="G1580" s="3"/>
      <c r="H1580" s="3"/>
      <c r="I1580" s="3"/>
      <c r="J1580" s="288"/>
      <c r="L1580" s="288"/>
      <c r="M1580" s="288"/>
      <c r="N1580" s="288"/>
      <c r="O1580" s="288"/>
      <c r="P1580" s="288"/>
      <c r="Q1580" s="288"/>
      <c r="R1580" s="283"/>
      <c r="S1580" s="280"/>
      <c r="T1580" s="276"/>
      <c r="U1580" s="276"/>
      <c r="V1580" s="276"/>
      <c r="W1580" s="283"/>
      <c r="X1580" s="280"/>
      <c r="Y1580" s="280"/>
      <c r="Z1580" s="280"/>
      <c r="AA1580" s="280"/>
      <c r="AB1580" s="280"/>
      <c r="AC1580" s="280"/>
      <c r="AD1580" s="280"/>
      <c r="AG1580" s="3"/>
      <c r="AH1580" s="3"/>
      <c r="AI1580" s="3"/>
      <c r="AJ1580" s="3"/>
      <c r="AK1580" s="3"/>
      <c r="AL1580" s="3"/>
      <c r="AM1580" s="3"/>
      <c r="AN1580" s="3"/>
      <c r="AO1580" s="3"/>
      <c r="AP1580" s="11"/>
      <c r="AQ1580" s="11"/>
      <c r="AR1580" s="3"/>
      <c r="AS1580" s="3"/>
      <c r="AT1580" s="3"/>
      <c r="AU1580" s="3"/>
      <c r="AV1580" s="3"/>
      <c r="AW1580" s="3"/>
      <c r="AX1580" s="11"/>
      <c r="AZ1580"/>
      <c r="BA1580"/>
      <c r="BB1580"/>
      <c r="BC1580"/>
    </row>
    <row r="1581" spans="1:55" s="282" customFormat="1" x14ac:dyDescent="0.25">
      <c r="A1581"/>
      <c r="B1581"/>
      <c r="C1581" s="3"/>
      <c r="D1581"/>
      <c r="E1581"/>
      <c r="F1581"/>
      <c r="G1581" s="3"/>
      <c r="H1581" s="3"/>
      <c r="I1581" s="3"/>
      <c r="J1581" s="288"/>
      <c r="L1581" s="288"/>
      <c r="M1581" s="288"/>
      <c r="N1581" s="288"/>
      <c r="O1581" s="288"/>
      <c r="P1581" s="288"/>
      <c r="Q1581" s="288"/>
      <c r="R1581" s="283"/>
      <c r="S1581" s="280"/>
      <c r="T1581" s="276"/>
      <c r="U1581" s="276"/>
      <c r="V1581" s="276"/>
      <c r="W1581" s="283"/>
      <c r="X1581" s="280"/>
      <c r="Y1581" s="280"/>
      <c r="Z1581" s="280"/>
      <c r="AA1581" s="280"/>
      <c r="AB1581" s="280"/>
      <c r="AC1581" s="280"/>
      <c r="AD1581" s="280"/>
      <c r="AG1581" s="3"/>
      <c r="AH1581" s="3"/>
      <c r="AI1581" s="3"/>
      <c r="AJ1581" s="3"/>
      <c r="AK1581" s="3"/>
      <c r="AL1581" s="3"/>
      <c r="AM1581" s="3"/>
      <c r="AN1581" s="3"/>
      <c r="AO1581" s="3"/>
      <c r="AP1581" s="11"/>
      <c r="AQ1581" s="11"/>
      <c r="AR1581" s="3"/>
      <c r="AS1581" s="3"/>
      <c r="AT1581" s="3"/>
      <c r="AU1581" s="3"/>
      <c r="AV1581" s="3"/>
      <c r="AW1581" s="3"/>
      <c r="AX1581" s="11"/>
      <c r="AZ1581"/>
      <c r="BA1581"/>
      <c r="BB1581"/>
      <c r="BC1581"/>
    </row>
    <row r="1582" spans="1:55" s="282" customFormat="1" x14ac:dyDescent="0.25">
      <c r="A1582"/>
      <c r="B1582"/>
      <c r="C1582" s="3"/>
      <c r="D1582"/>
      <c r="E1582"/>
      <c r="F1582"/>
      <c r="G1582" s="3"/>
      <c r="H1582" s="3"/>
      <c r="I1582" s="3"/>
      <c r="J1582" s="288"/>
      <c r="L1582" s="288"/>
      <c r="M1582" s="288"/>
      <c r="N1582" s="288"/>
      <c r="O1582" s="288"/>
      <c r="P1582" s="288"/>
      <c r="Q1582" s="288"/>
      <c r="R1582" s="283"/>
      <c r="S1582" s="280"/>
      <c r="T1582" s="276"/>
      <c r="U1582" s="276"/>
      <c r="V1582" s="276"/>
      <c r="W1582" s="283"/>
      <c r="X1582" s="280"/>
      <c r="Y1582" s="280"/>
      <c r="Z1582" s="280"/>
      <c r="AA1582" s="280"/>
      <c r="AB1582" s="280"/>
      <c r="AC1582" s="280"/>
      <c r="AD1582" s="280"/>
      <c r="AG1582" s="3"/>
      <c r="AH1582" s="3"/>
      <c r="AI1582" s="3"/>
      <c r="AJ1582" s="3"/>
      <c r="AK1582" s="3"/>
      <c r="AL1582" s="3"/>
      <c r="AM1582" s="3"/>
      <c r="AN1582" s="3"/>
      <c r="AO1582" s="3"/>
      <c r="AP1582" s="11"/>
      <c r="AQ1582" s="11"/>
      <c r="AR1582" s="3"/>
      <c r="AS1582" s="3"/>
      <c r="AT1582" s="3"/>
      <c r="AU1582" s="3"/>
      <c r="AV1582" s="3"/>
      <c r="AW1582" s="3"/>
      <c r="AX1582" s="11"/>
      <c r="AZ1582"/>
      <c r="BA1582"/>
      <c r="BB1582"/>
      <c r="BC1582"/>
    </row>
    <row r="1583" spans="1:55" s="282" customFormat="1" x14ac:dyDescent="0.25">
      <c r="A1583"/>
      <c r="B1583"/>
      <c r="C1583" s="3"/>
      <c r="D1583"/>
      <c r="E1583"/>
      <c r="F1583"/>
      <c r="G1583" s="3"/>
      <c r="H1583" s="3"/>
      <c r="I1583" s="3"/>
      <c r="J1583" s="288"/>
      <c r="L1583" s="288"/>
      <c r="M1583" s="288"/>
      <c r="N1583" s="288"/>
      <c r="O1583" s="288"/>
      <c r="P1583" s="288"/>
      <c r="Q1583" s="288"/>
      <c r="R1583" s="283"/>
      <c r="S1583" s="280"/>
      <c r="T1583" s="276"/>
      <c r="U1583" s="276"/>
      <c r="V1583" s="276"/>
      <c r="W1583" s="283"/>
      <c r="X1583" s="280"/>
      <c r="Y1583" s="280"/>
      <c r="Z1583" s="280"/>
      <c r="AA1583" s="280"/>
      <c r="AB1583" s="280"/>
      <c r="AC1583" s="280"/>
      <c r="AD1583" s="280"/>
      <c r="AG1583" s="3"/>
      <c r="AH1583" s="3"/>
      <c r="AI1583" s="3"/>
      <c r="AJ1583" s="3"/>
      <c r="AK1583" s="3"/>
      <c r="AL1583" s="3"/>
      <c r="AM1583" s="3"/>
      <c r="AN1583" s="3"/>
      <c r="AO1583" s="3"/>
      <c r="AP1583" s="11"/>
      <c r="AQ1583" s="11"/>
      <c r="AR1583" s="3"/>
      <c r="AS1583" s="3"/>
      <c r="AT1583" s="3"/>
      <c r="AU1583" s="3"/>
      <c r="AV1583" s="3"/>
      <c r="AW1583" s="3"/>
      <c r="AX1583" s="11"/>
      <c r="AZ1583"/>
      <c r="BA1583"/>
      <c r="BB1583"/>
      <c r="BC1583"/>
    </row>
    <row r="1584" spans="1:55" s="282" customFormat="1" x14ac:dyDescent="0.25">
      <c r="A1584"/>
      <c r="B1584"/>
      <c r="C1584" s="3"/>
      <c r="D1584"/>
      <c r="E1584"/>
      <c r="F1584"/>
      <c r="G1584" s="3"/>
      <c r="H1584" s="3"/>
      <c r="I1584" s="3"/>
      <c r="J1584" s="288"/>
      <c r="L1584" s="288"/>
      <c r="M1584" s="288"/>
      <c r="N1584" s="288"/>
      <c r="O1584" s="288"/>
      <c r="P1584" s="288"/>
      <c r="Q1584" s="288"/>
      <c r="R1584" s="283"/>
      <c r="S1584" s="280"/>
      <c r="T1584" s="276"/>
      <c r="U1584" s="276"/>
      <c r="V1584" s="276"/>
      <c r="W1584" s="283"/>
      <c r="X1584" s="280"/>
      <c r="Y1584" s="280"/>
      <c r="Z1584" s="280"/>
      <c r="AA1584" s="280"/>
      <c r="AB1584" s="280"/>
      <c r="AC1584" s="280"/>
      <c r="AD1584" s="280"/>
      <c r="AG1584" s="3"/>
      <c r="AH1584" s="3"/>
      <c r="AI1584" s="3"/>
      <c r="AJ1584" s="3"/>
      <c r="AK1584" s="3"/>
      <c r="AL1584" s="3"/>
      <c r="AM1584" s="3"/>
      <c r="AN1584" s="3"/>
      <c r="AO1584" s="3"/>
      <c r="AP1584" s="11"/>
      <c r="AQ1584" s="11"/>
      <c r="AR1584" s="3"/>
      <c r="AS1584" s="3"/>
      <c r="AT1584" s="3"/>
      <c r="AU1584" s="3"/>
      <c r="AV1584" s="3"/>
      <c r="AW1584" s="3"/>
      <c r="AX1584" s="11"/>
      <c r="AZ1584"/>
      <c r="BA1584"/>
      <c r="BB1584"/>
      <c r="BC1584"/>
    </row>
    <row r="1585" spans="1:55" s="282" customFormat="1" x14ac:dyDescent="0.25">
      <c r="A1585"/>
      <c r="B1585"/>
      <c r="C1585" s="3"/>
      <c r="D1585"/>
      <c r="E1585"/>
      <c r="F1585"/>
      <c r="G1585" s="3"/>
      <c r="H1585" s="3"/>
      <c r="I1585" s="3"/>
      <c r="J1585" s="288"/>
      <c r="L1585" s="288"/>
      <c r="M1585" s="288"/>
      <c r="N1585" s="288"/>
      <c r="O1585" s="288"/>
      <c r="P1585" s="288"/>
      <c r="Q1585" s="288"/>
      <c r="R1585" s="283"/>
      <c r="S1585" s="280"/>
      <c r="T1585" s="276"/>
      <c r="U1585" s="276"/>
      <c r="V1585" s="276"/>
      <c r="W1585" s="283"/>
      <c r="X1585" s="280"/>
      <c r="Y1585" s="280"/>
      <c r="Z1585" s="280"/>
      <c r="AA1585" s="280"/>
      <c r="AB1585" s="280"/>
      <c r="AC1585" s="280"/>
      <c r="AD1585" s="280"/>
      <c r="AG1585" s="3"/>
      <c r="AH1585" s="3"/>
      <c r="AI1585" s="3"/>
      <c r="AJ1585" s="3"/>
      <c r="AK1585" s="3"/>
      <c r="AL1585" s="3"/>
      <c r="AM1585" s="3"/>
      <c r="AN1585" s="3"/>
      <c r="AO1585" s="3"/>
      <c r="AP1585" s="11"/>
      <c r="AQ1585" s="11"/>
      <c r="AR1585" s="3"/>
      <c r="AS1585" s="3"/>
      <c r="AT1585" s="3"/>
      <c r="AU1585" s="3"/>
      <c r="AV1585" s="3"/>
      <c r="AW1585" s="3"/>
      <c r="AX1585" s="11"/>
      <c r="AZ1585"/>
      <c r="BA1585"/>
      <c r="BB1585"/>
      <c r="BC1585"/>
    </row>
    <row r="1586" spans="1:55" s="282" customFormat="1" x14ac:dyDescent="0.25">
      <c r="A1586"/>
      <c r="B1586"/>
      <c r="C1586" s="3"/>
      <c r="D1586"/>
      <c r="E1586"/>
      <c r="F1586"/>
      <c r="G1586" s="3"/>
      <c r="H1586" s="3"/>
      <c r="I1586" s="3"/>
      <c r="J1586" s="288"/>
      <c r="L1586" s="288"/>
      <c r="M1586" s="288"/>
      <c r="N1586" s="288"/>
      <c r="O1586" s="288"/>
      <c r="P1586" s="288"/>
      <c r="Q1586" s="288"/>
      <c r="R1586" s="283"/>
      <c r="S1586" s="280"/>
      <c r="T1586" s="276"/>
      <c r="U1586" s="276"/>
      <c r="V1586" s="276"/>
      <c r="W1586" s="283"/>
      <c r="X1586" s="280"/>
      <c r="Y1586" s="280"/>
      <c r="Z1586" s="280"/>
      <c r="AA1586" s="280"/>
      <c r="AB1586" s="280"/>
      <c r="AC1586" s="280"/>
      <c r="AD1586" s="280"/>
      <c r="AG1586" s="3"/>
      <c r="AH1586" s="3"/>
      <c r="AI1586" s="3"/>
      <c r="AJ1586" s="3"/>
      <c r="AK1586" s="3"/>
      <c r="AL1586" s="3"/>
      <c r="AM1586" s="3"/>
      <c r="AN1586" s="3"/>
      <c r="AO1586" s="3"/>
      <c r="AP1586" s="11"/>
      <c r="AQ1586" s="11"/>
      <c r="AR1586" s="3"/>
      <c r="AS1586" s="3"/>
      <c r="AT1586" s="3"/>
      <c r="AU1586" s="3"/>
      <c r="AV1586" s="3"/>
      <c r="AW1586" s="3"/>
      <c r="AX1586" s="11"/>
      <c r="AZ1586"/>
      <c r="BA1586"/>
      <c r="BB1586"/>
      <c r="BC1586"/>
    </row>
    <row r="1587" spans="1:55" s="282" customFormat="1" x14ac:dyDescent="0.25">
      <c r="A1587"/>
      <c r="B1587"/>
      <c r="C1587" s="3"/>
      <c r="D1587"/>
      <c r="E1587"/>
      <c r="F1587"/>
      <c r="G1587" s="3"/>
      <c r="H1587" s="3"/>
      <c r="I1587" s="3"/>
      <c r="J1587" s="288"/>
      <c r="L1587" s="288"/>
      <c r="M1587" s="288"/>
      <c r="N1587" s="288"/>
      <c r="O1587" s="288"/>
      <c r="P1587" s="288"/>
      <c r="Q1587" s="288"/>
      <c r="R1587" s="283"/>
      <c r="S1587" s="280"/>
      <c r="T1587" s="276"/>
      <c r="U1587" s="276"/>
      <c r="V1587" s="276"/>
      <c r="W1587" s="283"/>
      <c r="X1587" s="280"/>
      <c r="Y1587" s="280"/>
      <c r="Z1587" s="280"/>
      <c r="AA1587" s="280"/>
      <c r="AB1587" s="280"/>
      <c r="AC1587" s="280"/>
      <c r="AD1587" s="280"/>
      <c r="AG1587" s="3"/>
      <c r="AH1587" s="3"/>
      <c r="AI1587" s="3"/>
      <c r="AJ1587" s="3"/>
      <c r="AK1587" s="3"/>
      <c r="AL1587" s="3"/>
      <c r="AM1587" s="3"/>
      <c r="AN1587" s="3"/>
      <c r="AO1587" s="3"/>
      <c r="AP1587" s="11"/>
      <c r="AQ1587" s="11"/>
      <c r="AR1587" s="3"/>
      <c r="AS1587" s="3"/>
      <c r="AT1587" s="3"/>
      <c r="AU1587" s="3"/>
      <c r="AV1587" s="3"/>
      <c r="AW1587" s="3"/>
      <c r="AX1587" s="11"/>
      <c r="AZ1587"/>
      <c r="BA1587"/>
      <c r="BB1587"/>
      <c r="BC1587"/>
    </row>
    <row r="1588" spans="1:55" s="282" customFormat="1" x14ac:dyDescent="0.25">
      <c r="A1588"/>
      <c r="B1588"/>
      <c r="C1588" s="3"/>
      <c r="D1588"/>
      <c r="E1588"/>
      <c r="F1588"/>
      <c r="G1588" s="3"/>
      <c r="H1588" s="3"/>
      <c r="I1588" s="3"/>
      <c r="J1588" s="288"/>
      <c r="L1588" s="288"/>
      <c r="M1588" s="288"/>
      <c r="N1588" s="288"/>
      <c r="O1588" s="288"/>
      <c r="P1588" s="288"/>
      <c r="Q1588" s="288"/>
      <c r="R1588" s="283"/>
      <c r="S1588" s="280"/>
      <c r="T1588" s="276"/>
      <c r="U1588" s="276"/>
      <c r="V1588" s="276"/>
      <c r="W1588" s="283"/>
      <c r="X1588" s="280"/>
      <c r="Y1588" s="280"/>
      <c r="Z1588" s="280"/>
      <c r="AA1588" s="280"/>
      <c r="AB1588" s="280"/>
      <c r="AC1588" s="280"/>
      <c r="AD1588" s="280"/>
      <c r="AG1588" s="3"/>
      <c r="AH1588" s="3"/>
      <c r="AI1588" s="3"/>
      <c r="AJ1588" s="3"/>
      <c r="AK1588" s="3"/>
      <c r="AL1588" s="3"/>
      <c r="AM1588" s="3"/>
      <c r="AN1588" s="3"/>
      <c r="AO1588" s="3"/>
      <c r="AP1588" s="11"/>
      <c r="AQ1588" s="11"/>
      <c r="AR1588" s="3"/>
      <c r="AS1588" s="3"/>
      <c r="AT1588" s="3"/>
      <c r="AU1588" s="3"/>
      <c r="AV1588" s="3"/>
      <c r="AW1588" s="3"/>
      <c r="AX1588" s="11"/>
      <c r="AZ1588"/>
      <c r="BA1588"/>
      <c r="BB1588"/>
      <c r="BC1588"/>
    </row>
    <row r="1589" spans="1:55" s="282" customFormat="1" x14ac:dyDescent="0.25">
      <c r="A1589"/>
      <c r="B1589"/>
      <c r="C1589" s="3"/>
      <c r="D1589"/>
      <c r="E1589"/>
      <c r="F1589"/>
      <c r="G1589" s="3"/>
      <c r="H1589" s="3"/>
      <c r="I1589" s="3"/>
      <c r="J1589" s="288"/>
      <c r="L1589" s="288"/>
      <c r="M1589" s="288"/>
      <c r="N1589" s="288"/>
      <c r="O1589" s="288"/>
      <c r="P1589" s="288"/>
      <c r="Q1589" s="288"/>
      <c r="R1589" s="283"/>
      <c r="S1589" s="280"/>
      <c r="T1589" s="276"/>
      <c r="U1589" s="276"/>
      <c r="V1589" s="276"/>
      <c r="W1589" s="283"/>
      <c r="X1589" s="280"/>
      <c r="Y1589" s="280"/>
      <c r="Z1589" s="280"/>
      <c r="AA1589" s="280"/>
      <c r="AB1589" s="280"/>
      <c r="AC1589" s="280"/>
      <c r="AD1589" s="280"/>
      <c r="AG1589" s="3"/>
      <c r="AH1589" s="3"/>
      <c r="AI1589" s="3"/>
      <c r="AJ1589" s="3"/>
      <c r="AK1589" s="3"/>
      <c r="AL1589" s="3"/>
      <c r="AM1589" s="3"/>
      <c r="AN1589" s="3"/>
      <c r="AO1589" s="3"/>
      <c r="AP1589" s="11"/>
      <c r="AQ1589" s="11"/>
      <c r="AR1589" s="3"/>
      <c r="AS1589" s="3"/>
      <c r="AT1589" s="3"/>
      <c r="AU1589" s="3"/>
      <c r="AV1589" s="3"/>
      <c r="AW1589" s="3"/>
      <c r="AX1589" s="11"/>
      <c r="AZ1589"/>
      <c r="BA1589"/>
      <c r="BB1589"/>
      <c r="BC1589"/>
    </row>
    <row r="1590" spans="1:55" s="282" customFormat="1" x14ac:dyDescent="0.25">
      <c r="A1590"/>
      <c r="B1590"/>
      <c r="C1590" s="3"/>
      <c r="D1590"/>
      <c r="E1590"/>
      <c r="F1590"/>
      <c r="G1590" s="3"/>
      <c r="H1590" s="3"/>
      <c r="I1590" s="3"/>
      <c r="J1590" s="288"/>
      <c r="L1590" s="288"/>
      <c r="M1590" s="288"/>
      <c r="N1590" s="288"/>
      <c r="O1590" s="288"/>
      <c r="P1590" s="288"/>
      <c r="Q1590" s="288"/>
      <c r="R1590" s="283"/>
      <c r="S1590" s="280"/>
      <c r="T1590" s="276"/>
      <c r="U1590" s="276"/>
      <c r="V1590" s="276"/>
      <c r="W1590" s="283"/>
      <c r="X1590" s="280"/>
      <c r="Y1590" s="280"/>
      <c r="Z1590" s="280"/>
      <c r="AA1590" s="280"/>
      <c r="AB1590" s="280"/>
      <c r="AC1590" s="280"/>
      <c r="AD1590" s="280"/>
      <c r="AG1590" s="3"/>
      <c r="AH1590" s="3"/>
      <c r="AI1590" s="3"/>
      <c r="AJ1590" s="3"/>
      <c r="AK1590" s="3"/>
      <c r="AL1590" s="3"/>
      <c r="AM1590" s="3"/>
      <c r="AN1590" s="3"/>
      <c r="AO1590" s="3"/>
      <c r="AP1590" s="11"/>
      <c r="AQ1590" s="11"/>
      <c r="AR1590" s="3"/>
      <c r="AS1590" s="3"/>
      <c r="AT1590" s="3"/>
      <c r="AU1590" s="3"/>
      <c r="AV1590" s="3"/>
      <c r="AW1590" s="3"/>
      <c r="AX1590" s="11"/>
      <c r="AZ1590"/>
      <c r="BA1590"/>
      <c r="BB1590"/>
      <c r="BC1590"/>
    </row>
    <row r="1591" spans="1:55" s="282" customFormat="1" x14ac:dyDescent="0.25">
      <c r="A1591"/>
      <c r="B1591"/>
      <c r="C1591" s="3"/>
      <c r="D1591"/>
      <c r="E1591"/>
      <c r="F1591"/>
      <c r="G1591" s="3"/>
      <c r="H1591" s="3"/>
      <c r="I1591" s="3"/>
      <c r="J1591" s="288"/>
      <c r="L1591" s="288"/>
      <c r="M1591" s="288"/>
      <c r="N1591" s="288"/>
      <c r="O1591" s="288"/>
      <c r="P1591" s="288"/>
      <c r="Q1591" s="288"/>
      <c r="R1591" s="283"/>
      <c r="S1591" s="280"/>
      <c r="T1591" s="276"/>
      <c r="U1591" s="276"/>
      <c r="V1591" s="276"/>
      <c r="W1591" s="283"/>
      <c r="X1591" s="280"/>
      <c r="Y1591" s="280"/>
      <c r="Z1591" s="280"/>
      <c r="AA1591" s="280"/>
      <c r="AB1591" s="280"/>
      <c r="AC1591" s="280"/>
      <c r="AD1591" s="280"/>
      <c r="AG1591" s="3"/>
      <c r="AH1591" s="3"/>
      <c r="AI1591" s="3"/>
      <c r="AJ1591" s="3"/>
      <c r="AK1591" s="3"/>
      <c r="AL1591" s="3"/>
      <c r="AM1591" s="3"/>
      <c r="AN1591" s="3"/>
      <c r="AO1591" s="3"/>
      <c r="AP1591" s="11"/>
      <c r="AQ1591" s="11"/>
      <c r="AR1591" s="3"/>
      <c r="AS1591" s="3"/>
      <c r="AT1591" s="3"/>
      <c r="AU1591" s="3"/>
      <c r="AV1591" s="3"/>
      <c r="AW1591" s="3"/>
      <c r="AX1591" s="11"/>
      <c r="AZ1591"/>
      <c r="BA1591"/>
      <c r="BB1591"/>
      <c r="BC1591"/>
    </row>
    <row r="1592" spans="1:55" s="282" customFormat="1" x14ac:dyDescent="0.25">
      <c r="A1592"/>
      <c r="B1592"/>
      <c r="C1592" s="3"/>
      <c r="D1592"/>
      <c r="E1592"/>
      <c r="F1592"/>
      <c r="G1592" s="3"/>
      <c r="H1592" s="3"/>
      <c r="I1592" s="3"/>
      <c r="J1592" s="288"/>
      <c r="L1592" s="288"/>
      <c r="M1592" s="288"/>
      <c r="N1592" s="288"/>
      <c r="O1592" s="288"/>
      <c r="P1592" s="288"/>
      <c r="Q1592" s="288"/>
      <c r="R1592" s="283"/>
      <c r="S1592" s="280"/>
      <c r="T1592" s="276"/>
      <c r="U1592" s="276"/>
      <c r="V1592" s="276"/>
      <c r="W1592" s="283"/>
      <c r="X1592" s="280"/>
      <c r="Y1592" s="280"/>
      <c r="Z1592" s="280"/>
      <c r="AA1592" s="280"/>
      <c r="AB1592" s="280"/>
      <c r="AC1592" s="280"/>
      <c r="AD1592" s="280"/>
      <c r="AG1592" s="3"/>
      <c r="AH1592" s="3"/>
      <c r="AI1592" s="3"/>
      <c r="AJ1592" s="3"/>
      <c r="AK1592" s="3"/>
      <c r="AL1592" s="3"/>
      <c r="AM1592" s="3"/>
      <c r="AN1592" s="3"/>
      <c r="AO1592" s="3"/>
      <c r="AP1592" s="11"/>
      <c r="AQ1592" s="11"/>
      <c r="AR1592" s="3"/>
      <c r="AS1592" s="3"/>
      <c r="AT1592" s="3"/>
      <c r="AU1592" s="3"/>
      <c r="AV1592" s="3"/>
      <c r="AW1592" s="3"/>
      <c r="AX1592" s="11"/>
      <c r="AZ1592"/>
      <c r="BA1592"/>
      <c r="BB1592"/>
      <c r="BC1592"/>
    </row>
    <row r="1593" spans="1:55" s="282" customFormat="1" x14ac:dyDescent="0.25">
      <c r="A1593"/>
      <c r="B1593"/>
      <c r="C1593" s="3"/>
      <c r="D1593"/>
      <c r="E1593"/>
      <c r="F1593"/>
      <c r="G1593" s="3"/>
      <c r="H1593" s="3"/>
      <c r="I1593" s="3"/>
      <c r="J1593" s="288"/>
      <c r="L1593" s="288"/>
      <c r="M1593" s="288"/>
      <c r="N1593" s="288"/>
      <c r="O1593" s="288"/>
      <c r="P1593" s="288"/>
      <c r="Q1593" s="288"/>
      <c r="R1593" s="283"/>
      <c r="S1593" s="280"/>
      <c r="T1593" s="276"/>
      <c r="U1593" s="276"/>
      <c r="V1593" s="276"/>
      <c r="W1593" s="283"/>
      <c r="X1593" s="280"/>
      <c r="Y1593" s="280"/>
      <c r="Z1593" s="280"/>
      <c r="AA1593" s="280"/>
      <c r="AB1593" s="280"/>
      <c r="AC1593" s="280"/>
      <c r="AD1593" s="280"/>
      <c r="AG1593" s="3"/>
      <c r="AH1593" s="3"/>
      <c r="AI1593" s="3"/>
      <c r="AJ1593" s="3"/>
      <c r="AK1593" s="3"/>
      <c r="AL1593" s="3"/>
      <c r="AM1593" s="3"/>
      <c r="AN1593" s="3"/>
      <c r="AO1593" s="3"/>
      <c r="AP1593" s="11"/>
      <c r="AQ1593" s="11"/>
      <c r="AR1593" s="3"/>
      <c r="AS1593" s="3"/>
      <c r="AT1593" s="3"/>
      <c r="AU1593" s="3"/>
      <c r="AV1593" s="3"/>
      <c r="AW1593" s="3"/>
      <c r="AX1593" s="11"/>
      <c r="AZ1593"/>
      <c r="BA1593"/>
      <c r="BB1593"/>
      <c r="BC1593"/>
    </row>
    <row r="1594" spans="1:55" s="282" customFormat="1" x14ac:dyDescent="0.25">
      <c r="A1594"/>
      <c r="B1594"/>
      <c r="C1594" s="3"/>
      <c r="D1594"/>
      <c r="E1594"/>
      <c r="F1594"/>
      <c r="G1594" s="3"/>
      <c r="H1594" s="3"/>
      <c r="I1594" s="3"/>
      <c r="J1594" s="288"/>
      <c r="L1594" s="288"/>
      <c r="M1594" s="288"/>
      <c r="N1594" s="288"/>
      <c r="O1594" s="288"/>
      <c r="P1594" s="288"/>
      <c r="Q1594" s="288"/>
      <c r="R1594" s="283"/>
      <c r="S1594" s="280"/>
      <c r="T1594" s="276"/>
      <c r="U1594" s="276"/>
      <c r="V1594" s="276"/>
      <c r="W1594" s="283"/>
      <c r="X1594" s="280"/>
      <c r="Y1594" s="280"/>
      <c r="Z1594" s="280"/>
      <c r="AA1594" s="280"/>
      <c r="AB1594" s="280"/>
      <c r="AC1594" s="280"/>
      <c r="AD1594" s="280"/>
      <c r="AG1594" s="3"/>
      <c r="AH1594" s="3"/>
      <c r="AI1594" s="3"/>
      <c r="AJ1594" s="3"/>
      <c r="AK1594" s="3"/>
      <c r="AL1594" s="3"/>
      <c r="AM1594" s="3"/>
      <c r="AN1594" s="3"/>
      <c r="AO1594" s="3"/>
      <c r="AP1594" s="11"/>
      <c r="AQ1594" s="11"/>
      <c r="AR1594" s="3"/>
      <c r="AS1594" s="3"/>
      <c r="AT1594" s="3"/>
      <c r="AU1594" s="3"/>
      <c r="AV1594" s="3"/>
      <c r="AW1594" s="3"/>
      <c r="AX1594" s="11"/>
      <c r="AZ1594"/>
      <c r="BA1594"/>
      <c r="BB1594"/>
      <c r="BC1594"/>
    </row>
    <row r="1595" spans="1:55" s="282" customFormat="1" x14ac:dyDescent="0.25">
      <c r="A1595"/>
      <c r="B1595"/>
      <c r="C1595" s="3"/>
      <c r="D1595"/>
      <c r="E1595"/>
      <c r="F1595"/>
      <c r="G1595" s="3"/>
      <c r="H1595" s="3"/>
      <c r="I1595" s="3"/>
      <c r="J1595" s="288"/>
      <c r="L1595" s="288"/>
      <c r="M1595" s="288"/>
      <c r="N1595" s="288"/>
      <c r="O1595" s="288"/>
      <c r="P1595" s="288"/>
      <c r="Q1595" s="288"/>
      <c r="R1595" s="283"/>
      <c r="S1595" s="280"/>
      <c r="T1595" s="276"/>
      <c r="U1595" s="276"/>
      <c r="V1595" s="276"/>
      <c r="W1595" s="283"/>
      <c r="X1595" s="280"/>
      <c r="Y1595" s="280"/>
      <c r="Z1595" s="280"/>
      <c r="AA1595" s="280"/>
      <c r="AB1595" s="280"/>
      <c r="AC1595" s="280"/>
      <c r="AD1595" s="280"/>
      <c r="AG1595" s="3"/>
      <c r="AH1595" s="3"/>
      <c r="AI1595" s="3"/>
      <c r="AJ1595" s="3"/>
      <c r="AK1595" s="3"/>
      <c r="AL1595" s="3"/>
      <c r="AM1595" s="3"/>
      <c r="AN1595" s="3"/>
      <c r="AO1595" s="3"/>
      <c r="AP1595" s="11"/>
      <c r="AQ1595" s="11"/>
      <c r="AR1595" s="3"/>
      <c r="AS1595" s="3"/>
      <c r="AT1595" s="3"/>
      <c r="AU1595" s="3"/>
      <c r="AV1595" s="3"/>
      <c r="AW1595" s="3"/>
      <c r="AX1595" s="11"/>
      <c r="AZ1595"/>
      <c r="BA1595"/>
      <c r="BB1595"/>
      <c r="BC1595"/>
    </row>
    <row r="1596" spans="1:55" s="282" customFormat="1" x14ac:dyDescent="0.25">
      <c r="A1596"/>
      <c r="B1596"/>
      <c r="C1596" s="3"/>
      <c r="D1596"/>
      <c r="E1596"/>
      <c r="F1596"/>
      <c r="G1596" s="3"/>
      <c r="H1596" s="3"/>
      <c r="I1596" s="3"/>
      <c r="J1596" s="288"/>
      <c r="L1596" s="288"/>
      <c r="M1596" s="288"/>
      <c r="N1596" s="288"/>
      <c r="O1596" s="288"/>
      <c r="P1596" s="288"/>
      <c r="Q1596" s="288"/>
      <c r="R1596" s="283"/>
      <c r="S1596" s="280"/>
      <c r="T1596" s="276"/>
      <c r="U1596" s="276"/>
      <c r="V1596" s="276"/>
      <c r="W1596" s="283"/>
      <c r="X1596" s="280"/>
      <c r="Y1596" s="280"/>
      <c r="Z1596" s="280"/>
      <c r="AA1596" s="280"/>
      <c r="AB1596" s="280"/>
      <c r="AC1596" s="280"/>
      <c r="AD1596" s="280"/>
      <c r="AG1596" s="3"/>
      <c r="AH1596" s="3"/>
      <c r="AI1596" s="3"/>
      <c r="AJ1596" s="3"/>
      <c r="AK1596" s="3"/>
      <c r="AL1596" s="3"/>
      <c r="AM1596" s="3"/>
      <c r="AN1596" s="3"/>
      <c r="AO1596" s="3"/>
      <c r="AP1596" s="11"/>
      <c r="AQ1596" s="11"/>
      <c r="AR1596" s="3"/>
      <c r="AS1596" s="3"/>
      <c r="AT1596" s="3"/>
      <c r="AU1596" s="3"/>
      <c r="AV1596" s="3"/>
      <c r="AW1596" s="3"/>
      <c r="AX1596" s="11"/>
      <c r="AZ1596"/>
      <c r="BA1596"/>
      <c r="BB1596"/>
      <c r="BC1596"/>
    </row>
    <row r="1597" spans="1:55" s="282" customFormat="1" x14ac:dyDescent="0.25">
      <c r="A1597"/>
      <c r="B1597"/>
      <c r="C1597" s="3"/>
      <c r="D1597"/>
      <c r="E1597"/>
      <c r="F1597"/>
      <c r="G1597" s="3"/>
      <c r="H1597" s="3"/>
      <c r="I1597" s="3"/>
      <c r="J1597" s="288"/>
      <c r="L1597" s="288"/>
      <c r="M1597" s="288"/>
      <c r="N1597" s="288"/>
      <c r="O1597" s="288"/>
      <c r="P1597" s="288"/>
      <c r="Q1597" s="288"/>
      <c r="R1597" s="283"/>
      <c r="S1597" s="280"/>
      <c r="T1597" s="276"/>
      <c r="U1597" s="276"/>
      <c r="V1597" s="276"/>
      <c r="W1597" s="283"/>
      <c r="X1597" s="280"/>
      <c r="Y1597" s="280"/>
      <c r="Z1597" s="280"/>
      <c r="AA1597" s="280"/>
      <c r="AB1597" s="280"/>
      <c r="AC1597" s="280"/>
      <c r="AD1597" s="280"/>
      <c r="AG1597" s="3"/>
      <c r="AH1597" s="3"/>
      <c r="AI1597" s="3"/>
      <c r="AJ1597" s="3"/>
      <c r="AK1597" s="3"/>
      <c r="AL1597" s="3"/>
      <c r="AM1597" s="3"/>
      <c r="AN1597" s="3"/>
      <c r="AO1597" s="3"/>
      <c r="AP1597" s="11"/>
      <c r="AQ1597" s="11"/>
      <c r="AR1597" s="3"/>
      <c r="AS1597" s="3"/>
      <c r="AT1597" s="3"/>
      <c r="AU1597" s="3"/>
      <c r="AV1597" s="3"/>
      <c r="AW1597" s="3"/>
      <c r="AX1597" s="11"/>
      <c r="AZ1597"/>
      <c r="BA1597"/>
      <c r="BB1597"/>
      <c r="BC1597"/>
    </row>
    <row r="1598" spans="1:55" s="282" customFormat="1" x14ac:dyDescent="0.25">
      <c r="A1598"/>
      <c r="B1598"/>
      <c r="C1598" s="3"/>
      <c r="D1598"/>
      <c r="E1598"/>
      <c r="F1598"/>
      <c r="G1598" s="3"/>
      <c r="H1598" s="3"/>
      <c r="I1598" s="3"/>
      <c r="J1598" s="288"/>
      <c r="L1598" s="288"/>
      <c r="M1598" s="288"/>
      <c r="N1598" s="288"/>
      <c r="O1598" s="288"/>
      <c r="P1598" s="288"/>
      <c r="Q1598" s="288"/>
      <c r="R1598" s="283"/>
      <c r="S1598" s="280"/>
      <c r="T1598" s="276"/>
      <c r="U1598" s="276"/>
      <c r="V1598" s="276"/>
      <c r="W1598" s="283"/>
      <c r="X1598" s="280"/>
      <c r="Y1598" s="280"/>
      <c r="Z1598" s="280"/>
      <c r="AA1598" s="280"/>
      <c r="AB1598" s="280"/>
      <c r="AC1598" s="280"/>
      <c r="AD1598" s="280"/>
      <c r="AG1598" s="3"/>
      <c r="AH1598" s="3"/>
      <c r="AI1598" s="3"/>
      <c r="AJ1598" s="3"/>
      <c r="AK1598" s="3"/>
      <c r="AL1598" s="3"/>
      <c r="AM1598" s="3"/>
      <c r="AN1598" s="3"/>
      <c r="AO1598" s="3"/>
      <c r="AP1598" s="11"/>
      <c r="AQ1598" s="11"/>
      <c r="AR1598" s="3"/>
      <c r="AS1598" s="3"/>
      <c r="AT1598" s="3"/>
      <c r="AU1598" s="3"/>
      <c r="AV1598" s="3"/>
      <c r="AW1598" s="3"/>
      <c r="AX1598" s="11"/>
      <c r="AZ1598"/>
      <c r="BA1598"/>
      <c r="BB1598"/>
      <c r="BC1598"/>
    </row>
    <row r="1599" spans="1:55" s="282" customFormat="1" x14ac:dyDescent="0.25">
      <c r="A1599"/>
      <c r="B1599"/>
      <c r="C1599" s="3"/>
      <c r="D1599"/>
      <c r="E1599"/>
      <c r="F1599"/>
      <c r="G1599" s="3"/>
      <c r="H1599" s="3"/>
      <c r="I1599" s="3"/>
      <c r="J1599" s="288"/>
      <c r="L1599" s="288"/>
      <c r="M1599" s="288"/>
      <c r="N1599" s="288"/>
      <c r="O1599" s="288"/>
      <c r="P1599" s="288"/>
      <c r="Q1599" s="288"/>
      <c r="R1599" s="283"/>
      <c r="S1599" s="280"/>
      <c r="T1599" s="276"/>
      <c r="U1599" s="276"/>
      <c r="V1599" s="276"/>
      <c r="W1599" s="283"/>
      <c r="X1599" s="280"/>
      <c r="Y1599" s="280"/>
      <c r="Z1599" s="280"/>
      <c r="AA1599" s="280"/>
      <c r="AB1599" s="280"/>
      <c r="AC1599" s="280"/>
      <c r="AD1599" s="280"/>
      <c r="AG1599" s="3"/>
      <c r="AH1599" s="3"/>
      <c r="AI1599" s="3"/>
      <c r="AJ1599" s="3"/>
      <c r="AK1599" s="3"/>
      <c r="AL1599" s="3"/>
      <c r="AM1599" s="3"/>
      <c r="AN1599" s="3"/>
      <c r="AO1599" s="3"/>
      <c r="AP1599" s="11"/>
      <c r="AQ1599" s="11"/>
      <c r="AR1599" s="3"/>
      <c r="AS1599" s="3"/>
      <c r="AT1599" s="3"/>
      <c r="AU1599" s="3"/>
      <c r="AV1599" s="3"/>
      <c r="AW1599" s="3"/>
      <c r="AX1599" s="11"/>
      <c r="AZ1599"/>
      <c r="BA1599"/>
      <c r="BB1599"/>
      <c r="BC1599"/>
    </row>
    <row r="1600" spans="1:55" s="282" customFormat="1" x14ac:dyDescent="0.25">
      <c r="A1600"/>
      <c r="B1600"/>
      <c r="C1600" s="3"/>
      <c r="D1600"/>
      <c r="E1600"/>
      <c r="F1600"/>
      <c r="G1600" s="3"/>
      <c r="H1600" s="3"/>
      <c r="I1600" s="3"/>
      <c r="J1600" s="288"/>
      <c r="L1600" s="288"/>
      <c r="M1600" s="288"/>
      <c r="N1600" s="288"/>
      <c r="O1600" s="288"/>
      <c r="P1600" s="288"/>
      <c r="Q1600" s="288"/>
      <c r="R1600" s="283"/>
      <c r="S1600" s="280"/>
      <c r="T1600" s="276"/>
      <c r="U1600" s="276"/>
      <c r="V1600" s="276"/>
      <c r="W1600" s="283"/>
      <c r="X1600" s="280"/>
      <c r="Y1600" s="280"/>
      <c r="Z1600" s="280"/>
      <c r="AA1600" s="280"/>
      <c r="AB1600" s="280"/>
      <c r="AC1600" s="280"/>
      <c r="AD1600" s="280"/>
      <c r="AG1600" s="3"/>
      <c r="AH1600" s="3"/>
      <c r="AI1600" s="3"/>
      <c r="AJ1600" s="3"/>
      <c r="AK1600" s="3"/>
      <c r="AL1600" s="3"/>
      <c r="AM1600" s="3"/>
      <c r="AN1600" s="3"/>
      <c r="AO1600" s="3"/>
      <c r="AP1600" s="11"/>
      <c r="AQ1600" s="11"/>
      <c r="AR1600" s="3"/>
      <c r="AS1600" s="3"/>
      <c r="AT1600" s="3"/>
      <c r="AU1600" s="3"/>
      <c r="AV1600" s="3"/>
      <c r="AW1600" s="3"/>
      <c r="AX1600" s="11"/>
      <c r="AZ1600"/>
      <c r="BA1600"/>
      <c r="BB1600"/>
      <c r="BC1600"/>
    </row>
    <row r="1601" spans="1:55" s="282" customFormat="1" x14ac:dyDescent="0.25">
      <c r="A1601"/>
      <c r="B1601"/>
      <c r="C1601" s="3"/>
      <c r="D1601"/>
      <c r="E1601"/>
      <c r="F1601"/>
      <c r="G1601" s="3"/>
      <c r="H1601" s="3"/>
      <c r="I1601" s="3"/>
      <c r="J1601" s="288"/>
      <c r="L1601" s="288"/>
      <c r="M1601" s="288"/>
      <c r="N1601" s="288"/>
      <c r="O1601" s="288"/>
      <c r="P1601" s="288"/>
      <c r="Q1601" s="288"/>
      <c r="R1601" s="283"/>
      <c r="S1601" s="280"/>
      <c r="T1601" s="276"/>
      <c r="U1601" s="276"/>
      <c r="V1601" s="276"/>
      <c r="W1601" s="283"/>
      <c r="X1601" s="280"/>
      <c r="Y1601" s="280"/>
      <c r="Z1601" s="280"/>
      <c r="AA1601" s="280"/>
      <c r="AB1601" s="280"/>
      <c r="AC1601" s="280"/>
      <c r="AD1601" s="280"/>
      <c r="AG1601" s="3"/>
      <c r="AH1601" s="3"/>
      <c r="AI1601" s="3"/>
      <c r="AJ1601" s="3"/>
      <c r="AK1601" s="3"/>
      <c r="AL1601" s="3"/>
      <c r="AM1601" s="3"/>
      <c r="AN1601" s="3"/>
      <c r="AO1601" s="3"/>
      <c r="AP1601" s="11"/>
      <c r="AQ1601" s="11"/>
      <c r="AR1601" s="3"/>
      <c r="AS1601" s="3"/>
      <c r="AT1601" s="3"/>
      <c r="AU1601" s="3"/>
      <c r="AV1601" s="3"/>
      <c r="AW1601" s="3"/>
      <c r="AX1601" s="11"/>
      <c r="AZ1601"/>
      <c r="BA1601"/>
      <c r="BB1601"/>
      <c r="BC1601"/>
    </row>
    <row r="1602" spans="1:55" s="282" customFormat="1" x14ac:dyDescent="0.25">
      <c r="A1602"/>
      <c r="B1602"/>
      <c r="C1602" s="3"/>
      <c r="D1602"/>
      <c r="E1602"/>
      <c r="F1602"/>
      <c r="G1602" s="3"/>
      <c r="H1602" s="3"/>
      <c r="I1602" s="3"/>
      <c r="J1602" s="288"/>
      <c r="L1602" s="288"/>
      <c r="M1602" s="288"/>
      <c r="N1602" s="288"/>
      <c r="O1602" s="288"/>
      <c r="P1602" s="288"/>
      <c r="Q1602" s="288"/>
      <c r="R1602" s="283"/>
      <c r="S1602" s="280"/>
      <c r="T1602" s="276"/>
      <c r="U1602" s="276"/>
      <c r="V1602" s="276"/>
      <c r="W1602" s="283"/>
      <c r="X1602" s="280"/>
      <c r="Y1602" s="280"/>
      <c r="Z1602" s="280"/>
      <c r="AA1602" s="280"/>
      <c r="AB1602" s="280"/>
      <c r="AC1602" s="280"/>
      <c r="AD1602" s="280"/>
      <c r="AG1602" s="3"/>
      <c r="AH1602" s="3"/>
      <c r="AI1602" s="3"/>
      <c r="AJ1602" s="3"/>
      <c r="AK1602" s="3"/>
      <c r="AL1602" s="3"/>
      <c r="AM1602" s="3"/>
      <c r="AN1602" s="3"/>
      <c r="AO1602" s="3"/>
      <c r="AP1602" s="11"/>
      <c r="AQ1602" s="11"/>
      <c r="AR1602" s="3"/>
      <c r="AS1602" s="3"/>
      <c r="AT1602" s="3"/>
      <c r="AU1602" s="3"/>
      <c r="AV1602" s="3"/>
      <c r="AW1602" s="3"/>
      <c r="AX1602" s="11"/>
      <c r="AZ1602"/>
      <c r="BA1602"/>
      <c r="BB1602"/>
      <c r="BC1602"/>
    </row>
    <row r="1603" spans="1:55" s="282" customFormat="1" x14ac:dyDescent="0.25">
      <c r="A1603"/>
      <c r="B1603"/>
      <c r="C1603" s="3"/>
      <c r="D1603"/>
      <c r="E1603"/>
      <c r="F1603"/>
      <c r="G1603" s="3"/>
      <c r="H1603" s="3"/>
      <c r="I1603" s="3"/>
      <c r="J1603" s="288"/>
      <c r="L1603" s="288"/>
      <c r="M1603" s="288"/>
      <c r="N1603" s="288"/>
      <c r="O1603" s="288"/>
      <c r="P1603" s="288"/>
      <c r="Q1603" s="288"/>
      <c r="R1603" s="283"/>
      <c r="S1603" s="280"/>
      <c r="T1603" s="276"/>
      <c r="U1603" s="276"/>
      <c r="V1603" s="276"/>
      <c r="W1603" s="283"/>
      <c r="X1603" s="280"/>
      <c r="Y1603" s="280"/>
      <c r="Z1603" s="280"/>
      <c r="AA1603" s="280"/>
      <c r="AB1603" s="280"/>
      <c r="AC1603" s="280"/>
      <c r="AD1603" s="280"/>
      <c r="AG1603" s="3"/>
      <c r="AH1603" s="3"/>
      <c r="AI1603" s="3"/>
      <c r="AJ1603" s="3"/>
      <c r="AK1603" s="3"/>
      <c r="AL1603" s="3"/>
      <c r="AM1603" s="3"/>
      <c r="AN1603" s="3"/>
      <c r="AO1603" s="3"/>
      <c r="AP1603" s="11"/>
      <c r="AQ1603" s="11"/>
      <c r="AR1603" s="3"/>
      <c r="AS1603" s="3"/>
      <c r="AT1603" s="3"/>
      <c r="AU1603" s="3"/>
      <c r="AV1603" s="3"/>
      <c r="AW1603" s="3"/>
      <c r="AX1603" s="11"/>
      <c r="AZ1603"/>
      <c r="BA1603"/>
      <c r="BB1603"/>
      <c r="BC1603"/>
    </row>
    <row r="1604" spans="1:55" s="282" customFormat="1" x14ac:dyDescent="0.25">
      <c r="A1604"/>
      <c r="B1604"/>
      <c r="C1604" s="3"/>
      <c r="D1604"/>
      <c r="E1604"/>
      <c r="F1604"/>
      <c r="G1604" s="3"/>
      <c r="H1604" s="3"/>
      <c r="I1604" s="3"/>
      <c r="J1604" s="288"/>
      <c r="L1604" s="288"/>
      <c r="M1604" s="288"/>
      <c r="N1604" s="288"/>
      <c r="O1604" s="288"/>
      <c r="P1604" s="288"/>
      <c r="Q1604" s="288"/>
      <c r="R1604" s="283"/>
      <c r="S1604" s="280"/>
      <c r="T1604" s="276"/>
      <c r="U1604" s="276"/>
      <c r="V1604" s="276"/>
      <c r="W1604" s="283"/>
      <c r="X1604" s="280"/>
      <c r="Y1604" s="280"/>
      <c r="Z1604" s="280"/>
      <c r="AA1604" s="280"/>
      <c r="AB1604" s="280"/>
      <c r="AC1604" s="280"/>
      <c r="AD1604" s="280"/>
      <c r="AG1604" s="3"/>
      <c r="AH1604" s="3"/>
      <c r="AI1604" s="3"/>
      <c r="AJ1604" s="3"/>
      <c r="AK1604" s="3"/>
      <c r="AL1604" s="3"/>
      <c r="AM1604" s="3"/>
      <c r="AN1604" s="3"/>
      <c r="AO1604" s="3"/>
      <c r="AP1604" s="11"/>
      <c r="AQ1604" s="11"/>
      <c r="AR1604" s="3"/>
      <c r="AS1604" s="3"/>
      <c r="AT1604" s="3"/>
      <c r="AU1604" s="3"/>
      <c r="AV1604" s="3"/>
      <c r="AW1604" s="3"/>
      <c r="AX1604" s="11"/>
      <c r="AZ1604"/>
      <c r="BA1604"/>
      <c r="BB1604"/>
      <c r="BC1604"/>
    </row>
    <row r="1605" spans="1:55" s="282" customFormat="1" x14ac:dyDescent="0.25">
      <c r="A1605"/>
      <c r="B1605"/>
      <c r="C1605" s="3"/>
      <c r="D1605"/>
      <c r="E1605"/>
      <c r="F1605"/>
      <c r="G1605" s="3"/>
      <c r="H1605" s="3"/>
      <c r="I1605" s="3"/>
      <c r="J1605" s="288"/>
      <c r="L1605" s="288"/>
      <c r="M1605" s="288"/>
      <c r="N1605" s="288"/>
      <c r="O1605" s="288"/>
      <c r="P1605" s="288"/>
      <c r="Q1605" s="288"/>
      <c r="R1605" s="283"/>
      <c r="S1605" s="280"/>
      <c r="T1605" s="276"/>
      <c r="U1605" s="276"/>
      <c r="V1605" s="276"/>
      <c r="W1605" s="283"/>
      <c r="X1605" s="280"/>
      <c r="Y1605" s="280"/>
      <c r="Z1605" s="280"/>
      <c r="AA1605" s="280"/>
      <c r="AB1605" s="280"/>
      <c r="AC1605" s="280"/>
      <c r="AD1605" s="280"/>
      <c r="AG1605" s="3"/>
      <c r="AH1605" s="3"/>
      <c r="AI1605" s="3"/>
      <c r="AJ1605" s="3"/>
      <c r="AK1605" s="3"/>
      <c r="AL1605" s="3"/>
      <c r="AM1605" s="3"/>
      <c r="AN1605" s="3"/>
      <c r="AO1605" s="3"/>
      <c r="AP1605" s="11"/>
      <c r="AQ1605" s="11"/>
      <c r="AR1605" s="3"/>
      <c r="AS1605" s="3"/>
      <c r="AT1605" s="3"/>
      <c r="AU1605" s="3"/>
      <c r="AV1605" s="3"/>
      <c r="AW1605" s="3"/>
      <c r="AX1605" s="11"/>
      <c r="AZ1605"/>
      <c r="BA1605"/>
      <c r="BB1605"/>
      <c r="BC1605"/>
    </row>
    <row r="1606" spans="1:55" s="282" customFormat="1" x14ac:dyDescent="0.25">
      <c r="A1606"/>
      <c r="B1606"/>
      <c r="C1606" s="3"/>
      <c r="D1606"/>
      <c r="E1606"/>
      <c r="F1606"/>
      <c r="G1606" s="3"/>
      <c r="H1606" s="3"/>
      <c r="I1606" s="3"/>
      <c r="J1606" s="288"/>
      <c r="L1606" s="288"/>
      <c r="M1606" s="288"/>
      <c r="N1606" s="288"/>
      <c r="O1606" s="288"/>
      <c r="P1606" s="288"/>
      <c r="Q1606" s="288"/>
      <c r="R1606" s="283"/>
      <c r="S1606" s="280"/>
      <c r="T1606" s="276"/>
      <c r="U1606" s="276"/>
      <c r="V1606" s="276"/>
      <c r="W1606" s="283"/>
      <c r="X1606" s="280"/>
      <c r="Y1606" s="280"/>
      <c r="Z1606" s="280"/>
      <c r="AA1606" s="280"/>
      <c r="AB1606" s="280"/>
      <c r="AC1606" s="280"/>
      <c r="AD1606" s="280"/>
      <c r="AG1606" s="3"/>
      <c r="AH1606" s="3"/>
      <c r="AI1606" s="3"/>
      <c r="AJ1606" s="3"/>
      <c r="AK1606" s="3"/>
      <c r="AL1606" s="3"/>
      <c r="AM1606" s="3"/>
      <c r="AN1606" s="3"/>
      <c r="AO1606" s="3"/>
      <c r="AP1606" s="11"/>
      <c r="AQ1606" s="11"/>
      <c r="AR1606" s="3"/>
      <c r="AS1606" s="3"/>
      <c r="AT1606" s="3"/>
      <c r="AU1606" s="3"/>
      <c r="AV1606" s="3"/>
      <c r="AW1606" s="3"/>
      <c r="AX1606" s="11"/>
      <c r="AZ1606"/>
      <c r="BA1606"/>
      <c r="BB1606"/>
      <c r="BC1606"/>
    </row>
    <row r="1607" spans="1:55" s="282" customFormat="1" x14ac:dyDescent="0.25">
      <c r="A1607"/>
      <c r="B1607"/>
      <c r="C1607" s="3"/>
      <c r="D1607"/>
      <c r="E1607"/>
      <c r="F1607"/>
      <c r="G1607" s="3"/>
      <c r="H1607" s="3"/>
      <c r="I1607" s="3"/>
      <c r="J1607" s="288"/>
      <c r="L1607" s="288"/>
      <c r="M1607" s="288"/>
      <c r="N1607" s="288"/>
      <c r="O1607" s="288"/>
      <c r="P1607" s="288"/>
      <c r="Q1607" s="288"/>
      <c r="R1607" s="283"/>
      <c r="S1607" s="280"/>
      <c r="T1607" s="276"/>
      <c r="U1607" s="276"/>
      <c r="V1607" s="276"/>
      <c r="W1607" s="283"/>
      <c r="X1607" s="280"/>
      <c r="Y1607" s="280"/>
      <c r="Z1607" s="280"/>
      <c r="AA1607" s="280"/>
      <c r="AB1607" s="280"/>
      <c r="AC1607" s="280"/>
      <c r="AD1607" s="280"/>
      <c r="AG1607" s="3"/>
      <c r="AH1607" s="3"/>
      <c r="AI1607" s="3"/>
      <c r="AJ1607" s="3"/>
      <c r="AK1607" s="3"/>
      <c r="AL1607" s="3"/>
      <c r="AM1607" s="3"/>
      <c r="AN1607" s="3"/>
      <c r="AO1607" s="3"/>
      <c r="AP1607" s="11"/>
      <c r="AQ1607" s="11"/>
      <c r="AR1607" s="3"/>
      <c r="AS1607" s="3"/>
      <c r="AT1607" s="3"/>
      <c r="AU1607" s="3"/>
      <c r="AV1607" s="3"/>
      <c r="AW1607" s="3"/>
      <c r="AX1607" s="11"/>
      <c r="AZ1607"/>
      <c r="BA1607"/>
      <c r="BB1607"/>
      <c r="BC1607"/>
    </row>
    <row r="1608" spans="1:55" s="282" customFormat="1" x14ac:dyDescent="0.25">
      <c r="A1608"/>
      <c r="B1608"/>
      <c r="C1608" s="3"/>
      <c r="D1608"/>
      <c r="E1608"/>
      <c r="F1608"/>
      <c r="G1608" s="3"/>
      <c r="H1608" s="3"/>
      <c r="I1608" s="3"/>
      <c r="J1608" s="288"/>
      <c r="L1608" s="288"/>
      <c r="M1608" s="288"/>
      <c r="N1608" s="288"/>
      <c r="O1608" s="288"/>
      <c r="P1608" s="288"/>
      <c r="Q1608" s="288"/>
      <c r="R1608" s="283"/>
      <c r="S1608" s="280"/>
      <c r="T1608" s="276"/>
      <c r="U1608" s="276"/>
      <c r="V1608" s="276"/>
      <c r="W1608" s="283"/>
      <c r="X1608" s="280"/>
      <c r="Y1608" s="280"/>
      <c r="Z1608" s="280"/>
      <c r="AA1608" s="280"/>
      <c r="AB1608" s="280"/>
      <c r="AC1608" s="280"/>
      <c r="AD1608" s="280"/>
      <c r="AG1608" s="3"/>
      <c r="AH1608" s="3"/>
      <c r="AI1608" s="3"/>
      <c r="AJ1608" s="3"/>
      <c r="AK1608" s="3"/>
      <c r="AL1608" s="3"/>
      <c r="AM1608" s="3"/>
      <c r="AN1608" s="3"/>
      <c r="AO1608" s="3"/>
      <c r="AP1608" s="11"/>
      <c r="AQ1608" s="11"/>
      <c r="AR1608" s="3"/>
      <c r="AS1608" s="3"/>
      <c r="AT1608" s="3"/>
      <c r="AU1608" s="3"/>
      <c r="AV1608" s="3"/>
      <c r="AW1608" s="3"/>
      <c r="AX1608" s="11"/>
      <c r="AZ1608"/>
      <c r="BA1608"/>
      <c r="BB1608"/>
      <c r="BC1608"/>
    </row>
    <row r="1609" spans="1:55" s="282" customFormat="1" x14ac:dyDescent="0.25">
      <c r="A1609"/>
      <c r="B1609"/>
      <c r="C1609" s="3"/>
      <c r="D1609"/>
      <c r="E1609"/>
      <c r="F1609"/>
      <c r="G1609" s="3"/>
      <c r="H1609" s="3"/>
      <c r="I1609" s="3"/>
      <c r="J1609" s="288"/>
      <c r="L1609" s="288"/>
      <c r="M1609" s="288"/>
      <c r="N1609" s="288"/>
      <c r="O1609" s="288"/>
      <c r="P1609" s="288"/>
      <c r="Q1609" s="288"/>
      <c r="R1609" s="283"/>
      <c r="S1609" s="280"/>
      <c r="T1609" s="276"/>
      <c r="U1609" s="276"/>
      <c r="V1609" s="276"/>
      <c r="W1609" s="283"/>
      <c r="X1609" s="280"/>
      <c r="Y1609" s="280"/>
      <c r="Z1609" s="280"/>
      <c r="AA1609" s="280"/>
      <c r="AB1609" s="280"/>
      <c r="AC1609" s="280"/>
      <c r="AD1609" s="280"/>
      <c r="AG1609" s="3"/>
      <c r="AH1609" s="3"/>
      <c r="AI1609" s="3"/>
      <c r="AJ1609" s="3"/>
      <c r="AK1609" s="3"/>
      <c r="AL1609" s="3"/>
      <c r="AM1609" s="3"/>
      <c r="AN1609" s="3"/>
      <c r="AO1609" s="3"/>
      <c r="AP1609" s="11"/>
      <c r="AQ1609" s="11"/>
      <c r="AR1609" s="3"/>
      <c r="AS1609" s="3"/>
      <c r="AT1609" s="3"/>
      <c r="AU1609" s="3"/>
      <c r="AV1609" s="3"/>
      <c r="AW1609" s="3"/>
      <c r="AX1609" s="11"/>
      <c r="AZ1609"/>
      <c r="BA1609"/>
      <c r="BB1609"/>
      <c r="BC1609"/>
    </row>
    <row r="1610" spans="1:55" s="282" customFormat="1" x14ac:dyDescent="0.25">
      <c r="A1610"/>
      <c r="B1610"/>
      <c r="C1610" s="3"/>
      <c r="D1610"/>
      <c r="E1610"/>
      <c r="F1610"/>
      <c r="G1610" s="3"/>
      <c r="H1610" s="3"/>
      <c r="I1610" s="3"/>
      <c r="J1610" s="288"/>
      <c r="L1610" s="288"/>
      <c r="M1610" s="288"/>
      <c r="N1610" s="288"/>
      <c r="O1610" s="288"/>
      <c r="P1610" s="288"/>
      <c r="Q1610" s="288"/>
      <c r="R1610" s="283"/>
      <c r="S1610" s="280"/>
      <c r="T1610" s="276"/>
      <c r="U1610" s="276"/>
      <c r="V1610" s="276"/>
      <c r="W1610" s="283"/>
      <c r="X1610" s="280"/>
      <c r="Y1610" s="280"/>
      <c r="Z1610" s="280"/>
      <c r="AA1610" s="280"/>
      <c r="AB1610" s="280"/>
      <c r="AC1610" s="280"/>
      <c r="AD1610" s="280"/>
      <c r="AG1610" s="3"/>
      <c r="AH1610" s="3"/>
      <c r="AI1610" s="3"/>
      <c r="AJ1610" s="3"/>
      <c r="AK1610" s="3"/>
      <c r="AL1610" s="3"/>
      <c r="AM1610" s="3"/>
      <c r="AN1610" s="3"/>
      <c r="AO1610" s="3"/>
      <c r="AP1610" s="11"/>
      <c r="AQ1610" s="11"/>
      <c r="AR1610" s="3"/>
      <c r="AS1610" s="3"/>
      <c r="AT1610" s="3"/>
      <c r="AU1610" s="3"/>
      <c r="AV1610" s="3"/>
      <c r="AW1610" s="3"/>
      <c r="AX1610" s="11"/>
      <c r="AZ1610"/>
      <c r="BA1610"/>
      <c r="BB1610"/>
      <c r="BC1610"/>
    </row>
    <row r="1611" spans="1:55" s="282" customFormat="1" x14ac:dyDescent="0.25">
      <c r="A1611"/>
      <c r="B1611"/>
      <c r="C1611" s="3"/>
      <c r="D1611"/>
      <c r="E1611"/>
      <c r="F1611"/>
      <c r="G1611" s="3"/>
      <c r="H1611" s="3"/>
      <c r="I1611" s="3"/>
      <c r="J1611" s="288"/>
      <c r="L1611" s="288"/>
      <c r="M1611" s="288"/>
      <c r="N1611" s="288"/>
      <c r="O1611" s="288"/>
      <c r="P1611" s="288"/>
      <c r="Q1611" s="288"/>
      <c r="R1611" s="283"/>
      <c r="S1611" s="280"/>
      <c r="T1611" s="276"/>
      <c r="U1611" s="276"/>
      <c r="V1611" s="276"/>
      <c r="W1611" s="283"/>
      <c r="X1611" s="280"/>
      <c r="Y1611" s="280"/>
      <c r="Z1611" s="280"/>
      <c r="AA1611" s="280"/>
      <c r="AB1611" s="280"/>
      <c r="AC1611" s="280"/>
      <c r="AD1611" s="280"/>
      <c r="AG1611" s="3"/>
      <c r="AH1611" s="3"/>
      <c r="AI1611" s="3"/>
      <c r="AJ1611" s="3"/>
      <c r="AK1611" s="3"/>
      <c r="AL1611" s="3"/>
      <c r="AM1611" s="3"/>
      <c r="AN1611" s="3"/>
      <c r="AO1611" s="3"/>
      <c r="AP1611" s="11"/>
      <c r="AQ1611" s="11"/>
      <c r="AR1611" s="3"/>
      <c r="AS1611" s="3"/>
      <c r="AT1611" s="3"/>
      <c r="AU1611" s="3"/>
      <c r="AV1611" s="3"/>
      <c r="AW1611" s="3"/>
      <c r="AX1611" s="11"/>
      <c r="AZ1611"/>
      <c r="BA1611"/>
      <c r="BB1611"/>
      <c r="BC1611"/>
    </row>
    <row r="1612" spans="1:55" s="282" customFormat="1" x14ac:dyDescent="0.25">
      <c r="A1612"/>
      <c r="B1612"/>
      <c r="C1612" s="3"/>
      <c r="D1612"/>
      <c r="E1612"/>
      <c r="F1612"/>
      <c r="G1612" s="3"/>
      <c r="H1612" s="3"/>
      <c r="I1612" s="3"/>
      <c r="J1612" s="288"/>
      <c r="L1612" s="288"/>
      <c r="M1612" s="288"/>
      <c r="N1612" s="288"/>
      <c r="O1612" s="288"/>
      <c r="P1612" s="288"/>
      <c r="Q1612" s="288"/>
      <c r="R1612" s="283"/>
      <c r="S1612" s="280"/>
      <c r="T1612" s="276"/>
      <c r="U1612" s="276"/>
      <c r="V1612" s="276"/>
      <c r="W1612" s="283"/>
      <c r="X1612" s="280"/>
      <c r="Y1612" s="280"/>
      <c r="Z1612" s="280"/>
      <c r="AA1612" s="280"/>
      <c r="AB1612" s="280"/>
      <c r="AC1612" s="280"/>
      <c r="AD1612" s="280"/>
      <c r="AG1612" s="3"/>
      <c r="AH1612" s="3"/>
      <c r="AI1612" s="3"/>
      <c r="AJ1612" s="3"/>
      <c r="AK1612" s="3"/>
      <c r="AL1612" s="3"/>
      <c r="AM1612" s="3"/>
      <c r="AN1612" s="3"/>
      <c r="AO1612" s="3"/>
      <c r="AP1612" s="11"/>
      <c r="AQ1612" s="11"/>
      <c r="AR1612" s="3"/>
      <c r="AS1612" s="3"/>
      <c r="AT1612" s="3"/>
      <c r="AU1612" s="3"/>
      <c r="AV1612" s="3"/>
      <c r="AW1612" s="3"/>
      <c r="AX1612" s="11"/>
      <c r="AZ1612"/>
      <c r="BA1612"/>
      <c r="BB1612"/>
      <c r="BC1612"/>
    </row>
    <row r="1613" spans="1:55" s="282" customFormat="1" x14ac:dyDescent="0.25">
      <c r="A1613"/>
      <c r="B1613"/>
      <c r="C1613" s="3"/>
      <c r="D1613"/>
      <c r="E1613"/>
      <c r="F1613"/>
      <c r="G1613" s="3"/>
      <c r="H1613" s="3"/>
      <c r="I1613" s="3"/>
      <c r="J1613" s="288"/>
      <c r="L1613" s="288"/>
      <c r="M1613" s="288"/>
      <c r="N1613" s="288"/>
      <c r="O1613" s="288"/>
      <c r="P1613" s="288"/>
      <c r="Q1613" s="288"/>
      <c r="R1613" s="283"/>
      <c r="S1613" s="280"/>
      <c r="T1613" s="276"/>
      <c r="U1613" s="276"/>
      <c r="V1613" s="276"/>
      <c r="W1613" s="283"/>
      <c r="X1613" s="280"/>
      <c r="Y1613" s="280"/>
      <c r="Z1613" s="280"/>
      <c r="AA1613" s="280"/>
      <c r="AB1613" s="280"/>
      <c r="AC1613" s="280"/>
      <c r="AD1613" s="280"/>
      <c r="AG1613" s="3"/>
      <c r="AH1613" s="3"/>
      <c r="AI1613" s="3"/>
      <c r="AJ1613" s="3"/>
      <c r="AK1613" s="3"/>
      <c r="AL1613" s="3"/>
      <c r="AM1613" s="3"/>
      <c r="AN1613" s="3"/>
      <c r="AO1613" s="3"/>
      <c r="AP1613" s="11"/>
      <c r="AQ1613" s="11"/>
      <c r="AR1613" s="3"/>
      <c r="AS1613" s="3"/>
      <c r="AT1613" s="3"/>
      <c r="AU1613" s="3"/>
      <c r="AV1613" s="3"/>
      <c r="AW1613" s="3"/>
      <c r="AX1613" s="11"/>
      <c r="AZ1613"/>
      <c r="BA1613"/>
      <c r="BB1613"/>
      <c r="BC1613"/>
    </row>
    <row r="1614" spans="1:55" s="282" customFormat="1" x14ac:dyDescent="0.25">
      <c r="A1614"/>
      <c r="B1614"/>
      <c r="C1614" s="3"/>
      <c r="D1614"/>
      <c r="E1614"/>
      <c r="F1614"/>
      <c r="G1614" s="3"/>
      <c r="H1614" s="3"/>
      <c r="I1614" s="3"/>
      <c r="J1614" s="288"/>
      <c r="L1614" s="288"/>
      <c r="M1614" s="288"/>
      <c r="N1614" s="288"/>
      <c r="O1614" s="288"/>
      <c r="P1614" s="288"/>
      <c r="Q1614" s="288"/>
      <c r="R1614" s="283"/>
      <c r="S1614" s="280"/>
      <c r="T1614" s="276"/>
      <c r="U1614" s="276"/>
      <c r="V1614" s="276"/>
      <c r="W1614" s="283"/>
      <c r="X1614" s="280"/>
      <c r="Y1614" s="280"/>
      <c r="Z1614" s="280"/>
      <c r="AA1614" s="280"/>
      <c r="AB1614" s="280"/>
      <c r="AC1614" s="280"/>
      <c r="AD1614" s="280"/>
      <c r="AG1614" s="3"/>
      <c r="AH1614" s="3"/>
      <c r="AI1614" s="3"/>
      <c r="AJ1614" s="3"/>
      <c r="AK1614" s="3"/>
      <c r="AL1614" s="3"/>
      <c r="AM1614" s="3"/>
      <c r="AN1614" s="3"/>
      <c r="AO1614" s="3"/>
      <c r="AP1614" s="11"/>
      <c r="AQ1614" s="11"/>
      <c r="AR1614" s="3"/>
      <c r="AS1614" s="3"/>
      <c r="AT1614" s="3"/>
      <c r="AU1614" s="3"/>
      <c r="AV1614" s="3"/>
      <c r="AW1614" s="3"/>
      <c r="AX1614" s="11"/>
      <c r="AZ1614"/>
      <c r="BA1614"/>
      <c r="BB1614"/>
      <c r="BC1614"/>
    </row>
    <row r="1615" spans="1:55" s="282" customFormat="1" x14ac:dyDescent="0.25">
      <c r="A1615"/>
      <c r="B1615"/>
      <c r="C1615" s="3"/>
      <c r="D1615"/>
      <c r="E1615"/>
      <c r="F1615"/>
      <c r="G1615" s="3"/>
      <c r="H1615" s="3"/>
      <c r="I1615" s="3"/>
      <c r="J1615" s="288"/>
      <c r="L1615" s="288"/>
      <c r="M1615" s="288"/>
      <c r="N1615" s="288"/>
      <c r="O1615" s="288"/>
      <c r="P1615" s="288"/>
      <c r="Q1615" s="288"/>
      <c r="R1615" s="283"/>
      <c r="S1615" s="280"/>
      <c r="T1615" s="276"/>
      <c r="U1615" s="276"/>
      <c r="V1615" s="276"/>
      <c r="W1615" s="283"/>
      <c r="X1615" s="280"/>
      <c r="Y1615" s="280"/>
      <c r="Z1615" s="280"/>
      <c r="AA1615" s="280"/>
      <c r="AB1615" s="280"/>
      <c r="AC1615" s="280"/>
      <c r="AD1615" s="280"/>
      <c r="AG1615" s="3"/>
      <c r="AH1615" s="3"/>
      <c r="AI1615" s="3"/>
      <c r="AJ1615" s="3"/>
      <c r="AK1615" s="3"/>
      <c r="AL1615" s="3"/>
      <c r="AM1615" s="3"/>
      <c r="AN1615" s="3"/>
      <c r="AO1615" s="3"/>
      <c r="AP1615" s="11"/>
      <c r="AQ1615" s="11"/>
      <c r="AR1615" s="3"/>
      <c r="AS1615" s="3"/>
      <c r="AT1615" s="3"/>
      <c r="AU1615" s="3"/>
      <c r="AV1615" s="3"/>
      <c r="AW1615" s="3"/>
      <c r="AX1615" s="11"/>
      <c r="AZ1615"/>
      <c r="BA1615"/>
      <c r="BB1615"/>
      <c r="BC1615"/>
    </row>
    <row r="1616" spans="1:55" s="282" customFormat="1" x14ac:dyDescent="0.25">
      <c r="A1616"/>
      <c r="B1616"/>
      <c r="C1616" s="3"/>
      <c r="D1616"/>
      <c r="E1616"/>
      <c r="F1616"/>
      <c r="G1616" s="3"/>
      <c r="H1616" s="3"/>
      <c r="I1616" s="3"/>
      <c r="J1616" s="288"/>
      <c r="L1616" s="288"/>
      <c r="M1616" s="288"/>
      <c r="N1616" s="288"/>
      <c r="O1616" s="288"/>
      <c r="P1616" s="288"/>
      <c r="Q1616" s="288"/>
      <c r="R1616" s="283"/>
      <c r="S1616" s="280"/>
      <c r="T1616" s="276"/>
      <c r="U1616" s="276"/>
      <c r="V1616" s="276"/>
      <c r="W1616" s="283"/>
      <c r="X1616" s="280"/>
      <c r="Y1616" s="280"/>
      <c r="Z1616" s="280"/>
      <c r="AA1616" s="280"/>
      <c r="AB1616" s="280"/>
      <c r="AC1616" s="280"/>
      <c r="AD1616" s="280"/>
      <c r="AG1616" s="3"/>
      <c r="AH1616" s="3"/>
      <c r="AI1616" s="3"/>
      <c r="AJ1616" s="3"/>
      <c r="AK1616" s="3"/>
      <c r="AL1616" s="3"/>
      <c r="AM1616" s="3"/>
      <c r="AN1616" s="3"/>
      <c r="AO1616" s="3"/>
      <c r="AP1616" s="11"/>
      <c r="AQ1616" s="11"/>
      <c r="AR1616" s="3"/>
      <c r="AS1616" s="3"/>
      <c r="AT1616" s="3"/>
      <c r="AU1616" s="3"/>
      <c r="AV1616" s="3"/>
      <c r="AW1616" s="3"/>
      <c r="AX1616" s="11"/>
      <c r="AZ1616"/>
      <c r="BA1616"/>
      <c r="BB1616"/>
      <c r="BC1616"/>
    </row>
    <row r="1617" spans="1:55" s="282" customFormat="1" x14ac:dyDescent="0.25">
      <c r="A1617"/>
      <c r="B1617"/>
      <c r="C1617" s="3"/>
      <c r="D1617"/>
      <c r="E1617"/>
      <c r="F1617"/>
      <c r="G1617" s="3"/>
      <c r="H1617" s="3"/>
      <c r="I1617" s="3"/>
      <c r="J1617" s="288"/>
      <c r="L1617" s="288"/>
      <c r="M1617" s="288"/>
      <c r="N1617" s="288"/>
      <c r="O1617" s="288"/>
      <c r="P1617" s="288"/>
      <c r="Q1617" s="288"/>
      <c r="R1617" s="283"/>
      <c r="S1617" s="280"/>
      <c r="T1617" s="276"/>
      <c r="U1617" s="276"/>
      <c r="V1617" s="276"/>
      <c r="W1617" s="283"/>
      <c r="X1617" s="280"/>
      <c r="Y1617" s="280"/>
      <c r="Z1617" s="280"/>
      <c r="AA1617" s="280"/>
      <c r="AB1617" s="280"/>
      <c r="AC1617" s="280"/>
      <c r="AD1617" s="280"/>
      <c r="AG1617" s="3"/>
      <c r="AH1617" s="3"/>
      <c r="AI1617" s="3"/>
      <c r="AJ1617" s="3"/>
      <c r="AK1617" s="3"/>
      <c r="AL1617" s="3"/>
      <c r="AM1617" s="3"/>
      <c r="AN1617" s="3"/>
      <c r="AO1617" s="3"/>
      <c r="AP1617" s="11"/>
      <c r="AQ1617" s="11"/>
      <c r="AR1617" s="3"/>
      <c r="AS1617" s="3"/>
      <c r="AT1617" s="3"/>
      <c r="AU1617" s="3"/>
      <c r="AV1617" s="3"/>
      <c r="AW1617" s="3"/>
      <c r="AX1617" s="11"/>
      <c r="AZ1617"/>
      <c r="BA1617"/>
      <c r="BB1617"/>
      <c r="BC1617"/>
    </row>
    <row r="1618" spans="1:55" s="282" customFormat="1" x14ac:dyDescent="0.25">
      <c r="A1618"/>
      <c r="B1618"/>
      <c r="C1618" s="3"/>
      <c r="D1618"/>
      <c r="E1618"/>
      <c r="F1618"/>
      <c r="G1618" s="3"/>
      <c r="H1618" s="3"/>
      <c r="I1618" s="3"/>
      <c r="J1618" s="288"/>
      <c r="L1618" s="288"/>
      <c r="M1618" s="288"/>
      <c r="N1618" s="288"/>
      <c r="O1618" s="288"/>
      <c r="P1618" s="288"/>
      <c r="Q1618" s="288"/>
      <c r="R1618" s="283"/>
      <c r="S1618" s="280"/>
      <c r="T1618" s="276"/>
      <c r="U1618" s="276"/>
      <c r="V1618" s="276"/>
      <c r="W1618" s="283"/>
      <c r="X1618" s="280"/>
      <c r="Y1618" s="280"/>
      <c r="Z1618" s="280"/>
      <c r="AA1618" s="280"/>
      <c r="AB1618" s="280"/>
      <c r="AC1618" s="280"/>
      <c r="AD1618" s="280"/>
      <c r="AG1618" s="3"/>
      <c r="AH1618" s="3"/>
      <c r="AI1618" s="3"/>
      <c r="AJ1618" s="3"/>
      <c r="AK1618" s="3"/>
      <c r="AL1618" s="3"/>
      <c r="AM1618" s="3"/>
      <c r="AN1618" s="3"/>
      <c r="AO1618" s="3"/>
      <c r="AP1618" s="11"/>
      <c r="AQ1618" s="11"/>
      <c r="AR1618" s="3"/>
      <c r="AS1618" s="3"/>
      <c r="AT1618" s="3"/>
      <c r="AU1618" s="3"/>
      <c r="AV1618" s="3"/>
      <c r="AW1618" s="3"/>
      <c r="AX1618" s="11"/>
      <c r="AZ1618"/>
      <c r="BA1618"/>
      <c r="BB1618"/>
      <c r="BC1618"/>
    </row>
    <row r="1619" spans="1:55" s="282" customFormat="1" x14ac:dyDescent="0.25">
      <c r="A1619"/>
      <c r="B1619"/>
      <c r="C1619" s="3"/>
      <c r="D1619"/>
      <c r="E1619"/>
      <c r="F1619"/>
      <c r="G1619" s="3"/>
      <c r="H1619" s="3"/>
      <c r="I1619" s="3"/>
      <c r="J1619" s="288"/>
      <c r="L1619" s="288"/>
      <c r="M1619" s="288"/>
      <c r="N1619" s="288"/>
      <c r="O1619" s="288"/>
      <c r="P1619" s="288"/>
      <c r="Q1619" s="288"/>
      <c r="R1619" s="283"/>
      <c r="S1619" s="280"/>
      <c r="T1619" s="276"/>
      <c r="U1619" s="276"/>
      <c r="V1619" s="276"/>
      <c r="W1619" s="283"/>
      <c r="X1619" s="280"/>
      <c r="Y1619" s="280"/>
      <c r="Z1619" s="280"/>
      <c r="AA1619" s="280"/>
      <c r="AB1619" s="280"/>
      <c r="AC1619" s="280"/>
      <c r="AD1619" s="280"/>
      <c r="AG1619" s="3"/>
      <c r="AH1619" s="3"/>
      <c r="AI1619" s="3"/>
      <c r="AJ1619" s="3"/>
      <c r="AK1619" s="3"/>
      <c r="AL1619" s="3"/>
      <c r="AM1619" s="3"/>
      <c r="AN1619" s="3"/>
      <c r="AO1619" s="3"/>
      <c r="AP1619" s="11"/>
      <c r="AQ1619" s="11"/>
      <c r="AR1619" s="3"/>
      <c r="AS1619" s="3"/>
      <c r="AT1619" s="3"/>
      <c r="AU1619" s="3"/>
      <c r="AV1619" s="3"/>
      <c r="AW1619" s="3"/>
      <c r="AX1619" s="11"/>
      <c r="AZ1619"/>
      <c r="BA1619"/>
      <c r="BB1619"/>
      <c r="BC1619"/>
    </row>
    <row r="1620" spans="1:55" s="282" customFormat="1" x14ac:dyDescent="0.25">
      <c r="A1620"/>
      <c r="B1620"/>
      <c r="C1620" s="3"/>
      <c r="D1620"/>
      <c r="E1620"/>
      <c r="F1620"/>
      <c r="G1620" s="3"/>
      <c r="H1620" s="3"/>
      <c r="I1620" s="3"/>
      <c r="J1620" s="288"/>
      <c r="L1620" s="288"/>
      <c r="M1620" s="288"/>
      <c r="N1620" s="288"/>
      <c r="O1620" s="288"/>
      <c r="P1620" s="288"/>
      <c r="Q1620" s="288"/>
      <c r="R1620" s="283"/>
      <c r="S1620" s="280"/>
      <c r="T1620" s="276"/>
      <c r="U1620" s="276"/>
      <c r="V1620" s="276"/>
      <c r="W1620" s="283"/>
      <c r="X1620" s="280"/>
      <c r="Y1620" s="280"/>
      <c r="Z1620" s="280"/>
      <c r="AA1620" s="280"/>
      <c r="AB1620" s="280"/>
      <c r="AC1620" s="280"/>
      <c r="AD1620" s="280"/>
      <c r="AG1620" s="3"/>
      <c r="AH1620" s="3"/>
      <c r="AI1620" s="3"/>
      <c r="AJ1620" s="3"/>
      <c r="AK1620" s="3"/>
      <c r="AL1620" s="3"/>
      <c r="AM1620" s="3"/>
      <c r="AN1620" s="3"/>
      <c r="AO1620" s="3"/>
      <c r="AP1620" s="11"/>
      <c r="AQ1620" s="11"/>
      <c r="AR1620" s="3"/>
      <c r="AS1620" s="3"/>
      <c r="AT1620" s="3"/>
      <c r="AU1620" s="3"/>
      <c r="AV1620" s="3"/>
      <c r="AW1620" s="3"/>
      <c r="AX1620" s="11"/>
      <c r="AZ1620"/>
      <c r="BA1620"/>
      <c r="BB1620"/>
      <c r="BC1620"/>
    </row>
    <row r="1621" spans="1:55" s="282" customFormat="1" x14ac:dyDescent="0.25">
      <c r="A1621"/>
      <c r="B1621"/>
      <c r="C1621" s="3"/>
      <c r="D1621"/>
      <c r="E1621"/>
      <c r="F1621"/>
      <c r="G1621" s="3"/>
      <c r="H1621" s="3"/>
      <c r="I1621" s="3"/>
      <c r="J1621" s="288"/>
      <c r="L1621" s="288"/>
      <c r="M1621" s="288"/>
      <c r="N1621" s="288"/>
      <c r="O1621" s="288"/>
      <c r="P1621" s="288"/>
      <c r="Q1621" s="288"/>
      <c r="R1621" s="283"/>
      <c r="S1621" s="280"/>
      <c r="T1621" s="276"/>
      <c r="U1621" s="276"/>
      <c r="V1621" s="276"/>
      <c r="W1621" s="283"/>
      <c r="X1621" s="280"/>
      <c r="Y1621" s="280"/>
      <c r="Z1621" s="280"/>
      <c r="AA1621" s="280"/>
      <c r="AB1621" s="280"/>
      <c r="AC1621" s="280"/>
      <c r="AD1621" s="280"/>
      <c r="AG1621" s="3"/>
      <c r="AH1621" s="3"/>
      <c r="AI1621" s="3"/>
      <c r="AJ1621" s="3"/>
      <c r="AK1621" s="3"/>
      <c r="AL1621" s="3"/>
      <c r="AM1621" s="3"/>
      <c r="AN1621" s="3"/>
      <c r="AO1621" s="3"/>
      <c r="AP1621" s="11"/>
      <c r="AQ1621" s="11"/>
      <c r="AR1621" s="3"/>
      <c r="AS1621" s="3"/>
      <c r="AT1621" s="3"/>
      <c r="AU1621" s="3"/>
      <c r="AV1621" s="3"/>
      <c r="AW1621" s="3"/>
      <c r="AX1621" s="11"/>
      <c r="AZ1621"/>
      <c r="BA1621"/>
      <c r="BB1621"/>
      <c r="BC1621"/>
    </row>
    <row r="1622" spans="1:55" s="282" customFormat="1" x14ac:dyDescent="0.25">
      <c r="A1622"/>
      <c r="B1622"/>
      <c r="C1622" s="3"/>
      <c r="D1622"/>
      <c r="E1622"/>
      <c r="F1622"/>
      <c r="G1622" s="3"/>
      <c r="H1622" s="3"/>
      <c r="I1622" s="3"/>
      <c r="J1622" s="288"/>
      <c r="L1622" s="288"/>
      <c r="M1622" s="288"/>
      <c r="N1622" s="288"/>
      <c r="O1622" s="288"/>
      <c r="P1622" s="288"/>
      <c r="Q1622" s="288"/>
      <c r="R1622" s="283"/>
      <c r="S1622" s="280"/>
      <c r="T1622" s="276"/>
      <c r="U1622" s="276"/>
      <c r="V1622" s="276"/>
      <c r="W1622" s="283"/>
      <c r="X1622" s="280"/>
      <c r="Y1622" s="280"/>
      <c r="Z1622" s="280"/>
      <c r="AA1622" s="280"/>
      <c r="AB1622" s="280"/>
      <c r="AC1622" s="280"/>
      <c r="AD1622" s="280"/>
      <c r="AG1622" s="3"/>
      <c r="AH1622" s="3"/>
      <c r="AI1622" s="3"/>
      <c r="AJ1622" s="3"/>
      <c r="AK1622" s="3"/>
      <c r="AL1622" s="3"/>
      <c r="AM1622" s="3"/>
      <c r="AN1622" s="3"/>
      <c r="AO1622" s="3"/>
      <c r="AP1622" s="11"/>
      <c r="AQ1622" s="11"/>
      <c r="AR1622" s="3"/>
      <c r="AS1622" s="3"/>
      <c r="AT1622" s="3"/>
      <c r="AU1622" s="3"/>
      <c r="AV1622" s="3"/>
      <c r="AW1622" s="3"/>
      <c r="AX1622" s="11"/>
      <c r="AZ1622"/>
      <c r="BA1622"/>
      <c r="BB1622"/>
      <c r="BC1622"/>
    </row>
    <row r="1623" spans="1:55" s="282" customFormat="1" x14ac:dyDescent="0.25">
      <c r="A1623"/>
      <c r="B1623"/>
      <c r="C1623" s="3"/>
      <c r="D1623"/>
      <c r="E1623"/>
      <c r="F1623"/>
      <c r="G1623" s="3"/>
      <c r="H1623" s="3"/>
      <c r="I1623" s="3"/>
      <c r="J1623" s="288"/>
      <c r="L1623" s="288"/>
      <c r="M1623" s="288"/>
      <c r="N1623" s="288"/>
      <c r="O1623" s="288"/>
      <c r="P1623" s="288"/>
      <c r="Q1623" s="288"/>
      <c r="R1623" s="283"/>
      <c r="S1623" s="280"/>
      <c r="T1623" s="276"/>
      <c r="U1623" s="276"/>
      <c r="V1623" s="276"/>
      <c r="W1623" s="283"/>
      <c r="X1623" s="280"/>
      <c r="Y1623" s="280"/>
      <c r="Z1623" s="280"/>
      <c r="AA1623" s="280"/>
      <c r="AB1623" s="280"/>
      <c r="AC1623" s="280"/>
      <c r="AD1623" s="280"/>
      <c r="AG1623" s="3"/>
      <c r="AH1623" s="3"/>
      <c r="AI1623" s="3"/>
      <c r="AJ1623" s="3"/>
      <c r="AK1623" s="3"/>
      <c r="AL1623" s="3"/>
      <c r="AM1623" s="3"/>
      <c r="AN1623" s="3"/>
      <c r="AO1623" s="3"/>
      <c r="AP1623" s="11"/>
      <c r="AQ1623" s="11"/>
      <c r="AR1623" s="3"/>
      <c r="AS1623" s="3"/>
      <c r="AT1623" s="3"/>
      <c r="AU1623" s="3"/>
      <c r="AV1623" s="3"/>
      <c r="AW1623" s="3"/>
      <c r="AX1623" s="11"/>
      <c r="AZ1623"/>
      <c r="BA1623"/>
      <c r="BB1623"/>
      <c r="BC1623"/>
    </row>
    <row r="1624" spans="1:55" s="282" customFormat="1" x14ac:dyDescent="0.25">
      <c r="A1624"/>
      <c r="B1624"/>
      <c r="C1624" s="3"/>
      <c r="D1624"/>
      <c r="E1624"/>
      <c r="F1624"/>
      <c r="G1624" s="3"/>
      <c r="H1624" s="3"/>
      <c r="I1624" s="3"/>
      <c r="J1624" s="288"/>
      <c r="L1624" s="288"/>
      <c r="M1624" s="288"/>
      <c r="N1624" s="288"/>
      <c r="O1624" s="288"/>
      <c r="P1624" s="288"/>
      <c r="Q1624" s="288"/>
      <c r="R1624" s="283"/>
      <c r="S1624" s="280"/>
      <c r="T1624" s="276"/>
      <c r="U1624" s="276"/>
      <c r="V1624" s="276"/>
      <c r="W1624" s="283"/>
      <c r="X1624" s="280"/>
      <c r="Y1624" s="280"/>
      <c r="Z1624" s="280"/>
      <c r="AA1624" s="280"/>
      <c r="AB1624" s="280"/>
      <c r="AC1624" s="280"/>
      <c r="AD1624" s="280"/>
      <c r="AG1624" s="3"/>
      <c r="AH1624" s="3"/>
      <c r="AI1624" s="3"/>
      <c r="AJ1624" s="3"/>
      <c r="AK1624" s="3"/>
      <c r="AL1624" s="3"/>
      <c r="AM1624" s="3"/>
      <c r="AN1624" s="3"/>
      <c r="AO1624" s="3"/>
      <c r="AP1624" s="11"/>
      <c r="AQ1624" s="11"/>
      <c r="AR1624" s="3"/>
      <c r="AS1624" s="3"/>
      <c r="AT1624" s="3"/>
      <c r="AU1624" s="3"/>
      <c r="AV1624" s="3"/>
      <c r="AW1624" s="3"/>
      <c r="AX1624" s="11"/>
      <c r="AZ1624"/>
      <c r="BA1624"/>
      <c r="BB1624"/>
      <c r="BC1624"/>
    </row>
    <row r="1625" spans="1:55" s="282" customFormat="1" x14ac:dyDescent="0.25">
      <c r="A1625"/>
      <c r="B1625"/>
      <c r="C1625" s="3"/>
      <c r="D1625"/>
      <c r="E1625"/>
      <c r="F1625"/>
      <c r="G1625" s="3"/>
      <c r="H1625" s="3"/>
      <c r="I1625" s="3"/>
      <c r="J1625" s="288"/>
      <c r="L1625" s="288"/>
      <c r="M1625" s="288"/>
      <c r="N1625" s="288"/>
      <c r="O1625" s="288"/>
      <c r="P1625" s="288"/>
      <c r="Q1625" s="288"/>
      <c r="R1625" s="283"/>
      <c r="S1625" s="280"/>
      <c r="T1625" s="276"/>
      <c r="U1625" s="276"/>
      <c r="V1625" s="276"/>
      <c r="W1625" s="283"/>
      <c r="X1625" s="280"/>
      <c r="Y1625" s="280"/>
      <c r="Z1625" s="280"/>
      <c r="AA1625" s="280"/>
      <c r="AB1625" s="280"/>
      <c r="AC1625" s="280"/>
      <c r="AD1625" s="280"/>
      <c r="AG1625" s="3"/>
      <c r="AH1625" s="3"/>
      <c r="AI1625" s="3"/>
      <c r="AJ1625" s="3"/>
      <c r="AK1625" s="3"/>
      <c r="AL1625" s="3"/>
      <c r="AM1625" s="3"/>
      <c r="AN1625" s="3"/>
      <c r="AO1625" s="3"/>
      <c r="AP1625" s="11"/>
      <c r="AQ1625" s="11"/>
      <c r="AR1625" s="3"/>
      <c r="AS1625" s="3"/>
      <c r="AT1625" s="3"/>
      <c r="AU1625" s="3"/>
      <c r="AV1625" s="3"/>
      <c r="AW1625" s="3"/>
      <c r="AX1625" s="11"/>
      <c r="AZ1625"/>
      <c r="BA1625"/>
      <c r="BB1625"/>
      <c r="BC1625"/>
    </row>
    <row r="1626" spans="1:55" s="282" customFormat="1" x14ac:dyDescent="0.25">
      <c r="A1626"/>
      <c r="B1626"/>
      <c r="C1626" s="3"/>
      <c r="D1626"/>
      <c r="E1626"/>
      <c r="F1626"/>
      <c r="G1626" s="3"/>
      <c r="H1626" s="3"/>
      <c r="I1626" s="3"/>
      <c r="J1626" s="288"/>
      <c r="L1626" s="288"/>
      <c r="M1626" s="288"/>
      <c r="N1626" s="288"/>
      <c r="O1626" s="288"/>
      <c r="P1626" s="288"/>
      <c r="Q1626" s="288"/>
      <c r="R1626" s="283"/>
      <c r="S1626" s="280"/>
      <c r="T1626" s="276"/>
      <c r="U1626" s="276"/>
      <c r="V1626" s="276"/>
      <c r="W1626" s="283"/>
      <c r="X1626" s="280"/>
      <c r="Y1626" s="280"/>
      <c r="Z1626" s="280"/>
      <c r="AA1626" s="280"/>
      <c r="AB1626" s="280"/>
      <c r="AC1626" s="280"/>
      <c r="AD1626" s="280"/>
      <c r="AG1626" s="3"/>
      <c r="AH1626" s="3"/>
      <c r="AI1626" s="3"/>
      <c r="AJ1626" s="3"/>
      <c r="AK1626" s="3"/>
      <c r="AL1626" s="3"/>
      <c r="AM1626" s="3"/>
      <c r="AN1626" s="3"/>
      <c r="AO1626" s="3"/>
      <c r="AP1626" s="11"/>
      <c r="AQ1626" s="11"/>
      <c r="AR1626" s="3"/>
      <c r="AS1626" s="3"/>
      <c r="AT1626" s="3"/>
      <c r="AU1626" s="3"/>
      <c r="AV1626" s="3"/>
      <c r="AW1626" s="3"/>
      <c r="AX1626" s="11"/>
      <c r="AZ1626"/>
      <c r="BA1626"/>
      <c r="BB1626"/>
      <c r="BC1626"/>
    </row>
    <row r="1627" spans="1:55" s="282" customFormat="1" x14ac:dyDescent="0.25">
      <c r="A1627"/>
      <c r="B1627"/>
      <c r="C1627" s="3"/>
      <c r="D1627"/>
      <c r="E1627"/>
      <c r="F1627"/>
      <c r="G1627" s="3"/>
      <c r="H1627" s="3"/>
      <c r="I1627" s="3"/>
      <c r="J1627" s="288"/>
      <c r="L1627" s="288"/>
      <c r="M1627" s="288"/>
      <c r="N1627" s="288"/>
      <c r="O1627" s="288"/>
      <c r="P1627" s="288"/>
      <c r="Q1627" s="288"/>
      <c r="R1627" s="283"/>
      <c r="S1627" s="280"/>
      <c r="T1627" s="276"/>
      <c r="U1627" s="276"/>
      <c r="V1627" s="276"/>
      <c r="W1627" s="283"/>
      <c r="X1627" s="280"/>
      <c r="Y1627" s="280"/>
      <c r="Z1627" s="280"/>
      <c r="AA1627" s="280"/>
      <c r="AB1627" s="280"/>
      <c r="AC1627" s="280"/>
      <c r="AD1627" s="280"/>
      <c r="AG1627" s="3"/>
      <c r="AH1627" s="3"/>
      <c r="AI1627" s="3"/>
      <c r="AJ1627" s="3"/>
      <c r="AK1627" s="3"/>
      <c r="AL1627" s="3"/>
      <c r="AM1627" s="3"/>
      <c r="AN1627" s="3"/>
      <c r="AO1627" s="3"/>
      <c r="AP1627" s="11"/>
      <c r="AQ1627" s="11"/>
      <c r="AR1627" s="3"/>
      <c r="AS1627" s="3"/>
      <c r="AT1627" s="3"/>
      <c r="AU1627" s="3"/>
      <c r="AV1627" s="3"/>
      <c r="AW1627" s="3"/>
      <c r="AX1627" s="11"/>
      <c r="AZ1627"/>
      <c r="BA1627"/>
      <c r="BB1627"/>
      <c r="BC1627"/>
    </row>
    <row r="1628" spans="1:55" s="282" customFormat="1" x14ac:dyDescent="0.25">
      <c r="A1628"/>
      <c r="B1628"/>
      <c r="C1628" s="3"/>
      <c r="D1628"/>
      <c r="E1628"/>
      <c r="F1628"/>
      <c r="G1628" s="3"/>
      <c r="H1628" s="3"/>
      <c r="I1628" s="3"/>
      <c r="J1628" s="288"/>
      <c r="L1628" s="288"/>
      <c r="M1628" s="288"/>
      <c r="N1628" s="288"/>
      <c r="O1628" s="288"/>
      <c r="P1628" s="288"/>
      <c r="Q1628" s="288"/>
      <c r="R1628" s="283"/>
      <c r="S1628" s="280"/>
      <c r="T1628" s="276"/>
      <c r="U1628" s="276"/>
      <c r="V1628" s="276"/>
      <c r="W1628" s="283"/>
      <c r="X1628" s="280"/>
      <c r="Y1628" s="280"/>
      <c r="Z1628" s="280"/>
      <c r="AA1628" s="280"/>
      <c r="AB1628" s="280"/>
      <c r="AC1628" s="280"/>
      <c r="AD1628" s="280"/>
      <c r="AG1628" s="3"/>
      <c r="AH1628" s="3"/>
      <c r="AI1628" s="3"/>
      <c r="AJ1628" s="3"/>
      <c r="AK1628" s="3"/>
      <c r="AL1628" s="3"/>
      <c r="AM1628" s="3"/>
      <c r="AN1628" s="3"/>
      <c r="AO1628" s="3"/>
      <c r="AP1628" s="11"/>
      <c r="AQ1628" s="11"/>
      <c r="AR1628" s="3"/>
      <c r="AS1628" s="3"/>
      <c r="AT1628" s="3"/>
      <c r="AU1628" s="3"/>
      <c r="AV1628" s="3"/>
      <c r="AW1628" s="3"/>
      <c r="AX1628" s="11"/>
      <c r="AZ1628"/>
      <c r="BA1628"/>
      <c r="BB1628"/>
      <c r="BC1628"/>
    </row>
    <row r="1629" spans="1:55" s="282" customFormat="1" x14ac:dyDescent="0.25">
      <c r="A1629"/>
      <c r="B1629"/>
      <c r="C1629" s="3"/>
      <c r="D1629"/>
      <c r="E1629"/>
      <c r="F1629"/>
      <c r="G1629" s="3"/>
      <c r="H1629" s="3"/>
      <c r="I1629" s="3"/>
      <c r="J1629" s="288"/>
      <c r="L1629" s="288"/>
      <c r="M1629" s="288"/>
      <c r="N1629" s="288"/>
      <c r="O1629" s="288"/>
      <c r="P1629" s="288"/>
      <c r="Q1629" s="288"/>
      <c r="R1629" s="283"/>
      <c r="S1629" s="280"/>
      <c r="T1629" s="276"/>
      <c r="U1629" s="276"/>
      <c r="V1629" s="276"/>
      <c r="W1629" s="283"/>
      <c r="X1629" s="280"/>
      <c r="Y1629" s="280"/>
      <c r="Z1629" s="280"/>
      <c r="AA1629" s="280"/>
      <c r="AB1629" s="280"/>
      <c r="AC1629" s="280"/>
      <c r="AD1629" s="280"/>
      <c r="AG1629" s="3"/>
      <c r="AH1629" s="3"/>
      <c r="AI1629" s="3"/>
      <c r="AJ1629" s="3"/>
      <c r="AK1629" s="3"/>
      <c r="AL1629" s="3"/>
      <c r="AM1629" s="3"/>
      <c r="AN1629" s="3"/>
      <c r="AO1629" s="3"/>
      <c r="AP1629" s="11"/>
      <c r="AQ1629" s="11"/>
      <c r="AR1629" s="3"/>
      <c r="AS1629" s="3"/>
      <c r="AT1629" s="3"/>
      <c r="AU1629" s="3"/>
      <c r="AV1629" s="3"/>
      <c r="AW1629" s="3"/>
      <c r="AX1629" s="11"/>
      <c r="AZ1629"/>
      <c r="BA1629"/>
      <c r="BB1629"/>
      <c r="BC1629"/>
    </row>
    <row r="1630" spans="1:55" s="282" customFormat="1" x14ac:dyDescent="0.25">
      <c r="A1630"/>
      <c r="B1630"/>
      <c r="C1630" s="3"/>
      <c r="D1630"/>
      <c r="E1630"/>
      <c r="F1630"/>
      <c r="G1630" s="3"/>
      <c r="H1630" s="3"/>
      <c r="I1630" s="3"/>
      <c r="J1630" s="288"/>
      <c r="L1630" s="288"/>
      <c r="M1630" s="288"/>
      <c r="N1630" s="288"/>
      <c r="O1630" s="288"/>
      <c r="P1630" s="288"/>
      <c r="Q1630" s="288"/>
      <c r="R1630" s="283"/>
      <c r="S1630" s="280"/>
      <c r="T1630" s="276"/>
      <c r="U1630" s="276"/>
      <c r="V1630" s="276"/>
      <c r="W1630" s="283"/>
      <c r="X1630" s="280"/>
      <c r="Y1630" s="280"/>
      <c r="Z1630" s="280"/>
      <c r="AA1630" s="280"/>
      <c r="AB1630" s="280"/>
      <c r="AC1630" s="280"/>
      <c r="AD1630" s="280"/>
      <c r="AG1630" s="3"/>
      <c r="AH1630" s="3"/>
      <c r="AI1630" s="3"/>
      <c r="AJ1630" s="3"/>
      <c r="AK1630" s="3"/>
      <c r="AL1630" s="3"/>
      <c r="AM1630" s="3"/>
      <c r="AN1630" s="3"/>
      <c r="AO1630" s="3"/>
      <c r="AP1630" s="11"/>
      <c r="AQ1630" s="11"/>
      <c r="AR1630" s="3"/>
      <c r="AS1630" s="3"/>
      <c r="AT1630" s="3"/>
      <c r="AU1630" s="3"/>
      <c r="AV1630" s="3"/>
      <c r="AW1630" s="3"/>
      <c r="AX1630" s="11"/>
      <c r="AZ1630"/>
      <c r="BA1630"/>
      <c r="BB1630"/>
      <c r="BC1630"/>
    </row>
    <row r="1631" spans="1:55" s="282" customFormat="1" x14ac:dyDescent="0.25">
      <c r="A1631"/>
      <c r="B1631"/>
      <c r="C1631" s="3"/>
      <c r="D1631"/>
      <c r="E1631"/>
      <c r="F1631"/>
      <c r="G1631" s="3"/>
      <c r="H1631" s="3"/>
      <c r="I1631" s="3"/>
      <c r="J1631" s="288"/>
      <c r="L1631" s="288"/>
      <c r="M1631" s="288"/>
      <c r="N1631" s="288"/>
      <c r="O1631" s="288"/>
      <c r="P1631" s="288"/>
      <c r="Q1631" s="288"/>
      <c r="R1631" s="283"/>
      <c r="S1631" s="280"/>
      <c r="T1631" s="276"/>
      <c r="U1631" s="276"/>
      <c r="V1631" s="276"/>
      <c r="W1631" s="283"/>
      <c r="X1631" s="280"/>
      <c r="Y1631" s="280"/>
      <c r="Z1631" s="280"/>
      <c r="AA1631" s="280"/>
      <c r="AB1631" s="280"/>
      <c r="AC1631" s="280"/>
      <c r="AD1631" s="280"/>
      <c r="AG1631" s="3"/>
      <c r="AH1631" s="3"/>
      <c r="AI1631" s="3"/>
      <c r="AJ1631" s="3"/>
      <c r="AK1631" s="3"/>
      <c r="AL1631" s="3"/>
      <c r="AM1631" s="3"/>
      <c r="AN1631" s="3"/>
      <c r="AO1631" s="3"/>
      <c r="AP1631" s="11"/>
      <c r="AQ1631" s="11"/>
      <c r="AR1631" s="3"/>
      <c r="AS1631" s="3"/>
      <c r="AT1631" s="3"/>
      <c r="AU1631" s="3"/>
      <c r="AV1631" s="3"/>
      <c r="AW1631" s="3"/>
      <c r="AX1631" s="11"/>
      <c r="AZ1631"/>
      <c r="BA1631"/>
      <c r="BB1631"/>
      <c r="BC1631"/>
    </row>
    <row r="1632" spans="1:55" s="282" customFormat="1" x14ac:dyDescent="0.25">
      <c r="A1632"/>
      <c r="B1632"/>
      <c r="C1632" s="3"/>
      <c r="D1632"/>
      <c r="E1632"/>
      <c r="F1632"/>
      <c r="G1632" s="3"/>
      <c r="H1632" s="3"/>
      <c r="I1632" s="3"/>
      <c r="J1632" s="288"/>
      <c r="L1632" s="288"/>
      <c r="M1632" s="288"/>
      <c r="N1632" s="288"/>
      <c r="O1632" s="288"/>
      <c r="P1632" s="288"/>
      <c r="Q1632" s="288"/>
      <c r="R1632" s="283"/>
      <c r="S1632" s="280"/>
      <c r="T1632" s="276"/>
      <c r="U1632" s="276"/>
      <c r="V1632" s="276"/>
      <c r="W1632" s="283"/>
      <c r="X1632" s="280"/>
      <c r="Y1632" s="280"/>
      <c r="Z1632" s="280"/>
      <c r="AA1632" s="280"/>
      <c r="AB1632" s="280"/>
      <c r="AC1632" s="280"/>
      <c r="AD1632" s="280"/>
      <c r="AG1632" s="3"/>
      <c r="AH1632" s="3"/>
      <c r="AI1632" s="3"/>
      <c r="AJ1632" s="3"/>
      <c r="AK1632" s="3"/>
      <c r="AL1632" s="3"/>
      <c r="AM1632" s="3"/>
      <c r="AN1632" s="3"/>
      <c r="AO1632" s="3"/>
      <c r="AP1632" s="11"/>
      <c r="AQ1632" s="11"/>
      <c r="AR1632" s="3"/>
      <c r="AS1632" s="3"/>
      <c r="AT1632" s="3"/>
      <c r="AU1632" s="3"/>
      <c r="AV1632" s="3"/>
      <c r="AW1632" s="3"/>
      <c r="AX1632" s="11"/>
      <c r="AZ1632"/>
      <c r="BA1632"/>
      <c r="BB1632"/>
      <c r="BC1632"/>
    </row>
    <row r="1633" spans="1:55" s="282" customFormat="1" x14ac:dyDescent="0.25">
      <c r="A1633"/>
      <c r="B1633"/>
      <c r="C1633" s="3"/>
      <c r="D1633"/>
      <c r="E1633"/>
      <c r="F1633"/>
      <c r="G1633" s="3"/>
      <c r="H1633" s="3"/>
      <c r="I1633" s="3"/>
      <c r="J1633" s="288"/>
      <c r="L1633" s="288"/>
      <c r="M1633" s="288"/>
      <c r="N1633" s="288"/>
      <c r="O1633" s="288"/>
      <c r="P1633" s="288"/>
      <c r="Q1633" s="288"/>
      <c r="R1633" s="283"/>
      <c r="S1633" s="280"/>
      <c r="T1633" s="276"/>
      <c r="U1633" s="276"/>
      <c r="V1633" s="276"/>
      <c r="W1633" s="283"/>
      <c r="X1633" s="280"/>
      <c r="Y1633" s="280"/>
      <c r="Z1633" s="280"/>
      <c r="AA1633" s="280"/>
      <c r="AB1633" s="280"/>
      <c r="AC1633" s="280"/>
      <c r="AD1633" s="280"/>
      <c r="AG1633" s="3"/>
      <c r="AH1633" s="3"/>
      <c r="AI1633" s="3"/>
      <c r="AJ1633" s="3"/>
      <c r="AK1633" s="3"/>
      <c r="AL1633" s="3"/>
      <c r="AM1633" s="3"/>
      <c r="AN1633" s="3"/>
      <c r="AO1633" s="3"/>
      <c r="AP1633" s="11"/>
      <c r="AQ1633" s="11"/>
      <c r="AR1633" s="3"/>
      <c r="AS1633" s="3"/>
      <c r="AT1633" s="3"/>
      <c r="AU1633" s="3"/>
      <c r="AV1633" s="3"/>
      <c r="AW1633" s="3"/>
      <c r="AX1633" s="11"/>
      <c r="AZ1633"/>
      <c r="BA1633"/>
      <c r="BB1633"/>
      <c r="BC1633"/>
    </row>
    <row r="1634" spans="1:55" s="282" customFormat="1" x14ac:dyDescent="0.25">
      <c r="A1634"/>
      <c r="B1634"/>
      <c r="C1634" s="3"/>
      <c r="D1634"/>
      <c r="E1634"/>
      <c r="F1634"/>
      <c r="G1634" s="3"/>
      <c r="H1634" s="3"/>
      <c r="I1634" s="3"/>
      <c r="J1634" s="288"/>
      <c r="L1634" s="288"/>
      <c r="M1634" s="288"/>
      <c r="N1634" s="288"/>
      <c r="O1634" s="288"/>
      <c r="P1634" s="288"/>
      <c r="Q1634" s="288"/>
      <c r="R1634" s="283"/>
      <c r="S1634" s="280"/>
      <c r="T1634" s="276"/>
      <c r="U1634" s="276"/>
      <c r="V1634" s="276"/>
      <c r="W1634" s="283"/>
      <c r="X1634" s="280"/>
      <c r="Y1634" s="280"/>
      <c r="Z1634" s="280"/>
      <c r="AA1634" s="280"/>
      <c r="AB1634" s="280"/>
      <c r="AC1634" s="280"/>
      <c r="AD1634" s="280"/>
      <c r="AG1634" s="3"/>
      <c r="AH1634" s="3"/>
      <c r="AI1634" s="3"/>
      <c r="AJ1634" s="3"/>
      <c r="AK1634" s="3"/>
      <c r="AL1634" s="3"/>
      <c r="AM1634" s="3"/>
      <c r="AN1634" s="3"/>
      <c r="AO1634" s="3"/>
      <c r="AP1634" s="11"/>
      <c r="AQ1634" s="11"/>
      <c r="AR1634" s="3"/>
      <c r="AS1634" s="3"/>
      <c r="AT1634" s="3"/>
      <c r="AU1634" s="3"/>
      <c r="AV1634" s="3"/>
      <c r="AW1634" s="3"/>
      <c r="AX1634" s="11"/>
      <c r="AZ1634"/>
      <c r="BA1634"/>
      <c r="BB1634"/>
      <c r="BC1634"/>
    </row>
    <row r="1635" spans="1:55" s="282" customFormat="1" x14ac:dyDescent="0.25">
      <c r="A1635"/>
      <c r="B1635"/>
      <c r="C1635" s="3"/>
      <c r="D1635"/>
      <c r="E1635"/>
      <c r="F1635"/>
      <c r="G1635" s="3"/>
      <c r="H1635" s="3"/>
      <c r="I1635" s="3"/>
      <c r="J1635" s="288"/>
      <c r="L1635" s="288"/>
      <c r="M1635" s="288"/>
      <c r="N1635" s="288"/>
      <c r="O1635" s="288"/>
      <c r="P1635" s="288"/>
      <c r="Q1635" s="288"/>
      <c r="R1635" s="283"/>
      <c r="S1635" s="280"/>
      <c r="T1635" s="276"/>
      <c r="U1635" s="276"/>
      <c r="V1635" s="276"/>
      <c r="W1635" s="283"/>
      <c r="X1635" s="280"/>
      <c r="Y1635" s="280"/>
      <c r="Z1635" s="280"/>
      <c r="AA1635" s="280"/>
      <c r="AB1635" s="280"/>
      <c r="AC1635" s="280"/>
      <c r="AD1635" s="280"/>
      <c r="AG1635" s="3"/>
      <c r="AH1635" s="3"/>
      <c r="AI1635" s="3"/>
      <c r="AJ1635" s="3"/>
      <c r="AK1635" s="3"/>
      <c r="AL1635" s="3"/>
      <c r="AM1635" s="3"/>
      <c r="AN1635" s="3"/>
      <c r="AO1635" s="3"/>
      <c r="AP1635" s="11"/>
      <c r="AQ1635" s="11"/>
      <c r="AR1635" s="3"/>
      <c r="AS1635" s="3"/>
      <c r="AT1635" s="3"/>
      <c r="AU1635" s="3"/>
      <c r="AV1635" s="3"/>
      <c r="AW1635" s="3"/>
      <c r="AX1635" s="11"/>
      <c r="AZ1635"/>
      <c r="BA1635"/>
      <c r="BB1635"/>
      <c r="BC1635"/>
    </row>
    <row r="1636" spans="1:55" s="282" customFormat="1" x14ac:dyDescent="0.25">
      <c r="A1636"/>
      <c r="B1636"/>
      <c r="C1636" s="3"/>
      <c r="D1636"/>
      <c r="E1636"/>
      <c r="F1636"/>
      <c r="G1636" s="3"/>
      <c r="H1636" s="3"/>
      <c r="I1636" s="3"/>
      <c r="J1636" s="288"/>
      <c r="L1636" s="288"/>
      <c r="M1636" s="288"/>
      <c r="N1636" s="288"/>
      <c r="O1636" s="288"/>
      <c r="P1636" s="288"/>
      <c r="Q1636" s="288"/>
      <c r="R1636" s="283"/>
      <c r="S1636" s="280"/>
      <c r="T1636" s="276"/>
      <c r="U1636" s="276"/>
      <c r="V1636" s="276"/>
      <c r="W1636" s="283"/>
      <c r="X1636" s="280"/>
      <c r="Y1636" s="280"/>
      <c r="Z1636" s="280"/>
      <c r="AA1636" s="280"/>
      <c r="AB1636" s="280"/>
      <c r="AC1636" s="280"/>
      <c r="AD1636" s="280"/>
      <c r="AG1636" s="3"/>
      <c r="AH1636" s="3"/>
      <c r="AI1636" s="3"/>
      <c r="AJ1636" s="3"/>
      <c r="AK1636" s="3"/>
      <c r="AL1636" s="3"/>
      <c r="AM1636" s="3"/>
      <c r="AN1636" s="3"/>
      <c r="AO1636" s="3"/>
      <c r="AP1636" s="11"/>
      <c r="AQ1636" s="11"/>
      <c r="AR1636" s="3"/>
      <c r="AS1636" s="3"/>
      <c r="AT1636" s="3"/>
      <c r="AU1636" s="3"/>
      <c r="AV1636" s="3"/>
      <c r="AW1636" s="3"/>
      <c r="AX1636" s="11"/>
      <c r="AZ1636"/>
      <c r="BA1636"/>
      <c r="BB1636"/>
      <c r="BC1636"/>
    </row>
    <row r="1637" spans="1:55" s="282" customFormat="1" x14ac:dyDescent="0.25">
      <c r="A1637"/>
      <c r="B1637"/>
      <c r="C1637" s="3"/>
      <c r="D1637"/>
      <c r="E1637"/>
      <c r="F1637"/>
      <c r="G1637" s="3"/>
      <c r="H1637" s="3"/>
      <c r="I1637" s="3"/>
      <c r="J1637" s="288"/>
      <c r="L1637" s="288"/>
      <c r="M1637" s="288"/>
      <c r="N1637" s="288"/>
      <c r="O1637" s="288"/>
      <c r="P1637" s="288"/>
      <c r="Q1637" s="288"/>
      <c r="R1637" s="283"/>
      <c r="S1637" s="280"/>
      <c r="T1637" s="276"/>
      <c r="U1637" s="276"/>
      <c r="V1637" s="276"/>
      <c r="W1637" s="283"/>
      <c r="X1637" s="280"/>
      <c r="Y1637" s="280"/>
      <c r="Z1637" s="280"/>
      <c r="AA1637" s="280"/>
      <c r="AB1637" s="280"/>
      <c r="AC1637" s="280"/>
      <c r="AD1637" s="280"/>
      <c r="AG1637" s="3"/>
      <c r="AH1637" s="3"/>
      <c r="AI1637" s="3"/>
      <c r="AJ1637" s="3"/>
      <c r="AK1637" s="3"/>
      <c r="AL1637" s="3"/>
      <c r="AM1637" s="3"/>
      <c r="AN1637" s="3"/>
      <c r="AO1637" s="3"/>
      <c r="AP1637" s="11"/>
      <c r="AQ1637" s="11"/>
      <c r="AR1637" s="3"/>
      <c r="AS1637" s="3"/>
      <c r="AT1637" s="3"/>
      <c r="AU1637" s="3"/>
      <c r="AV1637" s="3"/>
      <c r="AW1637" s="3"/>
      <c r="AX1637" s="11"/>
      <c r="AZ1637"/>
      <c r="BA1637"/>
      <c r="BB1637"/>
      <c r="BC1637"/>
    </row>
    <row r="1638" spans="1:55" s="282" customFormat="1" x14ac:dyDescent="0.25">
      <c r="A1638"/>
      <c r="B1638"/>
      <c r="C1638" s="3"/>
      <c r="D1638"/>
      <c r="E1638"/>
      <c r="F1638"/>
      <c r="G1638" s="3"/>
      <c r="H1638" s="3"/>
      <c r="I1638" s="3"/>
      <c r="J1638" s="288"/>
      <c r="L1638" s="288"/>
      <c r="M1638" s="288"/>
      <c r="N1638" s="288"/>
      <c r="O1638" s="288"/>
      <c r="P1638" s="288"/>
      <c r="Q1638" s="288"/>
      <c r="R1638" s="283"/>
      <c r="S1638" s="280"/>
      <c r="T1638" s="276"/>
      <c r="U1638" s="276"/>
      <c r="V1638" s="276"/>
      <c r="W1638" s="283"/>
      <c r="X1638" s="280"/>
      <c r="Y1638" s="280"/>
      <c r="Z1638" s="280"/>
      <c r="AA1638" s="280"/>
      <c r="AB1638" s="280"/>
      <c r="AC1638" s="280"/>
      <c r="AD1638" s="280"/>
      <c r="AG1638" s="3"/>
      <c r="AH1638" s="3"/>
      <c r="AI1638" s="3"/>
      <c r="AJ1638" s="3"/>
      <c r="AK1638" s="3"/>
      <c r="AL1638" s="3"/>
      <c r="AM1638" s="3"/>
      <c r="AN1638" s="3"/>
      <c r="AO1638" s="3"/>
      <c r="AP1638" s="11"/>
      <c r="AQ1638" s="11"/>
      <c r="AR1638" s="3"/>
      <c r="AS1638" s="3"/>
      <c r="AT1638" s="3"/>
      <c r="AU1638" s="3"/>
      <c r="AV1638" s="3"/>
      <c r="AW1638" s="3"/>
      <c r="AX1638" s="11"/>
      <c r="AZ1638"/>
      <c r="BA1638"/>
      <c r="BB1638"/>
      <c r="BC1638"/>
    </row>
    <row r="1639" spans="1:55" s="282" customFormat="1" x14ac:dyDescent="0.25">
      <c r="A1639"/>
      <c r="B1639"/>
      <c r="C1639" s="3"/>
      <c r="D1639"/>
      <c r="E1639"/>
      <c r="F1639"/>
      <c r="G1639" s="3"/>
      <c r="H1639" s="3"/>
      <c r="I1639" s="3"/>
      <c r="J1639" s="288"/>
      <c r="L1639" s="288"/>
      <c r="M1639" s="288"/>
      <c r="N1639" s="288"/>
      <c r="O1639" s="288"/>
      <c r="P1639" s="288"/>
      <c r="Q1639" s="288"/>
      <c r="R1639" s="283"/>
      <c r="S1639" s="280"/>
      <c r="T1639" s="276"/>
      <c r="U1639" s="276"/>
      <c r="V1639" s="276"/>
      <c r="W1639" s="283"/>
      <c r="X1639" s="280"/>
      <c r="Y1639" s="280"/>
      <c r="Z1639" s="280"/>
      <c r="AA1639" s="280"/>
      <c r="AB1639" s="280"/>
      <c r="AC1639" s="280"/>
      <c r="AD1639" s="280"/>
      <c r="AG1639" s="3"/>
      <c r="AH1639" s="3"/>
      <c r="AI1639" s="3"/>
      <c r="AJ1639" s="3"/>
      <c r="AK1639" s="3"/>
      <c r="AL1639" s="3"/>
      <c r="AM1639" s="3"/>
      <c r="AN1639" s="3"/>
      <c r="AO1639" s="3"/>
      <c r="AP1639" s="11"/>
      <c r="AQ1639" s="11"/>
      <c r="AR1639" s="3"/>
      <c r="AS1639" s="3"/>
      <c r="AT1639" s="3"/>
      <c r="AU1639" s="3"/>
      <c r="AV1639" s="3"/>
      <c r="AW1639" s="3"/>
      <c r="AX1639" s="11"/>
      <c r="AZ1639"/>
      <c r="BA1639"/>
      <c r="BB1639"/>
      <c r="BC1639"/>
    </row>
    <row r="1640" spans="1:55" s="282" customFormat="1" x14ac:dyDescent="0.25">
      <c r="A1640"/>
      <c r="B1640"/>
      <c r="C1640" s="3"/>
      <c r="D1640"/>
      <c r="E1640"/>
      <c r="F1640"/>
      <c r="G1640" s="3"/>
      <c r="H1640" s="3"/>
      <c r="I1640" s="3"/>
      <c r="J1640" s="288"/>
      <c r="L1640" s="288"/>
      <c r="M1640" s="288"/>
      <c r="N1640" s="288"/>
      <c r="O1640" s="288"/>
      <c r="P1640" s="288"/>
      <c r="Q1640" s="288"/>
      <c r="R1640" s="283"/>
      <c r="S1640" s="280"/>
      <c r="T1640" s="276"/>
      <c r="U1640" s="276"/>
      <c r="V1640" s="276"/>
      <c r="W1640" s="283"/>
      <c r="X1640" s="280"/>
      <c r="Y1640" s="280"/>
      <c r="Z1640" s="280"/>
      <c r="AA1640" s="280"/>
      <c r="AB1640" s="280"/>
      <c r="AC1640" s="280"/>
      <c r="AD1640" s="280"/>
      <c r="AG1640" s="3"/>
      <c r="AH1640" s="3"/>
      <c r="AI1640" s="3"/>
      <c r="AJ1640" s="3"/>
      <c r="AK1640" s="3"/>
      <c r="AL1640" s="3"/>
      <c r="AM1640" s="3"/>
      <c r="AN1640" s="3"/>
      <c r="AO1640" s="3"/>
      <c r="AP1640" s="11"/>
      <c r="AQ1640" s="11"/>
      <c r="AR1640" s="3"/>
      <c r="AS1640" s="3"/>
      <c r="AT1640" s="3"/>
      <c r="AU1640" s="3"/>
      <c r="AV1640" s="3"/>
      <c r="AW1640" s="3"/>
      <c r="AX1640" s="11"/>
      <c r="AZ1640"/>
      <c r="BA1640"/>
      <c r="BB1640"/>
      <c r="BC1640"/>
    </row>
    <row r="1641" spans="1:55" s="282" customFormat="1" x14ac:dyDescent="0.25">
      <c r="A1641"/>
      <c r="B1641"/>
      <c r="C1641" s="3"/>
      <c r="D1641"/>
      <c r="E1641"/>
      <c r="F1641"/>
      <c r="G1641" s="3"/>
      <c r="H1641" s="3"/>
      <c r="I1641" s="3"/>
      <c r="J1641" s="288"/>
      <c r="L1641" s="288"/>
      <c r="M1641" s="288"/>
      <c r="N1641" s="288"/>
      <c r="O1641" s="288"/>
      <c r="P1641" s="288"/>
      <c r="Q1641" s="288"/>
      <c r="R1641" s="283"/>
      <c r="S1641" s="280"/>
      <c r="T1641" s="276"/>
      <c r="U1641" s="276"/>
      <c r="V1641" s="276"/>
      <c r="W1641" s="283"/>
      <c r="X1641" s="280"/>
      <c r="Y1641" s="280"/>
      <c r="Z1641" s="280"/>
      <c r="AA1641" s="280"/>
      <c r="AB1641" s="280"/>
      <c r="AC1641" s="280"/>
      <c r="AD1641" s="280"/>
      <c r="AG1641" s="3"/>
      <c r="AH1641" s="3"/>
      <c r="AI1641" s="3"/>
      <c r="AJ1641" s="3"/>
      <c r="AK1641" s="3"/>
      <c r="AL1641" s="3"/>
      <c r="AM1641" s="3"/>
      <c r="AN1641" s="3"/>
      <c r="AO1641" s="3"/>
      <c r="AP1641" s="11"/>
      <c r="AQ1641" s="11"/>
      <c r="AR1641" s="3"/>
      <c r="AS1641" s="3"/>
      <c r="AT1641" s="3"/>
      <c r="AU1641" s="3"/>
      <c r="AV1641" s="3"/>
      <c r="AW1641" s="3"/>
      <c r="AX1641" s="11"/>
      <c r="AZ1641"/>
      <c r="BA1641"/>
      <c r="BB1641"/>
      <c r="BC1641"/>
    </row>
    <row r="1642" spans="1:55" s="282" customFormat="1" x14ac:dyDescent="0.25">
      <c r="A1642"/>
      <c r="B1642"/>
      <c r="C1642" s="3"/>
      <c r="D1642"/>
      <c r="E1642"/>
      <c r="F1642"/>
      <c r="G1642" s="3"/>
      <c r="H1642" s="3"/>
      <c r="I1642" s="3"/>
      <c r="J1642" s="288"/>
      <c r="L1642" s="288"/>
      <c r="M1642" s="288"/>
      <c r="N1642" s="288"/>
      <c r="O1642" s="288"/>
      <c r="P1642" s="288"/>
      <c r="Q1642" s="288"/>
      <c r="R1642" s="283"/>
      <c r="S1642" s="280"/>
      <c r="T1642" s="276"/>
      <c r="U1642" s="276"/>
      <c r="V1642" s="276"/>
      <c r="W1642" s="283"/>
      <c r="X1642" s="280"/>
      <c r="Y1642" s="280"/>
      <c r="Z1642" s="280"/>
      <c r="AA1642" s="280"/>
      <c r="AB1642" s="280"/>
      <c r="AC1642" s="280"/>
      <c r="AD1642" s="280"/>
      <c r="AG1642" s="3"/>
      <c r="AH1642" s="3"/>
      <c r="AI1642" s="3"/>
      <c r="AJ1642" s="3"/>
      <c r="AK1642" s="3"/>
      <c r="AL1642" s="3"/>
      <c r="AM1642" s="3"/>
      <c r="AN1642" s="3"/>
      <c r="AO1642" s="3"/>
      <c r="AP1642" s="11"/>
      <c r="AQ1642" s="11"/>
      <c r="AR1642" s="3"/>
      <c r="AS1642" s="3"/>
      <c r="AT1642" s="3"/>
      <c r="AU1642" s="3"/>
      <c r="AV1642" s="3"/>
      <c r="AW1642" s="3"/>
      <c r="AX1642" s="11"/>
      <c r="AZ1642"/>
      <c r="BA1642"/>
      <c r="BB1642"/>
      <c r="BC1642"/>
    </row>
    <row r="1643" spans="1:55" s="282" customFormat="1" x14ac:dyDescent="0.25">
      <c r="A1643"/>
      <c r="B1643"/>
      <c r="C1643" s="3"/>
      <c r="D1643"/>
      <c r="E1643"/>
      <c r="F1643"/>
      <c r="G1643" s="3"/>
      <c r="H1643" s="3"/>
      <c r="I1643" s="3"/>
      <c r="J1643" s="288"/>
      <c r="L1643" s="288"/>
      <c r="M1643" s="288"/>
      <c r="N1643" s="288"/>
      <c r="O1643" s="288"/>
      <c r="P1643" s="288"/>
      <c r="Q1643" s="288"/>
      <c r="R1643" s="283"/>
      <c r="S1643" s="280"/>
      <c r="T1643" s="276"/>
      <c r="U1643" s="276"/>
      <c r="V1643" s="276"/>
      <c r="W1643" s="283"/>
      <c r="X1643" s="280"/>
      <c r="Y1643" s="280"/>
      <c r="Z1643" s="280"/>
      <c r="AA1643" s="280"/>
      <c r="AB1643" s="280"/>
      <c r="AC1643" s="280"/>
      <c r="AD1643" s="280"/>
      <c r="AG1643" s="3"/>
      <c r="AH1643" s="3"/>
      <c r="AI1643" s="3"/>
      <c r="AJ1643" s="3"/>
      <c r="AK1643" s="3"/>
      <c r="AL1643" s="3"/>
      <c r="AM1643" s="3"/>
      <c r="AN1643" s="3"/>
      <c r="AO1643" s="3"/>
      <c r="AP1643" s="11"/>
      <c r="AQ1643" s="11"/>
      <c r="AR1643" s="3"/>
      <c r="AS1643" s="3"/>
      <c r="AT1643" s="3"/>
      <c r="AU1643" s="3"/>
      <c r="AV1643" s="3"/>
      <c r="AW1643" s="3"/>
      <c r="AX1643" s="11"/>
      <c r="AZ1643"/>
      <c r="BA1643"/>
      <c r="BB1643"/>
      <c r="BC1643"/>
    </row>
    <row r="1644" spans="1:55" s="282" customFormat="1" x14ac:dyDescent="0.25">
      <c r="A1644"/>
      <c r="B1644"/>
      <c r="C1644" s="3"/>
      <c r="D1644"/>
      <c r="E1644"/>
      <c r="F1644"/>
      <c r="G1644" s="3"/>
      <c r="H1644" s="3"/>
      <c r="I1644" s="3"/>
      <c r="J1644" s="288"/>
      <c r="L1644" s="288"/>
      <c r="M1644" s="288"/>
      <c r="N1644" s="288"/>
      <c r="O1644" s="288"/>
      <c r="P1644" s="288"/>
      <c r="Q1644" s="288"/>
      <c r="R1644" s="283"/>
      <c r="S1644" s="280"/>
      <c r="T1644" s="276"/>
      <c r="U1644" s="276"/>
      <c r="V1644" s="276"/>
      <c r="W1644" s="283"/>
      <c r="X1644" s="280"/>
      <c r="Y1644" s="280"/>
      <c r="Z1644" s="280"/>
      <c r="AA1644" s="280"/>
      <c r="AB1644" s="280"/>
      <c r="AC1644" s="280"/>
      <c r="AD1644" s="280"/>
      <c r="AG1644" s="3"/>
      <c r="AH1644" s="3"/>
      <c r="AI1644" s="3"/>
      <c r="AJ1644" s="3"/>
      <c r="AK1644" s="3"/>
      <c r="AL1644" s="3"/>
      <c r="AM1644" s="3"/>
      <c r="AN1644" s="3"/>
      <c r="AO1644" s="3"/>
      <c r="AP1644" s="11"/>
      <c r="AQ1644" s="11"/>
      <c r="AR1644" s="3"/>
      <c r="AS1644" s="3"/>
      <c r="AT1644" s="3"/>
      <c r="AU1644" s="3"/>
      <c r="AV1644" s="3"/>
      <c r="AW1644" s="3"/>
      <c r="AX1644" s="11"/>
      <c r="AZ1644"/>
      <c r="BA1644"/>
      <c r="BB1644"/>
      <c r="BC1644"/>
    </row>
    <row r="1645" spans="1:55" s="282" customFormat="1" x14ac:dyDescent="0.25">
      <c r="A1645"/>
      <c r="B1645"/>
      <c r="C1645" s="3"/>
      <c r="D1645"/>
      <c r="E1645"/>
      <c r="F1645"/>
      <c r="G1645" s="3"/>
      <c r="H1645" s="3"/>
      <c r="I1645" s="3"/>
      <c r="J1645" s="288"/>
      <c r="L1645" s="288"/>
      <c r="M1645" s="288"/>
      <c r="N1645" s="288"/>
      <c r="O1645" s="288"/>
      <c r="P1645" s="288"/>
      <c r="Q1645" s="288"/>
      <c r="R1645" s="283"/>
      <c r="S1645" s="280"/>
      <c r="T1645" s="276"/>
      <c r="U1645" s="276"/>
      <c r="V1645" s="276"/>
      <c r="W1645" s="283"/>
      <c r="X1645" s="280"/>
      <c r="Y1645" s="280"/>
      <c r="Z1645" s="280"/>
      <c r="AA1645" s="280"/>
      <c r="AB1645" s="280"/>
      <c r="AC1645" s="280"/>
      <c r="AD1645" s="280"/>
      <c r="AG1645" s="3"/>
      <c r="AH1645" s="3"/>
      <c r="AI1645" s="3"/>
      <c r="AJ1645" s="3"/>
      <c r="AK1645" s="3"/>
      <c r="AL1645" s="3"/>
      <c r="AM1645" s="3"/>
      <c r="AN1645" s="3"/>
      <c r="AO1645" s="3"/>
      <c r="AP1645" s="11"/>
      <c r="AQ1645" s="11"/>
      <c r="AR1645" s="3"/>
      <c r="AS1645" s="3"/>
      <c r="AT1645" s="3"/>
      <c r="AU1645" s="3"/>
      <c r="AV1645" s="3"/>
      <c r="AW1645" s="3"/>
      <c r="AX1645" s="11"/>
      <c r="AZ1645"/>
      <c r="BA1645"/>
      <c r="BB1645"/>
      <c r="BC1645"/>
    </row>
    <row r="1646" spans="1:55" s="282" customFormat="1" x14ac:dyDescent="0.25">
      <c r="A1646"/>
      <c r="B1646"/>
      <c r="C1646" s="3"/>
      <c r="D1646"/>
      <c r="E1646"/>
      <c r="F1646"/>
      <c r="G1646" s="3"/>
      <c r="H1646" s="3"/>
      <c r="I1646" s="3"/>
      <c r="J1646" s="288"/>
      <c r="L1646" s="288"/>
      <c r="M1646" s="288"/>
      <c r="N1646" s="288"/>
      <c r="O1646" s="288"/>
      <c r="P1646" s="288"/>
      <c r="Q1646" s="288"/>
      <c r="R1646" s="283"/>
      <c r="S1646" s="280"/>
      <c r="T1646" s="276"/>
      <c r="U1646" s="276"/>
      <c r="V1646" s="276"/>
      <c r="W1646" s="283"/>
      <c r="X1646" s="280"/>
      <c r="Y1646" s="280"/>
      <c r="Z1646" s="280"/>
      <c r="AA1646" s="280"/>
      <c r="AB1646" s="280"/>
      <c r="AC1646" s="280"/>
      <c r="AD1646" s="280"/>
      <c r="AG1646" s="3"/>
      <c r="AH1646" s="3"/>
      <c r="AI1646" s="3"/>
      <c r="AJ1646" s="3"/>
      <c r="AK1646" s="3"/>
      <c r="AL1646" s="3"/>
      <c r="AM1646" s="3"/>
      <c r="AN1646" s="3"/>
      <c r="AO1646" s="3"/>
      <c r="AP1646" s="11"/>
      <c r="AQ1646" s="11"/>
      <c r="AR1646" s="3"/>
      <c r="AS1646" s="3"/>
      <c r="AT1646" s="3"/>
      <c r="AU1646" s="3"/>
      <c r="AV1646" s="3"/>
      <c r="AW1646" s="3"/>
      <c r="AX1646" s="11"/>
      <c r="AZ1646"/>
      <c r="BA1646"/>
      <c r="BB1646"/>
      <c r="BC1646"/>
    </row>
    <row r="1647" spans="1:55" s="282" customFormat="1" x14ac:dyDescent="0.25">
      <c r="A1647"/>
      <c r="B1647"/>
      <c r="C1647" s="3"/>
      <c r="D1647"/>
      <c r="E1647"/>
      <c r="F1647"/>
      <c r="G1647" s="3"/>
      <c r="H1647" s="3"/>
      <c r="I1647" s="3"/>
      <c r="J1647" s="288"/>
      <c r="L1647" s="288"/>
      <c r="M1647" s="288"/>
      <c r="N1647" s="288"/>
      <c r="O1647" s="288"/>
      <c r="P1647" s="288"/>
      <c r="Q1647" s="288"/>
      <c r="R1647" s="283"/>
      <c r="S1647" s="280"/>
      <c r="T1647" s="276"/>
      <c r="U1647" s="276"/>
      <c r="V1647" s="276"/>
      <c r="W1647" s="283"/>
      <c r="X1647" s="280"/>
      <c r="Y1647" s="280"/>
      <c r="Z1647" s="280"/>
      <c r="AA1647" s="280"/>
      <c r="AB1647" s="280"/>
      <c r="AC1647" s="280"/>
      <c r="AD1647" s="280"/>
      <c r="AG1647" s="3"/>
      <c r="AH1647" s="3"/>
      <c r="AI1647" s="3"/>
      <c r="AJ1647" s="3"/>
      <c r="AK1647" s="3"/>
      <c r="AL1647" s="3"/>
      <c r="AM1647" s="3"/>
      <c r="AN1647" s="3"/>
      <c r="AO1647" s="3"/>
      <c r="AP1647" s="11"/>
      <c r="AQ1647" s="11"/>
      <c r="AR1647" s="3"/>
      <c r="AS1647" s="3"/>
      <c r="AT1647" s="3"/>
      <c r="AU1647" s="3"/>
      <c r="AV1647" s="3"/>
      <c r="AW1647" s="3"/>
      <c r="AX1647" s="11"/>
      <c r="AZ1647"/>
      <c r="BA1647"/>
      <c r="BB1647"/>
      <c r="BC1647"/>
    </row>
    <row r="1648" spans="1:55" s="282" customFormat="1" x14ac:dyDescent="0.25">
      <c r="A1648"/>
      <c r="B1648"/>
      <c r="C1648" s="3"/>
      <c r="D1648"/>
      <c r="E1648"/>
      <c r="F1648"/>
      <c r="G1648" s="3"/>
      <c r="H1648" s="3"/>
      <c r="I1648" s="3"/>
      <c r="J1648" s="288"/>
      <c r="L1648" s="288"/>
      <c r="M1648" s="288"/>
      <c r="N1648" s="288"/>
      <c r="O1648" s="288"/>
      <c r="P1648" s="288"/>
      <c r="Q1648" s="288"/>
      <c r="R1648" s="283"/>
      <c r="S1648" s="280"/>
      <c r="T1648" s="276"/>
      <c r="U1648" s="276"/>
      <c r="V1648" s="276"/>
      <c r="W1648" s="283"/>
      <c r="X1648" s="280"/>
      <c r="Y1648" s="280"/>
      <c r="Z1648" s="280"/>
      <c r="AA1648" s="280"/>
      <c r="AB1648" s="280"/>
      <c r="AC1648" s="280"/>
      <c r="AD1648" s="280"/>
      <c r="AG1648" s="3"/>
      <c r="AH1648" s="3"/>
      <c r="AI1648" s="3"/>
      <c r="AJ1648" s="3"/>
      <c r="AK1648" s="3"/>
      <c r="AL1648" s="3"/>
      <c r="AM1648" s="3"/>
      <c r="AN1648" s="3"/>
      <c r="AO1648" s="3"/>
      <c r="AP1648" s="11"/>
      <c r="AQ1648" s="11"/>
      <c r="AR1648" s="3"/>
      <c r="AS1648" s="3"/>
      <c r="AT1648" s="3"/>
      <c r="AU1648" s="3"/>
      <c r="AV1648" s="3"/>
      <c r="AW1648" s="3"/>
      <c r="AX1648" s="11"/>
      <c r="AZ1648"/>
      <c r="BA1648"/>
      <c r="BB1648"/>
      <c r="BC1648"/>
    </row>
    <row r="1649" spans="1:55" s="282" customFormat="1" x14ac:dyDescent="0.25">
      <c r="A1649"/>
      <c r="B1649"/>
      <c r="C1649" s="3"/>
      <c r="D1649"/>
      <c r="E1649"/>
      <c r="F1649"/>
      <c r="G1649" s="3"/>
      <c r="H1649" s="3"/>
      <c r="I1649" s="3"/>
      <c r="J1649" s="288"/>
      <c r="L1649" s="288"/>
      <c r="M1649" s="288"/>
      <c r="N1649" s="288"/>
      <c r="O1649" s="288"/>
      <c r="P1649" s="288"/>
      <c r="Q1649" s="288"/>
      <c r="R1649" s="283"/>
      <c r="S1649" s="280"/>
      <c r="T1649" s="276"/>
      <c r="U1649" s="276"/>
      <c r="V1649" s="276"/>
      <c r="W1649" s="283"/>
      <c r="X1649" s="280"/>
      <c r="Y1649" s="280"/>
      <c r="Z1649" s="280"/>
      <c r="AA1649" s="280"/>
      <c r="AB1649" s="280"/>
      <c r="AC1649" s="280"/>
      <c r="AD1649" s="280"/>
      <c r="AG1649" s="3"/>
      <c r="AH1649" s="3"/>
      <c r="AI1649" s="3"/>
      <c r="AJ1649" s="3"/>
      <c r="AK1649" s="3"/>
      <c r="AL1649" s="3"/>
      <c r="AM1649" s="3"/>
      <c r="AN1649" s="3"/>
      <c r="AO1649" s="3"/>
      <c r="AP1649" s="11"/>
      <c r="AQ1649" s="11"/>
      <c r="AR1649" s="3"/>
      <c r="AS1649" s="3"/>
      <c r="AT1649" s="3"/>
      <c r="AU1649" s="3"/>
      <c r="AV1649" s="3"/>
      <c r="AW1649" s="3"/>
      <c r="AX1649" s="11"/>
      <c r="AZ1649"/>
      <c r="BA1649"/>
      <c r="BB1649"/>
      <c r="BC1649"/>
    </row>
    <row r="1650" spans="1:55" s="282" customFormat="1" x14ac:dyDescent="0.25">
      <c r="A1650"/>
      <c r="B1650"/>
      <c r="C1650" s="3"/>
      <c r="D1650"/>
      <c r="E1650"/>
      <c r="F1650"/>
      <c r="G1650" s="3"/>
      <c r="H1650" s="3"/>
      <c r="I1650" s="3"/>
      <c r="J1650" s="288"/>
      <c r="L1650" s="288"/>
      <c r="M1650" s="288"/>
      <c r="N1650" s="288"/>
      <c r="O1650" s="288"/>
      <c r="P1650" s="288"/>
      <c r="Q1650" s="288"/>
      <c r="R1650" s="283"/>
      <c r="S1650" s="280"/>
      <c r="T1650" s="276"/>
      <c r="U1650" s="276"/>
      <c r="V1650" s="276"/>
      <c r="W1650" s="283"/>
      <c r="X1650" s="280"/>
      <c r="Y1650" s="280"/>
      <c r="Z1650" s="280"/>
      <c r="AA1650" s="280"/>
      <c r="AB1650" s="280"/>
      <c r="AC1650" s="280"/>
      <c r="AD1650" s="280"/>
      <c r="AG1650" s="3"/>
      <c r="AH1650" s="3"/>
      <c r="AI1650" s="3"/>
      <c r="AJ1650" s="3"/>
      <c r="AK1650" s="3"/>
      <c r="AL1650" s="3"/>
      <c r="AM1650" s="3"/>
      <c r="AN1650" s="3"/>
      <c r="AO1650" s="3"/>
      <c r="AP1650" s="11"/>
      <c r="AQ1650" s="11"/>
      <c r="AR1650" s="3"/>
      <c r="AS1650" s="3"/>
      <c r="AT1650" s="3"/>
      <c r="AU1650" s="3"/>
      <c r="AV1650" s="3"/>
      <c r="AW1650" s="3"/>
      <c r="AX1650" s="11"/>
      <c r="AZ1650"/>
      <c r="BA1650"/>
      <c r="BB1650"/>
      <c r="BC1650"/>
    </row>
    <row r="1651" spans="1:55" s="282" customFormat="1" x14ac:dyDescent="0.25">
      <c r="A1651"/>
      <c r="B1651"/>
      <c r="C1651" s="3"/>
      <c r="D1651"/>
      <c r="E1651"/>
      <c r="F1651"/>
      <c r="G1651" s="3"/>
      <c r="H1651" s="3"/>
      <c r="I1651" s="3"/>
      <c r="J1651" s="288"/>
      <c r="L1651" s="288"/>
      <c r="M1651" s="288"/>
      <c r="N1651" s="288"/>
      <c r="O1651" s="288"/>
      <c r="P1651" s="288"/>
      <c r="Q1651" s="288"/>
      <c r="R1651" s="283"/>
      <c r="S1651" s="280"/>
      <c r="T1651" s="276"/>
      <c r="U1651" s="276"/>
      <c r="V1651" s="276"/>
      <c r="W1651" s="283"/>
      <c r="X1651" s="280"/>
      <c r="Y1651" s="280"/>
      <c r="Z1651" s="280"/>
      <c r="AA1651" s="280"/>
      <c r="AB1651" s="280"/>
      <c r="AC1651" s="280"/>
      <c r="AD1651" s="280"/>
      <c r="AG1651" s="3"/>
      <c r="AH1651" s="3"/>
      <c r="AI1651" s="3"/>
      <c r="AJ1651" s="3"/>
      <c r="AK1651" s="3"/>
      <c r="AL1651" s="3"/>
      <c r="AM1651" s="3"/>
      <c r="AN1651" s="3"/>
      <c r="AO1651" s="3"/>
      <c r="AP1651" s="11"/>
      <c r="AQ1651" s="11"/>
      <c r="AR1651" s="3"/>
      <c r="AS1651" s="3"/>
      <c r="AT1651" s="3"/>
      <c r="AU1651" s="3"/>
      <c r="AV1651" s="3"/>
      <c r="AW1651" s="3"/>
      <c r="AX1651" s="11"/>
      <c r="AZ1651"/>
      <c r="BA1651"/>
      <c r="BB1651"/>
      <c r="BC1651"/>
    </row>
    <row r="1652" spans="1:55" s="282" customFormat="1" x14ac:dyDescent="0.25">
      <c r="A1652"/>
      <c r="B1652"/>
      <c r="C1652" s="3"/>
      <c r="D1652"/>
      <c r="E1652"/>
      <c r="F1652"/>
      <c r="G1652" s="3"/>
      <c r="H1652" s="3"/>
      <c r="I1652" s="3"/>
      <c r="J1652" s="288"/>
      <c r="L1652" s="288"/>
      <c r="M1652" s="288"/>
      <c r="N1652" s="288"/>
      <c r="O1652" s="288"/>
      <c r="P1652" s="288"/>
      <c r="Q1652" s="288"/>
      <c r="R1652" s="283"/>
      <c r="S1652" s="280"/>
      <c r="T1652" s="276"/>
      <c r="U1652" s="276"/>
      <c r="V1652" s="276"/>
      <c r="W1652" s="283"/>
      <c r="X1652" s="280"/>
      <c r="Y1652" s="280"/>
      <c r="Z1652" s="280"/>
      <c r="AA1652" s="280"/>
      <c r="AB1652" s="280"/>
      <c r="AC1652" s="280"/>
      <c r="AD1652" s="280"/>
      <c r="AG1652" s="3"/>
      <c r="AH1652" s="3"/>
      <c r="AI1652" s="3"/>
      <c r="AJ1652" s="3"/>
      <c r="AK1652" s="3"/>
      <c r="AL1652" s="3"/>
      <c r="AM1652" s="3"/>
      <c r="AN1652" s="3"/>
      <c r="AO1652" s="3"/>
      <c r="AP1652" s="11"/>
      <c r="AQ1652" s="11"/>
      <c r="AR1652" s="3"/>
      <c r="AS1652" s="3"/>
      <c r="AT1652" s="3"/>
      <c r="AU1652" s="3"/>
      <c r="AV1652" s="3"/>
      <c r="AW1652" s="3"/>
      <c r="AX1652" s="11"/>
      <c r="AZ1652"/>
      <c r="BA1652"/>
      <c r="BB1652"/>
      <c r="BC1652"/>
    </row>
    <row r="1653" spans="1:55" s="282" customFormat="1" x14ac:dyDescent="0.25">
      <c r="A1653"/>
      <c r="B1653"/>
      <c r="C1653" s="3"/>
      <c r="D1653"/>
      <c r="E1653"/>
      <c r="F1653"/>
      <c r="G1653" s="3"/>
      <c r="H1653" s="3"/>
      <c r="I1653" s="3"/>
      <c r="J1653" s="288"/>
      <c r="L1653" s="288"/>
      <c r="M1653" s="288"/>
      <c r="N1653" s="288"/>
      <c r="O1653" s="288"/>
      <c r="P1653" s="288"/>
      <c r="Q1653" s="288"/>
      <c r="R1653" s="283"/>
      <c r="S1653" s="280"/>
      <c r="T1653" s="276"/>
      <c r="U1653" s="276"/>
      <c r="V1653" s="276"/>
      <c r="W1653" s="283"/>
      <c r="X1653" s="280"/>
      <c r="Y1653" s="280"/>
      <c r="Z1653" s="280"/>
      <c r="AA1653" s="280"/>
      <c r="AB1653" s="280"/>
      <c r="AC1653" s="280"/>
      <c r="AD1653" s="280"/>
      <c r="AG1653" s="3"/>
      <c r="AH1653" s="3"/>
      <c r="AI1653" s="3"/>
      <c r="AJ1653" s="3"/>
      <c r="AK1653" s="3"/>
      <c r="AL1653" s="3"/>
      <c r="AM1653" s="3"/>
      <c r="AN1653" s="3"/>
      <c r="AO1653" s="3"/>
      <c r="AP1653" s="11"/>
      <c r="AQ1653" s="11"/>
      <c r="AR1653" s="3"/>
      <c r="AS1653" s="3"/>
      <c r="AT1653" s="3"/>
      <c r="AU1653" s="3"/>
      <c r="AV1653" s="3"/>
      <c r="AW1653" s="3"/>
      <c r="AX1653" s="11"/>
      <c r="AZ1653"/>
      <c r="BA1653"/>
      <c r="BB1653"/>
      <c r="BC1653"/>
    </row>
    <row r="1654" spans="1:55" s="282" customFormat="1" x14ac:dyDescent="0.25">
      <c r="A1654"/>
      <c r="B1654"/>
      <c r="C1654" s="3"/>
      <c r="D1654"/>
      <c r="E1654"/>
      <c r="F1654"/>
      <c r="G1654" s="3"/>
      <c r="H1654" s="3"/>
      <c r="I1654" s="3"/>
      <c r="J1654" s="288"/>
      <c r="L1654" s="288"/>
      <c r="M1654" s="288"/>
      <c r="N1654" s="288"/>
      <c r="O1654" s="288"/>
      <c r="P1654" s="288"/>
      <c r="Q1654" s="288"/>
      <c r="R1654" s="283"/>
      <c r="S1654" s="280"/>
      <c r="T1654" s="276"/>
      <c r="U1654" s="276"/>
      <c r="V1654" s="276"/>
      <c r="W1654" s="283"/>
      <c r="X1654" s="280"/>
      <c r="Y1654" s="280"/>
      <c r="Z1654" s="280"/>
      <c r="AA1654" s="280"/>
      <c r="AB1654" s="280"/>
      <c r="AC1654" s="280"/>
      <c r="AD1654" s="280"/>
      <c r="AG1654" s="3"/>
      <c r="AH1654" s="3"/>
      <c r="AI1654" s="3"/>
      <c r="AJ1654" s="3"/>
      <c r="AK1654" s="3"/>
      <c r="AL1654" s="3"/>
      <c r="AM1654" s="3"/>
      <c r="AN1654" s="3"/>
      <c r="AO1654" s="3"/>
      <c r="AP1654" s="11"/>
      <c r="AQ1654" s="11"/>
      <c r="AR1654" s="3"/>
      <c r="AS1654" s="3"/>
      <c r="AT1654" s="3"/>
      <c r="AU1654" s="3"/>
      <c r="AV1654" s="3"/>
      <c r="AW1654" s="3"/>
      <c r="AX1654" s="11"/>
      <c r="AZ1654"/>
      <c r="BA1654"/>
      <c r="BB1654"/>
      <c r="BC1654"/>
    </row>
    <row r="1655" spans="1:55" s="282" customFormat="1" x14ac:dyDescent="0.25">
      <c r="A1655"/>
      <c r="B1655"/>
      <c r="C1655" s="3"/>
      <c r="D1655"/>
      <c r="E1655"/>
      <c r="F1655"/>
      <c r="G1655" s="3"/>
      <c r="H1655" s="3"/>
      <c r="I1655" s="3"/>
      <c r="J1655" s="288"/>
      <c r="L1655" s="288"/>
      <c r="M1655" s="288"/>
      <c r="N1655" s="288"/>
      <c r="O1655" s="288"/>
      <c r="P1655" s="288"/>
      <c r="Q1655" s="288"/>
      <c r="R1655" s="283"/>
      <c r="S1655" s="280"/>
      <c r="T1655" s="276"/>
      <c r="U1655" s="276"/>
      <c r="V1655" s="276"/>
      <c r="W1655" s="283"/>
      <c r="X1655" s="280"/>
      <c r="Y1655" s="280"/>
      <c r="Z1655" s="280"/>
      <c r="AA1655" s="280"/>
      <c r="AB1655" s="280"/>
      <c r="AC1655" s="280"/>
      <c r="AD1655" s="280"/>
      <c r="AG1655" s="3"/>
      <c r="AH1655" s="3"/>
      <c r="AI1655" s="3"/>
      <c r="AJ1655" s="3"/>
      <c r="AK1655" s="3"/>
      <c r="AL1655" s="3"/>
      <c r="AM1655" s="3"/>
      <c r="AN1655" s="3"/>
      <c r="AO1655" s="3"/>
      <c r="AP1655" s="11"/>
      <c r="AQ1655" s="11"/>
      <c r="AR1655" s="3"/>
      <c r="AS1655" s="3"/>
      <c r="AT1655" s="3"/>
      <c r="AU1655" s="3"/>
      <c r="AV1655" s="3"/>
      <c r="AW1655" s="3"/>
      <c r="AX1655" s="11"/>
      <c r="AZ1655"/>
      <c r="BA1655"/>
      <c r="BB1655"/>
      <c r="BC1655"/>
    </row>
    <row r="1656" spans="1:55" s="282" customFormat="1" x14ac:dyDescent="0.25">
      <c r="A1656"/>
      <c r="B1656"/>
      <c r="C1656" s="3"/>
      <c r="D1656"/>
      <c r="E1656"/>
      <c r="F1656"/>
      <c r="G1656" s="3"/>
      <c r="H1656" s="3"/>
      <c r="I1656" s="3"/>
      <c r="J1656" s="288"/>
      <c r="L1656" s="288"/>
      <c r="M1656" s="288"/>
      <c r="N1656" s="288"/>
      <c r="O1656" s="288"/>
      <c r="P1656" s="288"/>
      <c r="Q1656" s="288"/>
      <c r="R1656" s="283"/>
      <c r="S1656" s="280"/>
      <c r="T1656" s="276"/>
      <c r="U1656" s="276"/>
      <c r="V1656" s="276"/>
      <c r="W1656" s="283"/>
      <c r="X1656" s="280"/>
      <c r="Y1656" s="280"/>
      <c r="Z1656" s="280"/>
      <c r="AA1656" s="280"/>
      <c r="AB1656" s="280"/>
      <c r="AC1656" s="280"/>
      <c r="AD1656" s="280"/>
      <c r="AG1656" s="3"/>
      <c r="AH1656" s="3"/>
      <c r="AI1656" s="3"/>
      <c r="AJ1656" s="3"/>
      <c r="AK1656" s="3"/>
      <c r="AL1656" s="3"/>
      <c r="AM1656" s="3"/>
      <c r="AN1656" s="3"/>
      <c r="AO1656" s="3"/>
      <c r="AP1656" s="11"/>
      <c r="AQ1656" s="11"/>
      <c r="AR1656" s="3"/>
      <c r="AS1656" s="3"/>
      <c r="AT1656" s="3"/>
      <c r="AU1656" s="3"/>
      <c r="AV1656" s="3"/>
      <c r="AW1656" s="3"/>
      <c r="AX1656" s="11"/>
      <c r="AZ1656"/>
      <c r="BA1656"/>
      <c r="BB1656"/>
      <c r="BC1656"/>
    </row>
    <row r="1657" spans="1:55" s="282" customFormat="1" x14ac:dyDescent="0.25">
      <c r="A1657"/>
      <c r="B1657"/>
      <c r="C1657" s="3"/>
      <c r="D1657"/>
      <c r="E1657"/>
      <c r="F1657"/>
      <c r="G1657" s="3"/>
      <c r="H1657" s="3"/>
      <c r="I1657" s="3"/>
      <c r="J1657" s="288"/>
      <c r="L1657" s="288"/>
      <c r="M1657" s="288"/>
      <c r="N1657" s="288"/>
      <c r="O1657" s="288"/>
      <c r="P1657" s="288"/>
      <c r="Q1657" s="288"/>
      <c r="R1657" s="283"/>
      <c r="S1657" s="280"/>
      <c r="T1657" s="276"/>
      <c r="U1657" s="276"/>
      <c r="V1657" s="276"/>
      <c r="W1657" s="283"/>
      <c r="X1657" s="280"/>
      <c r="Y1657" s="280"/>
      <c r="Z1657" s="280"/>
      <c r="AA1657" s="280"/>
      <c r="AB1657" s="280"/>
      <c r="AC1657" s="280"/>
      <c r="AD1657" s="280"/>
      <c r="AG1657" s="3"/>
      <c r="AH1657" s="3"/>
      <c r="AI1657" s="3"/>
      <c r="AJ1657" s="3"/>
      <c r="AK1657" s="3"/>
      <c r="AL1657" s="3"/>
      <c r="AM1657" s="3"/>
      <c r="AN1657" s="3"/>
      <c r="AO1657" s="3"/>
      <c r="AP1657" s="11"/>
      <c r="AQ1657" s="11"/>
      <c r="AR1657" s="3"/>
      <c r="AS1657" s="3"/>
      <c r="AT1657" s="3"/>
      <c r="AU1657" s="3"/>
      <c r="AV1657" s="3"/>
      <c r="AW1657" s="3"/>
      <c r="AX1657" s="11"/>
      <c r="AZ1657"/>
      <c r="BA1657"/>
      <c r="BB1657"/>
      <c r="BC1657"/>
    </row>
    <row r="1658" spans="1:55" s="282" customFormat="1" x14ac:dyDescent="0.25">
      <c r="A1658"/>
      <c r="B1658"/>
      <c r="C1658" s="3"/>
      <c r="D1658"/>
      <c r="E1658"/>
      <c r="F1658"/>
      <c r="G1658" s="3"/>
      <c r="H1658" s="3"/>
      <c r="I1658" s="3"/>
      <c r="J1658" s="288"/>
      <c r="L1658" s="288"/>
      <c r="M1658" s="288"/>
      <c r="N1658" s="288"/>
      <c r="O1658" s="288"/>
      <c r="P1658" s="288"/>
      <c r="Q1658" s="288"/>
      <c r="R1658" s="283"/>
      <c r="S1658" s="280"/>
      <c r="T1658" s="276"/>
      <c r="U1658" s="276"/>
      <c r="V1658" s="276"/>
      <c r="W1658" s="283"/>
      <c r="X1658" s="280"/>
      <c r="Y1658" s="280"/>
      <c r="Z1658" s="280"/>
      <c r="AA1658" s="280"/>
      <c r="AB1658" s="280"/>
      <c r="AC1658" s="280"/>
      <c r="AD1658" s="280"/>
      <c r="AG1658" s="3"/>
      <c r="AH1658" s="3"/>
      <c r="AI1658" s="3"/>
      <c r="AJ1658" s="3"/>
      <c r="AK1658" s="3"/>
      <c r="AL1658" s="3"/>
      <c r="AM1658" s="3"/>
      <c r="AN1658" s="3"/>
      <c r="AO1658" s="3"/>
      <c r="AP1658" s="11"/>
      <c r="AQ1658" s="11"/>
      <c r="AR1658" s="3"/>
      <c r="AS1658" s="3"/>
      <c r="AT1658" s="3"/>
      <c r="AU1658" s="3"/>
      <c r="AV1658" s="3"/>
      <c r="AW1658" s="3"/>
      <c r="AX1658" s="11"/>
      <c r="AZ1658"/>
      <c r="BA1658"/>
      <c r="BB1658"/>
      <c r="BC1658"/>
    </row>
    <row r="1659" spans="1:55" s="282" customFormat="1" x14ac:dyDescent="0.25">
      <c r="A1659"/>
      <c r="B1659"/>
      <c r="C1659" s="3"/>
      <c r="D1659"/>
      <c r="E1659"/>
      <c r="F1659"/>
      <c r="G1659" s="3"/>
      <c r="H1659" s="3"/>
      <c r="I1659" s="3"/>
      <c r="J1659" s="288"/>
      <c r="L1659" s="288"/>
      <c r="M1659" s="288"/>
      <c r="N1659" s="288"/>
      <c r="O1659" s="288"/>
      <c r="P1659" s="288"/>
      <c r="Q1659" s="288"/>
      <c r="R1659" s="283"/>
      <c r="S1659" s="280"/>
      <c r="T1659" s="276"/>
      <c r="U1659" s="276"/>
      <c r="V1659" s="276"/>
      <c r="W1659" s="283"/>
      <c r="X1659" s="280"/>
      <c r="Y1659" s="280"/>
      <c r="Z1659" s="280"/>
      <c r="AA1659" s="280"/>
      <c r="AB1659" s="280"/>
      <c r="AC1659" s="280"/>
      <c r="AD1659" s="280"/>
      <c r="AG1659" s="3"/>
      <c r="AH1659" s="3"/>
      <c r="AI1659" s="3"/>
      <c r="AJ1659" s="3"/>
      <c r="AK1659" s="3"/>
      <c r="AL1659" s="3"/>
      <c r="AM1659" s="3"/>
      <c r="AN1659" s="3"/>
      <c r="AO1659" s="3"/>
      <c r="AP1659" s="11"/>
      <c r="AQ1659" s="11"/>
      <c r="AR1659" s="3"/>
      <c r="AS1659" s="3"/>
      <c r="AT1659" s="3"/>
      <c r="AU1659" s="3"/>
      <c r="AV1659" s="3"/>
      <c r="AW1659" s="3"/>
      <c r="AX1659" s="11"/>
      <c r="AZ1659"/>
      <c r="BA1659"/>
      <c r="BB1659"/>
      <c r="BC1659"/>
    </row>
    <row r="1660" spans="1:55" s="282" customFormat="1" x14ac:dyDescent="0.25">
      <c r="A1660"/>
      <c r="B1660"/>
      <c r="C1660" s="3"/>
      <c r="D1660"/>
      <c r="E1660"/>
      <c r="F1660"/>
      <c r="G1660" s="3"/>
      <c r="H1660" s="3"/>
      <c r="I1660" s="3"/>
      <c r="J1660" s="288"/>
      <c r="L1660" s="288"/>
      <c r="M1660" s="288"/>
      <c r="N1660" s="288"/>
      <c r="O1660" s="288"/>
      <c r="P1660" s="288"/>
      <c r="Q1660" s="288"/>
      <c r="R1660" s="283"/>
      <c r="S1660" s="280"/>
      <c r="T1660" s="276"/>
      <c r="U1660" s="276"/>
      <c r="V1660" s="276"/>
      <c r="W1660" s="283"/>
      <c r="X1660" s="280"/>
      <c r="Y1660" s="280"/>
      <c r="Z1660" s="280"/>
      <c r="AA1660" s="280"/>
      <c r="AB1660" s="280"/>
      <c r="AC1660" s="280"/>
      <c r="AD1660" s="280"/>
      <c r="AG1660" s="3"/>
      <c r="AH1660" s="3"/>
      <c r="AI1660" s="3"/>
      <c r="AJ1660" s="3"/>
      <c r="AK1660" s="3"/>
      <c r="AL1660" s="3"/>
      <c r="AM1660" s="3"/>
      <c r="AN1660" s="3"/>
      <c r="AO1660" s="3"/>
      <c r="AP1660" s="11"/>
      <c r="AQ1660" s="11"/>
      <c r="AR1660" s="3"/>
      <c r="AS1660" s="3"/>
      <c r="AT1660" s="3"/>
      <c r="AU1660" s="3"/>
      <c r="AV1660" s="3"/>
      <c r="AW1660" s="3"/>
      <c r="AX1660" s="11"/>
      <c r="AZ1660"/>
      <c r="BA1660"/>
      <c r="BB1660"/>
      <c r="BC1660"/>
    </row>
    <row r="1661" spans="1:55" s="282" customFormat="1" x14ac:dyDescent="0.25">
      <c r="A1661"/>
      <c r="B1661"/>
      <c r="C1661" s="3"/>
      <c r="D1661"/>
      <c r="E1661"/>
      <c r="F1661"/>
      <c r="G1661" s="3"/>
      <c r="H1661" s="3"/>
      <c r="I1661" s="3"/>
      <c r="J1661" s="288"/>
      <c r="L1661" s="288"/>
      <c r="M1661" s="288"/>
      <c r="N1661" s="288"/>
      <c r="O1661" s="288"/>
      <c r="P1661" s="288"/>
      <c r="Q1661" s="288"/>
      <c r="R1661" s="283"/>
      <c r="S1661" s="280"/>
      <c r="T1661" s="276"/>
      <c r="U1661" s="276"/>
      <c r="V1661" s="276"/>
      <c r="W1661" s="283"/>
      <c r="X1661" s="280"/>
      <c r="Y1661" s="280"/>
      <c r="Z1661" s="280"/>
      <c r="AA1661" s="280"/>
      <c r="AB1661" s="280"/>
      <c r="AC1661" s="280"/>
      <c r="AD1661" s="280"/>
      <c r="AG1661" s="3"/>
      <c r="AH1661" s="3"/>
      <c r="AI1661" s="3"/>
      <c r="AJ1661" s="3"/>
      <c r="AK1661" s="3"/>
      <c r="AL1661" s="3"/>
      <c r="AM1661" s="3"/>
      <c r="AN1661" s="3"/>
      <c r="AO1661" s="3"/>
      <c r="AP1661" s="11"/>
      <c r="AQ1661" s="11"/>
      <c r="AR1661" s="3"/>
      <c r="AS1661" s="3"/>
      <c r="AT1661" s="3"/>
      <c r="AU1661" s="3"/>
      <c r="AV1661" s="3"/>
      <c r="AW1661" s="3"/>
      <c r="AX1661" s="11"/>
      <c r="AZ1661"/>
      <c r="BA1661"/>
      <c r="BB1661"/>
      <c r="BC1661"/>
    </row>
    <row r="1662" spans="1:55" s="282" customFormat="1" x14ac:dyDescent="0.25">
      <c r="A1662"/>
      <c r="B1662"/>
      <c r="C1662" s="3"/>
      <c r="D1662"/>
      <c r="E1662"/>
      <c r="F1662"/>
      <c r="G1662" s="3"/>
      <c r="H1662" s="3"/>
      <c r="I1662" s="3"/>
      <c r="J1662" s="288"/>
      <c r="L1662" s="288"/>
      <c r="M1662" s="288"/>
      <c r="N1662" s="288"/>
      <c r="O1662" s="288"/>
      <c r="P1662" s="288"/>
      <c r="Q1662" s="288"/>
      <c r="R1662" s="283"/>
      <c r="S1662" s="280"/>
      <c r="T1662" s="276"/>
      <c r="U1662" s="276"/>
      <c r="V1662" s="276"/>
      <c r="W1662" s="283"/>
      <c r="X1662" s="280"/>
      <c r="Y1662" s="280"/>
      <c r="Z1662" s="280"/>
      <c r="AA1662" s="280"/>
      <c r="AB1662" s="280"/>
      <c r="AC1662" s="280"/>
      <c r="AD1662" s="280"/>
      <c r="AG1662" s="3"/>
      <c r="AH1662" s="3"/>
      <c r="AI1662" s="3"/>
      <c r="AJ1662" s="3"/>
      <c r="AK1662" s="3"/>
      <c r="AL1662" s="3"/>
      <c r="AM1662" s="3"/>
      <c r="AN1662" s="3"/>
      <c r="AO1662" s="3"/>
      <c r="AP1662" s="11"/>
      <c r="AQ1662" s="11"/>
      <c r="AR1662" s="3"/>
      <c r="AS1662" s="3"/>
      <c r="AT1662" s="3"/>
      <c r="AU1662" s="3"/>
      <c r="AV1662" s="3"/>
      <c r="AW1662" s="3"/>
      <c r="AX1662" s="11"/>
      <c r="AZ1662"/>
      <c r="BA1662"/>
      <c r="BB1662"/>
      <c r="BC1662"/>
    </row>
    <row r="1663" spans="1:55" s="282" customFormat="1" x14ac:dyDescent="0.25">
      <c r="A1663"/>
      <c r="B1663"/>
      <c r="C1663" s="3"/>
      <c r="D1663"/>
      <c r="E1663"/>
      <c r="F1663"/>
      <c r="G1663" s="3"/>
      <c r="H1663" s="3"/>
      <c r="I1663" s="3"/>
      <c r="J1663" s="288"/>
      <c r="L1663" s="288"/>
      <c r="M1663" s="288"/>
      <c r="N1663" s="288"/>
      <c r="O1663" s="288"/>
      <c r="P1663" s="288"/>
      <c r="Q1663" s="288"/>
      <c r="R1663" s="283"/>
      <c r="S1663" s="280"/>
      <c r="T1663" s="276"/>
      <c r="U1663" s="276"/>
      <c r="V1663" s="276"/>
      <c r="W1663" s="283"/>
      <c r="X1663" s="280"/>
      <c r="Y1663" s="280"/>
      <c r="Z1663" s="280"/>
      <c r="AA1663" s="280"/>
      <c r="AB1663" s="280"/>
      <c r="AC1663" s="280"/>
      <c r="AD1663" s="280"/>
      <c r="AG1663" s="3"/>
      <c r="AH1663" s="3"/>
      <c r="AI1663" s="3"/>
      <c r="AJ1663" s="3"/>
      <c r="AK1663" s="3"/>
      <c r="AL1663" s="3"/>
      <c r="AM1663" s="3"/>
      <c r="AN1663" s="3"/>
      <c r="AO1663" s="3"/>
      <c r="AP1663" s="11"/>
      <c r="AQ1663" s="11"/>
      <c r="AR1663" s="3"/>
      <c r="AS1663" s="3"/>
      <c r="AT1663" s="3"/>
      <c r="AU1663" s="3"/>
      <c r="AV1663" s="3"/>
      <c r="AW1663" s="3"/>
      <c r="AX1663" s="11"/>
      <c r="AZ1663"/>
      <c r="BA1663"/>
      <c r="BB1663"/>
      <c r="BC1663"/>
    </row>
    <row r="1664" spans="1:55" s="282" customFormat="1" x14ac:dyDescent="0.25">
      <c r="A1664"/>
      <c r="B1664"/>
      <c r="C1664" s="3"/>
      <c r="D1664"/>
      <c r="E1664"/>
      <c r="F1664"/>
      <c r="G1664" s="3"/>
      <c r="H1664" s="3"/>
      <c r="I1664" s="3"/>
      <c r="J1664" s="288"/>
      <c r="L1664" s="288"/>
      <c r="M1664" s="288"/>
      <c r="N1664" s="288"/>
      <c r="O1664" s="288"/>
      <c r="P1664" s="288"/>
      <c r="Q1664" s="288"/>
      <c r="R1664" s="283"/>
      <c r="S1664" s="280"/>
      <c r="T1664" s="276"/>
      <c r="U1664" s="276"/>
      <c r="V1664" s="276"/>
      <c r="W1664" s="283"/>
      <c r="X1664" s="280"/>
      <c r="Y1664" s="280"/>
      <c r="Z1664" s="280"/>
      <c r="AA1664" s="280"/>
      <c r="AB1664" s="280"/>
      <c r="AC1664" s="280"/>
      <c r="AD1664" s="280"/>
      <c r="AG1664" s="3"/>
      <c r="AH1664" s="3"/>
      <c r="AI1664" s="3"/>
      <c r="AJ1664" s="3"/>
      <c r="AK1664" s="3"/>
      <c r="AL1664" s="3"/>
      <c r="AM1664" s="3"/>
      <c r="AN1664" s="3"/>
      <c r="AO1664" s="3"/>
      <c r="AP1664" s="11"/>
      <c r="AQ1664" s="11"/>
      <c r="AR1664" s="3"/>
      <c r="AS1664" s="3"/>
      <c r="AT1664" s="3"/>
      <c r="AU1664" s="3"/>
      <c r="AV1664" s="3"/>
      <c r="AW1664" s="3"/>
      <c r="AX1664" s="11"/>
      <c r="AZ1664"/>
      <c r="BA1664"/>
      <c r="BB1664"/>
      <c r="BC1664"/>
    </row>
    <row r="1665" spans="1:55" s="282" customFormat="1" x14ac:dyDescent="0.25">
      <c r="A1665"/>
      <c r="B1665"/>
      <c r="C1665" s="3"/>
      <c r="D1665"/>
      <c r="E1665"/>
      <c r="F1665"/>
      <c r="G1665" s="3"/>
      <c r="H1665" s="3"/>
      <c r="I1665" s="3"/>
      <c r="J1665" s="288"/>
      <c r="L1665" s="288"/>
      <c r="M1665" s="288"/>
      <c r="N1665" s="288"/>
      <c r="O1665" s="288"/>
      <c r="P1665" s="288"/>
      <c r="Q1665" s="288"/>
      <c r="R1665" s="283"/>
      <c r="S1665" s="280"/>
      <c r="T1665" s="276"/>
      <c r="U1665" s="276"/>
      <c r="V1665" s="276"/>
      <c r="W1665" s="283"/>
      <c r="X1665" s="280"/>
      <c r="Y1665" s="280"/>
      <c r="Z1665" s="280"/>
      <c r="AA1665" s="280"/>
      <c r="AB1665" s="280"/>
      <c r="AC1665" s="280"/>
      <c r="AD1665" s="280"/>
      <c r="AG1665" s="3"/>
      <c r="AH1665" s="3"/>
      <c r="AI1665" s="3"/>
      <c r="AJ1665" s="3"/>
      <c r="AK1665" s="3"/>
      <c r="AL1665" s="3"/>
      <c r="AM1665" s="3"/>
      <c r="AN1665" s="3"/>
      <c r="AO1665" s="3"/>
      <c r="AP1665" s="11"/>
      <c r="AQ1665" s="11"/>
      <c r="AR1665" s="3"/>
      <c r="AS1665" s="3"/>
      <c r="AT1665" s="3"/>
      <c r="AU1665" s="3"/>
      <c r="AV1665" s="3"/>
      <c r="AW1665" s="3"/>
      <c r="AX1665" s="11"/>
      <c r="AZ1665"/>
      <c r="BA1665"/>
      <c r="BB1665"/>
      <c r="BC1665"/>
    </row>
    <row r="1666" spans="1:55" s="282" customFormat="1" x14ac:dyDescent="0.25">
      <c r="A1666"/>
      <c r="B1666"/>
      <c r="C1666" s="3"/>
      <c r="D1666"/>
      <c r="E1666"/>
      <c r="F1666"/>
      <c r="G1666" s="3"/>
      <c r="H1666" s="3"/>
      <c r="I1666" s="3"/>
      <c r="J1666" s="288"/>
      <c r="L1666" s="288"/>
      <c r="M1666" s="288"/>
      <c r="N1666" s="288"/>
      <c r="O1666" s="288"/>
      <c r="P1666" s="288"/>
      <c r="Q1666" s="288"/>
      <c r="R1666" s="283"/>
      <c r="S1666" s="280"/>
      <c r="T1666" s="276"/>
      <c r="U1666" s="276"/>
      <c r="V1666" s="276"/>
      <c r="W1666" s="283"/>
      <c r="X1666" s="280"/>
      <c r="Y1666" s="280"/>
      <c r="Z1666" s="280"/>
      <c r="AA1666" s="280"/>
      <c r="AB1666" s="280"/>
      <c r="AC1666" s="280"/>
      <c r="AD1666" s="280"/>
      <c r="AG1666" s="3"/>
      <c r="AH1666" s="3"/>
      <c r="AI1666" s="3"/>
      <c r="AJ1666" s="3"/>
      <c r="AK1666" s="3"/>
      <c r="AL1666" s="3"/>
      <c r="AM1666" s="3"/>
      <c r="AN1666" s="3"/>
      <c r="AO1666" s="3"/>
      <c r="AP1666" s="11"/>
      <c r="AQ1666" s="11"/>
      <c r="AR1666" s="3"/>
      <c r="AS1666" s="3"/>
      <c r="AT1666" s="3"/>
      <c r="AU1666" s="3"/>
      <c r="AV1666" s="3"/>
      <c r="AW1666" s="3"/>
      <c r="AX1666" s="11"/>
      <c r="AZ1666"/>
      <c r="BA1666"/>
      <c r="BB1666"/>
      <c r="BC1666"/>
    </row>
    <row r="1667" spans="1:55" s="282" customFormat="1" x14ac:dyDescent="0.25">
      <c r="A1667"/>
      <c r="B1667"/>
      <c r="C1667" s="3"/>
      <c r="D1667"/>
      <c r="E1667"/>
      <c r="F1667"/>
      <c r="G1667" s="3"/>
      <c r="H1667" s="3"/>
      <c r="I1667" s="3"/>
      <c r="J1667" s="288"/>
      <c r="L1667" s="288"/>
      <c r="M1667" s="288"/>
      <c r="N1667" s="288"/>
      <c r="O1667" s="288"/>
      <c r="P1667" s="288"/>
      <c r="Q1667" s="288"/>
      <c r="R1667" s="283"/>
      <c r="S1667" s="280"/>
      <c r="T1667" s="276"/>
      <c r="U1667" s="276"/>
      <c r="V1667" s="276"/>
      <c r="W1667" s="283"/>
      <c r="X1667" s="280"/>
      <c r="Y1667" s="280"/>
      <c r="Z1667" s="280"/>
      <c r="AA1667" s="280"/>
      <c r="AB1667" s="280"/>
      <c r="AC1667" s="280"/>
      <c r="AD1667" s="280"/>
      <c r="AG1667" s="3"/>
      <c r="AH1667" s="3"/>
      <c r="AI1667" s="3"/>
      <c r="AJ1667" s="3"/>
      <c r="AK1667" s="3"/>
      <c r="AL1667" s="3"/>
      <c r="AM1667" s="3"/>
      <c r="AN1667" s="3"/>
      <c r="AO1667" s="3"/>
      <c r="AP1667" s="11"/>
      <c r="AQ1667" s="11"/>
      <c r="AR1667" s="3"/>
      <c r="AS1667" s="3"/>
      <c r="AT1667" s="3"/>
      <c r="AU1667" s="3"/>
      <c r="AV1667" s="3"/>
      <c r="AW1667" s="3"/>
      <c r="AX1667" s="11"/>
      <c r="AZ1667"/>
      <c r="BA1667"/>
      <c r="BB1667"/>
      <c r="BC1667"/>
    </row>
    <row r="1668" spans="1:55" s="282" customFormat="1" x14ac:dyDescent="0.25">
      <c r="A1668"/>
      <c r="B1668"/>
      <c r="C1668" s="3"/>
      <c r="D1668"/>
      <c r="E1668"/>
      <c r="F1668"/>
      <c r="G1668" s="3"/>
      <c r="H1668" s="3"/>
      <c r="I1668" s="3"/>
      <c r="J1668" s="288"/>
      <c r="L1668" s="288"/>
      <c r="M1668" s="288"/>
      <c r="N1668" s="288"/>
      <c r="O1668" s="288"/>
      <c r="P1668" s="288"/>
      <c r="Q1668" s="288"/>
      <c r="R1668" s="283"/>
      <c r="S1668" s="280"/>
      <c r="T1668" s="276"/>
      <c r="U1668" s="276"/>
      <c r="V1668" s="276"/>
      <c r="W1668" s="283"/>
      <c r="X1668" s="280"/>
      <c r="Y1668" s="280"/>
      <c r="Z1668" s="280"/>
      <c r="AA1668" s="280"/>
      <c r="AB1668" s="280"/>
      <c r="AC1668" s="280"/>
      <c r="AD1668" s="280"/>
      <c r="AG1668" s="3"/>
      <c r="AH1668" s="3"/>
      <c r="AI1668" s="3"/>
      <c r="AJ1668" s="3"/>
      <c r="AK1668" s="3"/>
      <c r="AL1668" s="3"/>
      <c r="AM1668" s="3"/>
      <c r="AN1668" s="3"/>
      <c r="AO1668" s="3"/>
      <c r="AP1668" s="11"/>
      <c r="AQ1668" s="11"/>
      <c r="AR1668" s="3"/>
      <c r="AS1668" s="3"/>
      <c r="AT1668" s="3"/>
      <c r="AU1668" s="3"/>
      <c r="AV1668" s="3"/>
      <c r="AW1668" s="3"/>
      <c r="AX1668" s="11"/>
      <c r="AZ1668"/>
      <c r="BA1668"/>
      <c r="BB1668"/>
      <c r="BC1668"/>
    </row>
    <row r="1669" spans="1:55" s="282" customFormat="1" x14ac:dyDescent="0.25">
      <c r="A1669"/>
      <c r="B1669"/>
      <c r="C1669" s="3"/>
      <c r="D1669"/>
      <c r="E1669"/>
      <c r="F1669"/>
      <c r="G1669" s="3"/>
      <c r="H1669" s="3"/>
      <c r="I1669" s="3"/>
      <c r="J1669" s="288"/>
      <c r="L1669" s="288"/>
      <c r="M1669" s="288"/>
      <c r="N1669" s="288"/>
      <c r="O1669" s="288"/>
      <c r="P1669" s="288"/>
      <c r="Q1669" s="288"/>
      <c r="R1669" s="283"/>
      <c r="S1669" s="280"/>
      <c r="T1669" s="276"/>
      <c r="U1669" s="276"/>
      <c r="V1669" s="276"/>
      <c r="W1669" s="283"/>
      <c r="X1669" s="280"/>
      <c r="Y1669" s="280"/>
      <c r="Z1669" s="280"/>
      <c r="AA1669" s="280"/>
      <c r="AB1669" s="280"/>
      <c r="AC1669" s="280"/>
      <c r="AD1669" s="280"/>
      <c r="AG1669" s="3"/>
      <c r="AH1669" s="3"/>
      <c r="AI1669" s="3"/>
      <c r="AJ1669" s="3"/>
      <c r="AK1669" s="3"/>
      <c r="AL1669" s="3"/>
      <c r="AM1669" s="3"/>
      <c r="AN1669" s="3"/>
      <c r="AO1669" s="3"/>
      <c r="AP1669" s="11"/>
      <c r="AQ1669" s="11"/>
      <c r="AR1669" s="3"/>
      <c r="AS1669" s="3"/>
      <c r="AT1669" s="3"/>
      <c r="AU1669" s="3"/>
      <c r="AV1669" s="3"/>
      <c r="AW1669" s="3"/>
      <c r="AX1669" s="11"/>
      <c r="AZ1669"/>
      <c r="BA1669"/>
      <c r="BB1669"/>
      <c r="BC1669"/>
    </row>
    <row r="1670" spans="1:55" s="282" customFormat="1" x14ac:dyDescent="0.25">
      <c r="A1670"/>
      <c r="B1670"/>
      <c r="C1670" s="3"/>
      <c r="D1670"/>
      <c r="E1670"/>
      <c r="F1670"/>
      <c r="G1670" s="3"/>
      <c r="H1670" s="3"/>
      <c r="I1670" s="3"/>
      <c r="J1670" s="288"/>
      <c r="L1670" s="288"/>
      <c r="M1670" s="288"/>
      <c r="N1670" s="288"/>
      <c r="O1670" s="288"/>
      <c r="P1670" s="288"/>
      <c r="Q1670" s="288"/>
      <c r="R1670" s="283"/>
      <c r="S1670" s="280"/>
      <c r="T1670" s="276"/>
      <c r="U1670" s="276"/>
      <c r="V1670" s="276"/>
      <c r="W1670" s="283"/>
      <c r="X1670" s="280"/>
      <c r="Y1670" s="280"/>
      <c r="Z1670" s="280"/>
      <c r="AA1670" s="280"/>
      <c r="AB1670" s="280"/>
      <c r="AC1670" s="280"/>
      <c r="AD1670" s="280"/>
      <c r="AG1670" s="3"/>
      <c r="AH1670" s="3"/>
      <c r="AI1670" s="3"/>
      <c r="AJ1670" s="3"/>
      <c r="AK1670" s="3"/>
      <c r="AL1670" s="3"/>
      <c r="AM1670" s="3"/>
      <c r="AN1670" s="3"/>
      <c r="AO1670" s="3"/>
      <c r="AP1670" s="11"/>
      <c r="AQ1670" s="11"/>
      <c r="AR1670" s="3"/>
      <c r="AS1670" s="3"/>
      <c r="AT1670" s="3"/>
      <c r="AU1670" s="3"/>
      <c r="AV1670" s="3"/>
      <c r="AW1670" s="3"/>
      <c r="AX1670" s="11"/>
      <c r="AZ1670"/>
      <c r="BA1670"/>
      <c r="BB1670"/>
      <c r="BC1670"/>
    </row>
    <row r="1671" spans="1:55" s="282" customFormat="1" x14ac:dyDescent="0.25">
      <c r="A1671"/>
      <c r="B1671"/>
      <c r="C1671" s="3"/>
      <c r="D1671"/>
      <c r="E1671"/>
      <c r="F1671"/>
      <c r="G1671" s="3"/>
      <c r="H1671" s="3"/>
      <c r="I1671" s="3"/>
      <c r="J1671" s="288"/>
      <c r="L1671" s="288"/>
      <c r="M1671" s="288"/>
      <c r="N1671" s="288"/>
      <c r="O1671" s="288"/>
      <c r="P1671" s="288"/>
      <c r="Q1671" s="288"/>
      <c r="R1671" s="283"/>
      <c r="S1671" s="280"/>
      <c r="T1671" s="276"/>
      <c r="U1671" s="276"/>
      <c r="V1671" s="276"/>
      <c r="W1671" s="283"/>
      <c r="X1671" s="280"/>
      <c r="Y1671" s="280"/>
      <c r="Z1671" s="280"/>
      <c r="AA1671" s="280"/>
      <c r="AB1671" s="280"/>
      <c r="AC1671" s="280"/>
      <c r="AD1671" s="280"/>
      <c r="AG1671" s="3"/>
      <c r="AH1671" s="3"/>
      <c r="AI1671" s="3"/>
      <c r="AJ1671" s="3"/>
      <c r="AK1671" s="3"/>
      <c r="AL1671" s="3"/>
      <c r="AM1671" s="3"/>
      <c r="AN1671" s="3"/>
      <c r="AO1671" s="3"/>
      <c r="AP1671" s="11"/>
      <c r="AQ1671" s="11"/>
      <c r="AR1671" s="3"/>
      <c r="AS1671" s="3"/>
      <c r="AT1671" s="3"/>
      <c r="AU1671" s="3"/>
      <c r="AV1671" s="3"/>
      <c r="AW1671" s="3"/>
      <c r="AX1671" s="11"/>
      <c r="AZ1671"/>
      <c r="BA1671"/>
      <c r="BB1671"/>
      <c r="BC1671"/>
    </row>
    <row r="1672" spans="1:55" s="282" customFormat="1" x14ac:dyDescent="0.25">
      <c r="A1672"/>
      <c r="B1672"/>
      <c r="C1672" s="3"/>
      <c r="D1672"/>
      <c r="E1672"/>
      <c r="F1672"/>
      <c r="G1672" s="3"/>
      <c r="H1672" s="3"/>
      <c r="I1672" s="3"/>
      <c r="J1672" s="288"/>
      <c r="L1672" s="288"/>
      <c r="M1672" s="288"/>
      <c r="N1672" s="288"/>
      <c r="O1672" s="288"/>
      <c r="P1672" s="288"/>
      <c r="Q1672" s="288"/>
      <c r="R1672" s="283"/>
      <c r="S1672" s="280"/>
      <c r="T1672" s="276"/>
      <c r="U1672" s="276"/>
      <c r="V1672" s="276"/>
      <c r="W1672" s="283"/>
      <c r="X1672" s="280"/>
      <c r="Y1672" s="280"/>
      <c r="Z1672" s="280"/>
      <c r="AA1672" s="280"/>
      <c r="AB1672" s="280"/>
      <c r="AC1672" s="280"/>
      <c r="AD1672" s="280"/>
      <c r="AG1672" s="3"/>
      <c r="AH1672" s="3"/>
      <c r="AI1672" s="3"/>
      <c r="AJ1672" s="3"/>
      <c r="AK1672" s="3"/>
      <c r="AL1672" s="3"/>
      <c r="AM1672" s="3"/>
      <c r="AN1672" s="3"/>
      <c r="AO1672" s="3"/>
      <c r="AP1672" s="11"/>
      <c r="AQ1672" s="11"/>
      <c r="AR1672" s="3"/>
      <c r="AS1672" s="3"/>
      <c r="AT1672" s="3"/>
      <c r="AU1672" s="3"/>
      <c r="AV1672" s="3"/>
      <c r="AW1672" s="3"/>
      <c r="AX1672" s="11"/>
      <c r="AZ1672"/>
      <c r="BA1672"/>
      <c r="BB1672"/>
      <c r="BC1672"/>
    </row>
    <row r="1673" spans="1:55" s="282" customFormat="1" x14ac:dyDescent="0.25">
      <c r="A1673"/>
      <c r="B1673"/>
      <c r="C1673" s="3"/>
      <c r="D1673"/>
      <c r="E1673"/>
      <c r="F1673"/>
      <c r="G1673" s="3"/>
      <c r="H1673" s="3"/>
      <c r="I1673" s="3"/>
      <c r="J1673" s="288"/>
      <c r="L1673" s="288"/>
      <c r="M1673" s="288"/>
      <c r="N1673" s="288"/>
      <c r="O1673" s="288"/>
      <c r="P1673" s="288"/>
      <c r="Q1673" s="288"/>
      <c r="R1673" s="283"/>
      <c r="S1673" s="280"/>
      <c r="T1673" s="276"/>
      <c r="U1673" s="276"/>
      <c r="V1673" s="276"/>
      <c r="W1673" s="283"/>
      <c r="X1673" s="280"/>
      <c r="Y1673" s="280"/>
      <c r="Z1673" s="280"/>
      <c r="AA1673" s="280"/>
      <c r="AB1673" s="280"/>
      <c r="AC1673" s="280"/>
      <c r="AD1673" s="280"/>
      <c r="AG1673" s="3"/>
      <c r="AH1673" s="3"/>
      <c r="AI1673" s="3"/>
      <c r="AJ1673" s="3"/>
      <c r="AK1673" s="3"/>
      <c r="AL1673" s="3"/>
      <c r="AM1673" s="3"/>
      <c r="AN1673" s="3"/>
      <c r="AO1673" s="3"/>
      <c r="AP1673" s="11"/>
      <c r="AQ1673" s="11"/>
      <c r="AR1673" s="3"/>
      <c r="AS1673" s="3"/>
      <c r="AT1673" s="3"/>
      <c r="AU1673" s="3"/>
      <c r="AV1673" s="3"/>
      <c r="AW1673" s="3"/>
      <c r="AX1673" s="11"/>
      <c r="AZ1673"/>
      <c r="BA1673"/>
      <c r="BB1673"/>
      <c r="BC1673"/>
    </row>
    <row r="1674" spans="1:55" s="282" customFormat="1" x14ac:dyDescent="0.25">
      <c r="A1674"/>
      <c r="B1674"/>
      <c r="C1674" s="3"/>
      <c r="D1674"/>
      <c r="E1674"/>
      <c r="F1674"/>
      <c r="G1674" s="3"/>
      <c r="H1674" s="3"/>
      <c r="I1674" s="3"/>
      <c r="J1674" s="288"/>
      <c r="L1674" s="288"/>
      <c r="M1674" s="288"/>
      <c r="N1674" s="288"/>
      <c r="O1674" s="288"/>
      <c r="P1674" s="288"/>
      <c r="Q1674" s="288"/>
      <c r="R1674" s="283"/>
      <c r="S1674" s="280"/>
      <c r="T1674" s="276"/>
      <c r="U1674" s="276"/>
      <c r="V1674" s="276"/>
      <c r="W1674" s="283"/>
      <c r="X1674" s="280"/>
      <c r="Y1674" s="280"/>
      <c r="Z1674" s="280"/>
      <c r="AA1674" s="280"/>
      <c r="AB1674" s="280"/>
      <c r="AC1674" s="280"/>
      <c r="AD1674" s="280"/>
      <c r="AG1674" s="3"/>
      <c r="AH1674" s="3"/>
      <c r="AI1674" s="3"/>
      <c r="AJ1674" s="3"/>
      <c r="AK1674" s="3"/>
      <c r="AL1674" s="3"/>
      <c r="AM1674" s="3"/>
      <c r="AN1674" s="3"/>
      <c r="AO1674" s="3"/>
      <c r="AP1674" s="11"/>
      <c r="AQ1674" s="11"/>
      <c r="AR1674" s="3"/>
      <c r="AS1674" s="3"/>
      <c r="AT1674" s="3"/>
      <c r="AU1674" s="3"/>
      <c r="AV1674" s="3"/>
      <c r="AW1674" s="3"/>
      <c r="AX1674" s="11"/>
      <c r="AZ1674"/>
      <c r="BA1674"/>
      <c r="BB1674"/>
      <c r="BC1674"/>
    </row>
    <row r="1675" spans="1:55" s="282" customFormat="1" x14ac:dyDescent="0.25">
      <c r="A1675"/>
      <c r="B1675"/>
      <c r="C1675" s="3"/>
      <c r="D1675"/>
      <c r="E1675"/>
      <c r="F1675"/>
      <c r="G1675" s="3"/>
      <c r="H1675" s="3"/>
      <c r="I1675" s="3"/>
      <c r="J1675" s="288"/>
      <c r="L1675" s="288"/>
      <c r="M1675" s="288"/>
      <c r="N1675" s="288"/>
      <c r="O1675" s="288"/>
      <c r="P1675" s="288"/>
      <c r="Q1675" s="288"/>
      <c r="R1675" s="283"/>
      <c r="S1675" s="280"/>
      <c r="T1675" s="276"/>
      <c r="U1675" s="276"/>
      <c r="V1675" s="276"/>
      <c r="W1675" s="283"/>
      <c r="X1675" s="280"/>
      <c r="Y1675" s="280"/>
      <c r="Z1675" s="280"/>
      <c r="AA1675" s="280"/>
      <c r="AB1675" s="280"/>
      <c r="AC1675" s="280"/>
      <c r="AD1675" s="280"/>
      <c r="AG1675" s="3"/>
      <c r="AH1675" s="3"/>
      <c r="AI1675" s="3"/>
      <c r="AJ1675" s="3"/>
      <c r="AK1675" s="3"/>
      <c r="AL1675" s="3"/>
      <c r="AM1675" s="3"/>
      <c r="AN1675" s="3"/>
      <c r="AO1675" s="3"/>
      <c r="AP1675" s="11"/>
      <c r="AQ1675" s="11"/>
      <c r="AR1675" s="3"/>
      <c r="AS1675" s="3"/>
      <c r="AT1675" s="3"/>
      <c r="AU1675" s="3"/>
      <c r="AV1675" s="3"/>
      <c r="AW1675" s="3"/>
      <c r="AX1675" s="11"/>
      <c r="AZ1675"/>
      <c r="BA1675"/>
      <c r="BB1675"/>
      <c r="BC1675"/>
    </row>
    <row r="1676" spans="1:55" s="282" customFormat="1" x14ac:dyDescent="0.25">
      <c r="A1676"/>
      <c r="B1676"/>
      <c r="C1676" s="3"/>
      <c r="D1676"/>
      <c r="E1676"/>
      <c r="F1676"/>
      <c r="G1676" s="3"/>
      <c r="H1676" s="3"/>
      <c r="I1676" s="3"/>
      <c r="J1676" s="288"/>
      <c r="L1676" s="288"/>
      <c r="M1676" s="288"/>
      <c r="N1676" s="288"/>
      <c r="O1676" s="288"/>
      <c r="P1676" s="288"/>
      <c r="Q1676" s="288"/>
      <c r="R1676" s="283"/>
      <c r="S1676" s="280"/>
      <c r="T1676" s="276"/>
      <c r="U1676" s="276"/>
      <c r="V1676" s="276"/>
      <c r="W1676" s="283"/>
      <c r="X1676" s="280"/>
      <c r="Y1676" s="280"/>
      <c r="Z1676" s="280"/>
      <c r="AA1676" s="280"/>
      <c r="AB1676" s="280"/>
      <c r="AC1676" s="280"/>
      <c r="AD1676" s="280"/>
      <c r="AG1676" s="3"/>
      <c r="AH1676" s="3"/>
      <c r="AI1676" s="3"/>
      <c r="AJ1676" s="3"/>
      <c r="AK1676" s="3"/>
      <c r="AL1676" s="3"/>
      <c r="AM1676" s="3"/>
      <c r="AN1676" s="3"/>
      <c r="AO1676" s="3"/>
      <c r="AP1676" s="11"/>
      <c r="AQ1676" s="11"/>
      <c r="AR1676" s="3"/>
      <c r="AS1676" s="3"/>
      <c r="AT1676" s="3"/>
      <c r="AU1676" s="3"/>
      <c r="AV1676" s="3"/>
      <c r="AW1676" s="3"/>
      <c r="AX1676" s="11"/>
      <c r="AZ1676"/>
      <c r="BA1676"/>
      <c r="BB1676"/>
      <c r="BC1676"/>
    </row>
    <row r="1677" spans="1:55" s="282" customFormat="1" x14ac:dyDescent="0.25">
      <c r="A1677"/>
      <c r="B1677"/>
      <c r="C1677" s="3"/>
      <c r="D1677"/>
      <c r="E1677"/>
      <c r="F1677"/>
      <c r="G1677" s="3"/>
      <c r="H1677" s="3"/>
      <c r="I1677" s="3"/>
      <c r="J1677" s="288"/>
      <c r="L1677" s="288"/>
      <c r="M1677" s="288"/>
      <c r="N1677" s="288"/>
      <c r="O1677" s="288"/>
      <c r="P1677" s="288"/>
      <c r="Q1677" s="288"/>
      <c r="R1677" s="283"/>
      <c r="S1677" s="280"/>
      <c r="T1677" s="276"/>
      <c r="U1677" s="276"/>
      <c r="V1677" s="276"/>
      <c r="W1677" s="283"/>
      <c r="X1677" s="280"/>
      <c r="Y1677" s="280"/>
      <c r="Z1677" s="280"/>
      <c r="AA1677" s="280"/>
      <c r="AB1677" s="280"/>
      <c r="AC1677" s="280"/>
      <c r="AD1677" s="280"/>
      <c r="AG1677" s="3"/>
      <c r="AH1677" s="3"/>
      <c r="AI1677" s="3"/>
      <c r="AJ1677" s="3"/>
      <c r="AK1677" s="3"/>
      <c r="AL1677" s="3"/>
      <c r="AM1677" s="3"/>
      <c r="AN1677" s="3"/>
      <c r="AO1677" s="3"/>
      <c r="AP1677" s="11"/>
      <c r="AQ1677" s="11"/>
      <c r="AR1677" s="3"/>
      <c r="AS1677" s="3"/>
      <c r="AT1677" s="3"/>
      <c r="AU1677" s="3"/>
      <c r="AV1677" s="3"/>
      <c r="AW1677" s="3"/>
      <c r="AX1677" s="11"/>
      <c r="AZ1677"/>
      <c r="BA1677"/>
      <c r="BB1677"/>
      <c r="BC1677"/>
    </row>
    <row r="1678" spans="1:55" s="282" customFormat="1" x14ac:dyDescent="0.25">
      <c r="A1678"/>
      <c r="B1678"/>
      <c r="C1678" s="3"/>
      <c r="D1678"/>
      <c r="E1678"/>
      <c r="F1678"/>
      <c r="G1678" s="3"/>
      <c r="H1678" s="3"/>
      <c r="I1678" s="3"/>
      <c r="J1678" s="288"/>
      <c r="L1678" s="288"/>
      <c r="M1678" s="288"/>
      <c r="N1678" s="288"/>
      <c r="O1678" s="288"/>
      <c r="P1678" s="288"/>
      <c r="Q1678" s="288"/>
      <c r="R1678" s="283"/>
      <c r="S1678" s="280"/>
      <c r="T1678" s="276"/>
      <c r="U1678" s="276"/>
      <c r="V1678" s="276"/>
      <c r="W1678" s="283"/>
      <c r="X1678" s="280"/>
      <c r="Y1678" s="280"/>
      <c r="Z1678" s="280"/>
      <c r="AA1678" s="280"/>
      <c r="AB1678" s="280"/>
      <c r="AC1678" s="280"/>
      <c r="AD1678" s="280"/>
      <c r="AG1678" s="3"/>
      <c r="AH1678" s="3"/>
      <c r="AI1678" s="3"/>
      <c r="AJ1678" s="3"/>
      <c r="AK1678" s="3"/>
      <c r="AL1678" s="3"/>
      <c r="AM1678" s="3"/>
      <c r="AN1678" s="3"/>
      <c r="AO1678" s="3"/>
      <c r="AP1678" s="11"/>
      <c r="AQ1678" s="11"/>
      <c r="AR1678" s="3"/>
      <c r="AS1678" s="3"/>
      <c r="AT1678" s="3"/>
      <c r="AU1678" s="3"/>
      <c r="AV1678" s="3"/>
      <c r="AW1678" s="3"/>
      <c r="AX1678" s="11"/>
      <c r="AZ1678"/>
      <c r="BA1678"/>
      <c r="BB1678"/>
      <c r="BC1678"/>
    </row>
    <row r="1679" spans="1:55" s="282" customFormat="1" x14ac:dyDescent="0.25">
      <c r="A1679"/>
      <c r="B1679"/>
      <c r="C1679" s="3"/>
      <c r="D1679"/>
      <c r="E1679"/>
      <c r="F1679"/>
      <c r="G1679" s="3"/>
      <c r="H1679" s="3"/>
      <c r="I1679" s="3"/>
      <c r="J1679" s="288"/>
      <c r="L1679" s="288"/>
      <c r="M1679" s="288"/>
      <c r="N1679" s="288"/>
      <c r="O1679" s="288"/>
      <c r="P1679" s="288"/>
      <c r="Q1679" s="288"/>
      <c r="R1679" s="283"/>
      <c r="S1679" s="280"/>
      <c r="T1679" s="276"/>
      <c r="U1679" s="276"/>
      <c r="V1679" s="276"/>
      <c r="W1679" s="283"/>
      <c r="X1679" s="280"/>
      <c r="Y1679" s="280"/>
      <c r="Z1679" s="280"/>
      <c r="AA1679" s="280"/>
      <c r="AB1679" s="280"/>
      <c r="AC1679" s="280"/>
      <c r="AD1679" s="280"/>
      <c r="AG1679" s="3"/>
      <c r="AH1679" s="3"/>
      <c r="AI1679" s="3"/>
      <c r="AJ1679" s="3"/>
      <c r="AK1679" s="3"/>
      <c r="AL1679" s="3"/>
      <c r="AM1679" s="3"/>
      <c r="AN1679" s="3"/>
      <c r="AO1679" s="3"/>
      <c r="AP1679" s="11"/>
      <c r="AQ1679" s="11"/>
      <c r="AR1679" s="3"/>
      <c r="AS1679" s="3"/>
      <c r="AT1679" s="3"/>
      <c r="AU1679" s="3"/>
      <c r="AV1679" s="3"/>
      <c r="AW1679" s="3"/>
      <c r="AX1679" s="11"/>
      <c r="AZ1679"/>
      <c r="BA1679"/>
      <c r="BB1679"/>
      <c r="BC1679"/>
    </row>
    <row r="1680" spans="1:55" s="282" customFormat="1" x14ac:dyDescent="0.25">
      <c r="A1680"/>
      <c r="B1680"/>
      <c r="C1680" s="3"/>
      <c r="D1680"/>
      <c r="E1680"/>
      <c r="F1680"/>
      <c r="G1680" s="3"/>
      <c r="H1680" s="3"/>
      <c r="I1680" s="3"/>
      <c r="J1680" s="288"/>
      <c r="L1680" s="288"/>
      <c r="M1680" s="288"/>
      <c r="N1680" s="288"/>
      <c r="O1680" s="288"/>
      <c r="P1680" s="288"/>
      <c r="Q1680" s="288"/>
      <c r="R1680" s="283"/>
      <c r="S1680" s="280"/>
      <c r="T1680" s="276"/>
      <c r="U1680" s="276"/>
      <c r="V1680" s="276"/>
      <c r="W1680" s="283"/>
      <c r="X1680" s="280"/>
      <c r="Y1680" s="280"/>
      <c r="Z1680" s="280"/>
      <c r="AA1680" s="280"/>
      <c r="AB1680" s="280"/>
      <c r="AC1680" s="280"/>
      <c r="AD1680" s="280"/>
      <c r="AG1680" s="3"/>
      <c r="AH1680" s="3"/>
      <c r="AI1680" s="3"/>
      <c r="AJ1680" s="3"/>
      <c r="AK1680" s="3"/>
      <c r="AL1680" s="3"/>
      <c r="AM1680" s="3"/>
      <c r="AN1680" s="3"/>
      <c r="AO1680" s="3"/>
      <c r="AP1680" s="11"/>
      <c r="AQ1680" s="11"/>
      <c r="AR1680" s="3"/>
      <c r="AS1680" s="3"/>
      <c r="AT1680" s="3"/>
      <c r="AU1680" s="3"/>
      <c r="AV1680" s="3"/>
      <c r="AW1680" s="3"/>
      <c r="AX1680" s="11"/>
      <c r="AZ1680"/>
      <c r="BA1680"/>
      <c r="BB1680"/>
      <c r="BC1680"/>
    </row>
    <row r="1681" spans="1:55" s="282" customFormat="1" x14ac:dyDescent="0.25">
      <c r="A1681"/>
      <c r="B1681"/>
      <c r="C1681" s="3"/>
      <c r="D1681"/>
      <c r="E1681"/>
      <c r="F1681"/>
      <c r="G1681" s="3"/>
      <c r="H1681" s="3"/>
      <c r="I1681" s="3"/>
      <c r="J1681" s="288"/>
      <c r="L1681" s="288"/>
      <c r="M1681" s="288"/>
      <c r="N1681" s="288"/>
      <c r="O1681" s="288"/>
      <c r="P1681" s="288"/>
      <c r="Q1681" s="288"/>
      <c r="R1681" s="283"/>
      <c r="S1681" s="280"/>
      <c r="T1681" s="276"/>
      <c r="U1681" s="276"/>
      <c r="V1681" s="276"/>
      <c r="W1681" s="283"/>
      <c r="X1681" s="280"/>
      <c r="Y1681" s="280"/>
      <c r="Z1681" s="280"/>
      <c r="AA1681" s="280"/>
      <c r="AB1681" s="280"/>
      <c r="AC1681" s="280"/>
      <c r="AD1681" s="280"/>
      <c r="AG1681" s="3"/>
      <c r="AH1681" s="3"/>
      <c r="AI1681" s="3"/>
      <c r="AJ1681" s="3"/>
      <c r="AK1681" s="3"/>
      <c r="AL1681" s="3"/>
      <c r="AM1681" s="3"/>
      <c r="AN1681" s="3"/>
      <c r="AO1681" s="3"/>
      <c r="AP1681" s="11"/>
      <c r="AQ1681" s="11"/>
      <c r="AR1681" s="3"/>
      <c r="AS1681" s="3"/>
      <c r="AT1681" s="3"/>
      <c r="AU1681" s="3"/>
      <c r="AV1681" s="3"/>
      <c r="AW1681" s="3"/>
      <c r="AX1681" s="11"/>
      <c r="AZ1681"/>
      <c r="BA1681"/>
      <c r="BB1681"/>
      <c r="BC1681"/>
    </row>
    <row r="1682" spans="1:55" s="282" customFormat="1" x14ac:dyDescent="0.25">
      <c r="A1682"/>
      <c r="B1682"/>
      <c r="C1682" s="3"/>
      <c r="D1682"/>
      <c r="E1682"/>
      <c r="F1682"/>
      <c r="G1682" s="3"/>
      <c r="H1682" s="3"/>
      <c r="I1682" s="3"/>
      <c r="J1682" s="288"/>
      <c r="L1682" s="288"/>
      <c r="M1682" s="288"/>
      <c r="N1682" s="288"/>
      <c r="O1682" s="288"/>
      <c r="P1682" s="288"/>
      <c r="Q1682" s="288"/>
      <c r="R1682" s="283"/>
      <c r="S1682" s="280"/>
      <c r="T1682" s="276"/>
      <c r="U1682" s="276"/>
      <c r="V1682" s="276"/>
      <c r="W1682" s="283"/>
      <c r="X1682" s="280"/>
      <c r="Y1682" s="280"/>
      <c r="Z1682" s="280"/>
      <c r="AA1682" s="280"/>
      <c r="AB1682" s="280"/>
      <c r="AC1682" s="280"/>
      <c r="AD1682" s="280"/>
      <c r="AG1682" s="3"/>
      <c r="AH1682" s="3"/>
      <c r="AI1682" s="3"/>
      <c r="AJ1682" s="3"/>
      <c r="AK1682" s="3"/>
      <c r="AL1682" s="3"/>
      <c r="AM1682" s="3"/>
      <c r="AN1682" s="3"/>
      <c r="AO1682" s="3"/>
      <c r="AP1682" s="11"/>
      <c r="AQ1682" s="11"/>
      <c r="AR1682" s="3"/>
      <c r="AS1682" s="3"/>
      <c r="AT1682" s="3"/>
      <c r="AU1682" s="3"/>
      <c r="AV1682" s="3"/>
      <c r="AW1682" s="3"/>
      <c r="AX1682" s="11"/>
      <c r="AZ1682"/>
      <c r="BA1682"/>
      <c r="BB1682"/>
      <c r="BC1682"/>
    </row>
    <row r="1683" spans="1:55" s="282" customFormat="1" x14ac:dyDescent="0.25">
      <c r="A1683"/>
      <c r="B1683"/>
      <c r="C1683" s="3"/>
      <c r="D1683"/>
      <c r="E1683"/>
      <c r="F1683"/>
      <c r="G1683" s="3"/>
      <c r="H1683" s="3"/>
      <c r="I1683" s="3"/>
      <c r="J1683" s="288"/>
      <c r="L1683" s="288"/>
      <c r="M1683" s="288"/>
      <c r="N1683" s="288"/>
      <c r="O1683" s="288"/>
      <c r="P1683" s="288"/>
      <c r="Q1683" s="288"/>
      <c r="R1683" s="283"/>
      <c r="S1683" s="280"/>
      <c r="T1683" s="276"/>
      <c r="U1683" s="276"/>
      <c r="V1683" s="276"/>
      <c r="W1683" s="283"/>
      <c r="X1683" s="280"/>
      <c r="Y1683" s="280"/>
      <c r="Z1683" s="280"/>
      <c r="AA1683" s="280"/>
      <c r="AB1683" s="280"/>
      <c r="AC1683" s="280"/>
      <c r="AD1683" s="280"/>
      <c r="AG1683" s="3"/>
      <c r="AH1683" s="3"/>
      <c r="AI1683" s="3"/>
      <c r="AJ1683" s="3"/>
      <c r="AK1683" s="3"/>
      <c r="AL1683" s="3"/>
      <c r="AM1683" s="3"/>
      <c r="AN1683" s="3"/>
      <c r="AO1683" s="3"/>
      <c r="AP1683" s="11"/>
      <c r="AQ1683" s="11"/>
      <c r="AR1683" s="3"/>
      <c r="AS1683" s="3"/>
      <c r="AT1683" s="3"/>
      <c r="AU1683" s="3"/>
      <c r="AV1683" s="3"/>
      <c r="AW1683" s="3"/>
      <c r="AX1683" s="11"/>
      <c r="AZ1683"/>
      <c r="BA1683"/>
      <c r="BB1683"/>
      <c r="BC1683"/>
    </row>
    <row r="1684" spans="1:55" s="282" customFormat="1" x14ac:dyDescent="0.25">
      <c r="A1684"/>
      <c r="B1684"/>
      <c r="C1684" s="3"/>
      <c r="D1684"/>
      <c r="E1684"/>
      <c r="F1684"/>
      <c r="G1684" s="3"/>
      <c r="H1684" s="3"/>
      <c r="I1684" s="3"/>
      <c r="J1684" s="288"/>
      <c r="L1684" s="288"/>
      <c r="M1684" s="288"/>
      <c r="N1684" s="288"/>
      <c r="O1684" s="288"/>
      <c r="P1684" s="288"/>
      <c r="Q1684" s="288"/>
      <c r="R1684" s="283"/>
      <c r="S1684" s="280"/>
      <c r="T1684" s="276"/>
      <c r="U1684" s="276"/>
      <c r="V1684" s="276"/>
      <c r="W1684" s="283"/>
      <c r="X1684" s="280"/>
      <c r="Y1684" s="280"/>
      <c r="Z1684" s="280"/>
      <c r="AA1684" s="280"/>
      <c r="AB1684" s="280"/>
      <c r="AC1684" s="280"/>
      <c r="AD1684" s="280"/>
      <c r="AG1684" s="3"/>
      <c r="AH1684" s="3"/>
      <c r="AI1684" s="3"/>
      <c r="AJ1684" s="3"/>
      <c r="AK1684" s="3"/>
      <c r="AL1684" s="3"/>
      <c r="AM1684" s="3"/>
      <c r="AN1684" s="3"/>
      <c r="AO1684" s="3"/>
      <c r="AP1684" s="11"/>
      <c r="AQ1684" s="11"/>
      <c r="AR1684" s="3"/>
      <c r="AS1684" s="3"/>
      <c r="AT1684" s="3"/>
      <c r="AU1684" s="3"/>
      <c r="AV1684" s="3"/>
      <c r="AW1684" s="3"/>
      <c r="AX1684" s="11"/>
      <c r="AZ1684"/>
      <c r="BA1684"/>
      <c r="BB1684"/>
      <c r="BC1684"/>
    </row>
    <row r="1685" spans="1:55" s="282" customFormat="1" x14ac:dyDescent="0.25">
      <c r="A1685"/>
      <c r="B1685"/>
      <c r="C1685" s="3"/>
      <c r="D1685"/>
      <c r="E1685"/>
      <c r="F1685"/>
      <c r="G1685" s="3"/>
      <c r="H1685" s="3"/>
      <c r="I1685" s="3"/>
      <c r="J1685" s="288"/>
      <c r="L1685" s="288"/>
      <c r="M1685" s="288"/>
      <c r="N1685" s="288"/>
      <c r="O1685" s="288"/>
      <c r="P1685" s="288"/>
      <c r="Q1685" s="288"/>
      <c r="R1685" s="283"/>
      <c r="S1685" s="280"/>
      <c r="T1685" s="276"/>
      <c r="U1685" s="276"/>
      <c r="V1685" s="276"/>
      <c r="W1685" s="283"/>
      <c r="X1685" s="280"/>
      <c r="Y1685" s="280"/>
      <c r="Z1685" s="280"/>
      <c r="AA1685" s="280"/>
      <c r="AB1685" s="280"/>
      <c r="AC1685" s="280"/>
      <c r="AD1685" s="280"/>
      <c r="AG1685" s="3"/>
      <c r="AH1685" s="3"/>
      <c r="AI1685" s="3"/>
      <c r="AJ1685" s="3"/>
      <c r="AK1685" s="3"/>
      <c r="AL1685" s="3"/>
      <c r="AM1685" s="3"/>
      <c r="AN1685" s="3"/>
      <c r="AO1685" s="3"/>
      <c r="AP1685" s="11"/>
      <c r="AQ1685" s="11"/>
      <c r="AR1685" s="3"/>
      <c r="AS1685" s="3"/>
      <c r="AT1685" s="3"/>
      <c r="AU1685" s="3"/>
      <c r="AV1685" s="3"/>
      <c r="AW1685" s="3"/>
      <c r="AX1685" s="11"/>
      <c r="AZ1685"/>
      <c r="BA1685"/>
      <c r="BB1685"/>
      <c r="BC1685"/>
    </row>
    <row r="1686" spans="1:55" s="282" customFormat="1" x14ac:dyDescent="0.25">
      <c r="A1686"/>
      <c r="B1686"/>
      <c r="C1686" s="3"/>
      <c r="D1686"/>
      <c r="E1686"/>
      <c r="F1686"/>
      <c r="G1686" s="3"/>
      <c r="H1686" s="3"/>
      <c r="I1686" s="3"/>
      <c r="J1686" s="288"/>
      <c r="L1686" s="288"/>
      <c r="M1686" s="288"/>
      <c r="N1686" s="288"/>
      <c r="O1686" s="288"/>
      <c r="P1686" s="288"/>
      <c r="Q1686" s="288"/>
      <c r="R1686" s="283"/>
      <c r="S1686" s="280"/>
      <c r="T1686" s="276"/>
      <c r="U1686" s="276"/>
      <c r="V1686" s="276"/>
      <c r="W1686" s="283"/>
      <c r="X1686" s="280"/>
      <c r="Y1686" s="280"/>
      <c r="Z1686" s="280"/>
      <c r="AA1686" s="280"/>
      <c r="AB1686" s="280"/>
      <c r="AC1686" s="280"/>
      <c r="AD1686" s="280"/>
      <c r="AG1686" s="3"/>
      <c r="AH1686" s="3"/>
      <c r="AI1686" s="3"/>
      <c r="AJ1686" s="3"/>
      <c r="AK1686" s="3"/>
      <c r="AL1686" s="3"/>
      <c r="AM1686" s="3"/>
      <c r="AN1686" s="3"/>
      <c r="AO1686" s="3"/>
      <c r="AP1686" s="11"/>
      <c r="AQ1686" s="11"/>
      <c r="AR1686" s="3"/>
      <c r="AS1686" s="3"/>
      <c r="AT1686" s="3"/>
      <c r="AU1686" s="3"/>
      <c r="AV1686" s="3"/>
      <c r="AW1686" s="3"/>
      <c r="AX1686" s="11"/>
      <c r="AZ1686"/>
      <c r="BA1686"/>
      <c r="BB1686"/>
      <c r="BC1686"/>
    </row>
    <row r="1687" spans="1:55" s="282" customFormat="1" x14ac:dyDescent="0.25">
      <c r="A1687"/>
      <c r="B1687"/>
      <c r="C1687" s="3"/>
      <c r="D1687"/>
      <c r="E1687"/>
      <c r="F1687"/>
      <c r="G1687" s="3"/>
      <c r="H1687" s="3"/>
      <c r="I1687" s="3"/>
      <c r="J1687" s="288"/>
      <c r="L1687" s="288"/>
      <c r="M1687" s="288"/>
      <c r="N1687" s="288"/>
      <c r="O1687" s="288"/>
      <c r="P1687" s="288"/>
      <c r="Q1687" s="288"/>
      <c r="R1687" s="283"/>
      <c r="S1687" s="280"/>
      <c r="T1687" s="276"/>
      <c r="U1687" s="276"/>
      <c r="V1687" s="276"/>
      <c r="W1687" s="283"/>
      <c r="X1687" s="280"/>
      <c r="Y1687" s="280"/>
      <c r="Z1687" s="280"/>
      <c r="AA1687" s="280"/>
      <c r="AB1687" s="280"/>
      <c r="AC1687" s="280"/>
      <c r="AD1687" s="280"/>
      <c r="AG1687" s="3"/>
      <c r="AH1687" s="3"/>
      <c r="AI1687" s="3"/>
      <c r="AJ1687" s="3"/>
      <c r="AK1687" s="3"/>
      <c r="AL1687" s="3"/>
      <c r="AM1687" s="3"/>
      <c r="AN1687" s="3"/>
      <c r="AO1687" s="3"/>
      <c r="AP1687" s="11"/>
      <c r="AQ1687" s="11"/>
      <c r="AR1687" s="3"/>
      <c r="AS1687" s="3"/>
      <c r="AT1687" s="3"/>
      <c r="AU1687" s="3"/>
      <c r="AV1687" s="3"/>
      <c r="AW1687" s="3"/>
      <c r="AX1687" s="11"/>
      <c r="AZ1687"/>
      <c r="BA1687"/>
      <c r="BB1687"/>
      <c r="BC1687"/>
    </row>
    <row r="1688" spans="1:55" s="282" customFormat="1" x14ac:dyDescent="0.25">
      <c r="A1688"/>
      <c r="B1688"/>
      <c r="C1688" s="3"/>
      <c r="D1688"/>
      <c r="E1688"/>
      <c r="F1688"/>
      <c r="G1688" s="3"/>
      <c r="H1688" s="3"/>
      <c r="I1688" s="3"/>
      <c r="J1688" s="288"/>
      <c r="L1688" s="288"/>
      <c r="M1688" s="288"/>
      <c r="N1688" s="288"/>
      <c r="O1688" s="288"/>
      <c r="P1688" s="288"/>
      <c r="Q1688" s="288"/>
      <c r="R1688" s="283"/>
      <c r="S1688" s="280"/>
      <c r="T1688" s="276"/>
      <c r="U1688" s="276"/>
      <c r="V1688" s="276"/>
      <c r="W1688" s="283"/>
      <c r="X1688" s="280"/>
      <c r="Y1688" s="280"/>
      <c r="Z1688" s="280"/>
      <c r="AA1688" s="280"/>
      <c r="AB1688" s="280"/>
      <c r="AC1688" s="280"/>
      <c r="AD1688" s="280"/>
      <c r="AG1688" s="3"/>
      <c r="AH1688" s="3"/>
      <c r="AI1688" s="3"/>
      <c r="AJ1688" s="3"/>
      <c r="AK1688" s="3"/>
      <c r="AL1688" s="3"/>
      <c r="AM1688" s="3"/>
      <c r="AN1688" s="3"/>
      <c r="AO1688" s="3"/>
      <c r="AP1688" s="11"/>
      <c r="AQ1688" s="11"/>
      <c r="AR1688" s="3"/>
      <c r="AS1688" s="3"/>
      <c r="AT1688" s="3"/>
      <c r="AU1688" s="3"/>
      <c r="AV1688" s="3"/>
      <c r="AW1688" s="3"/>
      <c r="AX1688" s="11"/>
      <c r="AZ1688"/>
      <c r="BA1688"/>
      <c r="BB1688"/>
      <c r="BC1688"/>
    </row>
    <row r="1689" spans="1:55" s="282" customFormat="1" x14ac:dyDescent="0.25">
      <c r="A1689"/>
      <c r="B1689"/>
      <c r="C1689" s="3"/>
      <c r="D1689"/>
      <c r="E1689"/>
      <c r="F1689"/>
      <c r="G1689" s="3"/>
      <c r="H1689" s="3"/>
      <c r="I1689" s="3"/>
      <c r="J1689" s="288"/>
      <c r="L1689" s="288"/>
      <c r="M1689" s="288"/>
      <c r="N1689" s="288"/>
      <c r="O1689" s="288"/>
      <c r="P1689" s="288"/>
      <c r="Q1689" s="288"/>
      <c r="R1689" s="283"/>
      <c r="S1689" s="280"/>
      <c r="T1689" s="276"/>
      <c r="U1689" s="276"/>
      <c r="V1689" s="276"/>
      <c r="W1689" s="283"/>
      <c r="X1689" s="280"/>
      <c r="Y1689" s="280"/>
      <c r="Z1689" s="280"/>
      <c r="AA1689" s="280"/>
      <c r="AB1689" s="280"/>
      <c r="AC1689" s="280"/>
      <c r="AD1689" s="280"/>
      <c r="AG1689" s="3"/>
      <c r="AH1689" s="3"/>
      <c r="AI1689" s="3"/>
      <c r="AJ1689" s="3"/>
      <c r="AK1689" s="3"/>
      <c r="AL1689" s="3"/>
      <c r="AM1689" s="3"/>
      <c r="AN1689" s="3"/>
      <c r="AO1689" s="3"/>
      <c r="AP1689" s="11"/>
      <c r="AQ1689" s="11"/>
      <c r="AR1689" s="3"/>
      <c r="AS1689" s="3"/>
      <c r="AT1689" s="3"/>
      <c r="AU1689" s="3"/>
      <c r="AV1689" s="3"/>
      <c r="AW1689" s="3"/>
      <c r="AX1689" s="11"/>
      <c r="AZ1689"/>
      <c r="BA1689"/>
      <c r="BB1689"/>
      <c r="BC1689"/>
    </row>
    <row r="1690" spans="1:55" s="282" customFormat="1" x14ac:dyDescent="0.25">
      <c r="A1690"/>
      <c r="B1690"/>
      <c r="C1690" s="3"/>
      <c r="D1690"/>
      <c r="E1690"/>
      <c r="F1690"/>
      <c r="G1690" s="3"/>
      <c r="H1690" s="3"/>
      <c r="I1690" s="3"/>
      <c r="J1690" s="288"/>
      <c r="L1690" s="288"/>
      <c r="M1690" s="288"/>
      <c r="N1690" s="288"/>
      <c r="O1690" s="288"/>
      <c r="P1690" s="288"/>
      <c r="Q1690" s="288"/>
      <c r="R1690" s="283"/>
      <c r="S1690" s="280"/>
      <c r="T1690" s="276"/>
      <c r="U1690" s="276"/>
      <c r="V1690" s="276"/>
      <c r="W1690" s="283"/>
      <c r="X1690" s="280"/>
      <c r="Y1690" s="280"/>
      <c r="Z1690" s="280"/>
      <c r="AA1690" s="280"/>
      <c r="AB1690" s="280"/>
      <c r="AC1690" s="280"/>
      <c r="AD1690" s="280"/>
      <c r="AG1690" s="3"/>
      <c r="AH1690" s="3"/>
      <c r="AI1690" s="3"/>
      <c r="AJ1690" s="3"/>
      <c r="AK1690" s="3"/>
      <c r="AL1690" s="3"/>
      <c r="AM1690" s="3"/>
      <c r="AN1690" s="3"/>
      <c r="AO1690" s="3"/>
      <c r="AP1690" s="11"/>
      <c r="AQ1690" s="11"/>
      <c r="AR1690" s="3"/>
      <c r="AS1690" s="3"/>
      <c r="AT1690" s="3"/>
      <c r="AU1690" s="3"/>
      <c r="AV1690" s="3"/>
      <c r="AW1690" s="3"/>
      <c r="AX1690" s="11"/>
      <c r="AZ1690"/>
      <c r="BA1690"/>
      <c r="BB1690"/>
      <c r="BC1690"/>
    </row>
    <row r="1691" spans="1:55" s="282" customFormat="1" x14ac:dyDescent="0.25">
      <c r="A1691"/>
      <c r="B1691"/>
      <c r="C1691" s="3"/>
      <c r="D1691"/>
      <c r="E1691"/>
      <c r="F1691"/>
      <c r="G1691" s="3"/>
      <c r="H1691" s="3"/>
      <c r="I1691" s="3"/>
      <c r="J1691" s="288"/>
      <c r="L1691" s="288"/>
      <c r="M1691" s="288"/>
      <c r="N1691" s="288"/>
      <c r="O1691" s="288"/>
      <c r="P1691" s="288"/>
      <c r="Q1691" s="288"/>
      <c r="R1691" s="283"/>
      <c r="S1691" s="280"/>
      <c r="T1691" s="276"/>
      <c r="U1691" s="276"/>
      <c r="V1691" s="276"/>
      <c r="W1691" s="283"/>
      <c r="X1691" s="280"/>
      <c r="Y1691" s="280"/>
      <c r="Z1691" s="280"/>
      <c r="AA1691" s="280"/>
      <c r="AB1691" s="280"/>
      <c r="AC1691" s="280"/>
      <c r="AD1691" s="280"/>
      <c r="AG1691" s="3"/>
      <c r="AH1691" s="3"/>
      <c r="AI1691" s="3"/>
      <c r="AJ1691" s="3"/>
      <c r="AK1691" s="3"/>
      <c r="AL1691" s="3"/>
      <c r="AM1691" s="3"/>
      <c r="AN1691" s="3"/>
      <c r="AO1691" s="3"/>
      <c r="AP1691" s="11"/>
      <c r="AQ1691" s="11"/>
      <c r="AR1691" s="3"/>
      <c r="AS1691" s="3"/>
      <c r="AT1691" s="3"/>
      <c r="AU1691" s="3"/>
      <c r="AV1691" s="3"/>
      <c r="AW1691" s="3"/>
      <c r="AX1691" s="11"/>
      <c r="AZ1691"/>
      <c r="BA1691"/>
      <c r="BB1691"/>
      <c r="BC1691"/>
    </row>
    <row r="1692" spans="1:55" s="282" customFormat="1" x14ac:dyDescent="0.25">
      <c r="A1692"/>
      <c r="B1692"/>
      <c r="C1692" s="3"/>
      <c r="D1692"/>
      <c r="E1692"/>
      <c r="F1692"/>
      <c r="G1692" s="3"/>
      <c r="H1692" s="3"/>
      <c r="I1692" s="3"/>
      <c r="J1692" s="288"/>
      <c r="L1692" s="288"/>
      <c r="M1692" s="288"/>
      <c r="N1692" s="288"/>
      <c r="O1692" s="288"/>
      <c r="P1692" s="288"/>
      <c r="Q1692" s="288"/>
      <c r="R1692" s="283"/>
      <c r="S1692" s="280"/>
      <c r="T1692" s="276"/>
      <c r="U1692" s="276"/>
      <c r="V1692" s="276"/>
      <c r="W1692" s="283"/>
      <c r="X1692" s="280"/>
      <c r="Y1692" s="280"/>
      <c r="Z1692" s="280"/>
      <c r="AA1692" s="280"/>
      <c r="AB1692" s="280"/>
      <c r="AC1692" s="280"/>
      <c r="AD1692" s="280"/>
      <c r="AG1692" s="3"/>
      <c r="AH1692" s="3"/>
      <c r="AI1692" s="3"/>
      <c r="AJ1692" s="3"/>
      <c r="AK1692" s="3"/>
      <c r="AL1692" s="3"/>
      <c r="AM1692" s="3"/>
      <c r="AN1692" s="3"/>
      <c r="AO1692" s="3"/>
      <c r="AP1692" s="11"/>
      <c r="AQ1692" s="11"/>
      <c r="AR1692" s="3"/>
      <c r="AS1692" s="3"/>
      <c r="AT1692" s="3"/>
      <c r="AU1692" s="3"/>
      <c r="AV1692" s="3"/>
      <c r="AW1692" s="3"/>
      <c r="AX1692" s="11"/>
      <c r="AZ1692"/>
      <c r="BA1692"/>
      <c r="BB1692"/>
      <c r="BC1692"/>
    </row>
    <row r="1693" spans="1:55" s="282" customFormat="1" x14ac:dyDescent="0.25">
      <c r="A1693"/>
      <c r="B1693"/>
      <c r="C1693" s="3"/>
      <c r="D1693"/>
      <c r="E1693"/>
      <c r="F1693"/>
      <c r="G1693" s="3"/>
      <c r="H1693" s="3"/>
      <c r="I1693" s="3"/>
      <c r="J1693" s="288"/>
      <c r="L1693" s="288"/>
      <c r="M1693" s="288"/>
      <c r="N1693" s="288"/>
      <c r="O1693" s="288"/>
      <c r="P1693" s="288"/>
      <c r="Q1693" s="288"/>
      <c r="R1693" s="283"/>
      <c r="S1693" s="280"/>
      <c r="T1693" s="276"/>
      <c r="U1693" s="276"/>
      <c r="V1693" s="276"/>
      <c r="W1693" s="283"/>
      <c r="X1693" s="280"/>
      <c r="Y1693" s="280"/>
      <c r="Z1693" s="280"/>
      <c r="AA1693" s="280"/>
      <c r="AB1693" s="280"/>
      <c r="AC1693" s="280"/>
      <c r="AD1693" s="280"/>
      <c r="AG1693" s="3"/>
      <c r="AH1693" s="3"/>
      <c r="AI1693" s="3"/>
      <c r="AJ1693" s="3"/>
      <c r="AK1693" s="3"/>
      <c r="AL1693" s="3"/>
      <c r="AM1693" s="3"/>
      <c r="AN1693" s="3"/>
      <c r="AO1693" s="3"/>
      <c r="AP1693" s="11"/>
      <c r="AQ1693" s="11"/>
      <c r="AR1693" s="3"/>
      <c r="AS1693" s="3"/>
      <c r="AT1693" s="3"/>
      <c r="AU1693" s="3"/>
      <c r="AV1693" s="3"/>
      <c r="AW1693" s="3"/>
      <c r="AX1693" s="11"/>
      <c r="AZ1693"/>
      <c r="BA1693"/>
      <c r="BB1693"/>
      <c r="BC1693"/>
    </row>
    <row r="1694" spans="1:55" s="282" customFormat="1" x14ac:dyDescent="0.25">
      <c r="A1694"/>
      <c r="B1694"/>
      <c r="C1694" s="3"/>
      <c r="D1694"/>
      <c r="E1694"/>
      <c r="F1694"/>
      <c r="G1694" s="3"/>
      <c r="H1694" s="3"/>
      <c r="I1694" s="3"/>
      <c r="J1694" s="288"/>
      <c r="L1694" s="288"/>
      <c r="M1694" s="288"/>
      <c r="N1694" s="288"/>
      <c r="O1694" s="288"/>
      <c r="P1694" s="288"/>
      <c r="Q1694" s="288"/>
      <c r="R1694" s="283"/>
      <c r="S1694" s="280"/>
      <c r="T1694" s="276"/>
      <c r="U1694" s="276"/>
      <c r="V1694" s="276"/>
      <c r="W1694" s="283"/>
      <c r="X1694" s="280"/>
      <c r="Y1694" s="280"/>
      <c r="Z1694" s="280"/>
      <c r="AA1694" s="280"/>
      <c r="AB1694" s="280"/>
      <c r="AC1694" s="280"/>
      <c r="AD1694" s="280"/>
      <c r="AG1694" s="3"/>
      <c r="AH1694" s="3"/>
      <c r="AI1694" s="3"/>
      <c r="AJ1694" s="3"/>
      <c r="AK1694" s="3"/>
      <c r="AL1694" s="3"/>
      <c r="AM1694" s="3"/>
      <c r="AN1694" s="3"/>
      <c r="AO1694" s="3"/>
      <c r="AP1694" s="11"/>
      <c r="AQ1694" s="11"/>
      <c r="AR1694" s="3"/>
      <c r="AS1694" s="3"/>
      <c r="AT1694" s="3"/>
      <c r="AU1694" s="3"/>
      <c r="AV1694" s="3"/>
      <c r="AW1694" s="3"/>
      <c r="AX1694" s="11"/>
      <c r="AZ1694"/>
      <c r="BA1694"/>
      <c r="BB1694"/>
      <c r="BC1694"/>
    </row>
    <row r="1695" spans="1:55" s="282" customFormat="1" x14ac:dyDescent="0.25">
      <c r="A1695"/>
      <c r="B1695"/>
      <c r="C1695" s="3"/>
      <c r="D1695"/>
      <c r="E1695"/>
      <c r="F1695"/>
      <c r="G1695" s="3"/>
      <c r="H1695" s="3"/>
      <c r="I1695" s="3"/>
      <c r="J1695" s="288"/>
      <c r="L1695" s="288"/>
      <c r="M1695" s="288"/>
      <c r="N1695" s="288"/>
      <c r="O1695" s="288"/>
      <c r="P1695" s="288"/>
      <c r="Q1695" s="288"/>
      <c r="R1695" s="283"/>
      <c r="S1695" s="280"/>
      <c r="T1695" s="276"/>
      <c r="U1695" s="276"/>
      <c r="V1695" s="276"/>
      <c r="W1695" s="283"/>
      <c r="X1695" s="280"/>
      <c r="Y1695" s="280"/>
      <c r="Z1695" s="280"/>
      <c r="AA1695" s="280"/>
      <c r="AB1695" s="280"/>
      <c r="AC1695" s="280"/>
      <c r="AD1695" s="280"/>
      <c r="AG1695" s="3"/>
      <c r="AH1695" s="3"/>
      <c r="AI1695" s="3"/>
      <c r="AJ1695" s="3"/>
      <c r="AK1695" s="3"/>
      <c r="AL1695" s="3"/>
      <c r="AM1695" s="3"/>
      <c r="AN1695" s="3"/>
      <c r="AO1695" s="3"/>
      <c r="AP1695" s="11"/>
      <c r="AQ1695" s="11"/>
      <c r="AR1695" s="3"/>
      <c r="AS1695" s="3"/>
      <c r="AT1695" s="3"/>
      <c r="AU1695" s="3"/>
      <c r="AV1695" s="3"/>
      <c r="AW1695" s="3"/>
      <c r="AX1695" s="11"/>
      <c r="AZ1695"/>
      <c r="BA1695"/>
      <c r="BB1695"/>
      <c r="BC1695"/>
    </row>
    <row r="1696" spans="1:55" s="282" customFormat="1" x14ac:dyDescent="0.25">
      <c r="A1696"/>
      <c r="B1696"/>
      <c r="C1696" s="3"/>
      <c r="D1696"/>
      <c r="E1696"/>
      <c r="F1696"/>
      <c r="G1696" s="3"/>
      <c r="H1696" s="3"/>
      <c r="I1696" s="3"/>
      <c r="J1696" s="288"/>
      <c r="L1696" s="288"/>
      <c r="M1696" s="288"/>
      <c r="N1696" s="288"/>
      <c r="O1696" s="288"/>
      <c r="P1696" s="288"/>
      <c r="Q1696" s="288"/>
      <c r="R1696" s="283"/>
      <c r="S1696" s="280"/>
      <c r="T1696" s="276"/>
      <c r="U1696" s="276"/>
      <c r="V1696" s="276"/>
      <c r="W1696" s="283"/>
      <c r="X1696" s="280"/>
      <c r="Y1696" s="280"/>
      <c r="Z1696" s="280"/>
      <c r="AA1696" s="280"/>
      <c r="AB1696" s="280"/>
      <c r="AC1696" s="280"/>
      <c r="AD1696" s="280"/>
      <c r="AG1696" s="3"/>
      <c r="AH1696" s="3"/>
      <c r="AI1696" s="3"/>
      <c r="AJ1696" s="3"/>
      <c r="AK1696" s="3"/>
      <c r="AL1696" s="3"/>
      <c r="AM1696" s="3"/>
      <c r="AN1696" s="3"/>
      <c r="AO1696" s="3"/>
      <c r="AP1696" s="11"/>
      <c r="AQ1696" s="11"/>
      <c r="AR1696" s="3"/>
      <c r="AS1696" s="3"/>
      <c r="AT1696" s="3"/>
      <c r="AU1696" s="3"/>
      <c r="AV1696" s="3"/>
      <c r="AW1696" s="3"/>
      <c r="AX1696" s="11"/>
      <c r="AZ1696"/>
      <c r="BA1696"/>
      <c r="BB1696"/>
      <c r="BC1696"/>
    </row>
    <row r="1697" spans="1:55" s="282" customFormat="1" x14ac:dyDescent="0.25">
      <c r="A1697"/>
      <c r="B1697"/>
      <c r="C1697" s="3"/>
      <c r="D1697"/>
      <c r="E1697"/>
      <c r="F1697"/>
      <c r="G1697" s="3"/>
      <c r="H1697" s="3"/>
      <c r="I1697" s="3"/>
      <c r="J1697" s="288"/>
      <c r="L1697" s="288"/>
      <c r="M1697" s="288"/>
      <c r="N1697" s="288"/>
      <c r="O1697" s="288"/>
      <c r="P1697" s="288"/>
      <c r="Q1697" s="288"/>
      <c r="R1697" s="283"/>
      <c r="S1697" s="280"/>
      <c r="T1697" s="276"/>
      <c r="U1697" s="276"/>
      <c r="V1697" s="276"/>
      <c r="W1697" s="283"/>
      <c r="X1697" s="280"/>
      <c r="Y1697" s="280"/>
      <c r="Z1697" s="280"/>
      <c r="AA1697" s="280"/>
      <c r="AB1697" s="280"/>
      <c r="AC1697" s="280"/>
      <c r="AD1697" s="280"/>
      <c r="AG1697" s="3"/>
      <c r="AH1697" s="3"/>
      <c r="AI1697" s="3"/>
      <c r="AJ1697" s="3"/>
      <c r="AK1697" s="3"/>
      <c r="AL1697" s="3"/>
      <c r="AM1697" s="3"/>
      <c r="AN1697" s="3"/>
      <c r="AO1697" s="3"/>
      <c r="AP1697" s="11"/>
      <c r="AQ1697" s="11"/>
      <c r="AR1697" s="3"/>
      <c r="AS1697" s="3"/>
      <c r="AT1697" s="3"/>
      <c r="AU1697" s="3"/>
      <c r="AV1697" s="3"/>
      <c r="AW1697" s="3"/>
      <c r="AX1697" s="11"/>
      <c r="AZ1697"/>
      <c r="BA1697"/>
      <c r="BB1697"/>
      <c r="BC1697"/>
    </row>
    <row r="1698" spans="1:55" s="282" customFormat="1" x14ac:dyDescent="0.25">
      <c r="A1698"/>
      <c r="B1698"/>
      <c r="C1698" s="3"/>
      <c r="D1698"/>
      <c r="E1698"/>
      <c r="F1698"/>
      <c r="G1698" s="3"/>
      <c r="H1698" s="3"/>
      <c r="I1698" s="3"/>
      <c r="J1698" s="288"/>
      <c r="L1698" s="288"/>
      <c r="M1698" s="288"/>
      <c r="N1698" s="288"/>
      <c r="O1698" s="288"/>
      <c r="P1698" s="288"/>
      <c r="Q1698" s="288"/>
      <c r="R1698" s="283"/>
      <c r="S1698" s="280"/>
      <c r="T1698" s="276"/>
      <c r="U1698" s="276"/>
      <c r="V1698" s="276"/>
      <c r="W1698" s="283"/>
      <c r="X1698" s="280"/>
      <c r="Y1698" s="280"/>
      <c r="Z1698" s="280"/>
      <c r="AA1698" s="280"/>
      <c r="AB1698" s="280"/>
      <c r="AC1698" s="280"/>
      <c r="AD1698" s="280"/>
      <c r="AG1698" s="3"/>
      <c r="AH1698" s="3"/>
      <c r="AI1698" s="3"/>
      <c r="AJ1698" s="3"/>
      <c r="AK1698" s="3"/>
      <c r="AL1698" s="3"/>
      <c r="AM1698" s="3"/>
      <c r="AN1698" s="3"/>
      <c r="AO1698" s="3"/>
      <c r="AP1698" s="11"/>
      <c r="AQ1698" s="11"/>
      <c r="AR1698" s="3"/>
      <c r="AS1698" s="3"/>
      <c r="AT1698" s="3"/>
      <c r="AU1698" s="3"/>
      <c r="AV1698" s="3"/>
      <c r="AW1698" s="3"/>
      <c r="AX1698" s="11"/>
      <c r="AZ1698"/>
      <c r="BA1698"/>
      <c r="BB1698"/>
      <c r="BC1698"/>
    </row>
    <row r="1699" spans="1:55" s="282" customFormat="1" x14ac:dyDescent="0.25">
      <c r="A1699"/>
      <c r="B1699"/>
      <c r="C1699" s="3"/>
      <c r="D1699"/>
      <c r="E1699"/>
      <c r="F1699"/>
      <c r="G1699" s="3"/>
      <c r="H1699" s="3"/>
      <c r="I1699" s="3"/>
      <c r="J1699" s="288"/>
      <c r="L1699" s="288"/>
      <c r="M1699" s="288"/>
      <c r="N1699" s="288"/>
      <c r="O1699" s="288"/>
      <c r="P1699" s="288"/>
      <c r="Q1699" s="288"/>
      <c r="R1699" s="283"/>
      <c r="S1699" s="280"/>
      <c r="T1699" s="276"/>
      <c r="U1699" s="276"/>
      <c r="V1699" s="276"/>
      <c r="W1699" s="283"/>
      <c r="X1699" s="280"/>
      <c r="Y1699" s="280"/>
      <c r="Z1699" s="280"/>
      <c r="AA1699" s="280"/>
      <c r="AB1699" s="280"/>
      <c r="AC1699" s="280"/>
      <c r="AD1699" s="280"/>
      <c r="AG1699" s="3"/>
      <c r="AH1699" s="3"/>
      <c r="AI1699" s="3"/>
      <c r="AJ1699" s="3"/>
      <c r="AK1699" s="3"/>
      <c r="AL1699" s="3"/>
      <c r="AM1699" s="3"/>
      <c r="AN1699" s="3"/>
      <c r="AO1699" s="3"/>
      <c r="AP1699" s="11"/>
      <c r="AQ1699" s="11"/>
      <c r="AR1699" s="3"/>
      <c r="AS1699" s="3"/>
      <c r="AT1699" s="3"/>
      <c r="AU1699" s="3"/>
      <c r="AV1699" s="3"/>
      <c r="AW1699" s="3"/>
      <c r="AX1699" s="11"/>
      <c r="AZ1699"/>
      <c r="BA1699"/>
      <c r="BB1699"/>
      <c r="BC1699"/>
    </row>
    <row r="1700" spans="1:55" s="282" customFormat="1" x14ac:dyDescent="0.25">
      <c r="A1700"/>
      <c r="B1700"/>
      <c r="C1700" s="3"/>
      <c r="D1700"/>
      <c r="E1700"/>
      <c r="F1700"/>
      <c r="G1700" s="3"/>
      <c r="H1700" s="3"/>
      <c r="I1700" s="3"/>
      <c r="J1700" s="288"/>
      <c r="L1700" s="288"/>
      <c r="M1700" s="288"/>
      <c r="N1700" s="288"/>
      <c r="O1700" s="288"/>
      <c r="P1700" s="288"/>
      <c r="Q1700" s="288"/>
      <c r="R1700" s="283"/>
      <c r="S1700" s="280"/>
      <c r="T1700" s="276"/>
      <c r="U1700" s="276"/>
      <c r="V1700" s="276"/>
      <c r="W1700" s="283"/>
      <c r="X1700" s="280"/>
      <c r="Y1700" s="280"/>
      <c r="Z1700" s="280"/>
      <c r="AA1700" s="280"/>
      <c r="AB1700" s="280"/>
      <c r="AC1700" s="280"/>
      <c r="AD1700" s="280"/>
      <c r="AG1700" s="3"/>
      <c r="AH1700" s="3"/>
      <c r="AI1700" s="3"/>
      <c r="AJ1700" s="3"/>
      <c r="AK1700" s="3"/>
      <c r="AL1700" s="3"/>
      <c r="AM1700" s="3"/>
      <c r="AN1700" s="3"/>
      <c r="AO1700" s="3"/>
      <c r="AP1700" s="11"/>
      <c r="AQ1700" s="11"/>
      <c r="AR1700" s="3"/>
      <c r="AS1700" s="3"/>
      <c r="AT1700" s="3"/>
      <c r="AU1700" s="3"/>
      <c r="AV1700" s="3"/>
      <c r="AW1700" s="3"/>
      <c r="AX1700" s="11"/>
      <c r="AZ1700"/>
      <c r="BA1700"/>
      <c r="BB1700"/>
      <c r="BC1700"/>
    </row>
    <row r="1701" spans="1:55" s="282" customFormat="1" x14ac:dyDescent="0.25">
      <c r="A1701"/>
      <c r="B1701"/>
      <c r="C1701" s="3"/>
      <c r="D1701"/>
      <c r="E1701"/>
      <c r="F1701"/>
      <c r="G1701" s="3"/>
      <c r="H1701" s="3"/>
      <c r="I1701" s="3"/>
      <c r="J1701" s="288"/>
      <c r="L1701" s="288"/>
      <c r="M1701" s="288"/>
      <c r="N1701" s="288"/>
      <c r="O1701" s="288"/>
      <c r="P1701" s="288"/>
      <c r="Q1701" s="288"/>
      <c r="R1701" s="283"/>
      <c r="S1701" s="280"/>
      <c r="T1701" s="276"/>
      <c r="U1701" s="276"/>
      <c r="V1701" s="276"/>
      <c r="W1701" s="283"/>
      <c r="X1701" s="280"/>
      <c r="Y1701" s="280"/>
      <c r="Z1701" s="280"/>
      <c r="AA1701" s="280"/>
      <c r="AB1701" s="280"/>
      <c r="AC1701" s="280"/>
      <c r="AD1701" s="280"/>
      <c r="AG1701" s="3"/>
      <c r="AH1701" s="3"/>
      <c r="AI1701" s="3"/>
      <c r="AJ1701" s="3"/>
      <c r="AK1701" s="3"/>
      <c r="AL1701" s="3"/>
      <c r="AM1701" s="3"/>
      <c r="AN1701" s="3"/>
      <c r="AO1701" s="3"/>
      <c r="AP1701" s="11"/>
      <c r="AQ1701" s="11"/>
      <c r="AR1701" s="3"/>
      <c r="AS1701" s="3"/>
      <c r="AT1701" s="3"/>
      <c r="AU1701" s="3"/>
      <c r="AV1701" s="3"/>
      <c r="AW1701" s="3"/>
      <c r="AX1701" s="11"/>
      <c r="AZ1701"/>
      <c r="BA1701"/>
      <c r="BB1701"/>
      <c r="BC1701"/>
    </row>
    <row r="1702" spans="1:55" s="282" customFormat="1" x14ac:dyDescent="0.25">
      <c r="A1702"/>
      <c r="B1702"/>
      <c r="C1702" s="3"/>
      <c r="D1702"/>
      <c r="E1702"/>
      <c r="F1702"/>
      <c r="G1702" s="3"/>
      <c r="H1702" s="3"/>
      <c r="I1702" s="3"/>
      <c r="J1702" s="288"/>
      <c r="L1702" s="288"/>
      <c r="M1702" s="288"/>
      <c r="N1702" s="288"/>
      <c r="O1702" s="288"/>
      <c r="P1702" s="288"/>
      <c r="Q1702" s="288"/>
      <c r="R1702" s="283"/>
      <c r="S1702" s="280"/>
      <c r="T1702" s="276"/>
      <c r="U1702" s="276"/>
      <c r="V1702" s="276"/>
      <c r="W1702" s="283"/>
      <c r="X1702" s="280"/>
      <c r="Y1702" s="280"/>
      <c r="Z1702" s="280"/>
      <c r="AA1702" s="280"/>
      <c r="AB1702" s="280"/>
      <c r="AC1702" s="280"/>
      <c r="AD1702" s="280"/>
      <c r="AG1702" s="3"/>
      <c r="AH1702" s="3"/>
      <c r="AI1702" s="3"/>
      <c r="AJ1702" s="3"/>
      <c r="AK1702" s="3"/>
      <c r="AL1702" s="3"/>
      <c r="AM1702" s="3"/>
      <c r="AN1702" s="3"/>
      <c r="AO1702" s="3"/>
      <c r="AP1702" s="11"/>
      <c r="AQ1702" s="11"/>
      <c r="AR1702" s="3"/>
      <c r="AS1702" s="3"/>
      <c r="AT1702" s="3"/>
      <c r="AU1702" s="3"/>
      <c r="AV1702" s="3"/>
      <c r="AW1702" s="3"/>
      <c r="AX1702" s="11"/>
      <c r="AZ1702"/>
      <c r="BA1702"/>
      <c r="BB1702"/>
      <c r="BC1702"/>
    </row>
    <row r="1703" spans="1:55" s="282" customFormat="1" x14ac:dyDescent="0.25">
      <c r="A1703"/>
      <c r="B1703"/>
      <c r="C1703" s="3"/>
      <c r="D1703"/>
      <c r="E1703"/>
      <c r="F1703"/>
      <c r="G1703" s="3"/>
      <c r="H1703" s="3"/>
      <c r="I1703" s="3"/>
      <c r="J1703" s="288"/>
      <c r="L1703" s="288"/>
      <c r="M1703" s="288"/>
      <c r="N1703" s="288"/>
      <c r="O1703" s="288"/>
      <c r="P1703" s="288"/>
      <c r="Q1703" s="288"/>
      <c r="R1703" s="283"/>
      <c r="S1703" s="280"/>
      <c r="T1703" s="276"/>
      <c r="U1703" s="276"/>
      <c r="V1703" s="276"/>
      <c r="W1703" s="283"/>
      <c r="X1703" s="280"/>
      <c r="Y1703" s="280"/>
      <c r="Z1703" s="280"/>
      <c r="AA1703" s="280"/>
      <c r="AB1703" s="280"/>
      <c r="AC1703" s="280"/>
      <c r="AD1703" s="280"/>
      <c r="AG1703" s="3"/>
      <c r="AH1703" s="3"/>
      <c r="AI1703" s="3"/>
      <c r="AJ1703" s="3"/>
      <c r="AK1703" s="3"/>
      <c r="AL1703" s="3"/>
      <c r="AM1703" s="3"/>
      <c r="AN1703" s="3"/>
      <c r="AO1703" s="3"/>
      <c r="AP1703" s="11"/>
      <c r="AQ1703" s="11"/>
      <c r="AR1703" s="3"/>
      <c r="AS1703" s="3"/>
      <c r="AT1703" s="3"/>
      <c r="AU1703" s="3"/>
      <c r="AV1703" s="3"/>
      <c r="AW1703" s="3"/>
      <c r="AX1703" s="11"/>
      <c r="AZ1703"/>
      <c r="BA1703"/>
      <c r="BB1703"/>
      <c r="BC1703"/>
    </row>
    <row r="1704" spans="1:55" s="282" customFormat="1" x14ac:dyDescent="0.25">
      <c r="A1704"/>
      <c r="B1704"/>
      <c r="C1704" s="3"/>
      <c r="D1704"/>
      <c r="E1704"/>
      <c r="F1704"/>
      <c r="G1704" s="3"/>
      <c r="H1704" s="3"/>
      <c r="I1704" s="3"/>
      <c r="J1704" s="288"/>
      <c r="L1704" s="288"/>
      <c r="M1704" s="288"/>
      <c r="N1704" s="288"/>
      <c r="O1704" s="288"/>
      <c r="P1704" s="288"/>
      <c r="Q1704" s="288"/>
      <c r="R1704" s="283"/>
      <c r="S1704" s="280"/>
      <c r="T1704" s="276"/>
      <c r="U1704" s="276"/>
      <c r="V1704" s="276"/>
      <c r="W1704" s="283"/>
      <c r="X1704" s="280"/>
      <c r="Y1704" s="280"/>
      <c r="Z1704" s="280"/>
      <c r="AA1704" s="280"/>
      <c r="AB1704" s="280"/>
      <c r="AC1704" s="280"/>
      <c r="AD1704" s="280"/>
      <c r="AG1704" s="3"/>
      <c r="AH1704" s="3"/>
      <c r="AI1704" s="3"/>
      <c r="AJ1704" s="3"/>
      <c r="AK1704" s="3"/>
      <c r="AL1704" s="3"/>
      <c r="AM1704" s="3"/>
      <c r="AN1704" s="3"/>
      <c r="AO1704" s="3"/>
      <c r="AP1704" s="11"/>
      <c r="AQ1704" s="11"/>
      <c r="AR1704" s="3"/>
      <c r="AS1704" s="3"/>
      <c r="AT1704" s="3"/>
      <c r="AU1704" s="3"/>
      <c r="AV1704" s="3"/>
      <c r="AW1704" s="3"/>
      <c r="AX1704" s="11"/>
      <c r="AZ1704"/>
      <c r="BA1704"/>
      <c r="BB1704"/>
      <c r="BC1704"/>
    </row>
    <row r="1705" spans="1:55" s="282" customFormat="1" x14ac:dyDescent="0.25">
      <c r="A1705"/>
      <c r="B1705"/>
      <c r="C1705" s="3"/>
      <c r="D1705"/>
      <c r="E1705"/>
      <c r="F1705"/>
      <c r="G1705" s="3"/>
      <c r="H1705" s="3"/>
      <c r="I1705" s="3"/>
      <c r="J1705" s="288"/>
      <c r="L1705" s="288"/>
      <c r="M1705" s="288"/>
      <c r="N1705" s="288"/>
      <c r="O1705" s="288"/>
      <c r="P1705" s="288"/>
      <c r="Q1705" s="288"/>
      <c r="R1705" s="283"/>
      <c r="S1705" s="280"/>
      <c r="T1705" s="276"/>
      <c r="U1705" s="276"/>
      <c r="V1705" s="276"/>
      <c r="W1705" s="283"/>
      <c r="X1705" s="280"/>
      <c r="Y1705" s="280"/>
      <c r="Z1705" s="280"/>
      <c r="AA1705" s="280"/>
      <c r="AB1705" s="280"/>
      <c r="AC1705" s="280"/>
      <c r="AD1705" s="280"/>
      <c r="AG1705" s="3"/>
      <c r="AH1705" s="3"/>
      <c r="AI1705" s="3"/>
      <c r="AJ1705" s="3"/>
      <c r="AK1705" s="3"/>
      <c r="AL1705" s="3"/>
      <c r="AM1705" s="3"/>
      <c r="AN1705" s="3"/>
      <c r="AO1705" s="3"/>
      <c r="AP1705" s="11"/>
      <c r="AQ1705" s="11"/>
      <c r="AR1705" s="3"/>
      <c r="AS1705" s="3"/>
      <c r="AT1705" s="3"/>
      <c r="AU1705" s="3"/>
      <c r="AV1705" s="3"/>
      <c r="AW1705" s="3"/>
      <c r="AX1705" s="11"/>
      <c r="AZ1705"/>
      <c r="BA1705"/>
      <c r="BB1705"/>
      <c r="BC1705"/>
    </row>
    <row r="1706" spans="1:55" s="282" customFormat="1" x14ac:dyDescent="0.25">
      <c r="A1706"/>
      <c r="B1706"/>
      <c r="C1706" s="3"/>
      <c r="D1706"/>
      <c r="E1706"/>
      <c r="F1706"/>
      <c r="G1706" s="3"/>
      <c r="H1706" s="3"/>
      <c r="I1706" s="3"/>
      <c r="J1706" s="288"/>
      <c r="L1706" s="288"/>
      <c r="M1706" s="288"/>
      <c r="N1706" s="288"/>
      <c r="O1706" s="288"/>
      <c r="P1706" s="288"/>
      <c r="Q1706" s="288"/>
      <c r="R1706" s="283"/>
      <c r="S1706" s="280"/>
      <c r="T1706" s="276"/>
      <c r="U1706" s="276"/>
      <c r="V1706" s="276"/>
      <c r="W1706" s="283"/>
      <c r="X1706" s="280"/>
      <c r="Y1706" s="280"/>
      <c r="Z1706" s="280"/>
      <c r="AA1706" s="280"/>
      <c r="AB1706" s="280"/>
      <c r="AC1706" s="280"/>
      <c r="AD1706" s="280"/>
      <c r="AG1706" s="3"/>
      <c r="AH1706" s="3"/>
      <c r="AI1706" s="3"/>
      <c r="AJ1706" s="3"/>
      <c r="AK1706" s="3"/>
      <c r="AL1706" s="3"/>
      <c r="AM1706" s="3"/>
      <c r="AN1706" s="3"/>
      <c r="AO1706" s="3"/>
      <c r="AP1706" s="11"/>
      <c r="AQ1706" s="11"/>
      <c r="AR1706" s="3"/>
      <c r="AS1706" s="3"/>
      <c r="AT1706" s="3"/>
      <c r="AU1706" s="3"/>
      <c r="AV1706" s="3"/>
      <c r="AW1706" s="3"/>
      <c r="AX1706" s="11"/>
      <c r="AZ1706"/>
      <c r="BA1706"/>
      <c r="BB1706"/>
      <c r="BC1706"/>
    </row>
    <row r="1707" spans="1:55" s="282" customFormat="1" x14ac:dyDescent="0.25">
      <c r="A1707"/>
      <c r="B1707"/>
      <c r="C1707" s="3"/>
      <c r="D1707"/>
      <c r="E1707"/>
      <c r="F1707"/>
      <c r="G1707" s="3"/>
      <c r="H1707" s="3"/>
      <c r="I1707" s="3"/>
      <c r="J1707" s="288"/>
      <c r="L1707" s="288"/>
      <c r="M1707" s="288"/>
      <c r="N1707" s="288"/>
      <c r="O1707" s="288"/>
      <c r="P1707" s="288"/>
      <c r="Q1707" s="288"/>
      <c r="R1707" s="283"/>
      <c r="S1707" s="280"/>
      <c r="T1707" s="276"/>
      <c r="U1707" s="276"/>
      <c r="V1707" s="276"/>
      <c r="W1707" s="283"/>
      <c r="X1707" s="280"/>
      <c r="Y1707" s="280"/>
      <c r="Z1707" s="280"/>
      <c r="AA1707" s="280"/>
      <c r="AB1707" s="280"/>
      <c r="AC1707" s="280"/>
      <c r="AD1707" s="280"/>
      <c r="AG1707" s="3"/>
      <c r="AH1707" s="3"/>
      <c r="AI1707" s="3"/>
      <c r="AJ1707" s="3"/>
      <c r="AK1707" s="3"/>
      <c r="AL1707" s="3"/>
      <c r="AM1707" s="3"/>
      <c r="AN1707" s="3"/>
      <c r="AO1707" s="3"/>
      <c r="AP1707" s="11"/>
      <c r="AQ1707" s="11"/>
      <c r="AR1707" s="3"/>
      <c r="AS1707" s="3"/>
      <c r="AT1707" s="3"/>
      <c r="AU1707" s="3"/>
      <c r="AV1707" s="3"/>
      <c r="AW1707" s="3"/>
      <c r="AX1707" s="11"/>
      <c r="AZ1707"/>
      <c r="BA1707"/>
      <c r="BB1707"/>
      <c r="BC1707"/>
    </row>
    <row r="1708" spans="1:55" s="282" customFormat="1" x14ac:dyDescent="0.25">
      <c r="A1708"/>
      <c r="B1708"/>
      <c r="C1708" s="3"/>
      <c r="D1708"/>
      <c r="E1708"/>
      <c r="F1708"/>
      <c r="G1708" s="3"/>
      <c r="H1708" s="3"/>
      <c r="I1708" s="3"/>
      <c r="J1708" s="288"/>
      <c r="L1708" s="288"/>
      <c r="M1708" s="288"/>
      <c r="N1708" s="288"/>
      <c r="O1708" s="288"/>
      <c r="P1708" s="288"/>
      <c r="Q1708" s="288"/>
      <c r="R1708" s="283"/>
      <c r="S1708" s="280"/>
      <c r="T1708" s="276"/>
      <c r="U1708" s="276"/>
      <c r="V1708" s="276"/>
      <c r="W1708" s="283"/>
      <c r="X1708" s="280"/>
      <c r="Y1708" s="280"/>
      <c r="Z1708" s="280"/>
      <c r="AA1708" s="280"/>
      <c r="AB1708" s="280"/>
      <c r="AC1708" s="280"/>
      <c r="AD1708" s="280"/>
      <c r="AG1708" s="3"/>
      <c r="AH1708" s="3"/>
      <c r="AI1708" s="3"/>
      <c r="AJ1708" s="3"/>
      <c r="AK1708" s="3"/>
      <c r="AL1708" s="3"/>
      <c r="AM1708" s="3"/>
      <c r="AN1708" s="3"/>
      <c r="AO1708" s="3"/>
      <c r="AP1708" s="11"/>
      <c r="AQ1708" s="11"/>
      <c r="AR1708" s="3"/>
      <c r="AS1708" s="3"/>
      <c r="AT1708" s="3"/>
      <c r="AU1708" s="3"/>
      <c r="AV1708" s="3"/>
      <c r="AW1708" s="3"/>
      <c r="AX1708" s="11"/>
      <c r="AZ1708"/>
      <c r="BA1708"/>
      <c r="BB1708"/>
      <c r="BC1708"/>
    </row>
    <row r="1709" spans="1:55" s="282" customFormat="1" x14ac:dyDescent="0.25">
      <c r="A1709"/>
      <c r="B1709"/>
      <c r="C1709" s="3"/>
      <c r="D1709"/>
      <c r="E1709"/>
      <c r="F1709"/>
      <c r="G1709" s="3"/>
      <c r="H1709" s="3"/>
      <c r="I1709" s="3"/>
      <c r="J1709" s="288"/>
      <c r="L1709" s="288"/>
      <c r="M1709" s="288"/>
      <c r="N1709" s="288"/>
      <c r="O1709" s="288"/>
      <c r="P1709" s="288"/>
      <c r="Q1709" s="288"/>
      <c r="R1709" s="283"/>
      <c r="S1709" s="280"/>
      <c r="T1709" s="276"/>
      <c r="U1709" s="276"/>
      <c r="V1709" s="276"/>
      <c r="W1709" s="283"/>
      <c r="X1709" s="280"/>
      <c r="Y1709" s="280"/>
      <c r="Z1709" s="280"/>
      <c r="AA1709" s="280"/>
      <c r="AB1709" s="280"/>
      <c r="AC1709" s="280"/>
      <c r="AD1709" s="280"/>
      <c r="AG1709" s="3"/>
      <c r="AH1709" s="3"/>
      <c r="AI1709" s="3"/>
      <c r="AJ1709" s="3"/>
      <c r="AK1709" s="3"/>
      <c r="AL1709" s="3"/>
      <c r="AM1709" s="3"/>
      <c r="AN1709" s="3"/>
      <c r="AO1709" s="3"/>
      <c r="AP1709" s="11"/>
      <c r="AQ1709" s="11"/>
      <c r="AR1709" s="3"/>
      <c r="AS1709" s="3"/>
      <c r="AT1709" s="3"/>
      <c r="AU1709" s="3"/>
      <c r="AV1709" s="3"/>
      <c r="AW1709" s="3"/>
      <c r="AX1709" s="11"/>
      <c r="AZ1709"/>
      <c r="BA1709"/>
      <c r="BB1709"/>
      <c r="BC1709"/>
    </row>
    <row r="1710" spans="1:55" s="282" customFormat="1" x14ac:dyDescent="0.25">
      <c r="A1710"/>
      <c r="B1710"/>
      <c r="C1710" s="3"/>
      <c r="D1710"/>
      <c r="E1710"/>
      <c r="F1710"/>
      <c r="G1710" s="3"/>
      <c r="H1710" s="3"/>
      <c r="I1710" s="3"/>
      <c r="J1710" s="288"/>
      <c r="L1710" s="288"/>
      <c r="M1710" s="288"/>
      <c r="N1710" s="288"/>
      <c r="O1710" s="288"/>
      <c r="P1710" s="288"/>
      <c r="Q1710" s="288"/>
      <c r="R1710" s="283"/>
      <c r="S1710" s="280"/>
      <c r="T1710" s="276"/>
      <c r="U1710" s="276"/>
      <c r="V1710" s="276"/>
      <c r="W1710" s="283"/>
      <c r="X1710" s="280"/>
      <c r="Y1710" s="280"/>
      <c r="Z1710" s="280"/>
      <c r="AA1710" s="280"/>
      <c r="AB1710" s="280"/>
      <c r="AC1710" s="280"/>
      <c r="AD1710" s="280"/>
      <c r="AG1710" s="3"/>
      <c r="AH1710" s="3"/>
      <c r="AI1710" s="3"/>
      <c r="AJ1710" s="3"/>
      <c r="AK1710" s="3"/>
      <c r="AL1710" s="3"/>
      <c r="AM1710" s="3"/>
      <c r="AN1710" s="3"/>
      <c r="AO1710" s="3"/>
      <c r="AP1710" s="11"/>
      <c r="AQ1710" s="11"/>
      <c r="AR1710" s="3"/>
      <c r="AS1710" s="3"/>
      <c r="AT1710" s="3"/>
      <c r="AU1710" s="3"/>
      <c r="AV1710" s="3"/>
      <c r="AW1710" s="3"/>
      <c r="AX1710" s="11"/>
      <c r="AZ1710"/>
      <c r="BA1710"/>
      <c r="BB1710"/>
      <c r="BC1710"/>
    </row>
    <row r="1711" spans="1:55" s="282" customFormat="1" x14ac:dyDescent="0.25">
      <c r="A1711"/>
      <c r="B1711"/>
      <c r="C1711" s="3"/>
      <c r="D1711"/>
      <c r="E1711"/>
      <c r="F1711"/>
      <c r="G1711" s="3"/>
      <c r="H1711" s="3"/>
      <c r="I1711" s="3"/>
      <c r="J1711" s="288"/>
      <c r="L1711" s="288"/>
      <c r="M1711" s="288"/>
      <c r="N1711" s="288"/>
      <c r="O1711" s="288"/>
      <c r="P1711" s="288"/>
      <c r="Q1711" s="288"/>
      <c r="R1711" s="283"/>
      <c r="S1711" s="280"/>
      <c r="T1711" s="276"/>
      <c r="U1711" s="276"/>
      <c r="V1711" s="276"/>
      <c r="W1711" s="283"/>
      <c r="X1711" s="280"/>
      <c r="Y1711" s="280"/>
      <c r="Z1711" s="280"/>
      <c r="AA1711" s="280"/>
      <c r="AB1711" s="280"/>
      <c r="AC1711" s="280"/>
      <c r="AD1711" s="280"/>
      <c r="AG1711" s="3"/>
      <c r="AH1711" s="3"/>
      <c r="AI1711" s="3"/>
      <c r="AJ1711" s="3"/>
      <c r="AK1711" s="3"/>
      <c r="AL1711" s="3"/>
      <c r="AM1711" s="3"/>
      <c r="AN1711" s="3"/>
      <c r="AO1711" s="3"/>
      <c r="AP1711" s="11"/>
      <c r="AQ1711" s="11"/>
      <c r="AR1711" s="3"/>
      <c r="AS1711" s="3"/>
      <c r="AT1711" s="3"/>
      <c r="AU1711" s="3"/>
      <c r="AV1711" s="3"/>
      <c r="AW1711" s="3"/>
      <c r="AX1711" s="11"/>
      <c r="AZ1711"/>
      <c r="BA1711"/>
      <c r="BB1711"/>
      <c r="BC1711"/>
    </row>
    <row r="1712" spans="1:55" s="282" customFormat="1" x14ac:dyDescent="0.25">
      <c r="A1712"/>
      <c r="B1712"/>
      <c r="C1712" s="3"/>
      <c r="D1712"/>
      <c r="E1712"/>
      <c r="F1712"/>
      <c r="G1712" s="3"/>
      <c r="H1712" s="3"/>
      <c r="I1712" s="3"/>
      <c r="J1712" s="288"/>
      <c r="L1712" s="288"/>
      <c r="M1712" s="288"/>
      <c r="N1712" s="288"/>
      <c r="O1712" s="288"/>
      <c r="P1712" s="288"/>
      <c r="Q1712" s="288"/>
      <c r="R1712" s="283"/>
      <c r="S1712" s="280"/>
      <c r="T1712" s="276"/>
      <c r="U1712" s="276"/>
      <c r="V1712" s="276"/>
      <c r="W1712" s="283"/>
      <c r="X1712" s="280"/>
      <c r="Y1712" s="280"/>
      <c r="Z1712" s="280"/>
      <c r="AA1712" s="280"/>
      <c r="AB1712" s="280"/>
      <c r="AC1712" s="280"/>
      <c r="AD1712" s="280"/>
      <c r="AG1712" s="3"/>
      <c r="AH1712" s="3"/>
      <c r="AI1712" s="3"/>
      <c r="AJ1712" s="3"/>
      <c r="AK1712" s="3"/>
      <c r="AL1712" s="3"/>
      <c r="AM1712" s="3"/>
      <c r="AN1712" s="3"/>
      <c r="AO1712" s="3"/>
      <c r="AP1712" s="11"/>
      <c r="AQ1712" s="11"/>
      <c r="AR1712" s="3"/>
      <c r="AS1712" s="3"/>
      <c r="AT1712" s="3"/>
      <c r="AU1712" s="3"/>
      <c r="AV1712" s="3"/>
      <c r="AW1712" s="3"/>
      <c r="AX1712" s="11"/>
      <c r="AZ1712"/>
      <c r="BA1712"/>
      <c r="BB1712"/>
      <c r="BC1712"/>
    </row>
    <row r="1713" spans="1:55" s="282" customFormat="1" x14ac:dyDescent="0.25">
      <c r="A1713"/>
      <c r="B1713"/>
      <c r="C1713" s="3"/>
      <c r="D1713"/>
      <c r="E1713"/>
      <c r="F1713"/>
      <c r="G1713" s="3"/>
      <c r="H1713" s="3"/>
      <c r="I1713" s="3"/>
      <c r="J1713" s="288"/>
      <c r="L1713" s="288"/>
      <c r="M1713" s="288"/>
      <c r="N1713" s="288"/>
      <c r="O1713" s="288"/>
      <c r="P1713" s="288"/>
      <c r="Q1713" s="288"/>
      <c r="R1713" s="283"/>
      <c r="S1713" s="280"/>
      <c r="T1713" s="276"/>
      <c r="U1713" s="276"/>
      <c r="V1713" s="276"/>
      <c r="W1713" s="283"/>
      <c r="X1713" s="280"/>
      <c r="Y1713" s="280"/>
      <c r="Z1713" s="280"/>
      <c r="AA1713" s="280"/>
      <c r="AB1713" s="280"/>
      <c r="AC1713" s="280"/>
      <c r="AD1713" s="280"/>
      <c r="AG1713" s="3"/>
      <c r="AH1713" s="3"/>
      <c r="AI1713" s="3"/>
      <c r="AJ1713" s="3"/>
      <c r="AK1713" s="3"/>
      <c r="AL1713" s="3"/>
      <c r="AM1713" s="3"/>
      <c r="AN1713" s="3"/>
      <c r="AO1713" s="3"/>
      <c r="AP1713" s="11"/>
      <c r="AQ1713" s="11"/>
      <c r="AR1713" s="3"/>
      <c r="AS1713" s="3"/>
      <c r="AT1713" s="3"/>
      <c r="AU1713" s="3"/>
      <c r="AV1713" s="3"/>
      <c r="AW1713" s="3"/>
      <c r="AX1713" s="11"/>
      <c r="AZ1713"/>
      <c r="BA1713"/>
      <c r="BB1713"/>
      <c r="BC1713"/>
    </row>
    <row r="1714" spans="1:55" s="282" customFormat="1" x14ac:dyDescent="0.25">
      <c r="A1714"/>
      <c r="B1714"/>
      <c r="C1714" s="3"/>
      <c r="D1714"/>
      <c r="E1714"/>
      <c r="F1714"/>
      <c r="G1714" s="3"/>
      <c r="H1714" s="3"/>
      <c r="I1714" s="3"/>
      <c r="J1714" s="288"/>
      <c r="L1714" s="288"/>
      <c r="M1714" s="288"/>
      <c r="N1714" s="288"/>
      <c r="O1714" s="288"/>
      <c r="P1714" s="288"/>
      <c r="Q1714" s="288"/>
      <c r="R1714" s="283"/>
      <c r="S1714" s="280"/>
      <c r="T1714" s="276"/>
      <c r="U1714" s="276"/>
      <c r="V1714" s="276"/>
      <c r="W1714" s="283"/>
      <c r="X1714" s="280"/>
      <c r="Y1714" s="280"/>
      <c r="Z1714" s="280"/>
      <c r="AA1714" s="280"/>
      <c r="AB1714" s="280"/>
      <c r="AC1714" s="280"/>
      <c r="AD1714" s="280"/>
      <c r="AG1714" s="3"/>
      <c r="AH1714" s="3"/>
      <c r="AI1714" s="3"/>
      <c r="AJ1714" s="3"/>
      <c r="AK1714" s="3"/>
      <c r="AL1714" s="3"/>
      <c r="AM1714" s="3"/>
      <c r="AN1714" s="3"/>
      <c r="AO1714" s="3"/>
      <c r="AP1714" s="11"/>
      <c r="AQ1714" s="11"/>
      <c r="AR1714" s="3"/>
      <c r="AS1714" s="3"/>
      <c r="AT1714" s="3"/>
      <c r="AU1714" s="3"/>
      <c r="AV1714" s="3"/>
      <c r="AW1714" s="3"/>
      <c r="AX1714" s="11"/>
      <c r="AZ1714"/>
      <c r="BA1714"/>
      <c r="BB1714"/>
      <c r="BC1714"/>
    </row>
    <row r="1715" spans="1:55" s="282" customFormat="1" x14ac:dyDescent="0.25">
      <c r="A1715"/>
      <c r="B1715"/>
      <c r="C1715" s="3"/>
      <c r="D1715"/>
      <c r="E1715"/>
      <c r="F1715"/>
      <c r="G1715" s="3"/>
      <c r="H1715" s="3"/>
      <c r="I1715" s="3"/>
      <c r="J1715" s="288"/>
      <c r="L1715" s="288"/>
      <c r="M1715" s="288"/>
      <c r="N1715" s="288"/>
      <c r="O1715" s="288"/>
      <c r="P1715" s="288"/>
      <c r="Q1715" s="288"/>
      <c r="R1715" s="283"/>
      <c r="S1715" s="280"/>
      <c r="T1715" s="276"/>
      <c r="U1715" s="276"/>
      <c r="V1715" s="276"/>
      <c r="W1715" s="283"/>
      <c r="X1715" s="280"/>
      <c r="Y1715" s="280"/>
      <c r="Z1715" s="280"/>
      <c r="AA1715" s="280"/>
      <c r="AB1715" s="280"/>
      <c r="AC1715" s="280"/>
      <c r="AD1715" s="280"/>
      <c r="AG1715" s="3"/>
      <c r="AH1715" s="3"/>
      <c r="AI1715" s="3"/>
      <c r="AJ1715" s="3"/>
      <c r="AK1715" s="3"/>
      <c r="AL1715" s="3"/>
      <c r="AM1715" s="3"/>
      <c r="AN1715" s="3"/>
      <c r="AO1715" s="3"/>
      <c r="AP1715" s="11"/>
      <c r="AQ1715" s="11"/>
      <c r="AR1715" s="3"/>
      <c r="AS1715" s="3"/>
      <c r="AT1715" s="3"/>
      <c r="AU1715" s="3"/>
      <c r="AV1715" s="3"/>
      <c r="AW1715" s="3"/>
      <c r="AX1715" s="11"/>
      <c r="AZ1715"/>
      <c r="BA1715"/>
      <c r="BB1715"/>
      <c r="BC1715"/>
    </row>
    <row r="1716" spans="1:55" s="282" customFormat="1" x14ac:dyDescent="0.25">
      <c r="A1716"/>
      <c r="B1716"/>
      <c r="C1716" s="3"/>
      <c r="D1716"/>
      <c r="E1716"/>
      <c r="F1716"/>
      <c r="G1716" s="3"/>
      <c r="H1716" s="3"/>
      <c r="I1716" s="3"/>
      <c r="J1716" s="288"/>
      <c r="L1716" s="288"/>
      <c r="M1716" s="288"/>
      <c r="N1716" s="288"/>
      <c r="O1716" s="288"/>
      <c r="P1716" s="288"/>
      <c r="Q1716" s="288"/>
      <c r="R1716" s="283"/>
      <c r="S1716" s="280"/>
      <c r="T1716" s="276"/>
      <c r="U1716" s="276"/>
      <c r="V1716" s="276"/>
      <c r="W1716" s="283"/>
      <c r="X1716" s="280"/>
      <c r="Y1716" s="280"/>
      <c r="Z1716" s="280"/>
      <c r="AA1716" s="280"/>
      <c r="AB1716" s="280"/>
      <c r="AC1716" s="280"/>
      <c r="AD1716" s="280"/>
      <c r="AG1716" s="3"/>
      <c r="AH1716" s="3"/>
      <c r="AI1716" s="3"/>
      <c r="AJ1716" s="3"/>
      <c r="AK1716" s="3"/>
      <c r="AL1716" s="3"/>
      <c r="AM1716" s="3"/>
      <c r="AN1716" s="3"/>
      <c r="AO1716" s="3"/>
      <c r="AP1716" s="11"/>
      <c r="AQ1716" s="11"/>
      <c r="AR1716" s="3"/>
      <c r="AS1716" s="3"/>
      <c r="AT1716" s="3"/>
      <c r="AU1716" s="3"/>
      <c r="AV1716" s="3"/>
      <c r="AW1716" s="3"/>
      <c r="AX1716" s="11"/>
      <c r="AZ1716"/>
      <c r="BA1716"/>
      <c r="BB1716"/>
      <c r="BC1716"/>
    </row>
    <row r="1717" spans="1:55" s="282" customFormat="1" x14ac:dyDescent="0.25">
      <c r="A1717"/>
      <c r="B1717"/>
      <c r="C1717" s="3"/>
      <c r="D1717"/>
      <c r="E1717"/>
      <c r="F1717"/>
      <c r="G1717" s="3"/>
      <c r="H1717" s="3"/>
      <c r="I1717" s="3"/>
      <c r="J1717" s="288"/>
      <c r="L1717" s="288"/>
      <c r="M1717" s="288"/>
      <c r="N1717" s="288"/>
      <c r="O1717" s="288"/>
      <c r="P1717" s="288"/>
      <c r="Q1717" s="288"/>
      <c r="R1717" s="283"/>
      <c r="S1717" s="280"/>
      <c r="T1717" s="276"/>
      <c r="U1717" s="276"/>
      <c r="V1717" s="276"/>
      <c r="W1717" s="283"/>
      <c r="X1717" s="280"/>
      <c r="Y1717" s="280"/>
      <c r="Z1717" s="280"/>
      <c r="AA1717" s="280"/>
      <c r="AB1717" s="280"/>
      <c r="AC1717" s="280"/>
      <c r="AD1717" s="280"/>
      <c r="AG1717" s="3"/>
      <c r="AH1717" s="3"/>
      <c r="AI1717" s="3"/>
      <c r="AJ1717" s="3"/>
      <c r="AK1717" s="3"/>
      <c r="AL1717" s="3"/>
      <c r="AM1717" s="3"/>
      <c r="AN1717" s="3"/>
      <c r="AO1717" s="3"/>
      <c r="AP1717" s="11"/>
      <c r="AQ1717" s="11"/>
      <c r="AR1717" s="3"/>
      <c r="AS1717" s="3"/>
      <c r="AT1717" s="3"/>
      <c r="AU1717" s="3"/>
      <c r="AV1717" s="3"/>
      <c r="AW1717" s="3"/>
      <c r="AX1717" s="11"/>
      <c r="AZ1717"/>
      <c r="BA1717"/>
      <c r="BB1717"/>
      <c r="BC1717"/>
    </row>
    <row r="1718" spans="1:55" s="282" customFormat="1" x14ac:dyDescent="0.25">
      <c r="A1718"/>
      <c r="B1718"/>
      <c r="C1718" s="3"/>
      <c r="D1718"/>
      <c r="E1718"/>
      <c r="F1718"/>
      <c r="G1718" s="3"/>
      <c r="H1718" s="3"/>
      <c r="I1718" s="3"/>
      <c r="J1718" s="288"/>
      <c r="L1718" s="288"/>
      <c r="M1718" s="288"/>
      <c r="N1718" s="288"/>
      <c r="O1718" s="288"/>
      <c r="P1718" s="288"/>
      <c r="Q1718" s="288"/>
      <c r="R1718" s="283"/>
      <c r="S1718" s="280"/>
      <c r="T1718" s="276"/>
      <c r="U1718" s="276"/>
      <c r="V1718" s="276"/>
      <c r="W1718" s="283"/>
      <c r="X1718" s="280"/>
      <c r="Y1718" s="280"/>
      <c r="Z1718" s="280"/>
      <c r="AA1718" s="280"/>
      <c r="AB1718" s="280"/>
      <c r="AC1718" s="280"/>
      <c r="AD1718" s="280"/>
      <c r="AG1718" s="3"/>
      <c r="AH1718" s="3"/>
      <c r="AI1718" s="3"/>
      <c r="AJ1718" s="3"/>
      <c r="AK1718" s="3"/>
      <c r="AL1718" s="3"/>
      <c r="AM1718" s="3"/>
      <c r="AN1718" s="3"/>
      <c r="AO1718" s="3"/>
      <c r="AP1718" s="11"/>
      <c r="AQ1718" s="11"/>
      <c r="AR1718" s="3"/>
      <c r="AS1718" s="3"/>
      <c r="AT1718" s="3"/>
      <c r="AU1718" s="3"/>
      <c r="AV1718" s="3"/>
      <c r="AW1718" s="3"/>
      <c r="AX1718" s="11"/>
      <c r="AZ1718"/>
      <c r="BA1718"/>
      <c r="BB1718"/>
      <c r="BC1718"/>
    </row>
    <row r="1719" spans="1:55" s="282" customFormat="1" x14ac:dyDescent="0.25">
      <c r="A1719"/>
      <c r="B1719"/>
      <c r="C1719" s="3"/>
      <c r="D1719"/>
      <c r="E1719"/>
      <c r="F1719"/>
      <c r="G1719" s="3"/>
      <c r="H1719" s="3"/>
      <c r="I1719" s="3"/>
      <c r="J1719" s="288"/>
      <c r="L1719" s="288"/>
      <c r="M1719" s="288"/>
      <c r="N1719" s="288"/>
      <c r="O1719" s="288"/>
      <c r="P1719" s="288"/>
      <c r="Q1719" s="288"/>
      <c r="R1719" s="283"/>
      <c r="S1719" s="280"/>
      <c r="T1719" s="276"/>
      <c r="U1719" s="276"/>
      <c r="V1719" s="276"/>
      <c r="W1719" s="283"/>
      <c r="X1719" s="280"/>
      <c r="Y1719" s="280"/>
      <c r="Z1719" s="280"/>
      <c r="AA1719" s="280"/>
      <c r="AB1719" s="280"/>
      <c r="AC1719" s="280"/>
      <c r="AD1719" s="280"/>
      <c r="AG1719" s="3"/>
      <c r="AH1719" s="3"/>
      <c r="AI1719" s="3"/>
      <c r="AJ1719" s="3"/>
      <c r="AK1719" s="3"/>
      <c r="AL1719" s="3"/>
      <c r="AM1719" s="3"/>
      <c r="AN1719" s="3"/>
      <c r="AO1719" s="3"/>
      <c r="AP1719" s="11"/>
      <c r="AQ1719" s="11"/>
      <c r="AR1719" s="3"/>
      <c r="AS1719" s="3"/>
      <c r="AT1719" s="3"/>
      <c r="AU1719" s="3"/>
      <c r="AV1719" s="3"/>
      <c r="AW1719" s="3"/>
      <c r="AX1719" s="11"/>
      <c r="AZ1719"/>
      <c r="BA1719"/>
      <c r="BB1719"/>
      <c r="BC1719"/>
    </row>
    <row r="1720" spans="1:55" s="282" customFormat="1" x14ac:dyDescent="0.25">
      <c r="A1720"/>
      <c r="B1720"/>
      <c r="C1720" s="3"/>
      <c r="D1720"/>
      <c r="E1720"/>
      <c r="F1720"/>
      <c r="G1720" s="3"/>
      <c r="H1720" s="3"/>
      <c r="I1720" s="3"/>
      <c r="J1720" s="288"/>
      <c r="L1720" s="288"/>
      <c r="M1720" s="288"/>
      <c r="N1720" s="288"/>
      <c r="O1720" s="288"/>
      <c r="P1720" s="288"/>
      <c r="Q1720" s="288"/>
      <c r="R1720" s="283"/>
      <c r="S1720" s="280"/>
      <c r="T1720" s="276"/>
      <c r="U1720" s="276"/>
      <c r="V1720" s="276"/>
      <c r="W1720" s="283"/>
      <c r="X1720" s="280"/>
      <c r="Y1720" s="280"/>
      <c r="Z1720" s="280"/>
      <c r="AA1720" s="280"/>
      <c r="AB1720" s="280"/>
      <c r="AC1720" s="280"/>
      <c r="AD1720" s="280"/>
      <c r="AG1720" s="3"/>
      <c r="AH1720" s="3"/>
      <c r="AI1720" s="3"/>
      <c r="AJ1720" s="3"/>
      <c r="AK1720" s="3"/>
      <c r="AL1720" s="3"/>
      <c r="AM1720" s="3"/>
      <c r="AN1720" s="3"/>
      <c r="AO1720" s="3"/>
      <c r="AP1720" s="11"/>
      <c r="AQ1720" s="11"/>
      <c r="AR1720" s="3"/>
      <c r="AS1720" s="3"/>
      <c r="AT1720" s="3"/>
      <c r="AU1720" s="3"/>
      <c r="AV1720" s="3"/>
      <c r="AW1720" s="3"/>
      <c r="AX1720" s="11"/>
      <c r="AZ1720"/>
      <c r="BA1720"/>
      <c r="BB1720"/>
      <c r="BC1720"/>
    </row>
    <row r="1721" spans="1:55" s="282" customFormat="1" x14ac:dyDescent="0.25">
      <c r="A1721"/>
      <c r="B1721"/>
      <c r="C1721" s="3"/>
      <c r="D1721"/>
      <c r="E1721"/>
      <c r="F1721"/>
      <c r="G1721" s="3"/>
      <c r="H1721" s="3"/>
      <c r="I1721" s="3"/>
      <c r="J1721" s="288"/>
      <c r="L1721" s="288"/>
      <c r="M1721" s="288"/>
      <c r="N1721" s="288"/>
      <c r="O1721" s="288"/>
      <c r="P1721" s="288"/>
      <c r="Q1721" s="288"/>
      <c r="R1721" s="283"/>
      <c r="S1721" s="280"/>
      <c r="T1721" s="276"/>
      <c r="U1721" s="276"/>
      <c r="V1721" s="276"/>
      <c r="W1721" s="283"/>
      <c r="X1721" s="280"/>
      <c r="Y1721" s="280"/>
      <c r="Z1721" s="280"/>
      <c r="AA1721" s="280"/>
      <c r="AB1721" s="280"/>
      <c r="AC1721" s="280"/>
      <c r="AD1721" s="280"/>
      <c r="AG1721" s="3"/>
      <c r="AH1721" s="3"/>
      <c r="AI1721" s="3"/>
      <c r="AJ1721" s="3"/>
      <c r="AK1721" s="3"/>
      <c r="AL1721" s="3"/>
      <c r="AM1721" s="3"/>
      <c r="AN1721" s="3"/>
      <c r="AO1721" s="3"/>
      <c r="AP1721" s="11"/>
      <c r="AQ1721" s="11"/>
      <c r="AR1721" s="3"/>
      <c r="AS1721" s="3"/>
      <c r="AT1721" s="3"/>
      <c r="AU1721" s="3"/>
      <c r="AV1721" s="3"/>
      <c r="AW1721" s="3"/>
      <c r="AX1721" s="11"/>
      <c r="AZ1721"/>
      <c r="BA1721"/>
      <c r="BB1721"/>
      <c r="BC1721"/>
    </row>
    <row r="1722" spans="1:55" s="282" customFormat="1" x14ac:dyDescent="0.25">
      <c r="A1722"/>
      <c r="B1722"/>
      <c r="C1722" s="3"/>
      <c r="D1722"/>
      <c r="E1722"/>
      <c r="F1722"/>
      <c r="G1722" s="3"/>
      <c r="H1722" s="3"/>
      <c r="I1722" s="3"/>
      <c r="J1722" s="288"/>
      <c r="L1722" s="288"/>
      <c r="M1722" s="288"/>
      <c r="N1722" s="288"/>
      <c r="O1722" s="288"/>
      <c r="P1722" s="288"/>
      <c r="Q1722" s="288"/>
      <c r="R1722" s="283"/>
      <c r="S1722" s="280"/>
      <c r="T1722" s="276"/>
      <c r="U1722" s="276"/>
      <c r="V1722" s="276"/>
      <c r="W1722" s="283"/>
      <c r="X1722" s="280"/>
      <c r="Y1722" s="280"/>
      <c r="Z1722" s="280"/>
      <c r="AA1722" s="280"/>
      <c r="AB1722" s="280"/>
      <c r="AC1722" s="280"/>
      <c r="AD1722" s="280"/>
      <c r="AG1722" s="3"/>
      <c r="AH1722" s="3"/>
      <c r="AI1722" s="3"/>
      <c r="AJ1722" s="3"/>
      <c r="AK1722" s="3"/>
      <c r="AL1722" s="3"/>
      <c r="AM1722" s="3"/>
      <c r="AN1722" s="3"/>
      <c r="AO1722" s="3"/>
      <c r="AP1722" s="11"/>
      <c r="AQ1722" s="11"/>
      <c r="AR1722" s="3"/>
      <c r="AS1722" s="3"/>
      <c r="AT1722" s="3"/>
      <c r="AU1722" s="3"/>
      <c r="AV1722" s="3"/>
      <c r="AW1722" s="3"/>
      <c r="AX1722" s="11"/>
      <c r="AZ1722"/>
      <c r="BA1722"/>
      <c r="BB1722"/>
      <c r="BC1722"/>
    </row>
    <row r="1723" spans="1:55" s="282" customFormat="1" x14ac:dyDescent="0.25">
      <c r="A1723"/>
      <c r="B1723"/>
      <c r="C1723" s="3"/>
      <c r="D1723"/>
      <c r="E1723"/>
      <c r="F1723"/>
      <c r="G1723" s="3"/>
      <c r="H1723" s="3"/>
      <c r="I1723" s="3"/>
      <c r="J1723" s="288"/>
      <c r="L1723" s="288"/>
      <c r="M1723" s="288"/>
      <c r="N1723" s="288"/>
      <c r="O1723" s="288"/>
      <c r="P1723" s="288"/>
      <c r="Q1723" s="288"/>
      <c r="R1723" s="283"/>
      <c r="S1723" s="280"/>
      <c r="T1723" s="276"/>
      <c r="U1723" s="276"/>
      <c r="V1723" s="276"/>
      <c r="W1723" s="283"/>
      <c r="X1723" s="280"/>
      <c r="Y1723" s="280"/>
      <c r="Z1723" s="280"/>
      <c r="AA1723" s="280"/>
      <c r="AB1723" s="280"/>
      <c r="AC1723" s="280"/>
      <c r="AD1723" s="280"/>
      <c r="AG1723" s="3"/>
      <c r="AH1723" s="3"/>
      <c r="AI1723" s="3"/>
      <c r="AJ1723" s="3"/>
      <c r="AK1723" s="3"/>
      <c r="AL1723" s="3"/>
      <c r="AM1723" s="3"/>
      <c r="AN1723" s="3"/>
      <c r="AO1723" s="3"/>
      <c r="AP1723" s="11"/>
      <c r="AQ1723" s="11"/>
      <c r="AR1723" s="3"/>
      <c r="AS1723" s="3"/>
      <c r="AT1723" s="3"/>
      <c r="AU1723" s="3"/>
      <c r="AV1723" s="3"/>
      <c r="AW1723" s="3"/>
      <c r="AX1723" s="11"/>
      <c r="AZ1723"/>
      <c r="BA1723"/>
      <c r="BB1723"/>
      <c r="BC1723"/>
    </row>
    <row r="1724" spans="1:55" s="282" customFormat="1" x14ac:dyDescent="0.25">
      <c r="A1724"/>
      <c r="B1724"/>
      <c r="C1724" s="3"/>
      <c r="D1724"/>
      <c r="E1724"/>
      <c r="F1724"/>
      <c r="G1724" s="3"/>
      <c r="H1724" s="3"/>
      <c r="I1724" s="3"/>
      <c r="J1724" s="288"/>
      <c r="L1724" s="288"/>
      <c r="M1724" s="288"/>
      <c r="N1724" s="288"/>
      <c r="O1724" s="288"/>
      <c r="P1724" s="288"/>
      <c r="Q1724" s="288"/>
      <c r="R1724" s="283"/>
      <c r="S1724" s="280"/>
      <c r="T1724" s="276"/>
      <c r="U1724" s="276"/>
      <c r="V1724" s="276"/>
      <c r="W1724" s="283"/>
      <c r="X1724" s="280"/>
      <c r="Y1724" s="280"/>
      <c r="Z1724" s="280"/>
      <c r="AA1724" s="280"/>
      <c r="AB1724" s="280"/>
      <c r="AC1724" s="280"/>
      <c r="AD1724" s="280"/>
      <c r="AG1724" s="3"/>
      <c r="AH1724" s="3"/>
      <c r="AI1724" s="3"/>
      <c r="AJ1724" s="3"/>
      <c r="AK1724" s="3"/>
      <c r="AL1724" s="3"/>
      <c r="AM1724" s="3"/>
      <c r="AN1724" s="3"/>
      <c r="AO1724" s="3"/>
      <c r="AP1724" s="11"/>
      <c r="AQ1724" s="11"/>
      <c r="AR1724" s="3"/>
      <c r="AS1724" s="3"/>
      <c r="AT1724" s="3"/>
      <c r="AU1724" s="3"/>
      <c r="AV1724" s="3"/>
      <c r="AW1724" s="3"/>
      <c r="AX1724" s="11"/>
      <c r="AZ1724"/>
      <c r="BA1724"/>
      <c r="BB1724"/>
      <c r="BC1724"/>
    </row>
    <row r="1725" spans="1:55" s="282" customFormat="1" x14ac:dyDescent="0.25">
      <c r="A1725"/>
      <c r="B1725"/>
      <c r="C1725" s="3"/>
      <c r="D1725"/>
      <c r="E1725"/>
      <c r="F1725"/>
      <c r="G1725" s="3"/>
      <c r="H1725" s="3"/>
      <c r="I1725" s="3"/>
      <c r="J1725" s="288"/>
      <c r="L1725" s="288"/>
      <c r="M1725" s="288"/>
      <c r="N1725" s="288"/>
      <c r="O1725" s="288"/>
      <c r="P1725" s="288"/>
      <c r="Q1725" s="288"/>
      <c r="R1725" s="283"/>
      <c r="S1725" s="280"/>
      <c r="T1725" s="276"/>
      <c r="U1725" s="276"/>
      <c r="V1725" s="276"/>
      <c r="W1725" s="283"/>
      <c r="X1725" s="280"/>
      <c r="Y1725" s="280"/>
      <c r="Z1725" s="280"/>
      <c r="AA1725" s="280"/>
      <c r="AB1725" s="280"/>
      <c r="AC1725" s="280"/>
      <c r="AD1725" s="280"/>
      <c r="AG1725" s="3"/>
      <c r="AH1725" s="3"/>
      <c r="AI1725" s="3"/>
      <c r="AJ1725" s="3"/>
      <c r="AK1725" s="3"/>
      <c r="AL1725" s="3"/>
      <c r="AM1725" s="3"/>
      <c r="AN1725" s="3"/>
      <c r="AO1725" s="3"/>
      <c r="AP1725" s="11"/>
      <c r="AQ1725" s="11"/>
      <c r="AR1725" s="3"/>
      <c r="AS1725" s="3"/>
      <c r="AT1725" s="3"/>
      <c r="AU1725" s="3"/>
      <c r="AV1725" s="3"/>
      <c r="AW1725" s="3"/>
      <c r="AX1725" s="11"/>
      <c r="AZ1725"/>
      <c r="BA1725"/>
      <c r="BB1725"/>
      <c r="BC1725"/>
    </row>
    <row r="1726" spans="1:55" s="282" customFormat="1" x14ac:dyDescent="0.25">
      <c r="A1726"/>
      <c r="B1726"/>
      <c r="C1726" s="3"/>
      <c r="D1726"/>
      <c r="E1726"/>
      <c r="F1726"/>
      <c r="G1726" s="3"/>
      <c r="H1726" s="3"/>
      <c r="I1726" s="3"/>
      <c r="J1726" s="288"/>
      <c r="L1726" s="288"/>
      <c r="M1726" s="288"/>
      <c r="N1726" s="288"/>
      <c r="O1726" s="288"/>
      <c r="P1726" s="288"/>
      <c r="Q1726" s="288"/>
      <c r="R1726" s="283"/>
      <c r="S1726" s="280"/>
      <c r="T1726" s="276"/>
      <c r="U1726" s="276"/>
      <c r="V1726" s="276"/>
      <c r="W1726" s="283"/>
      <c r="X1726" s="280"/>
      <c r="Y1726" s="280"/>
      <c r="Z1726" s="280"/>
      <c r="AA1726" s="280"/>
      <c r="AB1726" s="280"/>
      <c r="AC1726" s="280"/>
      <c r="AD1726" s="280"/>
      <c r="AG1726" s="3"/>
      <c r="AH1726" s="3"/>
      <c r="AI1726" s="3"/>
      <c r="AJ1726" s="3"/>
      <c r="AK1726" s="3"/>
      <c r="AL1726" s="3"/>
      <c r="AM1726" s="3"/>
      <c r="AN1726" s="3"/>
      <c r="AO1726" s="3"/>
      <c r="AP1726" s="11"/>
      <c r="AQ1726" s="11"/>
      <c r="AR1726" s="3"/>
      <c r="AS1726" s="3"/>
      <c r="AT1726" s="3"/>
      <c r="AU1726" s="3"/>
      <c r="AV1726" s="3"/>
      <c r="AW1726" s="3"/>
      <c r="AX1726" s="11"/>
      <c r="AZ1726"/>
      <c r="BA1726"/>
      <c r="BB1726"/>
      <c r="BC1726"/>
    </row>
    <row r="1727" spans="1:55" s="282" customFormat="1" x14ac:dyDescent="0.25">
      <c r="A1727"/>
      <c r="B1727"/>
      <c r="C1727" s="3"/>
      <c r="D1727"/>
      <c r="E1727"/>
      <c r="F1727"/>
      <c r="G1727" s="3"/>
      <c r="H1727" s="3"/>
      <c r="I1727" s="3"/>
      <c r="J1727" s="288"/>
      <c r="L1727" s="288"/>
      <c r="M1727" s="288"/>
      <c r="N1727" s="288"/>
      <c r="O1727" s="288"/>
      <c r="P1727" s="288"/>
      <c r="Q1727" s="288"/>
      <c r="R1727" s="283"/>
      <c r="S1727" s="280"/>
      <c r="T1727" s="276"/>
      <c r="U1727" s="276"/>
      <c r="V1727" s="276"/>
      <c r="W1727" s="283"/>
      <c r="X1727" s="280"/>
      <c r="Y1727" s="280"/>
      <c r="Z1727" s="280"/>
      <c r="AA1727" s="280"/>
      <c r="AB1727" s="280"/>
      <c r="AC1727" s="280"/>
      <c r="AD1727" s="280"/>
      <c r="AG1727" s="3"/>
      <c r="AH1727" s="3"/>
      <c r="AI1727" s="3"/>
      <c r="AJ1727" s="3"/>
      <c r="AK1727" s="3"/>
      <c r="AL1727" s="3"/>
      <c r="AM1727" s="3"/>
      <c r="AN1727" s="3"/>
      <c r="AO1727" s="3"/>
      <c r="AP1727" s="11"/>
      <c r="AQ1727" s="11"/>
      <c r="AR1727" s="3"/>
      <c r="AS1727" s="3"/>
      <c r="AT1727" s="3"/>
      <c r="AU1727" s="3"/>
      <c r="AV1727" s="3"/>
      <c r="AW1727" s="3"/>
      <c r="AX1727" s="11"/>
      <c r="AZ1727"/>
      <c r="BA1727"/>
      <c r="BB1727"/>
      <c r="BC1727"/>
    </row>
    <row r="1728" spans="1:55" s="282" customFormat="1" x14ac:dyDescent="0.25">
      <c r="A1728"/>
      <c r="B1728"/>
      <c r="C1728" s="3"/>
      <c r="D1728"/>
      <c r="E1728"/>
      <c r="F1728"/>
      <c r="G1728" s="3"/>
      <c r="H1728" s="3"/>
      <c r="I1728" s="3"/>
      <c r="J1728" s="288"/>
      <c r="L1728" s="288"/>
      <c r="M1728" s="288"/>
      <c r="N1728" s="288"/>
      <c r="O1728" s="288"/>
      <c r="P1728" s="288"/>
      <c r="Q1728" s="288"/>
      <c r="R1728" s="283"/>
      <c r="S1728" s="280"/>
      <c r="T1728" s="276"/>
      <c r="U1728" s="276"/>
      <c r="V1728" s="276"/>
      <c r="W1728" s="283"/>
      <c r="X1728" s="280"/>
      <c r="Y1728" s="280"/>
      <c r="Z1728" s="280"/>
      <c r="AA1728" s="280"/>
      <c r="AB1728" s="280"/>
      <c r="AC1728" s="280"/>
      <c r="AD1728" s="280"/>
      <c r="AG1728" s="3"/>
      <c r="AH1728" s="3"/>
      <c r="AI1728" s="3"/>
      <c r="AJ1728" s="3"/>
      <c r="AK1728" s="3"/>
      <c r="AL1728" s="3"/>
      <c r="AM1728" s="3"/>
      <c r="AN1728" s="3"/>
      <c r="AO1728" s="3"/>
      <c r="AP1728" s="11"/>
      <c r="AQ1728" s="11"/>
      <c r="AR1728" s="3"/>
      <c r="AS1728" s="3"/>
      <c r="AT1728" s="3"/>
      <c r="AU1728" s="3"/>
      <c r="AV1728" s="3"/>
      <c r="AW1728" s="3"/>
      <c r="AX1728" s="11"/>
      <c r="AZ1728"/>
      <c r="BA1728"/>
      <c r="BB1728"/>
      <c r="BC1728"/>
    </row>
    <row r="1729" spans="1:55" s="282" customFormat="1" x14ac:dyDescent="0.25">
      <c r="A1729"/>
      <c r="B1729"/>
      <c r="C1729" s="3"/>
      <c r="D1729"/>
      <c r="E1729"/>
      <c r="F1729"/>
      <c r="G1729" s="3"/>
      <c r="H1729" s="3"/>
      <c r="I1729" s="3"/>
      <c r="J1729" s="288"/>
      <c r="L1729" s="288"/>
      <c r="M1729" s="288"/>
      <c r="N1729" s="288"/>
      <c r="O1729" s="288"/>
      <c r="P1729" s="288"/>
      <c r="Q1729" s="288"/>
      <c r="R1729" s="283"/>
      <c r="S1729" s="280"/>
      <c r="T1729" s="276"/>
      <c r="U1729" s="276"/>
      <c r="V1729" s="276"/>
      <c r="W1729" s="283"/>
      <c r="X1729" s="280"/>
      <c r="Y1729" s="280"/>
      <c r="Z1729" s="280"/>
      <c r="AA1729" s="280"/>
      <c r="AB1729" s="280"/>
      <c r="AC1729" s="280"/>
      <c r="AD1729" s="280"/>
      <c r="AG1729" s="3"/>
      <c r="AH1729" s="3"/>
      <c r="AI1729" s="3"/>
      <c r="AJ1729" s="3"/>
      <c r="AK1729" s="3"/>
      <c r="AL1729" s="3"/>
      <c r="AM1729" s="3"/>
      <c r="AN1729" s="3"/>
      <c r="AO1729" s="3"/>
      <c r="AP1729" s="11"/>
      <c r="AQ1729" s="11"/>
      <c r="AR1729" s="3"/>
      <c r="AS1729" s="3"/>
      <c r="AT1729" s="3"/>
      <c r="AU1729" s="3"/>
      <c r="AV1729" s="3"/>
      <c r="AW1729" s="3"/>
      <c r="AX1729" s="11"/>
      <c r="AZ1729"/>
      <c r="BA1729"/>
      <c r="BB1729"/>
      <c r="BC1729"/>
    </row>
    <row r="1730" spans="1:55" s="282" customFormat="1" x14ac:dyDescent="0.25">
      <c r="A1730"/>
      <c r="B1730"/>
      <c r="C1730" s="3"/>
      <c r="D1730"/>
      <c r="E1730"/>
      <c r="F1730"/>
      <c r="G1730" s="3"/>
      <c r="H1730" s="3"/>
      <c r="I1730" s="3"/>
      <c r="J1730" s="288"/>
      <c r="L1730" s="288"/>
      <c r="M1730" s="288"/>
      <c r="N1730" s="288"/>
      <c r="O1730" s="288"/>
      <c r="P1730" s="288"/>
      <c r="Q1730" s="288"/>
      <c r="R1730" s="283"/>
      <c r="S1730" s="280"/>
      <c r="T1730" s="276"/>
      <c r="U1730" s="276"/>
      <c r="V1730" s="276"/>
      <c r="W1730" s="283"/>
      <c r="X1730" s="280"/>
      <c r="Y1730" s="280"/>
      <c r="Z1730" s="280"/>
      <c r="AA1730" s="280"/>
      <c r="AB1730" s="280"/>
      <c r="AC1730" s="280"/>
      <c r="AD1730" s="280"/>
      <c r="AG1730" s="3"/>
      <c r="AH1730" s="3"/>
      <c r="AI1730" s="3"/>
      <c r="AJ1730" s="3"/>
      <c r="AK1730" s="3"/>
      <c r="AL1730" s="3"/>
      <c r="AM1730" s="3"/>
      <c r="AN1730" s="3"/>
      <c r="AO1730" s="3"/>
      <c r="AP1730" s="11"/>
      <c r="AQ1730" s="11"/>
      <c r="AR1730" s="3"/>
      <c r="AS1730" s="3"/>
      <c r="AT1730" s="3"/>
      <c r="AU1730" s="3"/>
      <c r="AV1730" s="3"/>
      <c r="AW1730" s="3"/>
      <c r="AX1730" s="11"/>
      <c r="AZ1730"/>
      <c r="BA1730"/>
      <c r="BB1730"/>
      <c r="BC1730"/>
    </row>
    <row r="1731" spans="1:55" s="282" customFormat="1" x14ac:dyDescent="0.25">
      <c r="A1731"/>
      <c r="B1731"/>
      <c r="C1731" s="3"/>
      <c r="D1731"/>
      <c r="E1731"/>
      <c r="F1731"/>
      <c r="G1731" s="3"/>
      <c r="H1731" s="3"/>
      <c r="I1731" s="3"/>
      <c r="J1731" s="288"/>
      <c r="L1731" s="288"/>
      <c r="M1731" s="288"/>
      <c r="N1731" s="288"/>
      <c r="O1731" s="288"/>
      <c r="P1731" s="288"/>
      <c r="Q1731" s="288"/>
      <c r="R1731" s="283"/>
      <c r="S1731" s="280"/>
      <c r="T1731" s="276"/>
      <c r="U1731" s="276"/>
      <c r="V1731" s="276"/>
      <c r="W1731" s="283"/>
      <c r="X1731" s="280"/>
      <c r="Y1731" s="280"/>
      <c r="Z1731" s="280"/>
      <c r="AA1731" s="280"/>
      <c r="AB1731" s="280"/>
      <c r="AC1731" s="280"/>
      <c r="AD1731" s="280"/>
      <c r="AG1731" s="3"/>
      <c r="AH1731" s="3"/>
      <c r="AI1731" s="3"/>
      <c r="AJ1731" s="3"/>
      <c r="AK1731" s="3"/>
      <c r="AL1731" s="3"/>
      <c r="AM1731" s="3"/>
      <c r="AN1731" s="3"/>
      <c r="AO1731" s="3"/>
      <c r="AP1731" s="11"/>
      <c r="AQ1731" s="11"/>
      <c r="AR1731" s="3"/>
      <c r="AS1731" s="3"/>
      <c r="AT1731" s="3"/>
      <c r="AU1731" s="3"/>
      <c r="AV1731" s="3"/>
      <c r="AW1731" s="3"/>
      <c r="AX1731" s="11"/>
      <c r="AZ1731"/>
      <c r="BA1731"/>
      <c r="BB1731"/>
      <c r="BC1731"/>
    </row>
    <row r="1732" spans="1:55" s="282" customFormat="1" x14ac:dyDescent="0.25">
      <c r="A1732"/>
      <c r="B1732"/>
      <c r="C1732" s="3"/>
      <c r="D1732"/>
      <c r="E1732"/>
      <c r="F1732"/>
      <c r="G1732" s="3"/>
      <c r="H1732" s="3"/>
      <c r="I1732" s="3"/>
      <c r="J1732" s="288"/>
      <c r="L1732" s="288"/>
      <c r="M1732" s="288"/>
      <c r="N1732" s="288"/>
      <c r="O1732" s="288"/>
      <c r="P1732" s="288"/>
      <c r="Q1732" s="288"/>
      <c r="R1732" s="283"/>
      <c r="S1732" s="280"/>
      <c r="T1732" s="276"/>
      <c r="U1732" s="276"/>
      <c r="V1732" s="276"/>
      <c r="W1732" s="283"/>
      <c r="X1732" s="280"/>
      <c r="Y1732" s="280"/>
      <c r="Z1732" s="280"/>
      <c r="AA1732" s="280"/>
      <c r="AB1732" s="280"/>
      <c r="AC1732" s="280"/>
      <c r="AD1732" s="280"/>
      <c r="AG1732" s="3"/>
      <c r="AH1732" s="3"/>
      <c r="AI1732" s="3"/>
      <c r="AJ1732" s="3"/>
      <c r="AK1732" s="3"/>
      <c r="AL1732" s="3"/>
      <c r="AM1732" s="3"/>
      <c r="AN1732" s="3"/>
      <c r="AO1732" s="3"/>
      <c r="AP1732" s="11"/>
      <c r="AQ1732" s="11"/>
      <c r="AR1732" s="3"/>
      <c r="AS1732" s="3"/>
      <c r="AT1732" s="3"/>
      <c r="AU1732" s="3"/>
      <c r="AV1732" s="3"/>
      <c r="AW1732" s="3"/>
      <c r="AX1732" s="11"/>
      <c r="AZ1732"/>
      <c r="BA1732"/>
      <c r="BB1732"/>
      <c r="BC1732"/>
    </row>
    <row r="1733" spans="1:55" s="282" customFormat="1" x14ac:dyDescent="0.25">
      <c r="A1733"/>
      <c r="B1733"/>
      <c r="C1733" s="3"/>
      <c r="D1733"/>
      <c r="E1733"/>
      <c r="F1733"/>
      <c r="G1733" s="3"/>
      <c r="H1733" s="3"/>
      <c r="I1733" s="3"/>
      <c r="J1733" s="288"/>
      <c r="L1733" s="288"/>
      <c r="M1733" s="288"/>
      <c r="N1733" s="288"/>
      <c r="O1733" s="288"/>
      <c r="P1733" s="288"/>
      <c r="Q1733" s="288"/>
      <c r="R1733" s="283"/>
      <c r="S1733" s="280"/>
      <c r="T1733" s="276"/>
      <c r="U1733" s="276"/>
      <c r="V1733" s="276"/>
      <c r="W1733" s="283"/>
      <c r="X1733" s="280"/>
      <c r="Y1733" s="280"/>
      <c r="Z1733" s="280"/>
      <c r="AA1733" s="280"/>
      <c r="AB1733" s="280"/>
      <c r="AC1733" s="280"/>
      <c r="AD1733" s="280"/>
      <c r="AG1733" s="3"/>
      <c r="AH1733" s="3"/>
      <c r="AI1733" s="3"/>
      <c r="AJ1733" s="3"/>
      <c r="AK1733" s="3"/>
      <c r="AL1733" s="3"/>
      <c r="AM1733" s="3"/>
      <c r="AN1733" s="3"/>
      <c r="AO1733" s="3"/>
      <c r="AP1733" s="11"/>
      <c r="AQ1733" s="11"/>
      <c r="AR1733" s="3"/>
      <c r="AS1733" s="3"/>
      <c r="AT1733" s="3"/>
      <c r="AU1733" s="3"/>
      <c r="AV1733" s="3"/>
      <c r="AW1733" s="3"/>
      <c r="AX1733" s="11"/>
      <c r="AZ1733"/>
      <c r="BA1733"/>
      <c r="BB1733"/>
      <c r="BC1733"/>
    </row>
    <row r="1734" spans="1:55" s="282" customFormat="1" x14ac:dyDescent="0.25">
      <c r="A1734"/>
      <c r="B1734"/>
      <c r="C1734" s="3"/>
      <c r="D1734"/>
      <c r="E1734"/>
      <c r="F1734"/>
      <c r="G1734" s="3"/>
      <c r="H1734" s="3"/>
      <c r="I1734" s="3"/>
      <c r="J1734" s="288"/>
      <c r="L1734" s="288"/>
      <c r="M1734" s="288"/>
      <c r="N1734" s="288"/>
      <c r="O1734" s="288"/>
      <c r="P1734" s="288"/>
      <c r="Q1734" s="288"/>
      <c r="R1734" s="283"/>
      <c r="S1734" s="280"/>
      <c r="T1734" s="276"/>
      <c r="U1734" s="276"/>
      <c r="V1734" s="276"/>
      <c r="W1734" s="283"/>
      <c r="X1734" s="280"/>
      <c r="Y1734" s="280"/>
      <c r="Z1734" s="280"/>
      <c r="AA1734" s="280"/>
      <c r="AB1734" s="280"/>
      <c r="AC1734" s="280"/>
      <c r="AD1734" s="280"/>
      <c r="AG1734" s="3"/>
      <c r="AH1734" s="3"/>
      <c r="AI1734" s="3"/>
      <c r="AJ1734" s="3"/>
      <c r="AK1734" s="3"/>
      <c r="AL1734" s="3"/>
      <c r="AM1734" s="3"/>
      <c r="AN1734" s="3"/>
      <c r="AO1734" s="3"/>
      <c r="AP1734" s="11"/>
      <c r="AQ1734" s="11"/>
      <c r="AR1734" s="3"/>
      <c r="AS1734" s="3"/>
      <c r="AT1734" s="3"/>
      <c r="AU1734" s="3"/>
      <c r="AV1734" s="3"/>
      <c r="AW1734" s="3"/>
      <c r="AX1734" s="11"/>
      <c r="AZ1734"/>
      <c r="BA1734"/>
      <c r="BB1734"/>
      <c r="BC1734"/>
    </row>
    <row r="1735" spans="1:55" s="282" customFormat="1" x14ac:dyDescent="0.25">
      <c r="A1735"/>
      <c r="B1735"/>
      <c r="C1735" s="3"/>
      <c r="D1735"/>
      <c r="E1735"/>
      <c r="F1735"/>
      <c r="G1735" s="3"/>
      <c r="H1735" s="3"/>
      <c r="I1735" s="3"/>
      <c r="J1735" s="288"/>
      <c r="L1735" s="288"/>
      <c r="M1735" s="288"/>
      <c r="N1735" s="288"/>
      <c r="O1735" s="288"/>
      <c r="P1735" s="288"/>
      <c r="Q1735" s="288"/>
      <c r="R1735" s="283"/>
      <c r="S1735" s="280"/>
      <c r="T1735" s="276"/>
      <c r="U1735" s="276"/>
      <c r="V1735" s="276"/>
      <c r="W1735" s="283"/>
      <c r="X1735" s="280"/>
      <c r="Y1735" s="280"/>
      <c r="Z1735" s="280"/>
      <c r="AA1735" s="280"/>
      <c r="AB1735" s="280"/>
      <c r="AC1735" s="280"/>
      <c r="AD1735" s="280"/>
      <c r="AG1735" s="3"/>
      <c r="AH1735" s="3"/>
      <c r="AI1735" s="3"/>
      <c r="AJ1735" s="3"/>
      <c r="AK1735" s="3"/>
      <c r="AL1735" s="3"/>
      <c r="AM1735" s="3"/>
      <c r="AN1735" s="3"/>
      <c r="AO1735" s="3"/>
      <c r="AP1735" s="11"/>
      <c r="AQ1735" s="11"/>
      <c r="AR1735" s="3"/>
      <c r="AS1735" s="3"/>
      <c r="AT1735" s="3"/>
      <c r="AU1735" s="3"/>
      <c r="AV1735" s="3"/>
      <c r="AW1735" s="3"/>
      <c r="AX1735" s="11"/>
      <c r="AZ1735"/>
      <c r="BA1735"/>
      <c r="BB1735"/>
      <c r="BC1735"/>
    </row>
    <row r="1736" spans="1:55" s="282" customFormat="1" x14ac:dyDescent="0.25">
      <c r="A1736"/>
      <c r="B1736"/>
      <c r="C1736" s="3"/>
      <c r="D1736"/>
      <c r="E1736"/>
      <c r="F1736"/>
      <c r="G1736" s="3"/>
      <c r="H1736" s="3"/>
      <c r="I1736" s="3"/>
      <c r="J1736" s="288"/>
      <c r="L1736" s="288"/>
      <c r="M1736" s="288"/>
      <c r="N1736" s="288"/>
      <c r="O1736" s="288"/>
      <c r="P1736" s="288"/>
      <c r="Q1736" s="288"/>
      <c r="R1736" s="283"/>
      <c r="S1736" s="280"/>
      <c r="T1736" s="276"/>
      <c r="U1736" s="276"/>
      <c r="V1736" s="276"/>
      <c r="W1736" s="283"/>
      <c r="X1736" s="280"/>
      <c r="Y1736" s="280"/>
      <c r="Z1736" s="280"/>
      <c r="AA1736" s="280"/>
      <c r="AB1736" s="280"/>
      <c r="AC1736" s="280"/>
      <c r="AD1736" s="280"/>
      <c r="AG1736" s="3"/>
      <c r="AH1736" s="3"/>
      <c r="AI1736" s="3"/>
      <c r="AJ1736" s="3"/>
      <c r="AK1736" s="3"/>
      <c r="AL1736" s="3"/>
      <c r="AM1736" s="3"/>
      <c r="AN1736" s="3"/>
      <c r="AO1736" s="3"/>
      <c r="AP1736" s="11"/>
      <c r="AQ1736" s="11"/>
      <c r="AR1736" s="3"/>
      <c r="AS1736" s="3"/>
      <c r="AT1736" s="3"/>
      <c r="AU1736" s="3"/>
      <c r="AV1736" s="3"/>
      <c r="AW1736" s="3"/>
      <c r="AX1736" s="11"/>
      <c r="AZ1736"/>
      <c r="BA1736"/>
      <c r="BB1736"/>
      <c r="BC1736"/>
    </row>
    <row r="1737" spans="1:55" s="282" customFormat="1" x14ac:dyDescent="0.25">
      <c r="A1737"/>
      <c r="B1737"/>
      <c r="C1737" s="3"/>
      <c r="D1737"/>
      <c r="E1737"/>
      <c r="F1737"/>
      <c r="G1737" s="3"/>
      <c r="H1737" s="3"/>
      <c r="I1737" s="3"/>
      <c r="J1737" s="288"/>
      <c r="L1737" s="288"/>
      <c r="M1737" s="288"/>
      <c r="N1737" s="288"/>
      <c r="O1737" s="288"/>
      <c r="P1737" s="288"/>
      <c r="Q1737" s="288"/>
      <c r="R1737" s="283"/>
      <c r="S1737" s="280"/>
      <c r="T1737" s="276"/>
      <c r="U1737" s="276"/>
      <c r="V1737" s="276"/>
      <c r="W1737" s="283"/>
      <c r="X1737" s="280"/>
      <c r="Y1737" s="280"/>
      <c r="Z1737" s="280"/>
      <c r="AA1737" s="280"/>
      <c r="AB1737" s="280"/>
      <c r="AC1737" s="280"/>
      <c r="AD1737" s="280"/>
      <c r="AG1737" s="3"/>
      <c r="AH1737" s="3"/>
      <c r="AI1737" s="3"/>
      <c r="AJ1737" s="3"/>
      <c r="AK1737" s="3"/>
      <c r="AL1737" s="3"/>
      <c r="AM1737" s="3"/>
      <c r="AN1737" s="3"/>
      <c r="AO1737" s="3"/>
      <c r="AP1737" s="11"/>
      <c r="AQ1737" s="11"/>
      <c r="AR1737" s="3"/>
      <c r="AS1737" s="3"/>
      <c r="AT1737" s="3"/>
      <c r="AU1737" s="3"/>
      <c r="AV1737" s="3"/>
      <c r="AW1737" s="3"/>
      <c r="AX1737" s="11"/>
      <c r="AZ1737"/>
      <c r="BA1737"/>
      <c r="BB1737"/>
      <c r="BC1737"/>
    </row>
    <row r="1738" spans="1:55" s="282" customFormat="1" x14ac:dyDescent="0.25">
      <c r="A1738"/>
      <c r="B1738"/>
      <c r="C1738" s="3"/>
      <c r="D1738"/>
      <c r="E1738"/>
      <c r="F1738"/>
      <c r="G1738" s="3"/>
      <c r="H1738" s="3"/>
      <c r="I1738" s="3"/>
      <c r="J1738" s="288"/>
      <c r="L1738" s="288"/>
      <c r="M1738" s="288"/>
      <c r="N1738" s="288"/>
      <c r="O1738" s="288"/>
      <c r="P1738" s="288"/>
      <c r="Q1738" s="288"/>
      <c r="R1738" s="283"/>
      <c r="S1738" s="280"/>
      <c r="T1738" s="276"/>
      <c r="U1738" s="276"/>
      <c r="V1738" s="276"/>
      <c r="W1738" s="283"/>
      <c r="X1738" s="280"/>
      <c r="Y1738" s="280"/>
      <c r="Z1738" s="280"/>
      <c r="AA1738" s="280"/>
      <c r="AB1738" s="280"/>
      <c r="AC1738" s="280"/>
      <c r="AD1738" s="280"/>
      <c r="AG1738" s="3"/>
      <c r="AH1738" s="3"/>
      <c r="AI1738" s="3"/>
      <c r="AJ1738" s="3"/>
      <c r="AK1738" s="3"/>
      <c r="AL1738" s="3"/>
      <c r="AM1738" s="3"/>
      <c r="AN1738" s="3"/>
      <c r="AO1738" s="3"/>
      <c r="AP1738" s="11"/>
      <c r="AQ1738" s="11"/>
      <c r="AR1738" s="3"/>
      <c r="AS1738" s="3"/>
      <c r="AT1738" s="3"/>
      <c r="AU1738" s="3"/>
      <c r="AV1738" s="3"/>
      <c r="AW1738" s="3"/>
      <c r="AX1738" s="11"/>
      <c r="AZ1738"/>
      <c r="BA1738"/>
      <c r="BB1738"/>
      <c r="BC1738"/>
    </row>
    <row r="1739" spans="1:55" s="282" customFormat="1" x14ac:dyDescent="0.25">
      <c r="A1739"/>
      <c r="B1739"/>
      <c r="C1739" s="3"/>
      <c r="D1739"/>
      <c r="E1739"/>
      <c r="F1739"/>
      <c r="G1739" s="3"/>
      <c r="H1739" s="3"/>
      <c r="I1739" s="3"/>
      <c r="J1739" s="288"/>
      <c r="L1739" s="288"/>
      <c r="M1739" s="288"/>
      <c r="N1739" s="288"/>
      <c r="O1739" s="288"/>
      <c r="P1739" s="288"/>
      <c r="Q1739" s="288"/>
      <c r="R1739" s="283"/>
      <c r="S1739" s="280"/>
      <c r="T1739" s="276"/>
      <c r="U1739" s="276"/>
      <c r="V1739" s="276"/>
      <c r="W1739" s="283"/>
      <c r="X1739" s="280"/>
      <c r="Y1739" s="280"/>
      <c r="Z1739" s="280"/>
      <c r="AA1739" s="280"/>
      <c r="AB1739" s="280"/>
      <c r="AC1739" s="280"/>
      <c r="AD1739" s="280"/>
      <c r="AG1739" s="3"/>
      <c r="AH1739" s="3"/>
      <c r="AI1739" s="3"/>
      <c r="AJ1739" s="3"/>
      <c r="AK1739" s="3"/>
      <c r="AL1739" s="3"/>
      <c r="AM1739" s="3"/>
      <c r="AN1739" s="3"/>
      <c r="AO1739" s="3"/>
      <c r="AP1739" s="11"/>
      <c r="AQ1739" s="11"/>
      <c r="AR1739" s="3"/>
      <c r="AS1739" s="3"/>
      <c r="AT1739" s="3"/>
      <c r="AU1739" s="3"/>
      <c r="AV1739" s="3"/>
      <c r="AW1739" s="3"/>
      <c r="AX1739" s="11"/>
      <c r="AZ1739"/>
      <c r="BA1739"/>
      <c r="BB1739"/>
      <c r="BC1739"/>
    </row>
    <row r="1740" spans="1:55" s="282" customFormat="1" x14ac:dyDescent="0.25">
      <c r="A1740"/>
      <c r="B1740"/>
      <c r="C1740" s="3"/>
      <c r="D1740"/>
      <c r="E1740"/>
      <c r="F1740"/>
      <c r="G1740" s="3"/>
      <c r="H1740" s="3"/>
      <c r="I1740" s="3"/>
      <c r="J1740" s="288"/>
      <c r="L1740" s="288"/>
      <c r="M1740" s="288"/>
      <c r="N1740" s="288"/>
      <c r="O1740" s="288"/>
      <c r="P1740" s="288"/>
      <c r="Q1740" s="288"/>
      <c r="R1740" s="283"/>
      <c r="S1740" s="280"/>
      <c r="T1740" s="276"/>
      <c r="U1740" s="276"/>
      <c r="V1740" s="276"/>
      <c r="W1740" s="283"/>
      <c r="X1740" s="280"/>
      <c r="Y1740" s="280"/>
      <c r="Z1740" s="280"/>
      <c r="AA1740" s="280"/>
      <c r="AB1740" s="280"/>
      <c r="AC1740" s="280"/>
      <c r="AD1740" s="280"/>
      <c r="AG1740" s="3"/>
      <c r="AH1740" s="3"/>
      <c r="AI1740" s="3"/>
      <c r="AJ1740" s="3"/>
      <c r="AK1740" s="3"/>
      <c r="AL1740" s="3"/>
      <c r="AM1740" s="3"/>
      <c r="AN1740" s="3"/>
      <c r="AO1740" s="3"/>
      <c r="AP1740" s="11"/>
      <c r="AQ1740" s="11"/>
      <c r="AR1740" s="3"/>
      <c r="AS1740" s="3"/>
      <c r="AT1740" s="3"/>
      <c r="AU1740" s="3"/>
      <c r="AV1740" s="3"/>
      <c r="AW1740" s="3"/>
      <c r="AX1740" s="11"/>
      <c r="AZ1740"/>
      <c r="BA1740"/>
      <c r="BB1740"/>
      <c r="BC1740"/>
    </row>
    <row r="1741" spans="1:55" s="282" customFormat="1" x14ac:dyDescent="0.25">
      <c r="A1741"/>
      <c r="B1741"/>
      <c r="C1741" s="3"/>
      <c r="D1741"/>
      <c r="E1741"/>
      <c r="F1741"/>
      <c r="G1741" s="3"/>
      <c r="H1741" s="3"/>
      <c r="I1741" s="3"/>
      <c r="J1741" s="288"/>
      <c r="L1741" s="288"/>
      <c r="M1741" s="288"/>
      <c r="N1741" s="288"/>
      <c r="O1741" s="288"/>
      <c r="P1741" s="288"/>
      <c r="Q1741" s="288"/>
      <c r="R1741" s="283"/>
      <c r="S1741" s="280"/>
      <c r="T1741" s="276"/>
      <c r="U1741" s="276"/>
      <c r="V1741" s="276"/>
      <c r="W1741" s="283"/>
      <c r="X1741" s="280"/>
      <c r="Y1741" s="280"/>
      <c r="Z1741" s="280"/>
      <c r="AA1741" s="280"/>
      <c r="AB1741" s="280"/>
      <c r="AC1741" s="280"/>
      <c r="AD1741" s="280"/>
      <c r="AG1741" s="3"/>
      <c r="AH1741" s="3"/>
      <c r="AI1741" s="3"/>
      <c r="AJ1741" s="3"/>
      <c r="AK1741" s="3"/>
      <c r="AL1741" s="3"/>
      <c r="AM1741" s="3"/>
      <c r="AN1741" s="3"/>
      <c r="AO1741" s="3"/>
      <c r="AP1741" s="11"/>
      <c r="AQ1741" s="11"/>
      <c r="AR1741" s="3"/>
      <c r="AS1741" s="3"/>
      <c r="AT1741" s="3"/>
      <c r="AU1741" s="3"/>
      <c r="AV1741" s="3"/>
      <c r="AW1741" s="3"/>
      <c r="AX1741" s="11"/>
      <c r="AZ1741"/>
      <c r="BA1741"/>
      <c r="BB1741"/>
      <c r="BC1741"/>
    </row>
    <row r="1742" spans="1:55" s="282" customFormat="1" x14ac:dyDescent="0.25">
      <c r="A1742"/>
      <c r="B1742"/>
      <c r="C1742" s="3"/>
      <c r="D1742"/>
      <c r="E1742"/>
      <c r="F1742"/>
      <c r="G1742" s="3"/>
      <c r="H1742" s="3"/>
      <c r="I1742" s="3"/>
      <c r="J1742" s="288"/>
      <c r="L1742" s="288"/>
      <c r="M1742" s="288"/>
      <c r="N1742" s="288"/>
      <c r="O1742" s="288"/>
      <c r="P1742" s="288"/>
      <c r="Q1742" s="288"/>
      <c r="R1742" s="283"/>
      <c r="S1742" s="280"/>
      <c r="T1742" s="276"/>
      <c r="U1742" s="276"/>
      <c r="V1742" s="276"/>
      <c r="W1742" s="283"/>
      <c r="X1742" s="280"/>
      <c r="Y1742" s="280"/>
      <c r="Z1742" s="280"/>
      <c r="AA1742" s="280"/>
      <c r="AB1742" s="280"/>
      <c r="AC1742" s="280"/>
      <c r="AD1742" s="280"/>
      <c r="AG1742" s="3"/>
      <c r="AH1742" s="3"/>
      <c r="AI1742" s="3"/>
      <c r="AJ1742" s="3"/>
      <c r="AK1742" s="3"/>
      <c r="AL1742" s="3"/>
      <c r="AM1742" s="3"/>
      <c r="AN1742" s="3"/>
      <c r="AO1742" s="3"/>
      <c r="AP1742" s="11"/>
      <c r="AQ1742" s="11"/>
      <c r="AR1742" s="3"/>
      <c r="AS1742" s="3"/>
      <c r="AT1742" s="3"/>
      <c r="AU1742" s="3"/>
      <c r="AV1742" s="3"/>
      <c r="AW1742" s="3"/>
      <c r="AX1742" s="11"/>
      <c r="AZ1742"/>
      <c r="BA1742"/>
      <c r="BB1742"/>
      <c r="BC1742"/>
    </row>
    <row r="1743" spans="1:55" s="282" customFormat="1" x14ac:dyDescent="0.25">
      <c r="A1743"/>
      <c r="B1743"/>
      <c r="C1743" s="3"/>
      <c r="D1743"/>
      <c r="E1743"/>
      <c r="F1743"/>
      <c r="G1743" s="3"/>
      <c r="H1743" s="3"/>
      <c r="I1743" s="3"/>
      <c r="J1743" s="288"/>
      <c r="L1743" s="288"/>
      <c r="M1743" s="288"/>
      <c r="N1743" s="288"/>
      <c r="O1743" s="288"/>
      <c r="P1743" s="288"/>
      <c r="Q1743" s="288"/>
      <c r="R1743" s="283"/>
      <c r="S1743" s="280"/>
      <c r="T1743" s="276"/>
      <c r="U1743" s="276"/>
      <c r="V1743" s="276"/>
      <c r="W1743" s="283"/>
      <c r="X1743" s="280"/>
      <c r="Y1743" s="280"/>
      <c r="Z1743" s="280"/>
      <c r="AA1743" s="280"/>
      <c r="AB1743" s="280"/>
      <c r="AC1743" s="280"/>
      <c r="AD1743" s="280"/>
      <c r="AG1743" s="3"/>
      <c r="AH1743" s="3"/>
      <c r="AI1743" s="3"/>
      <c r="AJ1743" s="3"/>
      <c r="AK1743" s="3"/>
      <c r="AL1743" s="3"/>
      <c r="AM1743" s="3"/>
      <c r="AN1743" s="3"/>
      <c r="AO1743" s="3"/>
      <c r="AP1743" s="11"/>
      <c r="AQ1743" s="11"/>
      <c r="AR1743" s="3"/>
      <c r="AS1743" s="3"/>
      <c r="AT1743" s="3"/>
      <c r="AU1743" s="3"/>
      <c r="AV1743" s="3"/>
      <c r="AW1743" s="3"/>
      <c r="AX1743" s="11"/>
      <c r="AZ1743"/>
      <c r="BA1743"/>
      <c r="BB1743"/>
      <c r="BC1743"/>
    </row>
    <row r="1744" spans="1:55" s="282" customFormat="1" x14ac:dyDescent="0.25">
      <c r="A1744"/>
      <c r="B1744"/>
      <c r="C1744" s="3"/>
      <c r="D1744"/>
      <c r="E1744"/>
      <c r="F1744"/>
      <c r="G1744" s="3"/>
      <c r="H1744" s="3"/>
      <c r="I1744" s="3"/>
      <c r="J1744" s="288"/>
      <c r="L1744" s="288"/>
      <c r="M1744" s="288"/>
      <c r="N1744" s="288"/>
      <c r="O1744" s="288"/>
      <c r="P1744" s="288"/>
      <c r="Q1744" s="288"/>
      <c r="R1744" s="283"/>
      <c r="S1744" s="280"/>
      <c r="T1744" s="276"/>
      <c r="U1744" s="276"/>
      <c r="V1744" s="276"/>
      <c r="W1744" s="283"/>
      <c r="X1744" s="280"/>
      <c r="Y1744" s="280"/>
      <c r="Z1744" s="280"/>
      <c r="AA1744" s="280"/>
      <c r="AB1744" s="280"/>
      <c r="AC1744" s="280"/>
      <c r="AD1744" s="280"/>
      <c r="AG1744" s="3"/>
      <c r="AH1744" s="3"/>
      <c r="AI1744" s="3"/>
      <c r="AJ1744" s="3"/>
      <c r="AK1744" s="3"/>
      <c r="AL1744" s="3"/>
      <c r="AM1744" s="3"/>
      <c r="AN1744" s="3"/>
      <c r="AO1744" s="3"/>
      <c r="AP1744" s="11"/>
      <c r="AQ1744" s="11"/>
      <c r="AR1744" s="3"/>
      <c r="AS1744" s="3"/>
      <c r="AT1744" s="3"/>
      <c r="AU1744" s="3"/>
      <c r="AV1744" s="3"/>
      <c r="AW1744" s="3"/>
      <c r="AX1744" s="11"/>
      <c r="AZ1744"/>
      <c r="BA1744"/>
      <c r="BB1744"/>
      <c r="BC1744"/>
    </row>
    <row r="1745" spans="1:55" s="282" customFormat="1" x14ac:dyDescent="0.25">
      <c r="A1745"/>
      <c r="B1745"/>
      <c r="C1745" s="3"/>
      <c r="D1745"/>
      <c r="E1745"/>
      <c r="F1745"/>
      <c r="G1745" s="3"/>
      <c r="H1745" s="3"/>
      <c r="I1745" s="3"/>
      <c r="J1745" s="288"/>
      <c r="L1745" s="288"/>
      <c r="M1745" s="288"/>
      <c r="N1745" s="288"/>
      <c r="O1745" s="288"/>
      <c r="P1745" s="288"/>
      <c r="Q1745" s="288"/>
      <c r="R1745" s="283"/>
      <c r="S1745" s="280"/>
      <c r="T1745" s="276"/>
      <c r="U1745" s="276"/>
      <c r="V1745" s="276"/>
      <c r="W1745" s="283"/>
      <c r="X1745" s="280"/>
      <c r="Y1745" s="280"/>
      <c r="Z1745" s="280"/>
      <c r="AA1745" s="280"/>
      <c r="AB1745" s="280"/>
      <c r="AC1745" s="280"/>
      <c r="AD1745" s="280"/>
      <c r="AG1745" s="3"/>
      <c r="AH1745" s="3"/>
      <c r="AI1745" s="3"/>
      <c r="AJ1745" s="3"/>
      <c r="AK1745" s="3"/>
      <c r="AL1745" s="3"/>
      <c r="AM1745" s="3"/>
      <c r="AN1745" s="3"/>
      <c r="AO1745" s="3"/>
      <c r="AP1745" s="11"/>
      <c r="AQ1745" s="11"/>
      <c r="AR1745" s="3"/>
      <c r="AS1745" s="3"/>
      <c r="AT1745" s="3"/>
      <c r="AU1745" s="3"/>
      <c r="AV1745" s="3"/>
      <c r="AW1745" s="3"/>
      <c r="AX1745" s="11"/>
      <c r="AZ1745"/>
      <c r="BA1745"/>
      <c r="BB1745"/>
      <c r="BC1745"/>
    </row>
    <row r="1746" spans="1:55" s="282" customFormat="1" x14ac:dyDescent="0.25">
      <c r="A1746"/>
      <c r="B1746"/>
      <c r="C1746" s="3"/>
      <c r="D1746"/>
      <c r="E1746"/>
      <c r="F1746"/>
      <c r="G1746" s="3"/>
      <c r="H1746" s="3"/>
      <c r="I1746" s="3"/>
      <c r="J1746" s="288"/>
      <c r="L1746" s="288"/>
      <c r="M1746" s="288"/>
      <c r="N1746" s="288"/>
      <c r="O1746" s="288"/>
      <c r="P1746" s="288"/>
      <c r="Q1746" s="288"/>
      <c r="R1746" s="283"/>
      <c r="S1746" s="280"/>
      <c r="T1746" s="276"/>
      <c r="U1746" s="276"/>
      <c r="V1746" s="276"/>
      <c r="W1746" s="283"/>
      <c r="X1746" s="280"/>
      <c r="Y1746" s="280"/>
      <c r="Z1746" s="280"/>
      <c r="AA1746" s="280"/>
      <c r="AB1746" s="280"/>
      <c r="AC1746" s="280"/>
      <c r="AD1746" s="280"/>
      <c r="AG1746" s="3"/>
      <c r="AH1746" s="3"/>
      <c r="AI1746" s="3"/>
      <c r="AJ1746" s="3"/>
      <c r="AK1746" s="3"/>
      <c r="AL1746" s="3"/>
      <c r="AM1746" s="3"/>
      <c r="AN1746" s="3"/>
      <c r="AO1746" s="3"/>
      <c r="AP1746" s="11"/>
      <c r="AQ1746" s="11"/>
      <c r="AR1746" s="3"/>
      <c r="AS1746" s="3"/>
      <c r="AT1746" s="3"/>
      <c r="AU1746" s="3"/>
      <c r="AV1746" s="3"/>
      <c r="AW1746" s="3"/>
      <c r="AX1746" s="11"/>
      <c r="AZ1746"/>
      <c r="BA1746"/>
      <c r="BB1746"/>
      <c r="BC1746"/>
    </row>
    <row r="1747" spans="1:55" s="282" customFormat="1" x14ac:dyDescent="0.25">
      <c r="A1747"/>
      <c r="B1747"/>
      <c r="C1747" s="3"/>
      <c r="D1747"/>
      <c r="E1747"/>
      <c r="F1747"/>
      <c r="G1747" s="3"/>
      <c r="H1747" s="3"/>
      <c r="I1747" s="3"/>
      <c r="J1747" s="288"/>
      <c r="L1747" s="288"/>
      <c r="M1747" s="288"/>
      <c r="N1747" s="288"/>
      <c r="O1747" s="288"/>
      <c r="P1747" s="288"/>
      <c r="Q1747" s="288"/>
      <c r="R1747" s="283"/>
      <c r="S1747" s="280"/>
      <c r="T1747" s="276"/>
      <c r="U1747" s="276"/>
      <c r="V1747" s="276"/>
      <c r="W1747" s="283"/>
      <c r="X1747" s="280"/>
      <c r="Y1747" s="280"/>
      <c r="Z1747" s="280"/>
      <c r="AA1747" s="280"/>
      <c r="AB1747" s="280"/>
      <c r="AC1747" s="280"/>
      <c r="AD1747" s="280"/>
      <c r="AG1747" s="3"/>
      <c r="AH1747" s="3"/>
      <c r="AI1747" s="3"/>
      <c r="AJ1747" s="3"/>
      <c r="AK1747" s="3"/>
      <c r="AL1747" s="3"/>
      <c r="AM1747" s="3"/>
      <c r="AN1747" s="3"/>
      <c r="AO1747" s="3"/>
      <c r="AP1747" s="11"/>
      <c r="AQ1747" s="11"/>
      <c r="AR1747" s="3"/>
      <c r="AS1747" s="3"/>
      <c r="AT1747" s="3"/>
      <c r="AU1747" s="3"/>
      <c r="AV1747" s="3"/>
      <c r="AW1747" s="3"/>
      <c r="AX1747" s="11"/>
      <c r="AZ1747"/>
      <c r="BA1747"/>
      <c r="BB1747"/>
      <c r="BC1747"/>
    </row>
    <row r="1748" spans="1:55" s="282" customFormat="1" x14ac:dyDescent="0.25">
      <c r="A1748"/>
      <c r="B1748"/>
      <c r="C1748" s="3"/>
      <c r="D1748"/>
      <c r="E1748"/>
      <c r="F1748"/>
      <c r="G1748" s="3"/>
      <c r="H1748" s="3"/>
      <c r="I1748" s="3"/>
      <c r="J1748" s="288"/>
      <c r="L1748" s="288"/>
      <c r="M1748" s="288"/>
      <c r="N1748" s="288"/>
      <c r="O1748" s="288"/>
      <c r="P1748" s="288"/>
      <c r="Q1748" s="288"/>
      <c r="R1748" s="283"/>
      <c r="S1748" s="280"/>
      <c r="T1748" s="276"/>
      <c r="U1748" s="276"/>
      <c r="V1748" s="276"/>
      <c r="W1748" s="283"/>
      <c r="X1748" s="280"/>
      <c r="Y1748" s="280"/>
      <c r="Z1748" s="280"/>
      <c r="AA1748" s="280"/>
      <c r="AB1748" s="280"/>
      <c r="AC1748" s="280"/>
      <c r="AD1748" s="280"/>
      <c r="AG1748" s="3"/>
      <c r="AH1748" s="3"/>
      <c r="AI1748" s="3"/>
      <c r="AJ1748" s="3"/>
      <c r="AK1748" s="3"/>
      <c r="AL1748" s="3"/>
      <c r="AM1748" s="3"/>
      <c r="AN1748" s="3"/>
      <c r="AO1748" s="3"/>
      <c r="AP1748" s="11"/>
      <c r="AQ1748" s="11"/>
      <c r="AR1748" s="3"/>
      <c r="AS1748" s="3"/>
      <c r="AT1748" s="3"/>
      <c r="AU1748" s="3"/>
      <c r="AV1748" s="3"/>
      <c r="AW1748" s="3"/>
      <c r="AX1748" s="11"/>
      <c r="AZ1748"/>
      <c r="BA1748"/>
      <c r="BB1748"/>
      <c r="BC1748"/>
    </row>
    <row r="1749" spans="1:55" s="282" customFormat="1" x14ac:dyDescent="0.25">
      <c r="A1749"/>
      <c r="B1749"/>
      <c r="C1749" s="3"/>
      <c r="D1749"/>
      <c r="E1749"/>
      <c r="F1749"/>
      <c r="G1749" s="3"/>
      <c r="H1749" s="3"/>
      <c r="I1749" s="3"/>
      <c r="J1749" s="288"/>
      <c r="L1749" s="288"/>
      <c r="M1749" s="288"/>
      <c r="N1749" s="288"/>
      <c r="O1749" s="288"/>
      <c r="P1749" s="288"/>
      <c r="Q1749" s="288"/>
      <c r="R1749" s="283"/>
      <c r="S1749" s="280"/>
      <c r="T1749" s="276"/>
      <c r="U1749" s="276"/>
      <c r="V1749" s="276"/>
      <c r="W1749" s="283"/>
      <c r="X1749" s="280"/>
      <c r="Y1749" s="280"/>
      <c r="Z1749" s="280"/>
      <c r="AA1749" s="280"/>
      <c r="AB1749" s="280"/>
      <c r="AC1749" s="280"/>
      <c r="AD1749" s="280"/>
      <c r="AG1749" s="3"/>
      <c r="AH1749" s="3"/>
      <c r="AI1749" s="3"/>
      <c r="AJ1749" s="3"/>
      <c r="AK1749" s="3"/>
      <c r="AL1749" s="3"/>
      <c r="AM1749" s="3"/>
      <c r="AN1749" s="3"/>
      <c r="AO1749" s="3"/>
      <c r="AP1749" s="11"/>
      <c r="AQ1749" s="11"/>
      <c r="AR1749" s="3"/>
      <c r="AS1749" s="3"/>
      <c r="AT1749" s="3"/>
      <c r="AU1749" s="3"/>
      <c r="AV1749" s="3"/>
      <c r="AW1749" s="3"/>
      <c r="AX1749" s="11"/>
      <c r="AZ1749"/>
      <c r="BA1749"/>
      <c r="BB1749"/>
      <c r="BC1749"/>
    </row>
    <row r="1750" spans="1:55" s="282" customFormat="1" x14ac:dyDescent="0.25">
      <c r="A1750"/>
      <c r="B1750"/>
      <c r="C1750" s="3"/>
      <c r="D1750"/>
      <c r="E1750"/>
      <c r="F1750"/>
      <c r="G1750" s="3"/>
      <c r="H1750" s="3"/>
      <c r="I1750" s="3"/>
      <c r="J1750" s="288"/>
      <c r="L1750" s="288"/>
      <c r="M1750" s="288"/>
      <c r="N1750" s="288"/>
      <c r="O1750" s="288"/>
      <c r="P1750" s="288"/>
      <c r="Q1750" s="288"/>
      <c r="R1750" s="283"/>
      <c r="S1750" s="280"/>
      <c r="T1750" s="276"/>
      <c r="U1750" s="276"/>
      <c r="V1750" s="276"/>
      <c r="W1750" s="283"/>
      <c r="X1750" s="280"/>
      <c r="Y1750" s="280"/>
      <c r="Z1750" s="280"/>
      <c r="AA1750" s="280"/>
      <c r="AB1750" s="280"/>
      <c r="AC1750" s="280"/>
      <c r="AD1750" s="280"/>
      <c r="AG1750" s="3"/>
      <c r="AH1750" s="3"/>
      <c r="AI1750" s="3"/>
      <c r="AJ1750" s="3"/>
      <c r="AK1750" s="3"/>
      <c r="AL1750" s="3"/>
      <c r="AM1750" s="3"/>
      <c r="AN1750" s="3"/>
      <c r="AO1750" s="3"/>
      <c r="AP1750" s="11"/>
      <c r="AQ1750" s="11"/>
      <c r="AR1750" s="3"/>
      <c r="AS1750" s="3"/>
      <c r="AT1750" s="3"/>
      <c r="AU1750" s="3"/>
      <c r="AV1750" s="3"/>
      <c r="AW1750" s="3"/>
      <c r="AX1750" s="11"/>
      <c r="AZ1750"/>
      <c r="BA1750"/>
      <c r="BB1750"/>
      <c r="BC1750"/>
    </row>
    <row r="1751" spans="1:55" s="282" customFormat="1" x14ac:dyDescent="0.25">
      <c r="A1751"/>
      <c r="B1751"/>
      <c r="C1751" s="3"/>
      <c r="D1751"/>
      <c r="E1751"/>
      <c r="F1751"/>
      <c r="G1751" s="3"/>
      <c r="H1751" s="3"/>
      <c r="I1751" s="3"/>
      <c r="J1751" s="288"/>
      <c r="L1751" s="288"/>
      <c r="M1751" s="288"/>
      <c r="N1751" s="288"/>
      <c r="O1751" s="288"/>
      <c r="P1751" s="288"/>
      <c r="Q1751" s="288"/>
      <c r="R1751" s="283"/>
      <c r="S1751" s="280"/>
      <c r="T1751" s="276"/>
      <c r="U1751" s="276"/>
      <c r="V1751" s="276"/>
      <c r="W1751" s="283"/>
      <c r="X1751" s="280"/>
      <c r="Y1751" s="280"/>
      <c r="Z1751" s="280"/>
      <c r="AA1751" s="280"/>
      <c r="AB1751" s="280"/>
      <c r="AC1751" s="280"/>
      <c r="AD1751" s="280"/>
      <c r="AG1751" s="3"/>
      <c r="AH1751" s="3"/>
      <c r="AI1751" s="3"/>
      <c r="AJ1751" s="3"/>
      <c r="AK1751" s="3"/>
      <c r="AL1751" s="3"/>
      <c r="AM1751" s="3"/>
      <c r="AN1751" s="3"/>
      <c r="AO1751" s="3"/>
      <c r="AP1751" s="11"/>
      <c r="AQ1751" s="11"/>
      <c r="AR1751" s="3"/>
      <c r="AS1751" s="3"/>
      <c r="AT1751" s="3"/>
      <c r="AU1751" s="3"/>
      <c r="AV1751" s="3"/>
      <c r="AW1751" s="3"/>
      <c r="AX1751" s="11"/>
      <c r="AZ1751"/>
      <c r="BA1751"/>
      <c r="BB1751"/>
      <c r="BC1751"/>
    </row>
    <row r="1752" spans="1:55" s="282" customFormat="1" x14ac:dyDescent="0.25">
      <c r="A1752"/>
      <c r="B1752"/>
      <c r="C1752" s="3"/>
      <c r="D1752"/>
      <c r="E1752"/>
      <c r="F1752"/>
      <c r="G1752" s="3"/>
      <c r="H1752" s="3"/>
      <c r="I1752" s="3"/>
      <c r="J1752" s="288"/>
      <c r="L1752" s="288"/>
      <c r="M1752" s="288"/>
      <c r="N1752" s="288"/>
      <c r="O1752" s="288"/>
      <c r="P1752" s="288"/>
      <c r="Q1752" s="288"/>
      <c r="R1752" s="283"/>
      <c r="S1752" s="280"/>
      <c r="T1752" s="276"/>
      <c r="U1752" s="276"/>
      <c r="V1752" s="276"/>
      <c r="W1752" s="283"/>
      <c r="X1752" s="280"/>
      <c r="Y1752" s="280"/>
      <c r="Z1752" s="280"/>
      <c r="AA1752" s="280"/>
      <c r="AB1752" s="280"/>
      <c r="AC1752" s="280"/>
      <c r="AD1752" s="280"/>
      <c r="AG1752" s="3"/>
      <c r="AH1752" s="3"/>
      <c r="AI1752" s="3"/>
      <c r="AJ1752" s="3"/>
      <c r="AK1752" s="3"/>
      <c r="AL1752" s="3"/>
      <c r="AM1752" s="3"/>
      <c r="AN1752" s="3"/>
      <c r="AO1752" s="3"/>
      <c r="AP1752" s="11"/>
      <c r="AQ1752" s="11"/>
      <c r="AR1752" s="3"/>
      <c r="AS1752" s="3"/>
      <c r="AT1752" s="3"/>
      <c r="AU1752" s="3"/>
      <c r="AV1752" s="3"/>
      <c r="AW1752" s="3"/>
      <c r="AX1752" s="11"/>
      <c r="AZ1752"/>
      <c r="BA1752"/>
      <c r="BB1752"/>
      <c r="BC1752"/>
    </row>
    <row r="1753" spans="1:55" s="282" customFormat="1" x14ac:dyDescent="0.25">
      <c r="A1753"/>
      <c r="B1753"/>
      <c r="C1753" s="3"/>
      <c r="D1753"/>
      <c r="E1753"/>
      <c r="F1753"/>
      <c r="G1753" s="3"/>
      <c r="H1753" s="3"/>
      <c r="I1753" s="3"/>
      <c r="J1753" s="288"/>
      <c r="L1753" s="288"/>
      <c r="M1753" s="288"/>
      <c r="N1753" s="288"/>
      <c r="O1753" s="288"/>
      <c r="P1753" s="288"/>
      <c r="Q1753" s="288"/>
      <c r="R1753" s="283"/>
      <c r="S1753" s="280"/>
      <c r="T1753" s="276"/>
      <c r="U1753" s="276"/>
      <c r="V1753" s="276"/>
      <c r="W1753" s="283"/>
      <c r="X1753" s="280"/>
      <c r="Y1753" s="280"/>
      <c r="Z1753" s="280"/>
      <c r="AA1753" s="280"/>
      <c r="AB1753" s="280"/>
      <c r="AC1753" s="280"/>
      <c r="AD1753" s="280"/>
      <c r="AG1753" s="3"/>
      <c r="AH1753" s="3"/>
      <c r="AI1753" s="3"/>
      <c r="AJ1753" s="3"/>
      <c r="AK1753" s="3"/>
      <c r="AL1753" s="3"/>
      <c r="AM1753" s="3"/>
      <c r="AN1753" s="3"/>
      <c r="AO1753" s="3"/>
      <c r="AP1753" s="11"/>
      <c r="AQ1753" s="11"/>
      <c r="AR1753" s="3"/>
      <c r="AS1753" s="3"/>
      <c r="AT1753" s="3"/>
      <c r="AU1753" s="3"/>
      <c r="AV1753" s="3"/>
      <c r="AW1753" s="3"/>
      <c r="AX1753" s="11"/>
      <c r="AZ1753"/>
      <c r="BA1753"/>
      <c r="BB1753"/>
      <c r="BC1753"/>
    </row>
    <row r="1754" spans="1:55" s="282" customFormat="1" x14ac:dyDescent="0.25">
      <c r="A1754"/>
      <c r="B1754"/>
      <c r="C1754" s="3"/>
      <c r="D1754"/>
      <c r="E1754"/>
      <c r="F1754"/>
      <c r="G1754" s="3"/>
      <c r="H1754" s="3"/>
      <c r="I1754" s="3"/>
      <c r="J1754" s="288"/>
      <c r="L1754" s="288"/>
      <c r="M1754" s="288"/>
      <c r="N1754" s="288"/>
      <c r="O1754" s="288"/>
      <c r="P1754" s="288"/>
      <c r="Q1754" s="288"/>
      <c r="R1754" s="283"/>
      <c r="S1754" s="280"/>
      <c r="T1754" s="276"/>
      <c r="U1754" s="276"/>
      <c r="V1754" s="276"/>
      <c r="W1754" s="283"/>
      <c r="X1754" s="280"/>
      <c r="Y1754" s="280"/>
      <c r="Z1754" s="280"/>
      <c r="AA1754" s="280"/>
      <c r="AB1754" s="280"/>
      <c r="AC1754" s="280"/>
      <c r="AD1754" s="280"/>
      <c r="AG1754" s="3"/>
      <c r="AH1754" s="3"/>
      <c r="AI1754" s="3"/>
      <c r="AJ1754" s="3"/>
      <c r="AK1754" s="3"/>
      <c r="AL1754" s="3"/>
      <c r="AM1754" s="3"/>
      <c r="AN1754" s="3"/>
      <c r="AO1754" s="3"/>
      <c r="AP1754" s="11"/>
      <c r="AQ1754" s="11"/>
      <c r="AR1754" s="3"/>
      <c r="AS1754" s="3"/>
      <c r="AT1754" s="3"/>
      <c r="AU1754" s="3"/>
      <c r="AV1754" s="3"/>
      <c r="AW1754" s="3"/>
      <c r="AX1754" s="11"/>
      <c r="AZ1754"/>
      <c r="BA1754"/>
      <c r="BB1754"/>
      <c r="BC1754"/>
    </row>
    <row r="1755" spans="1:55" s="282" customFormat="1" x14ac:dyDescent="0.25">
      <c r="A1755"/>
      <c r="B1755"/>
      <c r="C1755" s="3"/>
      <c r="D1755"/>
      <c r="E1755"/>
      <c r="F1755"/>
      <c r="G1755" s="3"/>
      <c r="H1755" s="3"/>
      <c r="I1755" s="3"/>
      <c r="J1755" s="288"/>
      <c r="L1755" s="288"/>
      <c r="M1755" s="288"/>
      <c r="N1755" s="288"/>
      <c r="O1755" s="288"/>
      <c r="P1755" s="288"/>
      <c r="Q1755" s="288"/>
      <c r="R1755" s="283"/>
      <c r="S1755" s="280"/>
      <c r="T1755" s="276"/>
      <c r="U1755" s="276"/>
      <c r="V1755" s="276"/>
      <c r="W1755" s="283"/>
      <c r="X1755" s="280"/>
      <c r="Y1755" s="280"/>
      <c r="Z1755" s="280"/>
      <c r="AA1755" s="280"/>
      <c r="AB1755" s="280"/>
      <c r="AC1755" s="280"/>
      <c r="AD1755" s="280"/>
      <c r="AG1755" s="3"/>
      <c r="AH1755" s="3"/>
      <c r="AI1755" s="3"/>
      <c r="AJ1755" s="3"/>
      <c r="AK1755" s="3"/>
      <c r="AL1755" s="3"/>
      <c r="AM1755" s="3"/>
      <c r="AN1755" s="3"/>
      <c r="AO1755" s="3"/>
      <c r="AP1755" s="11"/>
      <c r="AQ1755" s="11"/>
      <c r="AR1755" s="3"/>
      <c r="AS1755" s="3"/>
      <c r="AT1755" s="3"/>
      <c r="AU1755" s="3"/>
      <c r="AV1755" s="3"/>
      <c r="AW1755" s="3"/>
      <c r="AX1755" s="11"/>
      <c r="AZ1755"/>
      <c r="BA1755"/>
      <c r="BB1755"/>
      <c r="BC1755"/>
    </row>
    <row r="1756" spans="1:55" s="282" customFormat="1" x14ac:dyDescent="0.25">
      <c r="A1756"/>
      <c r="B1756"/>
      <c r="C1756" s="3"/>
      <c r="D1756"/>
      <c r="E1756"/>
      <c r="F1756"/>
      <c r="G1756" s="3"/>
      <c r="H1756" s="3"/>
      <c r="I1756" s="3"/>
      <c r="J1756" s="288"/>
      <c r="L1756" s="288"/>
      <c r="M1756" s="288"/>
      <c r="N1756" s="288"/>
      <c r="O1756" s="288"/>
      <c r="P1756" s="288"/>
      <c r="Q1756" s="288"/>
      <c r="R1756" s="283"/>
      <c r="S1756" s="280"/>
      <c r="T1756" s="276"/>
      <c r="U1756" s="276"/>
      <c r="V1756" s="276"/>
      <c r="W1756" s="283"/>
      <c r="X1756" s="280"/>
      <c r="Y1756" s="280"/>
      <c r="Z1756" s="280"/>
      <c r="AA1756" s="280"/>
      <c r="AB1756" s="280"/>
      <c r="AC1756" s="280"/>
      <c r="AD1756" s="280"/>
      <c r="AG1756" s="3"/>
      <c r="AH1756" s="3"/>
      <c r="AI1756" s="3"/>
      <c r="AJ1756" s="3"/>
      <c r="AK1756" s="3"/>
      <c r="AL1756" s="3"/>
      <c r="AM1756" s="3"/>
      <c r="AN1756" s="3"/>
      <c r="AO1756" s="3"/>
      <c r="AP1756" s="11"/>
      <c r="AQ1756" s="11"/>
      <c r="AR1756" s="3"/>
      <c r="AS1756" s="3"/>
      <c r="AT1756" s="3"/>
      <c r="AU1756" s="3"/>
      <c r="AV1756" s="3"/>
      <c r="AW1756" s="3"/>
      <c r="AX1756" s="11"/>
      <c r="AZ1756"/>
      <c r="BA1756"/>
      <c r="BB1756"/>
      <c r="BC1756"/>
    </row>
    <row r="1757" spans="1:55" s="282" customFormat="1" x14ac:dyDescent="0.25">
      <c r="A1757"/>
      <c r="B1757"/>
      <c r="C1757" s="3"/>
      <c r="D1757"/>
      <c r="E1757"/>
      <c r="F1757"/>
      <c r="G1757" s="3"/>
      <c r="H1757" s="3"/>
      <c r="I1757" s="3"/>
      <c r="J1757" s="288"/>
      <c r="L1757" s="288"/>
      <c r="M1757" s="288"/>
      <c r="N1757" s="288"/>
      <c r="O1757" s="288"/>
      <c r="P1757" s="288"/>
      <c r="Q1757" s="288"/>
      <c r="R1757" s="283"/>
      <c r="S1757" s="280"/>
      <c r="T1757" s="276"/>
      <c r="U1757" s="276"/>
      <c r="V1757" s="276"/>
      <c r="W1757" s="283"/>
      <c r="X1757" s="280"/>
      <c r="Y1757" s="280"/>
      <c r="Z1757" s="280"/>
      <c r="AA1757" s="280"/>
      <c r="AB1757" s="280"/>
      <c r="AC1757" s="280"/>
      <c r="AD1757" s="280"/>
      <c r="AG1757" s="3"/>
      <c r="AH1757" s="3"/>
      <c r="AI1757" s="3"/>
      <c r="AJ1757" s="3"/>
      <c r="AK1757" s="3"/>
      <c r="AL1757" s="3"/>
      <c r="AM1757" s="3"/>
      <c r="AN1757" s="3"/>
      <c r="AO1757" s="3"/>
      <c r="AP1757" s="11"/>
      <c r="AQ1757" s="11"/>
      <c r="AR1757" s="3"/>
      <c r="AS1757" s="3"/>
      <c r="AT1757" s="3"/>
      <c r="AU1757" s="3"/>
      <c r="AV1757" s="3"/>
      <c r="AW1757" s="3"/>
      <c r="AX1757" s="11"/>
      <c r="AZ1757"/>
      <c r="BA1757"/>
      <c r="BB1757"/>
      <c r="BC1757"/>
    </row>
    <row r="1758" spans="1:55" s="282" customFormat="1" x14ac:dyDescent="0.25">
      <c r="A1758"/>
      <c r="B1758"/>
      <c r="C1758" s="3"/>
      <c r="D1758"/>
      <c r="E1758"/>
      <c r="F1758"/>
      <c r="G1758" s="3"/>
      <c r="H1758" s="3"/>
      <c r="I1758" s="3"/>
      <c r="J1758" s="288"/>
      <c r="L1758" s="288"/>
      <c r="M1758" s="288"/>
      <c r="N1758" s="288"/>
      <c r="O1758" s="288"/>
      <c r="P1758" s="288"/>
      <c r="Q1758" s="288"/>
      <c r="R1758" s="283"/>
      <c r="S1758" s="280"/>
      <c r="T1758" s="276"/>
      <c r="U1758" s="276"/>
      <c r="V1758" s="276"/>
      <c r="W1758" s="283"/>
      <c r="X1758" s="280"/>
      <c r="Y1758" s="280"/>
      <c r="Z1758" s="280"/>
      <c r="AA1758" s="280"/>
      <c r="AB1758" s="280"/>
      <c r="AC1758" s="280"/>
      <c r="AD1758" s="280"/>
      <c r="AG1758" s="3"/>
      <c r="AH1758" s="3"/>
      <c r="AI1758" s="3"/>
      <c r="AJ1758" s="3"/>
      <c r="AK1758" s="3"/>
      <c r="AL1758" s="3"/>
      <c r="AM1758" s="3"/>
      <c r="AN1758" s="3"/>
      <c r="AO1758" s="3"/>
      <c r="AP1758" s="11"/>
      <c r="AQ1758" s="11"/>
      <c r="AR1758" s="3"/>
      <c r="AS1758" s="3"/>
      <c r="AT1758" s="3"/>
      <c r="AU1758" s="3"/>
      <c r="AV1758" s="3"/>
      <c r="AW1758" s="3"/>
      <c r="AX1758" s="11"/>
      <c r="AZ1758"/>
      <c r="BA1758"/>
      <c r="BB1758"/>
      <c r="BC1758"/>
    </row>
    <row r="1759" spans="1:55" s="282" customFormat="1" x14ac:dyDescent="0.25">
      <c r="A1759"/>
      <c r="B1759"/>
      <c r="C1759" s="3"/>
      <c r="D1759"/>
      <c r="E1759"/>
      <c r="F1759"/>
      <c r="G1759" s="3"/>
      <c r="H1759" s="3"/>
      <c r="I1759" s="3"/>
      <c r="J1759" s="288"/>
      <c r="L1759" s="288"/>
      <c r="M1759" s="288"/>
      <c r="N1759" s="288"/>
      <c r="O1759" s="288"/>
      <c r="P1759" s="288"/>
      <c r="Q1759" s="288"/>
      <c r="R1759" s="283"/>
      <c r="S1759" s="280"/>
      <c r="T1759" s="276"/>
      <c r="U1759" s="276"/>
      <c r="V1759" s="276"/>
      <c r="W1759" s="283"/>
      <c r="X1759" s="280"/>
      <c r="Y1759" s="280"/>
      <c r="Z1759" s="280"/>
      <c r="AA1759" s="280"/>
      <c r="AB1759" s="280"/>
      <c r="AC1759" s="280"/>
      <c r="AD1759" s="280"/>
      <c r="AG1759" s="3"/>
      <c r="AH1759" s="3"/>
      <c r="AI1759" s="3"/>
      <c r="AJ1759" s="3"/>
      <c r="AK1759" s="3"/>
      <c r="AL1759" s="3"/>
      <c r="AM1759" s="3"/>
      <c r="AN1759" s="3"/>
      <c r="AO1759" s="3"/>
      <c r="AP1759" s="11"/>
      <c r="AQ1759" s="11"/>
      <c r="AR1759" s="3"/>
      <c r="AS1759" s="3"/>
      <c r="AT1759" s="3"/>
      <c r="AU1759" s="3"/>
      <c r="AV1759" s="3"/>
      <c r="AW1759" s="3"/>
      <c r="AX1759" s="11"/>
      <c r="AZ1759"/>
      <c r="BA1759"/>
      <c r="BB1759"/>
      <c r="BC1759"/>
    </row>
    <row r="1760" spans="1:55" s="282" customFormat="1" x14ac:dyDescent="0.25">
      <c r="A1760"/>
      <c r="B1760"/>
      <c r="C1760" s="3"/>
      <c r="D1760"/>
      <c r="E1760"/>
      <c r="F1760"/>
      <c r="G1760" s="3"/>
      <c r="H1760" s="3"/>
      <c r="I1760" s="3"/>
      <c r="J1760" s="288"/>
      <c r="L1760" s="288"/>
      <c r="M1760" s="288"/>
      <c r="N1760" s="288"/>
      <c r="O1760" s="288"/>
      <c r="P1760" s="288"/>
      <c r="Q1760" s="288"/>
      <c r="R1760" s="283"/>
      <c r="S1760" s="280"/>
      <c r="T1760" s="276"/>
      <c r="U1760" s="276"/>
      <c r="V1760" s="276"/>
      <c r="W1760" s="283"/>
      <c r="X1760" s="280"/>
      <c r="Y1760" s="280"/>
      <c r="Z1760" s="280"/>
      <c r="AA1760" s="280"/>
      <c r="AB1760" s="280"/>
      <c r="AC1760" s="280"/>
      <c r="AD1760" s="280"/>
      <c r="AG1760" s="3"/>
      <c r="AH1760" s="3"/>
      <c r="AI1760" s="3"/>
      <c r="AJ1760" s="3"/>
      <c r="AK1760" s="3"/>
      <c r="AL1760" s="3"/>
      <c r="AM1760" s="3"/>
      <c r="AN1760" s="3"/>
      <c r="AO1760" s="3"/>
      <c r="AP1760" s="11"/>
      <c r="AQ1760" s="11"/>
      <c r="AR1760" s="3"/>
      <c r="AS1760" s="3"/>
      <c r="AT1760" s="3"/>
      <c r="AU1760" s="3"/>
      <c r="AV1760" s="3"/>
      <c r="AW1760" s="3"/>
      <c r="AX1760" s="11"/>
      <c r="AZ1760"/>
      <c r="BA1760"/>
      <c r="BB1760"/>
      <c r="BC1760"/>
    </row>
    <row r="1761" spans="1:55" s="282" customFormat="1" x14ac:dyDescent="0.25">
      <c r="A1761"/>
      <c r="B1761"/>
      <c r="C1761" s="3"/>
      <c r="D1761"/>
      <c r="E1761"/>
      <c r="F1761"/>
      <c r="G1761" s="3"/>
      <c r="H1761" s="3"/>
      <c r="I1761" s="3"/>
      <c r="J1761" s="288"/>
      <c r="L1761" s="288"/>
      <c r="M1761" s="288"/>
      <c r="N1761" s="288"/>
      <c r="O1761" s="288"/>
      <c r="P1761" s="288"/>
      <c r="Q1761" s="288"/>
      <c r="R1761" s="283"/>
      <c r="S1761" s="280"/>
      <c r="T1761" s="276"/>
      <c r="U1761" s="276"/>
      <c r="V1761" s="276"/>
      <c r="W1761" s="283"/>
      <c r="X1761" s="280"/>
      <c r="Y1761" s="280"/>
      <c r="Z1761" s="280"/>
      <c r="AA1761" s="280"/>
      <c r="AB1761" s="280"/>
      <c r="AC1761" s="280"/>
      <c r="AD1761" s="280"/>
      <c r="AG1761" s="3"/>
      <c r="AH1761" s="3"/>
      <c r="AI1761" s="3"/>
      <c r="AJ1761" s="3"/>
      <c r="AK1761" s="3"/>
      <c r="AL1761" s="3"/>
      <c r="AM1761" s="3"/>
      <c r="AN1761" s="3"/>
      <c r="AO1761" s="3"/>
      <c r="AP1761" s="11"/>
      <c r="AQ1761" s="11"/>
      <c r="AR1761" s="3"/>
      <c r="AS1761" s="3"/>
      <c r="AT1761" s="3"/>
      <c r="AU1761" s="3"/>
      <c r="AV1761" s="3"/>
      <c r="AW1761" s="3"/>
      <c r="AX1761" s="11"/>
      <c r="AZ1761"/>
      <c r="BA1761"/>
      <c r="BB1761"/>
      <c r="BC1761"/>
    </row>
    <row r="1762" spans="1:55" s="282" customFormat="1" x14ac:dyDescent="0.25">
      <c r="A1762"/>
      <c r="B1762"/>
      <c r="C1762" s="3"/>
      <c r="D1762"/>
      <c r="E1762"/>
      <c r="F1762"/>
      <c r="G1762" s="3"/>
      <c r="H1762" s="3"/>
      <c r="I1762" s="3"/>
      <c r="J1762" s="288"/>
      <c r="L1762" s="288"/>
      <c r="M1762" s="288"/>
      <c r="N1762" s="288"/>
      <c r="O1762" s="288"/>
      <c r="P1762" s="288"/>
      <c r="Q1762" s="288"/>
      <c r="R1762" s="283"/>
      <c r="S1762" s="280"/>
      <c r="T1762" s="276"/>
      <c r="U1762" s="276"/>
      <c r="V1762" s="276"/>
      <c r="W1762" s="283"/>
      <c r="X1762" s="280"/>
      <c r="Y1762" s="280"/>
      <c r="Z1762" s="280"/>
      <c r="AA1762" s="280"/>
      <c r="AB1762" s="280"/>
      <c r="AC1762" s="280"/>
      <c r="AD1762" s="280"/>
      <c r="AG1762" s="3"/>
      <c r="AH1762" s="3"/>
      <c r="AI1762" s="3"/>
      <c r="AJ1762" s="3"/>
      <c r="AK1762" s="3"/>
      <c r="AL1762" s="3"/>
      <c r="AM1762" s="3"/>
      <c r="AN1762" s="3"/>
      <c r="AO1762" s="3"/>
      <c r="AP1762" s="11"/>
      <c r="AQ1762" s="11"/>
      <c r="AR1762" s="3"/>
      <c r="AS1762" s="3"/>
      <c r="AT1762" s="3"/>
      <c r="AU1762" s="3"/>
      <c r="AV1762" s="3"/>
      <c r="AW1762" s="3"/>
      <c r="AX1762" s="11"/>
      <c r="AZ1762"/>
      <c r="BA1762"/>
      <c r="BB1762"/>
      <c r="BC1762"/>
    </row>
    <row r="1763" spans="1:55" s="282" customFormat="1" x14ac:dyDescent="0.25">
      <c r="A1763"/>
      <c r="B1763"/>
      <c r="C1763" s="3"/>
      <c r="D1763"/>
      <c r="E1763"/>
      <c r="F1763"/>
      <c r="G1763" s="3"/>
      <c r="H1763" s="3"/>
      <c r="I1763" s="3"/>
      <c r="J1763" s="288"/>
      <c r="L1763" s="288"/>
      <c r="M1763" s="288"/>
      <c r="N1763" s="288"/>
      <c r="O1763" s="288"/>
      <c r="P1763" s="288"/>
      <c r="Q1763" s="288"/>
      <c r="R1763" s="283"/>
      <c r="S1763" s="280"/>
      <c r="T1763" s="276"/>
      <c r="U1763" s="276"/>
      <c r="V1763" s="276"/>
      <c r="W1763" s="283"/>
      <c r="X1763" s="280"/>
      <c r="Y1763" s="280"/>
      <c r="Z1763" s="280"/>
      <c r="AA1763" s="280"/>
      <c r="AB1763" s="280"/>
      <c r="AC1763" s="280"/>
      <c r="AD1763" s="280"/>
      <c r="AG1763" s="3"/>
      <c r="AH1763" s="3"/>
      <c r="AI1763" s="3"/>
      <c r="AJ1763" s="3"/>
      <c r="AK1763" s="3"/>
      <c r="AL1763" s="3"/>
      <c r="AM1763" s="3"/>
      <c r="AN1763" s="3"/>
      <c r="AO1763" s="3"/>
      <c r="AP1763" s="11"/>
      <c r="AQ1763" s="11"/>
      <c r="AR1763" s="3"/>
      <c r="AS1763" s="3"/>
      <c r="AT1763" s="3"/>
      <c r="AU1763" s="3"/>
      <c r="AV1763" s="3"/>
      <c r="AW1763" s="3"/>
      <c r="AX1763" s="11"/>
      <c r="AZ1763"/>
      <c r="BA1763"/>
      <c r="BB1763"/>
      <c r="BC1763"/>
    </row>
    <row r="1764" spans="1:55" s="282" customFormat="1" x14ac:dyDescent="0.25">
      <c r="A1764"/>
      <c r="B1764"/>
      <c r="C1764" s="3"/>
      <c r="D1764"/>
      <c r="E1764"/>
      <c r="F1764"/>
      <c r="G1764" s="3"/>
      <c r="H1764" s="3"/>
      <c r="I1764" s="3"/>
      <c r="J1764" s="288"/>
      <c r="L1764" s="288"/>
      <c r="M1764" s="288"/>
      <c r="N1764" s="288"/>
      <c r="O1764" s="288"/>
      <c r="P1764" s="288"/>
      <c r="Q1764" s="288"/>
      <c r="R1764" s="283"/>
      <c r="S1764" s="280"/>
      <c r="T1764" s="276"/>
      <c r="U1764" s="276"/>
      <c r="V1764" s="276"/>
      <c r="W1764" s="283"/>
      <c r="X1764" s="280"/>
      <c r="Y1764" s="280"/>
      <c r="Z1764" s="280"/>
      <c r="AA1764" s="280"/>
      <c r="AB1764" s="280"/>
      <c r="AC1764" s="280"/>
      <c r="AD1764" s="280"/>
      <c r="AG1764" s="3"/>
      <c r="AH1764" s="3"/>
      <c r="AI1764" s="3"/>
      <c r="AJ1764" s="3"/>
      <c r="AK1764" s="3"/>
      <c r="AL1764" s="3"/>
      <c r="AM1764" s="3"/>
      <c r="AN1764" s="3"/>
      <c r="AO1764" s="3"/>
      <c r="AP1764" s="11"/>
      <c r="AQ1764" s="11"/>
      <c r="AR1764" s="3"/>
      <c r="AS1764" s="3"/>
      <c r="AT1764" s="3"/>
      <c r="AU1764" s="3"/>
      <c r="AV1764" s="3"/>
      <c r="AW1764" s="3"/>
      <c r="AX1764" s="11"/>
      <c r="AZ1764"/>
      <c r="BA1764"/>
      <c r="BB1764"/>
      <c r="BC1764"/>
    </row>
    <row r="1765" spans="1:55" s="282" customFormat="1" x14ac:dyDescent="0.25">
      <c r="A1765"/>
      <c r="B1765"/>
      <c r="C1765" s="3"/>
      <c r="D1765"/>
      <c r="E1765"/>
      <c r="F1765"/>
      <c r="G1765" s="3"/>
      <c r="H1765" s="3"/>
      <c r="I1765" s="3"/>
      <c r="J1765" s="288"/>
      <c r="L1765" s="288"/>
      <c r="M1765" s="288"/>
      <c r="N1765" s="288"/>
      <c r="O1765" s="288"/>
      <c r="P1765" s="288"/>
      <c r="Q1765" s="288"/>
      <c r="R1765" s="283"/>
      <c r="S1765" s="280"/>
      <c r="T1765" s="276"/>
      <c r="U1765" s="276"/>
      <c r="V1765" s="276"/>
      <c r="W1765" s="283"/>
      <c r="X1765" s="280"/>
      <c r="Y1765" s="280"/>
      <c r="Z1765" s="280"/>
      <c r="AA1765" s="280"/>
      <c r="AB1765" s="280"/>
      <c r="AC1765" s="280"/>
      <c r="AD1765" s="280"/>
      <c r="AG1765" s="3"/>
      <c r="AH1765" s="3"/>
      <c r="AI1765" s="3"/>
      <c r="AJ1765" s="3"/>
      <c r="AK1765" s="3"/>
      <c r="AL1765" s="3"/>
      <c r="AM1765" s="3"/>
      <c r="AN1765" s="3"/>
      <c r="AO1765" s="3"/>
      <c r="AP1765" s="11"/>
      <c r="AQ1765" s="11"/>
      <c r="AR1765" s="3"/>
      <c r="AS1765" s="3"/>
      <c r="AT1765" s="3"/>
      <c r="AU1765" s="3"/>
      <c r="AV1765" s="3"/>
      <c r="AW1765" s="3"/>
      <c r="AX1765" s="11"/>
      <c r="AZ1765"/>
      <c r="BA1765"/>
      <c r="BB1765"/>
      <c r="BC1765"/>
    </row>
    <row r="1766" spans="1:55" s="282" customFormat="1" x14ac:dyDescent="0.25">
      <c r="A1766"/>
      <c r="B1766"/>
      <c r="C1766" s="3"/>
      <c r="D1766"/>
      <c r="E1766"/>
      <c r="F1766"/>
      <c r="G1766" s="3"/>
      <c r="H1766" s="3"/>
      <c r="I1766" s="3"/>
      <c r="J1766" s="288"/>
      <c r="L1766" s="288"/>
      <c r="M1766" s="288"/>
      <c r="N1766" s="288"/>
      <c r="O1766" s="288"/>
      <c r="P1766" s="288"/>
      <c r="Q1766" s="288"/>
      <c r="R1766" s="283"/>
      <c r="S1766" s="280"/>
      <c r="T1766" s="276"/>
      <c r="U1766" s="276"/>
      <c r="V1766" s="276"/>
      <c r="W1766" s="283"/>
      <c r="X1766" s="280"/>
      <c r="Y1766" s="280"/>
      <c r="Z1766" s="280"/>
      <c r="AA1766" s="280"/>
      <c r="AB1766" s="280"/>
      <c r="AC1766" s="280"/>
      <c r="AD1766" s="280"/>
      <c r="AG1766" s="3"/>
      <c r="AH1766" s="3"/>
      <c r="AI1766" s="3"/>
      <c r="AJ1766" s="3"/>
      <c r="AK1766" s="3"/>
      <c r="AL1766" s="3"/>
      <c r="AM1766" s="3"/>
      <c r="AN1766" s="3"/>
      <c r="AO1766" s="3"/>
      <c r="AP1766" s="11"/>
      <c r="AQ1766" s="11"/>
      <c r="AR1766" s="3"/>
      <c r="AS1766" s="3"/>
      <c r="AT1766" s="3"/>
      <c r="AU1766" s="3"/>
      <c r="AV1766" s="3"/>
      <c r="AW1766" s="3"/>
      <c r="AX1766" s="11"/>
      <c r="AZ1766"/>
      <c r="BA1766"/>
      <c r="BB1766"/>
      <c r="BC1766"/>
    </row>
    <row r="1767" spans="1:55" s="282" customFormat="1" x14ac:dyDescent="0.25">
      <c r="A1767"/>
      <c r="B1767"/>
      <c r="C1767" s="3"/>
      <c r="D1767"/>
      <c r="E1767"/>
      <c r="F1767"/>
      <c r="G1767" s="3"/>
      <c r="H1767" s="3"/>
      <c r="I1767" s="3"/>
      <c r="J1767" s="288"/>
      <c r="L1767" s="288"/>
      <c r="M1767" s="288"/>
      <c r="N1767" s="288"/>
      <c r="O1767" s="288"/>
      <c r="P1767" s="288"/>
      <c r="Q1767" s="288"/>
      <c r="R1767" s="283"/>
      <c r="S1767" s="280"/>
      <c r="T1767" s="276"/>
      <c r="U1767" s="276"/>
      <c r="V1767" s="276"/>
      <c r="W1767" s="283"/>
      <c r="X1767" s="280"/>
      <c r="Y1767" s="280"/>
      <c r="Z1767" s="280"/>
      <c r="AA1767" s="280"/>
      <c r="AB1767" s="280"/>
      <c r="AC1767" s="280"/>
      <c r="AD1767" s="280"/>
      <c r="AG1767" s="3"/>
      <c r="AH1767" s="3"/>
      <c r="AI1767" s="3"/>
      <c r="AJ1767" s="3"/>
      <c r="AK1767" s="3"/>
      <c r="AL1767" s="3"/>
      <c r="AM1767" s="3"/>
      <c r="AN1767" s="3"/>
      <c r="AO1767" s="3"/>
      <c r="AP1767" s="11"/>
      <c r="AQ1767" s="11"/>
      <c r="AR1767" s="3"/>
      <c r="AS1767" s="3"/>
      <c r="AT1767" s="3"/>
      <c r="AU1767" s="3"/>
      <c r="AV1767" s="3"/>
      <c r="AW1767" s="3"/>
      <c r="AX1767" s="11"/>
      <c r="AZ1767"/>
      <c r="BA1767"/>
      <c r="BB1767"/>
      <c r="BC1767"/>
    </row>
    <row r="1768" spans="1:55" s="282" customFormat="1" x14ac:dyDescent="0.25">
      <c r="A1768"/>
      <c r="B1768"/>
      <c r="C1768" s="3"/>
      <c r="D1768"/>
      <c r="E1768"/>
      <c r="F1768"/>
      <c r="G1768" s="3"/>
      <c r="H1768" s="3"/>
      <c r="I1768" s="3"/>
      <c r="J1768" s="288"/>
      <c r="L1768" s="288"/>
      <c r="M1768" s="288"/>
      <c r="N1768" s="288"/>
      <c r="O1768" s="288"/>
      <c r="P1768" s="288"/>
      <c r="Q1768" s="288"/>
      <c r="R1768" s="283"/>
      <c r="S1768" s="280"/>
      <c r="T1768" s="276"/>
      <c r="U1768" s="276"/>
      <c r="V1768" s="276"/>
      <c r="W1768" s="283"/>
      <c r="X1768" s="280"/>
      <c r="Y1768" s="280"/>
      <c r="Z1768" s="280"/>
      <c r="AA1768" s="280"/>
      <c r="AB1768" s="280"/>
      <c r="AC1768" s="280"/>
      <c r="AD1768" s="280"/>
      <c r="AG1768" s="3"/>
      <c r="AH1768" s="3"/>
      <c r="AI1768" s="3"/>
      <c r="AJ1768" s="3"/>
      <c r="AK1768" s="3"/>
      <c r="AL1768" s="3"/>
      <c r="AM1768" s="3"/>
      <c r="AN1768" s="3"/>
      <c r="AO1768" s="3"/>
      <c r="AP1768" s="11"/>
      <c r="AQ1768" s="11"/>
      <c r="AR1768" s="3"/>
      <c r="AS1768" s="3"/>
      <c r="AT1768" s="3"/>
      <c r="AU1768" s="3"/>
      <c r="AV1768" s="3"/>
      <c r="AW1768" s="3"/>
      <c r="AX1768" s="11"/>
      <c r="AZ1768"/>
      <c r="BA1768"/>
      <c r="BB1768"/>
      <c r="BC1768"/>
    </row>
    <row r="1769" spans="1:55" s="282" customFormat="1" x14ac:dyDescent="0.25">
      <c r="A1769"/>
      <c r="B1769"/>
      <c r="C1769" s="3"/>
      <c r="D1769"/>
      <c r="E1769"/>
      <c r="F1769"/>
      <c r="G1769" s="3"/>
      <c r="H1769" s="3"/>
      <c r="I1769" s="3"/>
      <c r="J1769" s="288"/>
      <c r="L1769" s="288"/>
      <c r="M1769" s="288"/>
      <c r="N1769" s="288"/>
      <c r="O1769" s="288"/>
      <c r="P1769" s="288"/>
      <c r="Q1769" s="288"/>
      <c r="R1769" s="283"/>
      <c r="S1769" s="280"/>
      <c r="T1769" s="276"/>
      <c r="U1769" s="276"/>
      <c r="V1769" s="276"/>
      <c r="W1769" s="283"/>
      <c r="X1769" s="280"/>
      <c r="Y1769" s="280"/>
      <c r="Z1769" s="280"/>
      <c r="AA1769" s="280"/>
      <c r="AB1769" s="280"/>
      <c r="AC1769" s="280"/>
      <c r="AD1769" s="280"/>
      <c r="AG1769" s="3"/>
      <c r="AH1769" s="3"/>
      <c r="AI1769" s="3"/>
      <c r="AJ1769" s="3"/>
      <c r="AK1769" s="3"/>
      <c r="AL1769" s="3"/>
      <c r="AM1769" s="3"/>
      <c r="AN1769" s="3"/>
      <c r="AO1769" s="3"/>
      <c r="AP1769" s="11"/>
      <c r="AQ1769" s="11"/>
      <c r="AR1769" s="3"/>
      <c r="AS1769" s="3"/>
      <c r="AT1769" s="3"/>
      <c r="AU1769" s="3"/>
      <c r="AV1769" s="3"/>
      <c r="AW1769" s="3"/>
      <c r="AX1769" s="11"/>
      <c r="AZ1769"/>
      <c r="BA1769"/>
      <c r="BB1769"/>
      <c r="BC1769"/>
    </row>
    <row r="1770" spans="1:55" s="282" customFormat="1" x14ac:dyDescent="0.25">
      <c r="A1770"/>
      <c r="B1770"/>
      <c r="C1770" s="3"/>
      <c r="D1770"/>
      <c r="E1770"/>
      <c r="F1770"/>
      <c r="G1770" s="3"/>
      <c r="H1770" s="3"/>
      <c r="I1770" s="3"/>
      <c r="J1770" s="288"/>
      <c r="L1770" s="288"/>
      <c r="M1770" s="288"/>
      <c r="N1770" s="288"/>
      <c r="O1770" s="288"/>
      <c r="P1770" s="288"/>
      <c r="Q1770" s="288"/>
      <c r="R1770" s="283"/>
      <c r="S1770" s="280"/>
      <c r="T1770" s="276"/>
      <c r="U1770" s="276"/>
      <c r="V1770" s="276"/>
      <c r="W1770" s="283"/>
      <c r="X1770" s="280"/>
      <c r="Y1770" s="280"/>
      <c r="Z1770" s="280"/>
      <c r="AA1770" s="280"/>
      <c r="AB1770" s="280"/>
      <c r="AC1770" s="280"/>
      <c r="AD1770" s="280"/>
      <c r="AG1770" s="3"/>
      <c r="AH1770" s="3"/>
      <c r="AI1770" s="3"/>
      <c r="AJ1770" s="3"/>
      <c r="AK1770" s="3"/>
      <c r="AL1770" s="3"/>
      <c r="AM1770" s="3"/>
      <c r="AN1770" s="3"/>
      <c r="AO1770" s="3"/>
      <c r="AP1770" s="11"/>
      <c r="AQ1770" s="11"/>
      <c r="AR1770" s="3"/>
      <c r="AS1770" s="3"/>
      <c r="AT1770" s="3"/>
      <c r="AU1770" s="3"/>
      <c r="AV1770" s="3"/>
      <c r="AW1770" s="3"/>
      <c r="AX1770" s="11"/>
      <c r="AZ1770"/>
      <c r="BA1770"/>
      <c r="BB1770"/>
      <c r="BC1770"/>
    </row>
    <row r="1771" spans="1:55" s="282" customFormat="1" x14ac:dyDescent="0.25">
      <c r="A1771"/>
      <c r="B1771"/>
      <c r="C1771" s="3"/>
      <c r="D1771"/>
      <c r="E1771"/>
      <c r="F1771"/>
      <c r="G1771" s="3"/>
      <c r="H1771" s="3"/>
      <c r="I1771" s="3"/>
      <c r="J1771" s="288"/>
      <c r="L1771" s="288"/>
      <c r="M1771" s="288"/>
      <c r="N1771" s="288"/>
      <c r="O1771" s="288"/>
      <c r="P1771" s="288"/>
      <c r="Q1771" s="288"/>
      <c r="R1771" s="283"/>
      <c r="S1771" s="280"/>
      <c r="T1771" s="276"/>
      <c r="U1771" s="276"/>
      <c r="V1771" s="276"/>
      <c r="W1771" s="283"/>
      <c r="X1771" s="280"/>
      <c r="Y1771" s="280"/>
      <c r="Z1771" s="280"/>
      <c r="AA1771" s="280"/>
      <c r="AB1771" s="280"/>
      <c r="AC1771" s="280"/>
      <c r="AD1771" s="280"/>
      <c r="AG1771" s="3"/>
      <c r="AH1771" s="3"/>
      <c r="AI1771" s="3"/>
      <c r="AJ1771" s="3"/>
      <c r="AK1771" s="3"/>
      <c r="AL1771" s="3"/>
      <c r="AM1771" s="3"/>
      <c r="AN1771" s="3"/>
      <c r="AO1771" s="3"/>
      <c r="AP1771" s="11"/>
      <c r="AQ1771" s="11"/>
      <c r="AR1771" s="3"/>
      <c r="AS1771" s="3"/>
      <c r="AT1771" s="3"/>
      <c r="AU1771" s="3"/>
      <c r="AV1771" s="3"/>
      <c r="AW1771" s="3"/>
      <c r="AX1771" s="11"/>
      <c r="AZ1771"/>
      <c r="BA1771"/>
      <c r="BB1771"/>
      <c r="BC1771"/>
    </row>
    <row r="1772" spans="1:55" s="282" customFormat="1" x14ac:dyDescent="0.25">
      <c r="A1772"/>
      <c r="B1772"/>
      <c r="C1772" s="3"/>
      <c r="D1772"/>
      <c r="E1772"/>
      <c r="F1772"/>
      <c r="G1772" s="3"/>
      <c r="H1772" s="3"/>
      <c r="I1772" s="3"/>
      <c r="J1772" s="288"/>
      <c r="L1772" s="288"/>
      <c r="M1772" s="288"/>
      <c r="N1772" s="288"/>
      <c r="O1772" s="288"/>
      <c r="P1772" s="288"/>
      <c r="Q1772" s="288"/>
      <c r="R1772" s="283"/>
      <c r="S1772" s="280"/>
      <c r="T1772" s="276"/>
      <c r="U1772" s="276"/>
      <c r="V1772" s="276"/>
      <c r="W1772" s="283"/>
      <c r="X1772" s="280"/>
      <c r="Y1772" s="280"/>
      <c r="Z1772" s="280"/>
      <c r="AA1772" s="280"/>
      <c r="AB1772" s="280"/>
      <c r="AC1772" s="280"/>
      <c r="AD1772" s="280"/>
      <c r="AG1772" s="3"/>
      <c r="AH1772" s="3"/>
      <c r="AI1772" s="3"/>
      <c r="AJ1772" s="3"/>
      <c r="AK1772" s="3"/>
      <c r="AL1772" s="3"/>
      <c r="AM1772" s="3"/>
      <c r="AN1772" s="3"/>
      <c r="AO1772" s="3"/>
      <c r="AP1772" s="11"/>
      <c r="AQ1772" s="11"/>
      <c r="AR1772" s="3"/>
      <c r="AS1772" s="3"/>
      <c r="AT1772" s="3"/>
      <c r="AU1772" s="3"/>
      <c r="AV1772" s="3"/>
      <c r="AW1772" s="3"/>
      <c r="AX1772" s="11"/>
      <c r="AZ1772"/>
      <c r="BA1772"/>
      <c r="BB1772"/>
      <c r="BC1772"/>
    </row>
    <row r="1773" spans="1:55" s="282" customFormat="1" x14ac:dyDescent="0.25">
      <c r="A1773"/>
      <c r="B1773"/>
      <c r="C1773" s="3"/>
      <c r="D1773"/>
      <c r="E1773"/>
      <c r="F1773"/>
      <c r="G1773" s="3"/>
      <c r="H1773" s="3"/>
      <c r="I1773" s="3"/>
      <c r="J1773" s="288"/>
      <c r="L1773" s="288"/>
      <c r="M1773" s="288"/>
      <c r="N1773" s="288"/>
      <c r="O1773" s="288"/>
      <c r="P1773" s="288"/>
      <c r="Q1773" s="288"/>
      <c r="R1773" s="283"/>
      <c r="S1773" s="280"/>
      <c r="T1773" s="276"/>
      <c r="U1773" s="276"/>
      <c r="V1773" s="276"/>
      <c r="W1773" s="283"/>
      <c r="X1773" s="280"/>
      <c r="Y1773" s="280"/>
      <c r="Z1773" s="280"/>
      <c r="AA1773" s="280"/>
      <c r="AB1773" s="280"/>
      <c r="AC1773" s="280"/>
      <c r="AD1773" s="280"/>
      <c r="AG1773" s="3"/>
      <c r="AH1773" s="3"/>
      <c r="AI1773" s="3"/>
      <c r="AJ1773" s="3"/>
      <c r="AK1773" s="3"/>
      <c r="AL1773" s="3"/>
      <c r="AM1773" s="3"/>
      <c r="AN1773" s="3"/>
      <c r="AO1773" s="3"/>
      <c r="AP1773" s="11"/>
      <c r="AQ1773" s="11"/>
      <c r="AR1773" s="3"/>
      <c r="AS1773" s="3"/>
      <c r="AT1773" s="3"/>
      <c r="AU1773" s="3"/>
      <c r="AV1773" s="3"/>
      <c r="AW1773" s="3"/>
      <c r="AX1773" s="11"/>
      <c r="AZ1773"/>
      <c r="BA1773"/>
      <c r="BB1773"/>
      <c r="BC1773"/>
    </row>
    <row r="1774" spans="1:55" s="282" customFormat="1" x14ac:dyDescent="0.25">
      <c r="A1774"/>
      <c r="B1774"/>
      <c r="C1774" s="3"/>
      <c r="D1774"/>
      <c r="E1774"/>
      <c r="F1774"/>
      <c r="G1774" s="3"/>
      <c r="H1774" s="3"/>
      <c r="I1774" s="3"/>
      <c r="J1774" s="288"/>
      <c r="L1774" s="288"/>
      <c r="M1774" s="288"/>
      <c r="N1774" s="288"/>
      <c r="O1774" s="288"/>
      <c r="P1774" s="288"/>
      <c r="Q1774" s="288"/>
      <c r="R1774" s="283"/>
      <c r="S1774" s="280"/>
      <c r="T1774" s="276"/>
      <c r="U1774" s="276"/>
      <c r="V1774" s="276"/>
      <c r="W1774" s="283"/>
      <c r="X1774" s="280"/>
      <c r="Y1774" s="280"/>
      <c r="Z1774" s="280"/>
      <c r="AA1774" s="280"/>
      <c r="AB1774" s="280"/>
      <c r="AC1774" s="280"/>
      <c r="AD1774" s="280"/>
      <c r="AG1774" s="3"/>
      <c r="AH1774" s="3"/>
      <c r="AI1774" s="3"/>
      <c r="AJ1774" s="3"/>
      <c r="AK1774" s="3"/>
      <c r="AL1774" s="3"/>
      <c r="AM1774" s="3"/>
      <c r="AN1774" s="3"/>
      <c r="AO1774" s="3"/>
      <c r="AP1774" s="11"/>
      <c r="AQ1774" s="11"/>
      <c r="AR1774" s="3"/>
      <c r="AS1774" s="3"/>
      <c r="AT1774" s="3"/>
      <c r="AU1774" s="3"/>
      <c r="AV1774" s="3"/>
      <c r="AW1774" s="3"/>
      <c r="AX1774" s="11"/>
      <c r="AZ1774"/>
      <c r="BA1774"/>
      <c r="BB1774"/>
      <c r="BC1774"/>
    </row>
    <row r="1775" spans="1:55" s="282" customFormat="1" x14ac:dyDescent="0.25">
      <c r="A1775"/>
      <c r="B1775"/>
      <c r="C1775" s="3"/>
      <c r="D1775"/>
      <c r="E1775"/>
      <c r="F1775"/>
      <c r="G1775" s="3"/>
      <c r="H1775" s="3"/>
      <c r="I1775" s="3"/>
      <c r="J1775" s="288"/>
      <c r="L1775" s="288"/>
      <c r="M1775" s="288"/>
      <c r="N1775" s="288"/>
      <c r="O1775" s="288"/>
      <c r="P1775" s="288"/>
      <c r="Q1775" s="288"/>
      <c r="R1775" s="283"/>
      <c r="S1775" s="280"/>
      <c r="T1775" s="276"/>
      <c r="U1775" s="276"/>
      <c r="V1775" s="276"/>
      <c r="W1775" s="283"/>
      <c r="X1775" s="280"/>
      <c r="Y1775" s="280"/>
      <c r="Z1775" s="280"/>
      <c r="AA1775" s="280"/>
      <c r="AB1775" s="280"/>
      <c r="AC1775" s="280"/>
      <c r="AD1775" s="280"/>
      <c r="AG1775" s="3"/>
      <c r="AH1775" s="3"/>
      <c r="AI1775" s="3"/>
      <c r="AJ1775" s="3"/>
      <c r="AK1775" s="3"/>
      <c r="AL1775" s="3"/>
      <c r="AM1775" s="3"/>
      <c r="AN1775" s="3"/>
      <c r="AO1775" s="3"/>
      <c r="AP1775" s="11"/>
      <c r="AQ1775" s="11"/>
      <c r="AR1775" s="3"/>
      <c r="AS1775" s="3"/>
      <c r="AT1775" s="3"/>
      <c r="AU1775" s="3"/>
      <c r="AV1775" s="3"/>
      <c r="AW1775" s="3"/>
      <c r="AX1775" s="11"/>
      <c r="AZ1775"/>
      <c r="BA1775"/>
      <c r="BB1775"/>
      <c r="BC1775"/>
    </row>
    <row r="1776" spans="1:55" s="282" customFormat="1" x14ac:dyDescent="0.25">
      <c r="A1776"/>
      <c r="B1776"/>
      <c r="C1776" s="3"/>
      <c r="D1776"/>
      <c r="E1776"/>
      <c r="F1776"/>
      <c r="G1776" s="3"/>
      <c r="H1776" s="3"/>
      <c r="I1776" s="3"/>
      <c r="J1776" s="288"/>
      <c r="L1776" s="288"/>
      <c r="M1776" s="288"/>
      <c r="N1776" s="288"/>
      <c r="O1776" s="288"/>
      <c r="P1776" s="288"/>
      <c r="Q1776" s="288"/>
      <c r="R1776" s="283"/>
      <c r="S1776" s="280"/>
      <c r="T1776" s="276"/>
      <c r="U1776" s="276"/>
      <c r="V1776" s="276"/>
      <c r="W1776" s="283"/>
      <c r="X1776" s="280"/>
      <c r="Y1776" s="280"/>
      <c r="Z1776" s="280"/>
      <c r="AA1776" s="280"/>
      <c r="AB1776" s="280"/>
      <c r="AC1776" s="280"/>
      <c r="AD1776" s="280"/>
      <c r="AG1776" s="3"/>
      <c r="AH1776" s="3"/>
      <c r="AI1776" s="3"/>
      <c r="AJ1776" s="3"/>
      <c r="AK1776" s="3"/>
      <c r="AL1776" s="3"/>
      <c r="AM1776" s="3"/>
      <c r="AN1776" s="3"/>
      <c r="AO1776" s="3"/>
      <c r="AP1776" s="11"/>
      <c r="AQ1776" s="11"/>
      <c r="AR1776" s="3"/>
      <c r="AS1776" s="3"/>
      <c r="AT1776" s="3"/>
      <c r="AU1776" s="3"/>
      <c r="AV1776" s="3"/>
      <c r="AW1776" s="3"/>
      <c r="AX1776" s="11"/>
      <c r="AZ1776"/>
      <c r="BA1776"/>
      <c r="BB1776"/>
      <c r="BC1776"/>
    </row>
    <row r="1777" spans="1:55" s="282" customFormat="1" x14ac:dyDescent="0.25">
      <c r="A1777"/>
      <c r="B1777"/>
      <c r="C1777" s="3"/>
      <c r="D1777"/>
      <c r="E1777"/>
      <c r="F1777"/>
      <c r="G1777" s="3"/>
      <c r="H1777" s="3"/>
      <c r="I1777" s="3"/>
      <c r="J1777" s="288"/>
      <c r="L1777" s="288"/>
      <c r="M1777" s="288"/>
      <c r="N1777" s="288"/>
      <c r="O1777" s="288"/>
      <c r="P1777" s="288"/>
      <c r="Q1777" s="288"/>
      <c r="R1777" s="283"/>
      <c r="S1777" s="280"/>
      <c r="T1777" s="276"/>
      <c r="U1777" s="276"/>
      <c r="V1777" s="276"/>
      <c r="W1777" s="283"/>
      <c r="X1777" s="280"/>
      <c r="Y1777" s="280"/>
      <c r="Z1777" s="280"/>
      <c r="AA1777" s="280"/>
      <c r="AB1777" s="280"/>
      <c r="AC1777" s="280"/>
      <c r="AD1777" s="280"/>
      <c r="AG1777" s="3"/>
      <c r="AH1777" s="3"/>
      <c r="AI1777" s="3"/>
      <c r="AJ1777" s="3"/>
      <c r="AK1777" s="3"/>
      <c r="AL1777" s="3"/>
      <c r="AM1777" s="3"/>
      <c r="AN1777" s="3"/>
      <c r="AO1777" s="3"/>
      <c r="AP1777" s="11"/>
      <c r="AQ1777" s="11"/>
      <c r="AR1777" s="3"/>
      <c r="AS1777" s="3"/>
      <c r="AT1777" s="3"/>
      <c r="AU1777" s="3"/>
      <c r="AV1777" s="3"/>
      <c r="AW1777" s="3"/>
      <c r="AX1777" s="11"/>
      <c r="AZ1777"/>
      <c r="BA1777"/>
      <c r="BB1777"/>
      <c r="BC1777"/>
    </row>
    <row r="1778" spans="1:55" s="282" customFormat="1" x14ac:dyDescent="0.25">
      <c r="A1778"/>
      <c r="B1778"/>
      <c r="C1778" s="3"/>
      <c r="D1778"/>
      <c r="E1778"/>
      <c r="F1778"/>
      <c r="G1778" s="3"/>
      <c r="H1778" s="3"/>
      <c r="I1778" s="3"/>
      <c r="J1778" s="288"/>
      <c r="L1778" s="288"/>
      <c r="M1778" s="288"/>
      <c r="N1778" s="288"/>
      <c r="O1778" s="288"/>
      <c r="P1778" s="288"/>
      <c r="Q1778" s="288"/>
      <c r="R1778" s="283"/>
      <c r="S1778" s="280"/>
      <c r="T1778" s="276"/>
      <c r="U1778" s="276"/>
      <c r="V1778" s="276"/>
      <c r="W1778" s="283"/>
      <c r="X1778" s="280"/>
      <c r="Y1778" s="280"/>
      <c r="Z1778" s="280"/>
      <c r="AA1778" s="280"/>
      <c r="AB1778" s="280"/>
      <c r="AC1778" s="280"/>
      <c r="AD1778" s="280"/>
      <c r="AG1778" s="3"/>
      <c r="AH1778" s="3"/>
      <c r="AI1778" s="3"/>
      <c r="AJ1778" s="3"/>
      <c r="AK1778" s="3"/>
      <c r="AL1778" s="3"/>
      <c r="AM1778" s="3"/>
      <c r="AN1778" s="3"/>
      <c r="AO1778" s="3"/>
      <c r="AP1778" s="11"/>
      <c r="AQ1778" s="11"/>
      <c r="AR1778" s="3"/>
      <c r="AS1778" s="3"/>
      <c r="AT1778" s="3"/>
      <c r="AU1778" s="3"/>
      <c r="AV1778" s="3"/>
      <c r="AW1778" s="3"/>
      <c r="AX1778" s="11"/>
      <c r="AZ1778"/>
      <c r="BA1778"/>
      <c r="BB1778"/>
      <c r="BC1778"/>
    </row>
    <row r="1779" spans="1:55" s="282" customFormat="1" x14ac:dyDescent="0.25">
      <c r="A1779"/>
      <c r="B1779"/>
      <c r="C1779" s="3"/>
      <c r="D1779"/>
      <c r="E1779"/>
      <c r="F1779"/>
      <c r="G1779" s="3"/>
      <c r="H1779" s="3"/>
      <c r="I1779" s="3"/>
      <c r="J1779" s="288"/>
      <c r="L1779" s="288"/>
      <c r="M1779" s="288"/>
      <c r="N1779" s="288"/>
      <c r="O1779" s="288"/>
      <c r="P1779" s="288"/>
      <c r="Q1779" s="288"/>
      <c r="R1779" s="283"/>
      <c r="S1779" s="280"/>
      <c r="T1779" s="276"/>
      <c r="U1779" s="276"/>
      <c r="V1779" s="276"/>
      <c r="W1779" s="283"/>
      <c r="X1779" s="280"/>
      <c r="Y1779" s="280"/>
      <c r="Z1779" s="280"/>
      <c r="AA1779" s="280"/>
      <c r="AB1779" s="280"/>
      <c r="AC1779" s="280"/>
      <c r="AD1779" s="280"/>
      <c r="AG1779" s="3"/>
      <c r="AH1779" s="3"/>
      <c r="AI1779" s="3"/>
      <c r="AJ1779" s="3"/>
      <c r="AK1779" s="3"/>
      <c r="AL1779" s="3"/>
      <c r="AM1779" s="3"/>
      <c r="AN1779" s="3"/>
      <c r="AO1779" s="3"/>
      <c r="AP1779" s="11"/>
      <c r="AQ1779" s="11"/>
      <c r="AR1779" s="3"/>
      <c r="AS1779" s="3"/>
      <c r="AT1779" s="3"/>
      <c r="AU1779" s="3"/>
      <c r="AV1779" s="3"/>
      <c r="AW1779" s="3"/>
      <c r="AX1779" s="11"/>
      <c r="AZ1779"/>
      <c r="BA1779"/>
      <c r="BB1779"/>
      <c r="BC1779"/>
    </row>
    <row r="1780" spans="1:55" s="282" customFormat="1" x14ac:dyDescent="0.25">
      <c r="A1780"/>
      <c r="B1780"/>
      <c r="C1780" s="3"/>
      <c r="D1780"/>
      <c r="E1780"/>
      <c r="F1780"/>
      <c r="G1780" s="3"/>
      <c r="H1780" s="3"/>
      <c r="I1780" s="3"/>
      <c r="J1780" s="288"/>
      <c r="L1780" s="288"/>
      <c r="M1780" s="288"/>
      <c r="N1780" s="288"/>
      <c r="O1780" s="288"/>
      <c r="P1780" s="288"/>
      <c r="Q1780" s="288"/>
      <c r="R1780" s="283"/>
      <c r="S1780" s="280"/>
      <c r="T1780" s="276"/>
      <c r="U1780" s="276"/>
      <c r="V1780" s="276"/>
      <c r="W1780" s="283"/>
      <c r="X1780" s="280"/>
      <c r="Y1780" s="280"/>
      <c r="Z1780" s="280"/>
      <c r="AA1780" s="280"/>
      <c r="AB1780" s="280"/>
      <c r="AC1780" s="280"/>
      <c r="AD1780" s="280"/>
      <c r="AG1780" s="3"/>
      <c r="AH1780" s="3"/>
      <c r="AI1780" s="3"/>
      <c r="AJ1780" s="3"/>
      <c r="AK1780" s="3"/>
      <c r="AL1780" s="3"/>
      <c r="AM1780" s="3"/>
      <c r="AN1780" s="3"/>
      <c r="AO1780" s="3"/>
      <c r="AP1780" s="11"/>
      <c r="AQ1780" s="11"/>
      <c r="AR1780" s="3"/>
      <c r="AS1780" s="3"/>
      <c r="AT1780" s="3"/>
      <c r="AU1780" s="3"/>
      <c r="AV1780" s="3"/>
      <c r="AW1780" s="3"/>
      <c r="AX1780" s="11"/>
      <c r="AZ1780"/>
      <c r="BA1780"/>
      <c r="BB1780"/>
      <c r="BC1780"/>
    </row>
    <row r="1781" spans="1:55" s="282" customFormat="1" x14ac:dyDescent="0.25">
      <c r="A1781"/>
      <c r="B1781"/>
      <c r="C1781" s="3"/>
      <c r="D1781"/>
      <c r="E1781"/>
      <c r="F1781"/>
      <c r="G1781" s="3"/>
      <c r="H1781" s="3"/>
      <c r="I1781" s="3"/>
      <c r="J1781" s="288"/>
      <c r="L1781" s="288"/>
      <c r="M1781" s="288"/>
      <c r="N1781" s="288"/>
      <c r="O1781" s="288"/>
      <c r="P1781" s="288"/>
      <c r="Q1781" s="288"/>
      <c r="R1781" s="283"/>
      <c r="S1781" s="280"/>
      <c r="T1781" s="276"/>
      <c r="U1781" s="276"/>
      <c r="V1781" s="276"/>
      <c r="W1781" s="283"/>
      <c r="X1781" s="280"/>
      <c r="Y1781" s="280"/>
      <c r="Z1781" s="280"/>
      <c r="AA1781" s="280"/>
      <c r="AB1781" s="280"/>
      <c r="AC1781" s="280"/>
      <c r="AD1781" s="280"/>
      <c r="AG1781" s="3"/>
      <c r="AH1781" s="3"/>
      <c r="AI1781" s="3"/>
      <c r="AJ1781" s="3"/>
      <c r="AK1781" s="3"/>
      <c r="AL1781" s="3"/>
      <c r="AM1781" s="3"/>
      <c r="AN1781" s="3"/>
      <c r="AO1781" s="3"/>
      <c r="AP1781" s="11"/>
      <c r="AQ1781" s="11"/>
      <c r="AR1781" s="3"/>
      <c r="AS1781" s="3"/>
      <c r="AT1781" s="3"/>
      <c r="AU1781" s="3"/>
      <c r="AV1781" s="3"/>
      <c r="AW1781" s="3"/>
      <c r="AX1781" s="11"/>
      <c r="AZ1781"/>
      <c r="BA1781"/>
      <c r="BB1781"/>
      <c r="BC1781"/>
    </row>
    <row r="1782" spans="1:55" s="282" customFormat="1" x14ac:dyDescent="0.25">
      <c r="A1782"/>
      <c r="B1782"/>
      <c r="C1782" s="3"/>
      <c r="D1782"/>
      <c r="E1782"/>
      <c r="F1782"/>
      <c r="G1782" s="3"/>
      <c r="H1782" s="3"/>
      <c r="I1782" s="3"/>
      <c r="J1782" s="288"/>
      <c r="L1782" s="288"/>
      <c r="M1782" s="288"/>
      <c r="N1782" s="288"/>
      <c r="O1782" s="288"/>
      <c r="P1782" s="288"/>
      <c r="Q1782" s="288"/>
      <c r="R1782" s="283"/>
      <c r="S1782" s="280"/>
      <c r="T1782" s="276"/>
      <c r="U1782" s="276"/>
      <c r="V1782" s="276"/>
      <c r="W1782" s="283"/>
      <c r="X1782" s="280"/>
      <c r="Y1782" s="280"/>
      <c r="Z1782" s="280"/>
      <c r="AA1782" s="280"/>
      <c r="AB1782" s="280"/>
      <c r="AC1782" s="280"/>
      <c r="AD1782" s="280"/>
      <c r="AG1782" s="3"/>
      <c r="AH1782" s="3"/>
      <c r="AI1782" s="3"/>
      <c r="AJ1782" s="3"/>
      <c r="AK1782" s="3"/>
      <c r="AL1782" s="3"/>
      <c r="AM1782" s="3"/>
      <c r="AN1782" s="3"/>
      <c r="AO1782" s="3"/>
      <c r="AP1782" s="11"/>
      <c r="AQ1782" s="11"/>
      <c r="AR1782" s="3"/>
      <c r="AS1782" s="3"/>
      <c r="AT1782" s="3"/>
      <c r="AU1782" s="3"/>
      <c r="AV1782" s="3"/>
      <c r="AW1782" s="3"/>
      <c r="AX1782" s="11"/>
      <c r="AZ1782"/>
      <c r="BA1782"/>
      <c r="BB1782"/>
      <c r="BC1782"/>
    </row>
    <row r="1783" spans="1:55" s="282" customFormat="1" x14ac:dyDescent="0.25">
      <c r="A1783"/>
      <c r="B1783"/>
      <c r="C1783" s="3"/>
      <c r="D1783"/>
      <c r="E1783"/>
      <c r="F1783"/>
      <c r="G1783" s="3"/>
      <c r="H1783" s="3"/>
      <c r="I1783" s="3"/>
      <c r="J1783" s="288"/>
      <c r="L1783" s="288"/>
      <c r="M1783" s="288"/>
      <c r="N1783" s="288"/>
      <c r="O1783" s="288"/>
      <c r="P1783" s="288"/>
      <c r="Q1783" s="288"/>
      <c r="R1783" s="283"/>
      <c r="S1783" s="280"/>
      <c r="T1783" s="276"/>
      <c r="U1783" s="276"/>
      <c r="V1783" s="276"/>
      <c r="W1783" s="283"/>
      <c r="X1783" s="280"/>
      <c r="Y1783" s="280"/>
      <c r="Z1783" s="280"/>
      <c r="AA1783" s="280"/>
      <c r="AB1783" s="280"/>
      <c r="AC1783" s="280"/>
      <c r="AD1783" s="280"/>
      <c r="AG1783" s="3"/>
      <c r="AH1783" s="3"/>
      <c r="AI1783" s="3"/>
      <c r="AJ1783" s="3"/>
      <c r="AK1783" s="3"/>
      <c r="AL1783" s="3"/>
      <c r="AM1783" s="3"/>
      <c r="AN1783" s="3"/>
      <c r="AO1783" s="3"/>
      <c r="AP1783" s="11"/>
      <c r="AQ1783" s="11"/>
      <c r="AR1783" s="3"/>
      <c r="AS1783" s="3"/>
      <c r="AT1783" s="3"/>
      <c r="AU1783" s="3"/>
      <c r="AV1783" s="3"/>
      <c r="AW1783" s="3"/>
      <c r="AX1783" s="11"/>
      <c r="AZ1783"/>
      <c r="BA1783"/>
      <c r="BB1783"/>
      <c r="BC1783"/>
    </row>
    <row r="1784" spans="1:55" s="282" customFormat="1" x14ac:dyDescent="0.25">
      <c r="A1784"/>
      <c r="B1784"/>
      <c r="C1784" s="3"/>
      <c r="D1784"/>
      <c r="E1784"/>
      <c r="F1784"/>
      <c r="G1784" s="3"/>
      <c r="H1784" s="3"/>
      <c r="I1784" s="3"/>
      <c r="J1784" s="288"/>
      <c r="L1784" s="288"/>
      <c r="M1784" s="288"/>
      <c r="N1784" s="288"/>
      <c r="O1784" s="288"/>
      <c r="P1784" s="288"/>
      <c r="Q1784" s="288"/>
      <c r="R1784" s="283"/>
      <c r="S1784" s="280"/>
      <c r="T1784" s="276"/>
      <c r="U1784" s="276"/>
      <c r="V1784" s="276"/>
      <c r="W1784" s="283"/>
      <c r="X1784" s="280"/>
      <c r="Y1784" s="280"/>
      <c r="Z1784" s="280"/>
      <c r="AA1784" s="280"/>
      <c r="AB1784" s="280"/>
      <c r="AC1784" s="280"/>
      <c r="AD1784" s="280"/>
      <c r="AG1784" s="3"/>
      <c r="AH1784" s="3"/>
      <c r="AI1784" s="3"/>
      <c r="AJ1784" s="3"/>
      <c r="AK1784" s="3"/>
      <c r="AL1784" s="3"/>
      <c r="AM1784" s="3"/>
      <c r="AN1784" s="3"/>
      <c r="AO1784" s="3"/>
      <c r="AP1784" s="11"/>
      <c r="AQ1784" s="11"/>
      <c r="AR1784" s="3"/>
      <c r="AS1784" s="3"/>
      <c r="AT1784" s="3"/>
      <c r="AU1784" s="3"/>
      <c r="AV1784" s="3"/>
      <c r="AW1784" s="3"/>
      <c r="AX1784" s="11"/>
      <c r="AZ1784"/>
      <c r="BA1784"/>
      <c r="BB1784"/>
      <c r="BC1784"/>
    </row>
    <row r="1785" spans="1:55" s="282" customFormat="1" x14ac:dyDescent="0.25">
      <c r="A1785"/>
      <c r="B1785"/>
      <c r="C1785" s="3"/>
      <c r="D1785"/>
      <c r="E1785"/>
      <c r="F1785"/>
      <c r="G1785" s="3"/>
      <c r="H1785" s="3"/>
      <c r="I1785" s="3"/>
      <c r="J1785" s="288"/>
      <c r="L1785" s="288"/>
      <c r="M1785" s="288"/>
      <c r="N1785" s="288"/>
      <c r="O1785" s="288"/>
      <c r="P1785" s="288"/>
      <c r="Q1785" s="288"/>
      <c r="R1785" s="283"/>
      <c r="S1785" s="280"/>
      <c r="T1785" s="276"/>
      <c r="U1785" s="276"/>
      <c r="V1785" s="276"/>
      <c r="W1785" s="283"/>
      <c r="X1785" s="280"/>
      <c r="Y1785" s="280"/>
      <c r="Z1785" s="280"/>
      <c r="AA1785" s="280"/>
      <c r="AB1785" s="280"/>
      <c r="AC1785" s="280"/>
      <c r="AD1785" s="280"/>
      <c r="AG1785" s="3"/>
      <c r="AH1785" s="3"/>
      <c r="AI1785" s="3"/>
      <c r="AJ1785" s="3"/>
      <c r="AK1785" s="3"/>
      <c r="AL1785" s="3"/>
      <c r="AM1785" s="3"/>
      <c r="AN1785" s="3"/>
      <c r="AO1785" s="3"/>
      <c r="AP1785" s="11"/>
      <c r="AQ1785" s="11"/>
      <c r="AR1785" s="3"/>
      <c r="AS1785" s="3"/>
      <c r="AT1785" s="3"/>
      <c r="AU1785" s="3"/>
      <c r="AV1785" s="3"/>
      <c r="AW1785" s="3"/>
      <c r="AX1785" s="11"/>
      <c r="AZ1785"/>
      <c r="BA1785"/>
      <c r="BB1785"/>
      <c r="BC1785"/>
    </row>
    <row r="1786" spans="1:55" s="282" customFormat="1" x14ac:dyDescent="0.25">
      <c r="A1786"/>
      <c r="B1786"/>
      <c r="C1786" s="3"/>
      <c r="D1786"/>
      <c r="E1786"/>
      <c r="F1786"/>
      <c r="G1786" s="3"/>
      <c r="H1786" s="3"/>
      <c r="I1786" s="3"/>
      <c r="J1786" s="288"/>
      <c r="L1786" s="288"/>
      <c r="M1786" s="288"/>
      <c r="N1786" s="288"/>
      <c r="O1786" s="288"/>
      <c r="P1786" s="288"/>
      <c r="Q1786" s="288"/>
      <c r="R1786" s="283"/>
      <c r="S1786" s="280"/>
      <c r="T1786" s="276"/>
      <c r="U1786" s="276"/>
      <c r="V1786" s="276"/>
      <c r="W1786" s="283"/>
      <c r="X1786" s="280"/>
      <c r="Y1786" s="280"/>
      <c r="Z1786" s="280"/>
      <c r="AA1786" s="280"/>
      <c r="AB1786" s="280"/>
      <c r="AC1786" s="280"/>
      <c r="AD1786" s="280"/>
      <c r="AG1786" s="3"/>
      <c r="AH1786" s="3"/>
      <c r="AI1786" s="3"/>
      <c r="AJ1786" s="3"/>
      <c r="AK1786" s="3"/>
      <c r="AL1786" s="3"/>
      <c r="AM1786" s="3"/>
      <c r="AN1786" s="3"/>
      <c r="AO1786" s="3"/>
      <c r="AP1786" s="11"/>
      <c r="AQ1786" s="11"/>
      <c r="AR1786" s="3"/>
      <c r="AS1786" s="3"/>
      <c r="AT1786" s="3"/>
      <c r="AU1786" s="3"/>
      <c r="AV1786" s="3"/>
      <c r="AW1786" s="3"/>
      <c r="AX1786" s="11"/>
      <c r="AZ1786"/>
      <c r="BA1786"/>
      <c r="BB1786"/>
      <c r="BC1786"/>
    </row>
    <row r="1787" spans="1:55" s="282" customFormat="1" x14ac:dyDescent="0.25">
      <c r="A1787"/>
      <c r="B1787"/>
      <c r="C1787" s="3"/>
      <c r="D1787"/>
      <c r="E1787"/>
      <c r="F1787"/>
      <c r="G1787" s="3"/>
      <c r="H1787" s="3"/>
      <c r="I1787" s="3"/>
      <c r="J1787" s="288"/>
      <c r="L1787" s="288"/>
      <c r="M1787" s="288"/>
      <c r="N1787" s="288"/>
      <c r="O1787" s="288"/>
      <c r="P1787" s="288"/>
      <c r="Q1787" s="288"/>
      <c r="R1787" s="283"/>
      <c r="S1787" s="280"/>
      <c r="T1787" s="276"/>
      <c r="U1787" s="276"/>
      <c r="V1787" s="276"/>
      <c r="W1787" s="283"/>
      <c r="X1787" s="280"/>
      <c r="Y1787" s="280"/>
      <c r="Z1787" s="280"/>
      <c r="AA1787" s="280"/>
      <c r="AB1787" s="280"/>
      <c r="AC1787" s="280"/>
      <c r="AD1787" s="280"/>
      <c r="AG1787" s="3"/>
      <c r="AH1787" s="3"/>
      <c r="AI1787" s="3"/>
      <c r="AJ1787" s="3"/>
      <c r="AK1787" s="3"/>
      <c r="AL1787" s="3"/>
      <c r="AM1787" s="3"/>
      <c r="AN1787" s="3"/>
      <c r="AO1787" s="3"/>
      <c r="AP1787" s="11"/>
      <c r="AQ1787" s="11"/>
      <c r="AR1787" s="3"/>
      <c r="AS1787" s="3"/>
      <c r="AT1787" s="3"/>
      <c r="AU1787" s="3"/>
      <c r="AV1787" s="3"/>
      <c r="AW1787" s="3"/>
      <c r="AX1787" s="11"/>
      <c r="AZ1787"/>
      <c r="BA1787"/>
      <c r="BB1787"/>
      <c r="BC1787"/>
    </row>
    <row r="1788" spans="1:55" s="282" customFormat="1" x14ac:dyDescent="0.25">
      <c r="A1788"/>
      <c r="B1788"/>
      <c r="C1788" s="3"/>
      <c r="D1788"/>
      <c r="E1788"/>
      <c r="F1788"/>
      <c r="G1788" s="3"/>
      <c r="H1788" s="3"/>
      <c r="I1788" s="3"/>
      <c r="J1788" s="288"/>
      <c r="L1788" s="288"/>
      <c r="M1788" s="288"/>
      <c r="N1788" s="288"/>
      <c r="O1788" s="288"/>
      <c r="P1788" s="288"/>
      <c r="Q1788" s="288"/>
      <c r="R1788" s="283"/>
      <c r="S1788" s="280"/>
      <c r="T1788" s="276"/>
      <c r="U1788" s="276"/>
      <c r="V1788" s="276"/>
      <c r="W1788" s="283"/>
      <c r="X1788" s="280"/>
      <c r="Y1788" s="280"/>
      <c r="Z1788" s="280"/>
      <c r="AA1788" s="280"/>
      <c r="AB1788" s="280"/>
      <c r="AC1788" s="280"/>
      <c r="AD1788" s="280"/>
      <c r="AG1788" s="3"/>
      <c r="AH1788" s="3"/>
      <c r="AI1788" s="3"/>
      <c r="AJ1788" s="3"/>
      <c r="AK1788" s="3"/>
      <c r="AL1788" s="3"/>
      <c r="AM1788" s="3"/>
      <c r="AN1788" s="3"/>
      <c r="AO1788" s="3"/>
      <c r="AP1788" s="11"/>
      <c r="AQ1788" s="11"/>
      <c r="AR1788" s="3"/>
      <c r="AS1788" s="3"/>
      <c r="AT1788" s="3"/>
      <c r="AU1788" s="3"/>
      <c r="AV1788" s="3"/>
      <c r="AW1788" s="3"/>
      <c r="AX1788" s="11"/>
      <c r="AZ1788"/>
      <c r="BA1788"/>
      <c r="BB1788"/>
      <c r="BC1788"/>
    </row>
    <row r="1789" spans="1:55" s="282" customFormat="1" x14ac:dyDescent="0.25">
      <c r="A1789"/>
      <c r="B1789"/>
      <c r="C1789" s="3"/>
      <c r="D1789"/>
      <c r="E1789"/>
      <c r="F1789"/>
      <c r="G1789" s="3"/>
      <c r="H1789" s="3"/>
      <c r="I1789" s="3"/>
      <c r="J1789" s="288"/>
      <c r="L1789" s="288"/>
      <c r="M1789" s="288"/>
      <c r="N1789" s="288"/>
      <c r="O1789" s="288"/>
      <c r="P1789" s="288"/>
      <c r="Q1789" s="288"/>
      <c r="R1789" s="283"/>
      <c r="S1789" s="280"/>
      <c r="T1789" s="276"/>
      <c r="U1789" s="276"/>
      <c r="V1789" s="276"/>
      <c r="W1789" s="283"/>
      <c r="X1789" s="280"/>
      <c r="Y1789" s="280"/>
      <c r="Z1789" s="280"/>
      <c r="AA1789" s="280"/>
      <c r="AB1789" s="280"/>
      <c r="AC1789" s="280"/>
      <c r="AD1789" s="280"/>
      <c r="AG1789" s="3"/>
      <c r="AH1789" s="3"/>
      <c r="AI1789" s="3"/>
      <c r="AJ1789" s="3"/>
      <c r="AK1789" s="3"/>
      <c r="AL1789" s="3"/>
      <c r="AM1789" s="3"/>
      <c r="AN1789" s="3"/>
      <c r="AO1789" s="3"/>
      <c r="AP1789" s="11"/>
      <c r="AQ1789" s="11"/>
      <c r="AR1789" s="3"/>
      <c r="AS1789" s="3"/>
      <c r="AT1789" s="3"/>
      <c r="AU1789" s="3"/>
      <c r="AV1789" s="3"/>
      <c r="AW1789" s="3"/>
      <c r="AX1789" s="11"/>
      <c r="AZ1789"/>
      <c r="BA1789"/>
      <c r="BB1789"/>
      <c r="BC1789"/>
    </row>
    <row r="1790" spans="1:55" s="282" customFormat="1" x14ac:dyDescent="0.25">
      <c r="A1790"/>
      <c r="B1790"/>
      <c r="C1790" s="3"/>
      <c r="D1790"/>
      <c r="E1790"/>
      <c r="F1790"/>
      <c r="G1790" s="3"/>
      <c r="H1790" s="3"/>
      <c r="I1790" s="3"/>
      <c r="J1790" s="288"/>
      <c r="L1790" s="288"/>
      <c r="M1790" s="288"/>
      <c r="N1790" s="288"/>
      <c r="O1790" s="288"/>
      <c r="P1790" s="288"/>
      <c r="Q1790" s="288"/>
      <c r="R1790" s="283"/>
      <c r="S1790" s="280"/>
      <c r="T1790" s="276"/>
      <c r="U1790" s="276"/>
      <c r="V1790" s="276"/>
      <c r="W1790" s="283"/>
      <c r="X1790" s="280"/>
      <c r="Y1790" s="280"/>
      <c r="Z1790" s="280"/>
      <c r="AA1790" s="280"/>
      <c r="AB1790" s="280"/>
      <c r="AC1790" s="280"/>
      <c r="AD1790" s="280"/>
      <c r="AG1790" s="3"/>
      <c r="AH1790" s="3"/>
      <c r="AI1790" s="3"/>
      <c r="AJ1790" s="3"/>
      <c r="AK1790" s="3"/>
      <c r="AL1790" s="3"/>
      <c r="AM1790" s="3"/>
      <c r="AN1790" s="3"/>
      <c r="AO1790" s="3"/>
      <c r="AP1790" s="11"/>
      <c r="AQ1790" s="11"/>
      <c r="AR1790" s="3"/>
      <c r="AS1790" s="3"/>
      <c r="AT1790" s="3"/>
      <c r="AU1790" s="3"/>
      <c r="AV1790" s="3"/>
      <c r="AW1790" s="3"/>
      <c r="AX1790" s="11"/>
      <c r="AZ1790"/>
      <c r="BA1790"/>
      <c r="BB1790"/>
      <c r="BC1790"/>
    </row>
    <row r="1791" spans="1:55" s="282" customFormat="1" x14ac:dyDescent="0.25">
      <c r="A1791"/>
      <c r="B1791"/>
      <c r="C1791" s="3"/>
      <c r="D1791"/>
      <c r="E1791"/>
      <c r="F1791"/>
      <c r="G1791" s="3"/>
      <c r="H1791" s="3"/>
      <c r="I1791" s="3"/>
      <c r="J1791" s="288"/>
      <c r="L1791" s="288"/>
      <c r="M1791" s="288"/>
      <c r="N1791" s="288"/>
      <c r="O1791" s="288"/>
      <c r="P1791" s="288"/>
      <c r="Q1791" s="288"/>
      <c r="R1791" s="283"/>
      <c r="S1791" s="280"/>
      <c r="T1791" s="276"/>
      <c r="U1791" s="276"/>
      <c r="V1791" s="276"/>
      <c r="W1791" s="283"/>
      <c r="X1791" s="280"/>
      <c r="Y1791" s="280"/>
      <c r="Z1791" s="280"/>
      <c r="AA1791" s="280"/>
      <c r="AB1791" s="280"/>
      <c r="AC1791" s="280"/>
      <c r="AD1791" s="280"/>
      <c r="AG1791" s="3"/>
      <c r="AH1791" s="3"/>
      <c r="AI1791" s="3"/>
      <c r="AJ1791" s="3"/>
      <c r="AK1791" s="3"/>
      <c r="AL1791" s="3"/>
      <c r="AM1791" s="3"/>
      <c r="AN1791" s="3"/>
      <c r="AO1791" s="3"/>
      <c r="AP1791" s="11"/>
      <c r="AQ1791" s="11"/>
      <c r="AR1791" s="3"/>
      <c r="AS1791" s="3"/>
      <c r="AT1791" s="3"/>
      <c r="AU1791" s="3"/>
      <c r="AV1791" s="3"/>
      <c r="AW1791" s="3"/>
      <c r="AX1791" s="11"/>
      <c r="AZ1791"/>
      <c r="BA1791"/>
      <c r="BB1791"/>
      <c r="BC1791"/>
    </row>
    <row r="1792" spans="1:55" s="282" customFormat="1" x14ac:dyDescent="0.25">
      <c r="A1792"/>
      <c r="B1792"/>
      <c r="C1792" s="3"/>
      <c r="D1792"/>
      <c r="E1792"/>
      <c r="F1792"/>
      <c r="G1792" s="3"/>
      <c r="H1792" s="3"/>
      <c r="I1792" s="3"/>
      <c r="J1792" s="288"/>
      <c r="L1792" s="288"/>
      <c r="M1792" s="288"/>
      <c r="N1792" s="288"/>
      <c r="O1792" s="288"/>
      <c r="P1792" s="288"/>
      <c r="Q1792" s="288"/>
      <c r="R1792" s="283"/>
      <c r="S1792" s="280"/>
      <c r="T1792" s="276"/>
      <c r="U1792" s="276"/>
      <c r="V1792" s="276"/>
      <c r="W1792" s="283"/>
      <c r="X1792" s="280"/>
      <c r="Y1792" s="280"/>
      <c r="Z1792" s="280"/>
      <c r="AA1792" s="280"/>
      <c r="AB1792" s="280"/>
      <c r="AC1792" s="280"/>
      <c r="AD1792" s="280"/>
      <c r="AG1792" s="3"/>
      <c r="AH1792" s="3"/>
      <c r="AI1792" s="3"/>
      <c r="AJ1792" s="3"/>
      <c r="AK1792" s="3"/>
      <c r="AL1792" s="3"/>
      <c r="AM1792" s="3"/>
      <c r="AN1792" s="3"/>
      <c r="AO1792" s="3"/>
      <c r="AP1792" s="11"/>
      <c r="AQ1792" s="11"/>
      <c r="AR1792" s="3"/>
      <c r="AS1792" s="3"/>
      <c r="AT1792" s="3"/>
      <c r="AU1792" s="3"/>
      <c r="AV1792" s="3"/>
      <c r="AW1792" s="3"/>
      <c r="AX1792" s="11"/>
      <c r="AZ1792"/>
      <c r="BA1792"/>
      <c r="BB1792"/>
      <c r="BC1792"/>
    </row>
    <row r="1793" spans="1:55" s="282" customFormat="1" x14ac:dyDescent="0.25">
      <c r="A1793"/>
      <c r="B1793"/>
      <c r="C1793" s="3"/>
      <c r="D1793"/>
      <c r="E1793"/>
      <c r="F1793"/>
      <c r="G1793" s="3"/>
      <c r="H1793" s="3"/>
      <c r="I1793" s="3"/>
      <c r="J1793" s="288"/>
      <c r="L1793" s="288"/>
      <c r="M1793" s="288"/>
      <c r="N1793" s="288"/>
      <c r="O1793" s="288"/>
      <c r="P1793" s="288"/>
      <c r="Q1793" s="288"/>
      <c r="R1793" s="283"/>
      <c r="S1793" s="280"/>
      <c r="T1793" s="276"/>
      <c r="U1793" s="276"/>
      <c r="V1793" s="276"/>
      <c r="W1793" s="283"/>
      <c r="X1793" s="280"/>
      <c r="Y1793" s="280"/>
      <c r="Z1793" s="280"/>
      <c r="AA1793" s="280"/>
      <c r="AB1793" s="280"/>
      <c r="AC1793" s="280"/>
      <c r="AD1793" s="280"/>
      <c r="AG1793" s="3"/>
      <c r="AH1793" s="3"/>
      <c r="AI1793" s="3"/>
      <c r="AJ1793" s="3"/>
      <c r="AK1793" s="3"/>
      <c r="AL1793" s="3"/>
      <c r="AM1793" s="3"/>
      <c r="AN1793" s="3"/>
      <c r="AO1793" s="3"/>
      <c r="AP1793" s="11"/>
      <c r="AQ1793" s="11"/>
      <c r="AR1793" s="3"/>
      <c r="AS1793" s="3"/>
      <c r="AT1793" s="3"/>
      <c r="AU1793" s="3"/>
      <c r="AV1793" s="3"/>
      <c r="AW1793" s="3"/>
      <c r="AX1793" s="11"/>
      <c r="AZ1793"/>
      <c r="BA1793"/>
      <c r="BB1793"/>
      <c r="BC1793"/>
    </row>
    <row r="1794" spans="1:55" s="282" customFormat="1" x14ac:dyDescent="0.25">
      <c r="A1794"/>
      <c r="B1794"/>
      <c r="C1794" s="3"/>
      <c r="D1794"/>
      <c r="E1794"/>
      <c r="F1794"/>
      <c r="G1794" s="3"/>
      <c r="H1794" s="3"/>
      <c r="I1794" s="3"/>
      <c r="J1794" s="288"/>
      <c r="L1794" s="288"/>
      <c r="M1794" s="288"/>
      <c r="N1794" s="288"/>
      <c r="O1794" s="288"/>
      <c r="P1794" s="288"/>
      <c r="Q1794" s="288"/>
      <c r="R1794" s="283"/>
      <c r="S1794" s="280"/>
      <c r="T1794" s="276"/>
      <c r="U1794" s="276"/>
      <c r="V1794" s="276"/>
      <c r="W1794" s="283"/>
      <c r="X1794" s="280"/>
      <c r="Y1794" s="280"/>
      <c r="Z1794" s="280"/>
      <c r="AA1794" s="280"/>
      <c r="AB1794" s="280"/>
      <c r="AC1794" s="280"/>
      <c r="AD1794" s="280"/>
      <c r="AG1794" s="3"/>
      <c r="AH1794" s="3"/>
      <c r="AI1794" s="3"/>
      <c r="AJ1794" s="3"/>
      <c r="AK1794" s="3"/>
      <c r="AL1794" s="3"/>
      <c r="AM1794" s="3"/>
      <c r="AN1794" s="3"/>
      <c r="AO1794" s="3"/>
      <c r="AP1794" s="11"/>
      <c r="AQ1794" s="11"/>
      <c r="AR1794" s="3"/>
      <c r="AS1794" s="3"/>
      <c r="AT1794" s="3"/>
      <c r="AU1794" s="3"/>
      <c r="AV1794" s="3"/>
      <c r="AW1794" s="3"/>
      <c r="AX1794" s="11"/>
      <c r="AZ1794"/>
      <c r="BA1794"/>
      <c r="BB1794"/>
      <c r="BC1794"/>
    </row>
    <row r="1795" spans="1:55" s="282" customFormat="1" x14ac:dyDescent="0.25">
      <c r="A1795"/>
      <c r="B1795"/>
      <c r="C1795" s="3"/>
      <c r="D1795"/>
      <c r="E1795"/>
      <c r="F1795"/>
      <c r="G1795" s="3"/>
      <c r="H1795" s="3"/>
      <c r="I1795" s="3"/>
      <c r="J1795" s="288"/>
      <c r="L1795" s="288"/>
      <c r="M1795" s="288"/>
      <c r="N1795" s="288"/>
      <c r="O1795" s="288"/>
      <c r="P1795" s="288"/>
      <c r="Q1795" s="288"/>
      <c r="R1795" s="283"/>
      <c r="S1795" s="280"/>
      <c r="T1795" s="276"/>
      <c r="U1795" s="276"/>
      <c r="V1795" s="276"/>
      <c r="W1795" s="283"/>
      <c r="X1795" s="280"/>
      <c r="Y1795" s="280"/>
      <c r="Z1795" s="280"/>
      <c r="AA1795" s="280"/>
      <c r="AB1795" s="280"/>
      <c r="AC1795" s="280"/>
      <c r="AD1795" s="280"/>
      <c r="AG1795" s="3"/>
      <c r="AH1795" s="3"/>
      <c r="AI1795" s="3"/>
      <c r="AJ1795" s="3"/>
      <c r="AK1795" s="3"/>
      <c r="AL1795" s="3"/>
      <c r="AM1795" s="3"/>
      <c r="AN1795" s="3"/>
      <c r="AO1795" s="3"/>
      <c r="AP1795" s="11"/>
      <c r="AQ1795" s="11"/>
      <c r="AR1795" s="3"/>
      <c r="AS1795" s="3"/>
      <c r="AT1795" s="3"/>
      <c r="AU1795" s="3"/>
      <c r="AV1795" s="3"/>
      <c r="AW1795" s="3"/>
      <c r="AX1795" s="11"/>
      <c r="AZ1795"/>
      <c r="BA1795"/>
      <c r="BB1795"/>
      <c r="BC1795"/>
    </row>
    <row r="1796" spans="1:55" s="282" customFormat="1" x14ac:dyDescent="0.25">
      <c r="A1796"/>
      <c r="B1796"/>
      <c r="C1796" s="3"/>
      <c r="D1796"/>
      <c r="E1796"/>
      <c r="F1796"/>
      <c r="G1796" s="3"/>
      <c r="H1796" s="3"/>
      <c r="I1796" s="3"/>
      <c r="J1796" s="288"/>
      <c r="L1796" s="288"/>
      <c r="M1796" s="288"/>
      <c r="N1796" s="288"/>
      <c r="O1796" s="288"/>
      <c r="P1796" s="288"/>
      <c r="Q1796" s="288"/>
      <c r="R1796" s="283"/>
      <c r="S1796" s="280"/>
      <c r="T1796" s="276"/>
      <c r="U1796" s="276"/>
      <c r="V1796" s="276"/>
      <c r="W1796" s="283"/>
      <c r="X1796" s="280"/>
      <c r="Y1796" s="280"/>
      <c r="Z1796" s="280"/>
      <c r="AA1796" s="280"/>
      <c r="AB1796" s="280"/>
      <c r="AC1796" s="280"/>
      <c r="AD1796" s="280"/>
      <c r="AG1796" s="3"/>
      <c r="AH1796" s="3"/>
      <c r="AI1796" s="3"/>
      <c r="AJ1796" s="3"/>
      <c r="AK1796" s="3"/>
      <c r="AL1796" s="3"/>
      <c r="AM1796" s="3"/>
      <c r="AN1796" s="3"/>
      <c r="AO1796" s="3"/>
      <c r="AP1796" s="11"/>
      <c r="AQ1796" s="11"/>
      <c r="AR1796" s="3"/>
      <c r="AS1796" s="3"/>
      <c r="AT1796" s="3"/>
      <c r="AU1796" s="3"/>
      <c r="AV1796" s="3"/>
      <c r="AW1796" s="3"/>
      <c r="AX1796" s="11"/>
      <c r="AZ1796"/>
      <c r="BA1796"/>
      <c r="BB1796"/>
      <c r="BC1796"/>
    </row>
    <row r="1797" spans="1:55" s="282" customFormat="1" x14ac:dyDescent="0.25">
      <c r="A1797"/>
      <c r="B1797"/>
      <c r="C1797" s="3"/>
      <c r="D1797"/>
      <c r="E1797"/>
      <c r="F1797"/>
      <c r="G1797" s="3"/>
      <c r="H1797" s="3"/>
      <c r="I1797" s="3"/>
      <c r="J1797" s="288"/>
      <c r="L1797" s="288"/>
      <c r="M1797" s="288"/>
      <c r="N1797" s="288"/>
      <c r="O1797" s="288"/>
      <c r="P1797" s="288"/>
      <c r="Q1797" s="288"/>
      <c r="R1797" s="283"/>
      <c r="S1797" s="280"/>
      <c r="T1797" s="276"/>
      <c r="U1797" s="276"/>
      <c r="V1797" s="276"/>
      <c r="W1797" s="283"/>
      <c r="X1797" s="280"/>
      <c r="Y1797" s="280"/>
      <c r="Z1797" s="280"/>
      <c r="AA1797" s="280"/>
      <c r="AB1797" s="280"/>
      <c r="AC1797" s="280"/>
      <c r="AD1797" s="280"/>
      <c r="AG1797" s="3"/>
      <c r="AH1797" s="3"/>
      <c r="AI1797" s="3"/>
      <c r="AJ1797" s="3"/>
      <c r="AK1797" s="3"/>
      <c r="AL1797" s="3"/>
      <c r="AM1797" s="3"/>
      <c r="AN1797" s="3"/>
      <c r="AO1797" s="3"/>
      <c r="AP1797" s="11"/>
      <c r="AQ1797" s="11"/>
      <c r="AR1797" s="3"/>
      <c r="AS1797" s="3"/>
      <c r="AT1797" s="3"/>
      <c r="AU1797" s="3"/>
      <c r="AV1797" s="3"/>
      <c r="AW1797" s="3"/>
      <c r="AX1797" s="11"/>
      <c r="AZ1797"/>
      <c r="BA1797"/>
      <c r="BB1797"/>
      <c r="BC1797"/>
    </row>
    <row r="1798" spans="1:55" s="282" customFormat="1" x14ac:dyDescent="0.25">
      <c r="A1798"/>
      <c r="B1798"/>
      <c r="C1798" s="3"/>
      <c r="D1798"/>
      <c r="E1798"/>
      <c r="F1798"/>
      <c r="G1798" s="3"/>
      <c r="H1798" s="3"/>
      <c r="I1798" s="3"/>
      <c r="J1798" s="288"/>
      <c r="L1798" s="288"/>
      <c r="M1798" s="288"/>
      <c r="N1798" s="288"/>
      <c r="O1798" s="288"/>
      <c r="P1798" s="288"/>
      <c r="Q1798" s="288"/>
      <c r="R1798" s="283"/>
      <c r="S1798" s="280"/>
      <c r="T1798" s="276"/>
      <c r="U1798" s="276"/>
      <c r="V1798" s="276"/>
      <c r="W1798" s="283"/>
      <c r="X1798" s="280"/>
      <c r="Y1798" s="280"/>
      <c r="Z1798" s="280"/>
      <c r="AA1798" s="280"/>
      <c r="AB1798" s="280"/>
      <c r="AC1798" s="280"/>
      <c r="AD1798" s="280"/>
      <c r="AG1798" s="3"/>
      <c r="AH1798" s="3"/>
      <c r="AI1798" s="3"/>
      <c r="AJ1798" s="3"/>
      <c r="AK1798" s="3"/>
      <c r="AL1798" s="3"/>
      <c r="AM1798" s="3"/>
      <c r="AN1798" s="3"/>
      <c r="AO1798" s="3"/>
      <c r="AP1798" s="11"/>
      <c r="AQ1798" s="11"/>
      <c r="AR1798" s="3"/>
      <c r="AS1798" s="3"/>
      <c r="AT1798" s="3"/>
      <c r="AU1798" s="3"/>
      <c r="AV1798" s="3"/>
      <c r="AW1798" s="3"/>
      <c r="AX1798" s="11"/>
      <c r="AZ1798"/>
      <c r="BA1798"/>
      <c r="BB1798"/>
      <c r="BC1798"/>
    </row>
    <row r="1799" spans="1:55" s="282" customFormat="1" x14ac:dyDescent="0.25">
      <c r="A1799"/>
      <c r="B1799"/>
      <c r="C1799" s="3"/>
      <c r="D1799"/>
      <c r="E1799"/>
      <c r="F1799"/>
      <c r="G1799" s="3"/>
      <c r="H1799" s="3"/>
      <c r="I1799" s="3"/>
      <c r="J1799" s="288"/>
      <c r="L1799" s="288"/>
      <c r="M1799" s="288"/>
      <c r="N1799" s="288"/>
      <c r="O1799" s="288"/>
      <c r="P1799" s="288"/>
      <c r="Q1799" s="288"/>
      <c r="R1799" s="283"/>
      <c r="S1799" s="280"/>
      <c r="T1799" s="276"/>
      <c r="U1799" s="276"/>
      <c r="V1799" s="276"/>
      <c r="W1799" s="283"/>
      <c r="X1799" s="280"/>
      <c r="Y1799" s="280"/>
      <c r="Z1799" s="280"/>
      <c r="AA1799" s="280"/>
      <c r="AB1799" s="280"/>
      <c r="AC1799" s="280"/>
      <c r="AD1799" s="280"/>
      <c r="AG1799" s="3"/>
      <c r="AH1799" s="3"/>
      <c r="AI1799" s="3"/>
      <c r="AJ1799" s="3"/>
      <c r="AK1799" s="3"/>
      <c r="AL1799" s="3"/>
      <c r="AM1799" s="3"/>
      <c r="AN1799" s="3"/>
      <c r="AO1799" s="3"/>
      <c r="AP1799" s="11"/>
      <c r="AQ1799" s="11"/>
      <c r="AR1799" s="3"/>
      <c r="AS1799" s="3"/>
      <c r="AT1799" s="3"/>
      <c r="AU1799" s="3"/>
      <c r="AV1799" s="3"/>
      <c r="AW1799" s="3"/>
      <c r="AX1799" s="11"/>
      <c r="AZ1799"/>
      <c r="BA1799"/>
      <c r="BB1799"/>
      <c r="BC1799"/>
    </row>
    <row r="1800" spans="1:55" s="282" customFormat="1" x14ac:dyDescent="0.25">
      <c r="A1800"/>
      <c r="B1800"/>
      <c r="C1800" s="3"/>
      <c r="D1800"/>
      <c r="E1800"/>
      <c r="F1800"/>
      <c r="G1800" s="3"/>
      <c r="H1800" s="3"/>
      <c r="I1800" s="3"/>
      <c r="J1800" s="288"/>
      <c r="L1800" s="288"/>
      <c r="M1800" s="288"/>
      <c r="N1800" s="288"/>
      <c r="O1800" s="288"/>
      <c r="P1800" s="288"/>
      <c r="Q1800" s="288"/>
      <c r="R1800" s="283"/>
      <c r="S1800" s="280"/>
      <c r="T1800" s="276"/>
      <c r="U1800" s="276"/>
      <c r="V1800" s="276"/>
      <c r="W1800" s="283"/>
      <c r="X1800" s="280"/>
      <c r="Y1800" s="280"/>
      <c r="Z1800" s="280"/>
      <c r="AA1800" s="280"/>
      <c r="AB1800" s="280"/>
      <c r="AC1800" s="280"/>
      <c r="AD1800" s="280"/>
      <c r="AG1800" s="3"/>
      <c r="AH1800" s="3"/>
      <c r="AI1800" s="3"/>
      <c r="AJ1800" s="3"/>
      <c r="AK1800" s="3"/>
      <c r="AL1800" s="3"/>
      <c r="AM1800" s="3"/>
      <c r="AN1800" s="3"/>
      <c r="AO1800" s="3"/>
      <c r="AP1800" s="11"/>
      <c r="AQ1800" s="11"/>
      <c r="AR1800" s="3"/>
      <c r="AS1800" s="3"/>
      <c r="AT1800" s="3"/>
      <c r="AU1800" s="3"/>
      <c r="AV1800" s="3"/>
      <c r="AW1800" s="3"/>
      <c r="AX1800" s="11"/>
      <c r="AZ1800"/>
      <c r="BA1800"/>
      <c r="BB1800"/>
      <c r="BC1800"/>
    </row>
    <row r="1801" spans="1:55" s="282" customFormat="1" x14ac:dyDescent="0.25">
      <c r="A1801"/>
      <c r="B1801"/>
      <c r="C1801" s="3"/>
      <c r="D1801"/>
      <c r="E1801"/>
      <c r="F1801"/>
      <c r="G1801" s="3"/>
      <c r="H1801" s="3"/>
      <c r="I1801" s="3"/>
      <c r="J1801" s="288"/>
      <c r="L1801" s="288"/>
      <c r="M1801" s="288"/>
      <c r="N1801" s="288"/>
      <c r="O1801" s="288"/>
      <c r="P1801" s="288"/>
      <c r="Q1801" s="288"/>
      <c r="R1801" s="283"/>
      <c r="S1801" s="280"/>
      <c r="T1801" s="276"/>
      <c r="U1801" s="276"/>
      <c r="V1801" s="276"/>
      <c r="W1801" s="283"/>
      <c r="X1801" s="280"/>
      <c r="Y1801" s="280"/>
      <c r="Z1801" s="280"/>
      <c r="AA1801" s="280"/>
      <c r="AB1801" s="280"/>
      <c r="AC1801" s="280"/>
      <c r="AD1801" s="280"/>
      <c r="AG1801" s="3"/>
      <c r="AH1801" s="3"/>
      <c r="AI1801" s="3"/>
      <c r="AJ1801" s="3"/>
      <c r="AK1801" s="3"/>
      <c r="AL1801" s="3"/>
      <c r="AM1801" s="3"/>
      <c r="AN1801" s="3"/>
      <c r="AO1801" s="3"/>
      <c r="AP1801" s="11"/>
      <c r="AQ1801" s="11"/>
      <c r="AR1801" s="3"/>
      <c r="AS1801" s="3"/>
      <c r="AT1801" s="3"/>
      <c r="AU1801" s="3"/>
      <c r="AV1801" s="3"/>
      <c r="AW1801" s="3"/>
      <c r="AX1801" s="11"/>
      <c r="AZ1801"/>
      <c r="BA1801"/>
      <c r="BB1801"/>
      <c r="BC1801"/>
    </row>
    <row r="1802" spans="1:55" s="282" customFormat="1" x14ac:dyDescent="0.25">
      <c r="A1802"/>
      <c r="B1802"/>
      <c r="C1802" s="3"/>
      <c r="D1802"/>
      <c r="E1802"/>
      <c r="F1802"/>
      <c r="G1802" s="3"/>
      <c r="H1802" s="3"/>
      <c r="I1802" s="3"/>
      <c r="J1802" s="288"/>
      <c r="L1802" s="288"/>
      <c r="M1802" s="288"/>
      <c r="N1802" s="288"/>
      <c r="O1802" s="288"/>
      <c r="P1802" s="288"/>
      <c r="Q1802" s="288"/>
      <c r="R1802" s="283"/>
      <c r="S1802" s="280"/>
      <c r="T1802" s="276"/>
      <c r="U1802" s="276"/>
      <c r="V1802" s="276"/>
      <c r="W1802" s="283"/>
      <c r="X1802" s="280"/>
      <c r="Y1802" s="280"/>
      <c r="Z1802" s="280"/>
      <c r="AA1802" s="280"/>
      <c r="AB1802" s="280"/>
      <c r="AC1802" s="280"/>
      <c r="AD1802" s="280"/>
      <c r="AG1802" s="3"/>
      <c r="AH1802" s="3"/>
      <c r="AI1802" s="3"/>
      <c r="AJ1802" s="3"/>
      <c r="AK1802" s="3"/>
      <c r="AL1802" s="3"/>
      <c r="AM1802" s="3"/>
      <c r="AN1802" s="3"/>
      <c r="AO1802" s="3"/>
      <c r="AP1802" s="11"/>
      <c r="AQ1802" s="11"/>
      <c r="AR1802" s="3"/>
      <c r="AS1802" s="3"/>
      <c r="AT1802" s="3"/>
      <c r="AU1802" s="3"/>
      <c r="AV1802" s="3"/>
      <c r="AW1802" s="3"/>
      <c r="AX1802" s="11"/>
      <c r="AZ1802"/>
      <c r="BA1802"/>
      <c r="BB1802"/>
      <c r="BC1802"/>
    </row>
    <row r="1803" spans="1:55" s="282" customFormat="1" x14ac:dyDescent="0.25">
      <c r="A1803"/>
      <c r="B1803"/>
      <c r="C1803" s="3"/>
      <c r="D1803"/>
      <c r="E1803"/>
      <c r="F1803"/>
      <c r="G1803" s="3"/>
      <c r="H1803" s="3"/>
      <c r="I1803" s="3"/>
      <c r="J1803" s="288"/>
      <c r="L1803" s="288"/>
      <c r="M1803" s="288"/>
      <c r="N1803" s="288"/>
      <c r="O1803" s="288"/>
      <c r="P1803" s="288"/>
      <c r="Q1803" s="288"/>
      <c r="R1803" s="283"/>
      <c r="S1803" s="280"/>
      <c r="T1803" s="276"/>
      <c r="U1803" s="276"/>
      <c r="V1803" s="276"/>
      <c r="W1803" s="283"/>
      <c r="X1803" s="280"/>
      <c r="Y1803" s="280"/>
      <c r="Z1803" s="280"/>
      <c r="AA1803" s="280"/>
      <c r="AB1803" s="280"/>
      <c r="AC1803" s="280"/>
      <c r="AD1803" s="280"/>
      <c r="AG1803" s="3"/>
      <c r="AH1803" s="3"/>
      <c r="AI1803" s="3"/>
      <c r="AJ1803" s="3"/>
      <c r="AK1803" s="3"/>
      <c r="AL1803" s="3"/>
      <c r="AM1803" s="3"/>
      <c r="AN1803" s="3"/>
      <c r="AO1803" s="3"/>
      <c r="AP1803" s="11"/>
      <c r="AQ1803" s="11"/>
      <c r="AR1803" s="3"/>
      <c r="AS1803" s="3"/>
      <c r="AT1803" s="3"/>
      <c r="AU1803" s="3"/>
      <c r="AV1803" s="3"/>
      <c r="AW1803" s="3"/>
      <c r="AX1803" s="11"/>
      <c r="AZ1803"/>
      <c r="BA1803"/>
      <c r="BB1803"/>
      <c r="BC1803"/>
    </row>
    <row r="1804" spans="1:55" s="282" customFormat="1" x14ac:dyDescent="0.25">
      <c r="A1804"/>
      <c r="B1804"/>
      <c r="C1804" s="3"/>
      <c r="D1804"/>
      <c r="E1804"/>
      <c r="F1804"/>
      <c r="G1804" s="3"/>
      <c r="H1804" s="3"/>
      <c r="I1804" s="3"/>
      <c r="J1804" s="288"/>
      <c r="L1804" s="288"/>
      <c r="M1804" s="288"/>
      <c r="N1804" s="288"/>
      <c r="O1804" s="288"/>
      <c r="P1804" s="288"/>
      <c r="Q1804" s="288"/>
      <c r="R1804" s="283"/>
      <c r="S1804" s="280"/>
      <c r="T1804" s="276"/>
      <c r="U1804" s="276"/>
      <c r="V1804" s="276"/>
      <c r="W1804" s="283"/>
      <c r="X1804" s="280"/>
      <c r="Y1804" s="280"/>
      <c r="Z1804" s="280"/>
      <c r="AA1804" s="280"/>
      <c r="AB1804" s="280"/>
      <c r="AC1804" s="280"/>
      <c r="AD1804" s="280"/>
      <c r="AG1804" s="3"/>
      <c r="AH1804" s="3"/>
      <c r="AI1804" s="3"/>
      <c r="AJ1804" s="3"/>
      <c r="AK1804" s="3"/>
      <c r="AL1804" s="3"/>
      <c r="AM1804" s="3"/>
      <c r="AN1804" s="3"/>
      <c r="AO1804" s="3"/>
      <c r="AP1804" s="11"/>
      <c r="AQ1804" s="11"/>
      <c r="AR1804" s="3"/>
      <c r="AS1804" s="3"/>
      <c r="AT1804" s="3"/>
      <c r="AU1804" s="3"/>
      <c r="AV1804" s="3"/>
      <c r="AW1804" s="3"/>
      <c r="AX1804" s="11"/>
      <c r="AZ1804"/>
      <c r="BA1804"/>
      <c r="BB1804"/>
      <c r="BC1804"/>
    </row>
    <row r="1805" spans="1:55" s="282" customFormat="1" x14ac:dyDescent="0.25">
      <c r="A1805"/>
      <c r="B1805"/>
      <c r="C1805" s="3"/>
      <c r="D1805"/>
      <c r="E1805"/>
      <c r="F1805"/>
      <c r="G1805" s="3"/>
      <c r="H1805" s="3"/>
      <c r="I1805" s="3"/>
      <c r="J1805" s="288"/>
      <c r="L1805" s="288"/>
      <c r="M1805" s="288"/>
      <c r="N1805" s="288"/>
      <c r="O1805" s="288"/>
      <c r="P1805" s="288"/>
      <c r="Q1805" s="288"/>
      <c r="R1805" s="283"/>
      <c r="S1805" s="280"/>
      <c r="T1805" s="276"/>
      <c r="U1805" s="276"/>
      <c r="V1805" s="276"/>
      <c r="W1805" s="283"/>
      <c r="X1805" s="280"/>
      <c r="Y1805" s="280"/>
      <c r="Z1805" s="280"/>
      <c r="AA1805" s="280"/>
      <c r="AB1805" s="280"/>
      <c r="AC1805" s="280"/>
      <c r="AD1805" s="280"/>
      <c r="AG1805" s="3"/>
      <c r="AH1805" s="3"/>
      <c r="AI1805" s="3"/>
      <c r="AJ1805" s="3"/>
      <c r="AK1805" s="3"/>
      <c r="AL1805" s="3"/>
      <c r="AM1805" s="3"/>
      <c r="AN1805" s="3"/>
      <c r="AO1805" s="3"/>
      <c r="AP1805" s="11"/>
      <c r="AQ1805" s="11"/>
      <c r="AR1805" s="3"/>
      <c r="AS1805" s="3"/>
      <c r="AT1805" s="3"/>
      <c r="AU1805" s="3"/>
      <c r="AV1805" s="3"/>
      <c r="AW1805" s="3"/>
      <c r="AX1805" s="11"/>
      <c r="AZ1805"/>
      <c r="BA1805"/>
      <c r="BB1805"/>
      <c r="BC1805"/>
    </row>
    <row r="1806" spans="1:55" s="282" customFormat="1" x14ac:dyDescent="0.25">
      <c r="A1806"/>
      <c r="B1806"/>
      <c r="C1806" s="3"/>
      <c r="D1806"/>
      <c r="E1806"/>
      <c r="F1806"/>
      <c r="G1806" s="3"/>
      <c r="H1806" s="3"/>
      <c r="I1806" s="3"/>
      <c r="J1806" s="288"/>
      <c r="L1806" s="288"/>
      <c r="M1806" s="288"/>
      <c r="N1806" s="288"/>
      <c r="O1806" s="288"/>
      <c r="P1806" s="288"/>
      <c r="Q1806" s="288"/>
      <c r="R1806" s="283"/>
      <c r="S1806" s="280"/>
      <c r="T1806" s="276"/>
      <c r="U1806" s="276"/>
      <c r="V1806" s="276"/>
      <c r="W1806" s="283"/>
      <c r="X1806" s="280"/>
      <c r="Y1806" s="280"/>
      <c r="Z1806" s="280"/>
      <c r="AA1806" s="280"/>
      <c r="AB1806" s="280"/>
      <c r="AC1806" s="280"/>
      <c r="AD1806" s="280"/>
      <c r="AG1806" s="3"/>
      <c r="AH1806" s="3"/>
      <c r="AI1806" s="3"/>
      <c r="AJ1806" s="3"/>
      <c r="AK1806" s="3"/>
      <c r="AL1806" s="3"/>
      <c r="AM1806" s="3"/>
      <c r="AN1806" s="3"/>
      <c r="AO1806" s="3"/>
      <c r="AP1806" s="11"/>
      <c r="AQ1806" s="11"/>
      <c r="AR1806" s="3"/>
      <c r="AS1806" s="3"/>
      <c r="AT1806" s="3"/>
      <c r="AU1806" s="3"/>
      <c r="AV1806" s="3"/>
      <c r="AW1806" s="3"/>
      <c r="AX1806" s="11"/>
      <c r="AZ1806"/>
      <c r="BA1806"/>
      <c r="BB1806"/>
      <c r="BC1806"/>
    </row>
    <row r="1807" spans="1:55" s="282" customFormat="1" x14ac:dyDescent="0.25">
      <c r="A1807"/>
      <c r="B1807"/>
      <c r="C1807" s="3"/>
      <c r="D1807"/>
      <c r="E1807"/>
      <c r="F1807"/>
      <c r="G1807" s="3"/>
      <c r="H1807" s="3"/>
      <c r="I1807" s="3"/>
      <c r="J1807" s="288"/>
      <c r="L1807" s="288"/>
      <c r="M1807" s="288"/>
      <c r="N1807" s="288"/>
      <c r="O1807" s="288"/>
      <c r="P1807" s="288"/>
      <c r="Q1807" s="288"/>
      <c r="R1807" s="283"/>
      <c r="S1807" s="280"/>
      <c r="T1807" s="276"/>
      <c r="U1807" s="276"/>
      <c r="V1807" s="276"/>
      <c r="W1807" s="283"/>
      <c r="X1807" s="280"/>
      <c r="Y1807" s="280"/>
      <c r="Z1807" s="280"/>
      <c r="AA1807" s="280"/>
      <c r="AB1807" s="280"/>
      <c r="AC1807" s="280"/>
      <c r="AD1807" s="280"/>
      <c r="AG1807" s="3"/>
      <c r="AH1807" s="3"/>
      <c r="AI1807" s="3"/>
      <c r="AJ1807" s="3"/>
      <c r="AK1807" s="3"/>
      <c r="AL1807" s="3"/>
      <c r="AM1807" s="3"/>
      <c r="AN1807" s="3"/>
      <c r="AO1807" s="3"/>
      <c r="AP1807" s="11"/>
      <c r="AQ1807" s="11"/>
      <c r="AR1807" s="3"/>
      <c r="AS1807" s="3"/>
      <c r="AT1807" s="3"/>
      <c r="AU1807" s="3"/>
      <c r="AV1807" s="3"/>
      <c r="AW1807" s="3"/>
      <c r="AX1807" s="11"/>
      <c r="AZ1807"/>
      <c r="BA1807"/>
      <c r="BB1807"/>
      <c r="BC1807"/>
    </row>
    <row r="1808" spans="1:55" s="282" customFormat="1" x14ac:dyDescent="0.25">
      <c r="A1808"/>
      <c r="B1808"/>
      <c r="C1808" s="3"/>
      <c r="D1808"/>
      <c r="E1808"/>
      <c r="F1808"/>
      <c r="G1808" s="3"/>
      <c r="H1808" s="3"/>
      <c r="I1808" s="3"/>
      <c r="J1808" s="288"/>
      <c r="L1808" s="288"/>
      <c r="M1808" s="288"/>
      <c r="N1808" s="288"/>
      <c r="O1808" s="288"/>
      <c r="P1808" s="288"/>
      <c r="Q1808" s="288"/>
      <c r="R1808" s="283"/>
      <c r="S1808" s="280"/>
      <c r="T1808" s="276"/>
      <c r="U1808" s="276"/>
      <c r="V1808" s="276"/>
      <c r="W1808" s="283"/>
      <c r="X1808" s="280"/>
      <c r="Y1808" s="280"/>
      <c r="Z1808" s="280"/>
      <c r="AA1808" s="280"/>
      <c r="AB1808" s="280"/>
      <c r="AC1808" s="280"/>
      <c r="AD1808" s="280"/>
      <c r="AG1808" s="3"/>
      <c r="AH1808" s="3"/>
      <c r="AI1808" s="3"/>
      <c r="AJ1808" s="3"/>
      <c r="AK1808" s="3"/>
      <c r="AL1808" s="3"/>
      <c r="AM1808" s="3"/>
      <c r="AN1808" s="3"/>
      <c r="AO1808" s="3"/>
      <c r="AP1808" s="11"/>
      <c r="AQ1808" s="11"/>
      <c r="AR1808" s="3"/>
      <c r="AS1808" s="3"/>
      <c r="AT1808" s="3"/>
      <c r="AU1808" s="3"/>
      <c r="AV1808" s="3"/>
      <c r="AW1808" s="3"/>
      <c r="AX1808" s="11"/>
      <c r="AZ1808"/>
      <c r="BA1808"/>
      <c r="BB1808"/>
      <c r="BC1808"/>
    </row>
    <row r="1809" spans="1:55" s="282" customFormat="1" x14ac:dyDescent="0.25">
      <c r="A1809"/>
      <c r="B1809"/>
      <c r="C1809" s="3"/>
      <c r="D1809"/>
      <c r="E1809"/>
      <c r="F1809"/>
      <c r="G1809" s="3"/>
      <c r="H1809" s="3"/>
      <c r="I1809" s="3"/>
      <c r="J1809" s="288"/>
      <c r="L1809" s="288"/>
      <c r="M1809" s="288"/>
      <c r="N1809" s="288"/>
      <c r="O1809" s="288"/>
      <c r="P1809" s="288"/>
      <c r="Q1809" s="288"/>
      <c r="R1809" s="283"/>
      <c r="S1809" s="280"/>
      <c r="T1809" s="276"/>
      <c r="U1809" s="276"/>
      <c r="V1809" s="276"/>
      <c r="W1809" s="283"/>
      <c r="X1809" s="280"/>
      <c r="Y1809" s="280"/>
      <c r="Z1809" s="280"/>
      <c r="AA1809" s="280"/>
      <c r="AB1809" s="280"/>
      <c r="AC1809" s="280"/>
      <c r="AD1809" s="280"/>
      <c r="AG1809" s="3"/>
      <c r="AH1809" s="3"/>
      <c r="AI1809" s="3"/>
      <c r="AJ1809" s="3"/>
      <c r="AK1809" s="3"/>
      <c r="AL1809" s="3"/>
      <c r="AM1809" s="3"/>
      <c r="AN1809" s="3"/>
      <c r="AO1809" s="3"/>
      <c r="AP1809" s="11"/>
      <c r="AQ1809" s="11"/>
      <c r="AR1809" s="3"/>
      <c r="AS1809" s="3"/>
      <c r="AT1809" s="3"/>
      <c r="AU1809" s="3"/>
      <c r="AV1809" s="3"/>
      <c r="AW1809" s="3"/>
      <c r="AX1809" s="11"/>
      <c r="AZ1809"/>
      <c r="BA1809"/>
      <c r="BB1809"/>
      <c r="BC1809"/>
    </row>
    <row r="1810" spans="1:55" s="282" customFormat="1" x14ac:dyDescent="0.25">
      <c r="A1810"/>
      <c r="B1810"/>
      <c r="C1810" s="3"/>
      <c r="D1810"/>
      <c r="E1810"/>
      <c r="F1810"/>
      <c r="G1810" s="3"/>
      <c r="H1810" s="3"/>
      <c r="I1810" s="3"/>
      <c r="J1810" s="288"/>
      <c r="L1810" s="288"/>
      <c r="M1810" s="288"/>
      <c r="N1810" s="288"/>
      <c r="O1810" s="288"/>
      <c r="P1810" s="288"/>
      <c r="Q1810" s="288"/>
      <c r="R1810" s="283"/>
      <c r="S1810" s="280"/>
      <c r="T1810" s="276"/>
      <c r="U1810" s="276"/>
      <c r="V1810" s="276"/>
      <c r="W1810" s="283"/>
      <c r="X1810" s="280"/>
      <c r="Y1810" s="280"/>
      <c r="Z1810" s="280"/>
      <c r="AA1810" s="280"/>
      <c r="AB1810" s="280"/>
      <c r="AC1810" s="280"/>
      <c r="AD1810" s="280"/>
      <c r="AG1810" s="3"/>
      <c r="AH1810" s="3"/>
      <c r="AI1810" s="3"/>
      <c r="AJ1810" s="3"/>
      <c r="AK1810" s="3"/>
      <c r="AL1810" s="3"/>
      <c r="AM1810" s="3"/>
      <c r="AN1810" s="3"/>
      <c r="AO1810" s="3"/>
      <c r="AP1810" s="11"/>
      <c r="AQ1810" s="11"/>
      <c r="AR1810" s="3"/>
      <c r="AS1810" s="3"/>
      <c r="AT1810" s="3"/>
      <c r="AU1810" s="3"/>
      <c r="AV1810" s="3"/>
      <c r="AW1810" s="3"/>
      <c r="AX1810" s="11"/>
      <c r="AZ1810"/>
      <c r="BA1810"/>
      <c r="BB1810"/>
      <c r="BC1810"/>
    </row>
    <row r="1811" spans="1:55" s="282" customFormat="1" x14ac:dyDescent="0.25">
      <c r="A1811"/>
      <c r="B1811"/>
      <c r="C1811" s="3"/>
      <c r="D1811"/>
      <c r="E1811"/>
      <c r="F1811"/>
      <c r="G1811" s="3"/>
      <c r="H1811" s="3"/>
      <c r="I1811" s="3"/>
      <c r="J1811" s="288"/>
      <c r="L1811" s="288"/>
      <c r="M1811" s="288"/>
      <c r="N1811" s="288"/>
      <c r="O1811" s="288"/>
      <c r="P1811" s="288"/>
      <c r="Q1811" s="288"/>
      <c r="R1811" s="283"/>
      <c r="S1811" s="280"/>
      <c r="T1811" s="276"/>
      <c r="U1811" s="276"/>
      <c r="V1811" s="276"/>
      <c r="W1811" s="283"/>
      <c r="X1811" s="280"/>
      <c r="Y1811" s="280"/>
      <c r="Z1811" s="280"/>
      <c r="AA1811" s="280"/>
      <c r="AB1811" s="280"/>
      <c r="AC1811" s="280"/>
      <c r="AD1811" s="280"/>
      <c r="AG1811" s="3"/>
      <c r="AH1811" s="3"/>
      <c r="AI1811" s="3"/>
      <c r="AJ1811" s="3"/>
      <c r="AK1811" s="3"/>
      <c r="AL1811" s="3"/>
      <c r="AM1811" s="3"/>
      <c r="AN1811" s="3"/>
      <c r="AO1811" s="3"/>
      <c r="AP1811" s="11"/>
      <c r="AQ1811" s="11"/>
      <c r="AR1811" s="3"/>
      <c r="AS1811" s="3"/>
      <c r="AT1811" s="3"/>
      <c r="AU1811" s="3"/>
      <c r="AV1811" s="3"/>
      <c r="AW1811" s="3"/>
      <c r="AX1811" s="11"/>
      <c r="AZ1811"/>
      <c r="BA1811"/>
      <c r="BB1811"/>
      <c r="BC1811"/>
    </row>
    <row r="1812" spans="1:55" s="282" customFormat="1" x14ac:dyDescent="0.25">
      <c r="A1812"/>
      <c r="B1812"/>
      <c r="C1812" s="3"/>
      <c r="D1812"/>
      <c r="E1812"/>
      <c r="F1812"/>
      <c r="G1812" s="3"/>
      <c r="H1812" s="3"/>
      <c r="I1812" s="3"/>
      <c r="J1812" s="288"/>
      <c r="L1812" s="288"/>
      <c r="M1812" s="288"/>
      <c r="N1812" s="288"/>
      <c r="O1812" s="288"/>
      <c r="P1812" s="288"/>
      <c r="Q1812" s="288"/>
      <c r="R1812" s="283"/>
      <c r="S1812" s="280"/>
      <c r="T1812" s="276"/>
      <c r="U1812" s="276"/>
      <c r="V1812" s="276"/>
      <c r="W1812" s="283"/>
      <c r="X1812" s="280"/>
      <c r="Y1812" s="280"/>
      <c r="Z1812" s="280"/>
      <c r="AA1812" s="280"/>
      <c r="AB1812" s="280"/>
      <c r="AC1812" s="280"/>
      <c r="AD1812" s="280"/>
      <c r="AG1812" s="3"/>
      <c r="AH1812" s="3"/>
      <c r="AI1812" s="3"/>
      <c r="AJ1812" s="3"/>
      <c r="AK1812" s="3"/>
      <c r="AL1812" s="3"/>
      <c r="AM1812" s="3"/>
      <c r="AN1812" s="3"/>
      <c r="AO1812" s="3"/>
      <c r="AP1812" s="11"/>
      <c r="AQ1812" s="11"/>
      <c r="AR1812" s="3"/>
      <c r="AS1812" s="3"/>
      <c r="AT1812" s="3"/>
      <c r="AU1812" s="3"/>
      <c r="AV1812" s="3"/>
      <c r="AW1812" s="3"/>
      <c r="AX1812" s="11"/>
      <c r="AZ1812"/>
      <c r="BA1812"/>
      <c r="BB1812"/>
      <c r="BC1812"/>
    </row>
    <row r="1813" spans="1:55" s="282" customFormat="1" x14ac:dyDescent="0.25">
      <c r="A1813"/>
      <c r="B1813"/>
      <c r="C1813" s="3"/>
      <c r="D1813"/>
      <c r="E1813"/>
      <c r="F1813"/>
      <c r="G1813" s="3"/>
      <c r="H1813" s="3"/>
      <c r="I1813" s="3"/>
      <c r="J1813" s="288"/>
      <c r="L1813" s="288"/>
      <c r="M1813" s="288"/>
      <c r="N1813" s="288"/>
      <c r="O1813" s="288"/>
      <c r="P1813" s="288"/>
      <c r="Q1813" s="288"/>
      <c r="R1813" s="283"/>
      <c r="S1813" s="280"/>
      <c r="T1813" s="276"/>
      <c r="U1813" s="276"/>
      <c r="V1813" s="276"/>
      <c r="W1813" s="283"/>
      <c r="X1813" s="280"/>
      <c r="Y1813" s="280"/>
      <c r="Z1813" s="280"/>
      <c r="AA1813" s="280"/>
      <c r="AB1813" s="280"/>
      <c r="AC1813" s="280"/>
      <c r="AD1813" s="280"/>
      <c r="AG1813" s="3"/>
      <c r="AH1813" s="3"/>
      <c r="AI1813" s="3"/>
      <c r="AJ1813" s="3"/>
      <c r="AK1813" s="3"/>
      <c r="AL1813" s="3"/>
      <c r="AM1813" s="3"/>
      <c r="AN1813" s="3"/>
      <c r="AO1813" s="3"/>
      <c r="AP1813" s="11"/>
      <c r="AQ1813" s="11"/>
      <c r="AR1813" s="3"/>
      <c r="AS1813" s="3"/>
      <c r="AT1813" s="3"/>
      <c r="AU1813" s="3"/>
      <c r="AV1813" s="3"/>
      <c r="AW1813" s="3"/>
      <c r="AX1813" s="11"/>
      <c r="AZ1813"/>
      <c r="BA1813"/>
      <c r="BB1813"/>
      <c r="BC1813"/>
    </row>
    <row r="1814" spans="1:55" s="282" customFormat="1" x14ac:dyDescent="0.25">
      <c r="A1814"/>
      <c r="B1814"/>
      <c r="C1814" s="3"/>
      <c r="D1814"/>
      <c r="E1814"/>
      <c r="F1814"/>
      <c r="G1814" s="3"/>
      <c r="H1814" s="3"/>
      <c r="I1814" s="3"/>
      <c r="J1814" s="288"/>
      <c r="L1814" s="288"/>
      <c r="M1814" s="288"/>
      <c r="N1814" s="288"/>
      <c r="O1814" s="288"/>
      <c r="P1814" s="288"/>
      <c r="Q1814" s="288"/>
      <c r="R1814" s="283"/>
      <c r="S1814" s="280"/>
      <c r="T1814" s="276"/>
      <c r="U1814" s="276"/>
      <c r="V1814" s="276"/>
      <c r="W1814" s="283"/>
      <c r="X1814" s="280"/>
      <c r="Y1814" s="280"/>
      <c r="Z1814" s="280"/>
      <c r="AA1814" s="280"/>
      <c r="AB1814" s="280"/>
      <c r="AC1814" s="280"/>
      <c r="AD1814" s="280"/>
      <c r="AG1814" s="3"/>
      <c r="AH1814" s="3"/>
      <c r="AI1814" s="3"/>
      <c r="AJ1814" s="3"/>
      <c r="AK1814" s="3"/>
      <c r="AL1814" s="3"/>
      <c r="AM1814" s="3"/>
      <c r="AN1814" s="3"/>
      <c r="AO1814" s="3"/>
      <c r="AP1814" s="11"/>
      <c r="AQ1814" s="11"/>
      <c r="AR1814" s="3"/>
      <c r="AS1814" s="3"/>
      <c r="AT1814" s="3"/>
      <c r="AU1814" s="3"/>
      <c r="AV1814" s="3"/>
      <c r="AW1814" s="3"/>
      <c r="AX1814" s="11"/>
      <c r="AZ1814"/>
      <c r="BA1814"/>
      <c r="BB1814"/>
      <c r="BC1814"/>
    </row>
    <row r="1815" spans="1:55" s="282" customFormat="1" x14ac:dyDescent="0.25">
      <c r="A1815"/>
      <c r="B1815"/>
      <c r="C1815" s="3"/>
      <c r="D1815"/>
      <c r="E1815"/>
      <c r="F1815"/>
      <c r="G1815" s="3"/>
      <c r="H1815" s="3"/>
      <c r="I1815" s="3"/>
      <c r="J1815" s="288"/>
      <c r="L1815" s="288"/>
      <c r="M1815" s="288"/>
      <c r="N1815" s="288"/>
      <c r="O1815" s="288"/>
      <c r="P1815" s="288"/>
      <c r="Q1815" s="288"/>
      <c r="R1815" s="283"/>
      <c r="S1815" s="280"/>
      <c r="T1815" s="276"/>
      <c r="U1815" s="276"/>
      <c r="V1815" s="276"/>
      <c r="W1815" s="283"/>
      <c r="X1815" s="280"/>
      <c r="Y1815" s="280"/>
      <c r="Z1815" s="280"/>
      <c r="AA1815" s="280"/>
      <c r="AB1815" s="280"/>
      <c r="AC1815" s="280"/>
      <c r="AD1815" s="280"/>
      <c r="AG1815" s="3"/>
      <c r="AH1815" s="3"/>
      <c r="AI1815" s="3"/>
      <c r="AJ1815" s="3"/>
      <c r="AK1815" s="3"/>
      <c r="AL1815" s="3"/>
      <c r="AM1815" s="3"/>
      <c r="AN1815" s="3"/>
      <c r="AO1815" s="3"/>
      <c r="AP1815" s="11"/>
      <c r="AQ1815" s="11"/>
      <c r="AR1815" s="3"/>
      <c r="AS1815" s="3"/>
      <c r="AT1815" s="3"/>
      <c r="AU1815" s="3"/>
      <c r="AV1815" s="3"/>
      <c r="AW1815" s="3"/>
      <c r="AX1815" s="11"/>
      <c r="AZ1815"/>
      <c r="BA1815"/>
      <c r="BB1815"/>
      <c r="BC1815"/>
    </row>
    <row r="1816" spans="1:55" s="282" customFormat="1" x14ac:dyDescent="0.25">
      <c r="A1816"/>
      <c r="B1816"/>
      <c r="C1816" s="3"/>
      <c r="D1816"/>
      <c r="E1816"/>
      <c r="F1816"/>
      <c r="G1816" s="3"/>
      <c r="H1816" s="3"/>
      <c r="I1816" s="3"/>
      <c r="J1816" s="288"/>
      <c r="L1816" s="288"/>
      <c r="M1816" s="288"/>
      <c r="N1816" s="288"/>
      <c r="O1816" s="288"/>
      <c r="P1816" s="288"/>
      <c r="Q1816" s="288"/>
      <c r="R1816" s="283"/>
      <c r="S1816" s="280"/>
      <c r="T1816" s="276"/>
      <c r="U1816" s="276"/>
      <c r="V1816" s="276"/>
      <c r="W1816" s="283"/>
      <c r="X1816" s="280"/>
      <c r="Y1816" s="280"/>
      <c r="Z1816" s="280"/>
      <c r="AA1816" s="280"/>
      <c r="AB1816" s="280"/>
      <c r="AC1816" s="280"/>
      <c r="AD1816" s="280"/>
      <c r="AG1816" s="3"/>
      <c r="AH1816" s="3"/>
      <c r="AI1816" s="3"/>
      <c r="AJ1816" s="3"/>
      <c r="AK1816" s="3"/>
      <c r="AL1816" s="3"/>
      <c r="AM1816" s="3"/>
      <c r="AN1816" s="3"/>
      <c r="AO1816" s="3"/>
      <c r="AP1816" s="11"/>
      <c r="AQ1816" s="11"/>
      <c r="AR1816" s="3"/>
      <c r="AS1816" s="3"/>
      <c r="AT1816" s="3"/>
      <c r="AU1816" s="3"/>
      <c r="AV1816" s="3"/>
      <c r="AW1816" s="3"/>
      <c r="AX1816" s="11"/>
      <c r="AZ1816"/>
      <c r="BA1816"/>
      <c r="BB1816"/>
      <c r="BC1816"/>
    </row>
    <row r="1817" spans="1:55" s="282" customFormat="1" x14ac:dyDescent="0.25">
      <c r="A1817"/>
      <c r="B1817"/>
      <c r="C1817" s="3"/>
      <c r="D1817"/>
      <c r="E1817"/>
      <c r="F1817"/>
      <c r="G1817" s="3"/>
      <c r="H1817" s="3"/>
      <c r="I1817" s="3"/>
      <c r="J1817" s="288"/>
      <c r="L1817" s="288"/>
      <c r="M1817" s="288"/>
      <c r="N1817" s="288"/>
      <c r="O1817" s="288"/>
      <c r="P1817" s="288"/>
      <c r="Q1817" s="288"/>
      <c r="R1817" s="283"/>
      <c r="S1817" s="280"/>
      <c r="T1817" s="276"/>
      <c r="U1817" s="276"/>
      <c r="V1817" s="276"/>
      <c r="W1817" s="283"/>
      <c r="X1817" s="280"/>
      <c r="Y1817" s="280"/>
      <c r="Z1817" s="280"/>
      <c r="AA1817" s="280"/>
      <c r="AB1817" s="280"/>
      <c r="AC1817" s="280"/>
      <c r="AD1817" s="280"/>
      <c r="AG1817" s="3"/>
      <c r="AH1817" s="3"/>
      <c r="AI1817" s="3"/>
      <c r="AJ1817" s="3"/>
      <c r="AK1817" s="3"/>
      <c r="AL1817" s="3"/>
      <c r="AM1817" s="3"/>
      <c r="AN1817" s="3"/>
      <c r="AO1817" s="3"/>
      <c r="AP1817" s="11"/>
      <c r="AQ1817" s="11"/>
      <c r="AR1817" s="3"/>
      <c r="AS1817" s="3"/>
      <c r="AT1817" s="3"/>
      <c r="AU1817" s="3"/>
      <c r="AV1817" s="3"/>
      <c r="AW1817" s="3"/>
      <c r="AX1817" s="11"/>
      <c r="AZ1817"/>
      <c r="BA1817"/>
      <c r="BB1817"/>
      <c r="BC1817"/>
    </row>
    <row r="1818" spans="1:55" s="282" customFormat="1" x14ac:dyDescent="0.25">
      <c r="A1818"/>
      <c r="B1818"/>
      <c r="C1818" s="3"/>
      <c r="D1818"/>
      <c r="E1818"/>
      <c r="F1818"/>
      <c r="G1818" s="3"/>
      <c r="H1818" s="3"/>
      <c r="I1818" s="3"/>
      <c r="J1818" s="288"/>
      <c r="L1818" s="288"/>
      <c r="M1818" s="288"/>
      <c r="N1818" s="288"/>
      <c r="O1818" s="288"/>
      <c r="P1818" s="288"/>
      <c r="Q1818" s="288"/>
      <c r="R1818" s="283"/>
      <c r="S1818" s="280"/>
      <c r="T1818" s="276"/>
      <c r="U1818" s="276"/>
      <c r="V1818" s="276"/>
      <c r="W1818" s="283"/>
      <c r="X1818" s="280"/>
      <c r="Y1818" s="280"/>
      <c r="Z1818" s="280"/>
      <c r="AA1818" s="280"/>
      <c r="AB1818" s="280"/>
      <c r="AC1818" s="280"/>
      <c r="AD1818" s="280"/>
      <c r="AG1818" s="3"/>
      <c r="AH1818" s="3"/>
      <c r="AI1818" s="3"/>
      <c r="AJ1818" s="3"/>
      <c r="AK1818" s="3"/>
      <c r="AL1818" s="3"/>
      <c r="AM1818" s="3"/>
      <c r="AN1818" s="3"/>
      <c r="AO1818" s="3"/>
      <c r="AP1818" s="11"/>
      <c r="AQ1818" s="11"/>
      <c r="AR1818" s="3"/>
      <c r="AS1818" s="3"/>
      <c r="AT1818" s="3"/>
      <c r="AU1818" s="3"/>
      <c r="AV1818" s="3"/>
      <c r="AW1818" s="3"/>
      <c r="AX1818" s="11"/>
      <c r="AZ1818"/>
      <c r="BA1818"/>
      <c r="BB1818"/>
      <c r="BC1818"/>
    </row>
    <row r="1819" spans="1:55" s="282" customFormat="1" x14ac:dyDescent="0.25">
      <c r="A1819"/>
      <c r="B1819"/>
      <c r="C1819" s="3"/>
      <c r="D1819"/>
      <c r="E1819"/>
      <c r="F1819"/>
      <c r="G1819" s="3"/>
      <c r="H1819" s="3"/>
      <c r="I1819" s="3"/>
      <c r="J1819" s="288"/>
      <c r="L1819" s="288"/>
      <c r="M1819" s="288"/>
      <c r="N1819" s="288"/>
      <c r="O1819" s="288"/>
      <c r="P1819" s="288"/>
      <c r="Q1819" s="288"/>
      <c r="R1819" s="283"/>
      <c r="S1819" s="280"/>
      <c r="T1819" s="276"/>
      <c r="U1819" s="276"/>
      <c r="V1819" s="276"/>
      <c r="W1819" s="283"/>
      <c r="X1819" s="280"/>
      <c r="Y1819" s="280"/>
      <c r="Z1819" s="280"/>
      <c r="AA1819" s="280"/>
      <c r="AB1819" s="280"/>
      <c r="AC1819" s="280"/>
      <c r="AD1819" s="280"/>
      <c r="AG1819" s="3"/>
      <c r="AH1819" s="3"/>
      <c r="AI1819" s="3"/>
      <c r="AJ1819" s="3"/>
      <c r="AK1819" s="3"/>
      <c r="AL1819" s="3"/>
      <c r="AM1819" s="3"/>
      <c r="AN1819" s="3"/>
      <c r="AO1819" s="3"/>
      <c r="AP1819" s="11"/>
      <c r="AQ1819" s="11"/>
      <c r="AR1819" s="3"/>
      <c r="AS1819" s="3"/>
      <c r="AT1819" s="3"/>
      <c r="AU1819" s="3"/>
      <c r="AV1819" s="3"/>
      <c r="AW1819" s="3"/>
      <c r="AX1819" s="11"/>
      <c r="AZ1819"/>
      <c r="BA1819"/>
      <c r="BB1819"/>
      <c r="BC1819"/>
    </row>
    <row r="1820" spans="1:55" s="282" customFormat="1" x14ac:dyDescent="0.25">
      <c r="A1820"/>
      <c r="B1820"/>
      <c r="C1820" s="3"/>
      <c r="D1820"/>
      <c r="E1820"/>
      <c r="F1820"/>
      <c r="G1820" s="3"/>
      <c r="H1820" s="3"/>
      <c r="I1820" s="3"/>
      <c r="J1820" s="288"/>
      <c r="L1820" s="288"/>
      <c r="M1820" s="288"/>
      <c r="N1820" s="288"/>
      <c r="O1820" s="288"/>
      <c r="P1820" s="288"/>
      <c r="Q1820" s="288"/>
      <c r="R1820" s="283"/>
      <c r="S1820" s="280"/>
      <c r="T1820" s="276"/>
      <c r="U1820" s="276"/>
      <c r="V1820" s="276"/>
      <c r="W1820" s="283"/>
      <c r="X1820" s="280"/>
      <c r="Y1820" s="280"/>
      <c r="Z1820" s="280"/>
      <c r="AA1820" s="280"/>
      <c r="AB1820" s="280"/>
      <c r="AC1820" s="280"/>
      <c r="AD1820" s="280"/>
      <c r="AG1820" s="3"/>
      <c r="AH1820" s="3"/>
      <c r="AI1820" s="3"/>
      <c r="AJ1820" s="3"/>
      <c r="AK1820" s="3"/>
      <c r="AL1820" s="3"/>
      <c r="AM1820" s="3"/>
      <c r="AN1820" s="3"/>
      <c r="AO1820" s="3"/>
      <c r="AP1820" s="11"/>
      <c r="AQ1820" s="11"/>
      <c r="AR1820" s="3"/>
      <c r="AS1820" s="3"/>
      <c r="AT1820" s="3"/>
      <c r="AU1820" s="3"/>
      <c r="AV1820" s="3"/>
      <c r="AW1820" s="3"/>
      <c r="AX1820" s="11"/>
      <c r="AZ1820"/>
      <c r="BA1820"/>
      <c r="BB1820"/>
      <c r="BC1820"/>
    </row>
    <row r="1821" spans="1:55" s="282" customFormat="1" x14ac:dyDescent="0.25">
      <c r="A1821"/>
      <c r="B1821"/>
      <c r="C1821" s="3"/>
      <c r="D1821"/>
      <c r="E1821"/>
      <c r="F1821"/>
      <c r="G1821" s="3"/>
      <c r="H1821" s="3"/>
      <c r="I1821" s="3"/>
      <c r="J1821" s="288"/>
      <c r="L1821" s="288"/>
      <c r="M1821" s="288"/>
      <c r="N1821" s="288"/>
      <c r="O1821" s="288"/>
      <c r="P1821" s="288"/>
      <c r="Q1821" s="288"/>
      <c r="R1821" s="283"/>
      <c r="S1821" s="280"/>
      <c r="T1821" s="276"/>
      <c r="U1821" s="276"/>
      <c r="V1821" s="276"/>
      <c r="W1821" s="283"/>
      <c r="X1821" s="280"/>
      <c r="Y1821" s="280"/>
      <c r="Z1821" s="280"/>
      <c r="AA1821" s="280"/>
      <c r="AB1821" s="280"/>
      <c r="AC1821" s="280"/>
      <c r="AD1821" s="280"/>
      <c r="AG1821" s="3"/>
      <c r="AH1821" s="3"/>
      <c r="AI1821" s="3"/>
      <c r="AJ1821" s="3"/>
      <c r="AK1821" s="3"/>
      <c r="AL1821" s="3"/>
      <c r="AM1821" s="3"/>
      <c r="AN1821" s="3"/>
      <c r="AO1821" s="3"/>
      <c r="AP1821" s="11"/>
      <c r="AQ1821" s="11"/>
      <c r="AR1821" s="3"/>
      <c r="AS1821" s="3"/>
      <c r="AT1821" s="3"/>
      <c r="AU1821" s="3"/>
      <c r="AV1821" s="3"/>
      <c r="AW1821" s="3"/>
      <c r="AX1821" s="11"/>
      <c r="AZ1821"/>
      <c r="BA1821"/>
      <c r="BB1821"/>
      <c r="BC1821"/>
    </row>
    <row r="1822" spans="1:55" s="282" customFormat="1" x14ac:dyDescent="0.25">
      <c r="A1822"/>
      <c r="B1822"/>
      <c r="C1822" s="3"/>
      <c r="D1822"/>
      <c r="E1822"/>
      <c r="F1822"/>
      <c r="G1822" s="3"/>
      <c r="H1822" s="3"/>
      <c r="I1822" s="3"/>
      <c r="J1822" s="288"/>
      <c r="L1822" s="288"/>
      <c r="M1822" s="288"/>
      <c r="N1822" s="288"/>
      <c r="O1822" s="288"/>
      <c r="P1822" s="288"/>
      <c r="Q1822" s="288"/>
      <c r="R1822" s="283"/>
      <c r="S1822" s="280"/>
      <c r="T1822" s="276"/>
      <c r="U1822" s="276"/>
      <c r="V1822" s="276"/>
      <c r="W1822" s="283"/>
      <c r="X1822" s="280"/>
      <c r="Y1822" s="280"/>
      <c r="Z1822" s="280"/>
      <c r="AA1822" s="280"/>
      <c r="AB1822" s="280"/>
      <c r="AC1822" s="280"/>
      <c r="AD1822" s="280"/>
      <c r="AG1822" s="3"/>
      <c r="AH1822" s="3"/>
      <c r="AI1822" s="3"/>
      <c r="AJ1822" s="3"/>
      <c r="AK1822" s="3"/>
      <c r="AL1822" s="3"/>
      <c r="AM1822" s="3"/>
      <c r="AN1822" s="3"/>
      <c r="AO1822" s="3"/>
      <c r="AP1822" s="11"/>
      <c r="AQ1822" s="11"/>
      <c r="AR1822" s="3"/>
      <c r="AS1822" s="3"/>
      <c r="AT1822" s="3"/>
      <c r="AU1822" s="3"/>
      <c r="AV1822" s="3"/>
      <c r="AW1822" s="3"/>
      <c r="AX1822" s="11"/>
      <c r="AZ1822"/>
      <c r="BA1822"/>
      <c r="BB1822"/>
      <c r="BC1822"/>
    </row>
    <row r="1823" spans="1:55" s="282" customFormat="1" x14ac:dyDescent="0.25">
      <c r="A1823"/>
      <c r="B1823"/>
      <c r="C1823" s="3"/>
      <c r="D1823"/>
      <c r="E1823"/>
      <c r="F1823"/>
      <c r="G1823" s="3"/>
      <c r="H1823" s="3"/>
      <c r="I1823" s="3"/>
      <c r="J1823" s="288"/>
      <c r="L1823" s="288"/>
      <c r="M1823" s="288"/>
      <c r="N1823" s="288"/>
      <c r="O1823" s="288"/>
      <c r="P1823" s="288"/>
      <c r="Q1823" s="288"/>
      <c r="R1823" s="283"/>
      <c r="S1823" s="280"/>
      <c r="T1823" s="276"/>
      <c r="U1823" s="276"/>
      <c r="V1823" s="276"/>
      <c r="W1823" s="283"/>
      <c r="X1823" s="280"/>
      <c r="Y1823" s="280"/>
      <c r="Z1823" s="280"/>
      <c r="AA1823" s="280"/>
      <c r="AB1823" s="280"/>
      <c r="AC1823" s="280"/>
      <c r="AD1823" s="280"/>
      <c r="AG1823" s="3"/>
      <c r="AH1823" s="3"/>
      <c r="AI1823" s="3"/>
      <c r="AJ1823" s="3"/>
      <c r="AK1823" s="3"/>
      <c r="AL1823" s="3"/>
      <c r="AM1823" s="3"/>
      <c r="AN1823" s="3"/>
      <c r="AO1823" s="3"/>
      <c r="AP1823" s="11"/>
      <c r="AQ1823" s="11"/>
      <c r="AR1823" s="3"/>
      <c r="AS1823" s="3"/>
      <c r="AT1823" s="3"/>
      <c r="AU1823" s="3"/>
      <c r="AV1823" s="3"/>
      <c r="AW1823" s="3"/>
      <c r="AX1823" s="11"/>
      <c r="AZ1823"/>
      <c r="BA1823"/>
      <c r="BB1823"/>
      <c r="BC1823"/>
    </row>
    <row r="1824" spans="1:55" s="282" customFormat="1" x14ac:dyDescent="0.25">
      <c r="A1824"/>
      <c r="B1824"/>
      <c r="C1824" s="3"/>
      <c r="D1824"/>
      <c r="E1824"/>
      <c r="F1824"/>
      <c r="G1824" s="3"/>
      <c r="H1824" s="3"/>
      <c r="I1824" s="3"/>
      <c r="J1824" s="288"/>
      <c r="L1824" s="288"/>
      <c r="M1824" s="288"/>
      <c r="N1824" s="288"/>
      <c r="O1824" s="288"/>
      <c r="P1824" s="288"/>
      <c r="Q1824" s="288"/>
      <c r="R1824" s="283"/>
      <c r="S1824" s="280"/>
      <c r="T1824" s="276"/>
      <c r="U1824" s="276"/>
      <c r="V1824" s="276"/>
      <c r="W1824" s="283"/>
      <c r="X1824" s="280"/>
      <c r="Y1824" s="280"/>
      <c r="Z1824" s="280"/>
      <c r="AA1824" s="280"/>
      <c r="AB1824" s="280"/>
      <c r="AC1824" s="280"/>
      <c r="AD1824" s="280"/>
      <c r="AG1824" s="3"/>
      <c r="AH1824" s="3"/>
      <c r="AI1824" s="3"/>
      <c r="AJ1824" s="3"/>
      <c r="AK1824" s="3"/>
      <c r="AL1824" s="3"/>
      <c r="AM1824" s="3"/>
      <c r="AN1824" s="3"/>
      <c r="AO1824" s="3"/>
      <c r="AP1824" s="11"/>
      <c r="AQ1824" s="11"/>
      <c r="AR1824" s="3"/>
      <c r="AS1824" s="3"/>
      <c r="AT1824" s="3"/>
      <c r="AU1824" s="3"/>
      <c r="AV1824" s="3"/>
      <c r="AW1824" s="3"/>
      <c r="AX1824" s="11"/>
      <c r="AZ1824"/>
      <c r="BA1824"/>
      <c r="BB1824"/>
      <c r="BC1824"/>
    </row>
    <row r="1825" spans="1:55" s="282" customFormat="1" x14ac:dyDescent="0.25">
      <c r="A1825"/>
      <c r="B1825"/>
      <c r="C1825" s="3"/>
      <c r="D1825"/>
      <c r="E1825"/>
      <c r="F1825"/>
      <c r="G1825" s="3"/>
      <c r="H1825" s="3"/>
      <c r="I1825" s="3"/>
      <c r="J1825" s="288"/>
      <c r="L1825" s="288"/>
      <c r="M1825" s="288"/>
      <c r="N1825" s="288"/>
      <c r="O1825" s="288"/>
      <c r="P1825" s="288"/>
      <c r="Q1825" s="288"/>
      <c r="R1825" s="283"/>
      <c r="S1825" s="280"/>
      <c r="T1825" s="276"/>
      <c r="U1825" s="276"/>
      <c r="V1825" s="276"/>
      <c r="W1825" s="283"/>
      <c r="X1825" s="280"/>
      <c r="Y1825" s="280"/>
      <c r="Z1825" s="280"/>
      <c r="AA1825" s="280"/>
      <c r="AB1825" s="280"/>
      <c r="AC1825" s="280"/>
      <c r="AD1825" s="280"/>
      <c r="AG1825" s="3"/>
      <c r="AH1825" s="3"/>
      <c r="AI1825" s="3"/>
      <c r="AJ1825" s="3"/>
      <c r="AK1825" s="3"/>
      <c r="AL1825" s="3"/>
      <c r="AM1825" s="3"/>
      <c r="AN1825" s="3"/>
      <c r="AO1825" s="3"/>
      <c r="AP1825" s="11"/>
      <c r="AQ1825" s="11"/>
      <c r="AR1825" s="3"/>
      <c r="AS1825" s="3"/>
      <c r="AT1825" s="3"/>
      <c r="AU1825" s="3"/>
      <c r="AV1825" s="3"/>
      <c r="AW1825" s="3"/>
      <c r="AX1825" s="11"/>
      <c r="AZ1825"/>
      <c r="BA1825"/>
      <c r="BB1825"/>
      <c r="BC1825"/>
    </row>
    <row r="1826" spans="1:55" s="282" customFormat="1" x14ac:dyDescent="0.25">
      <c r="A1826"/>
      <c r="B1826"/>
      <c r="C1826" s="3"/>
      <c r="D1826"/>
      <c r="E1826"/>
      <c r="F1826"/>
      <c r="G1826" s="3"/>
      <c r="H1826" s="3"/>
      <c r="I1826" s="3"/>
      <c r="J1826" s="288"/>
      <c r="L1826" s="288"/>
      <c r="M1826" s="288"/>
      <c r="N1826" s="288"/>
      <c r="O1826" s="288"/>
      <c r="P1826" s="288"/>
      <c r="Q1826" s="288"/>
      <c r="R1826" s="283"/>
      <c r="S1826" s="280"/>
      <c r="T1826" s="276"/>
      <c r="U1826" s="276"/>
      <c r="V1826" s="276"/>
      <c r="W1826" s="283"/>
      <c r="X1826" s="280"/>
      <c r="Y1826" s="280"/>
      <c r="Z1826" s="280"/>
      <c r="AA1826" s="280"/>
      <c r="AB1826" s="280"/>
      <c r="AC1826" s="280"/>
      <c r="AD1826" s="280"/>
      <c r="AG1826" s="3"/>
      <c r="AH1826" s="3"/>
      <c r="AI1826" s="3"/>
      <c r="AJ1826" s="3"/>
      <c r="AK1826" s="3"/>
      <c r="AL1826" s="3"/>
      <c r="AM1826" s="3"/>
      <c r="AN1826" s="3"/>
      <c r="AO1826" s="3"/>
      <c r="AP1826" s="11"/>
      <c r="AQ1826" s="11"/>
      <c r="AR1826" s="3"/>
      <c r="AS1826" s="3"/>
      <c r="AT1826" s="3"/>
      <c r="AU1826" s="3"/>
      <c r="AV1826" s="3"/>
      <c r="AW1826" s="3"/>
      <c r="AX1826" s="11"/>
      <c r="AZ1826"/>
      <c r="BA1826"/>
      <c r="BB1826"/>
      <c r="BC1826"/>
    </row>
    <row r="1827" spans="1:55" s="282" customFormat="1" x14ac:dyDescent="0.25">
      <c r="A1827"/>
      <c r="B1827"/>
      <c r="C1827" s="3"/>
      <c r="D1827"/>
      <c r="E1827"/>
      <c r="F1827"/>
      <c r="G1827" s="3"/>
      <c r="H1827" s="3"/>
      <c r="I1827" s="3"/>
      <c r="J1827" s="288"/>
      <c r="L1827" s="288"/>
      <c r="M1827" s="288"/>
      <c r="N1827" s="288"/>
      <c r="O1827" s="288"/>
      <c r="P1827" s="288"/>
      <c r="Q1827" s="288"/>
      <c r="R1827" s="283"/>
      <c r="S1827" s="280"/>
      <c r="T1827" s="276"/>
      <c r="U1827" s="276"/>
      <c r="V1827" s="276"/>
      <c r="W1827" s="283"/>
      <c r="X1827" s="280"/>
      <c r="Y1827" s="280"/>
      <c r="Z1827" s="280"/>
      <c r="AA1827" s="280"/>
      <c r="AB1827" s="280"/>
      <c r="AC1827" s="280"/>
      <c r="AD1827" s="280"/>
      <c r="AG1827" s="3"/>
      <c r="AH1827" s="3"/>
      <c r="AI1827" s="3"/>
      <c r="AJ1827" s="3"/>
      <c r="AK1827" s="3"/>
      <c r="AL1827" s="3"/>
      <c r="AM1827" s="3"/>
      <c r="AN1827" s="3"/>
      <c r="AO1827" s="3"/>
      <c r="AP1827" s="11"/>
      <c r="AQ1827" s="11"/>
      <c r="AR1827" s="3"/>
      <c r="AS1827" s="3"/>
      <c r="AT1827" s="3"/>
      <c r="AU1827" s="3"/>
      <c r="AV1827" s="3"/>
      <c r="AW1827" s="3"/>
      <c r="AX1827" s="11"/>
      <c r="AZ1827"/>
      <c r="BA1827"/>
      <c r="BB1827"/>
      <c r="BC1827"/>
    </row>
    <row r="1828" spans="1:55" s="282" customFormat="1" x14ac:dyDescent="0.25">
      <c r="A1828"/>
      <c r="B1828"/>
      <c r="C1828" s="3"/>
      <c r="D1828"/>
      <c r="E1828"/>
      <c r="F1828"/>
      <c r="G1828" s="3"/>
      <c r="H1828" s="3"/>
      <c r="I1828" s="3"/>
      <c r="J1828" s="288"/>
      <c r="L1828" s="288"/>
      <c r="M1828" s="288"/>
      <c r="N1828" s="288"/>
      <c r="O1828" s="288"/>
      <c r="P1828" s="288"/>
      <c r="Q1828" s="288"/>
      <c r="R1828" s="283"/>
      <c r="S1828" s="280"/>
      <c r="T1828" s="276"/>
      <c r="U1828" s="276"/>
      <c r="V1828" s="276"/>
      <c r="W1828" s="283"/>
      <c r="X1828" s="280"/>
      <c r="Y1828" s="280"/>
      <c r="Z1828" s="280"/>
      <c r="AA1828" s="280"/>
      <c r="AB1828" s="280"/>
      <c r="AC1828" s="280"/>
      <c r="AD1828" s="280"/>
      <c r="AG1828" s="3"/>
      <c r="AH1828" s="3"/>
      <c r="AI1828" s="3"/>
      <c r="AJ1828" s="3"/>
      <c r="AK1828" s="3"/>
      <c r="AL1828" s="3"/>
      <c r="AM1828" s="3"/>
      <c r="AN1828" s="3"/>
      <c r="AO1828" s="3"/>
      <c r="AP1828" s="11"/>
      <c r="AQ1828" s="11"/>
      <c r="AR1828" s="3"/>
      <c r="AS1828" s="3"/>
      <c r="AT1828" s="3"/>
      <c r="AU1828" s="3"/>
      <c r="AV1828" s="3"/>
      <c r="AW1828" s="3"/>
      <c r="AX1828" s="11"/>
      <c r="AZ1828"/>
      <c r="BA1828"/>
      <c r="BB1828"/>
      <c r="BC1828"/>
    </row>
    <row r="1829" spans="1:55" s="282" customFormat="1" x14ac:dyDescent="0.25">
      <c r="A1829"/>
      <c r="B1829"/>
      <c r="C1829" s="3"/>
      <c r="D1829"/>
      <c r="E1829"/>
      <c r="F1829"/>
      <c r="G1829" s="3"/>
      <c r="H1829" s="3"/>
      <c r="I1829" s="3"/>
      <c r="J1829" s="288"/>
      <c r="L1829" s="288"/>
      <c r="M1829" s="288"/>
      <c r="N1829" s="288"/>
      <c r="O1829" s="288"/>
      <c r="P1829" s="288"/>
      <c r="Q1829" s="288"/>
      <c r="R1829" s="283"/>
      <c r="S1829" s="280"/>
      <c r="T1829" s="276"/>
      <c r="U1829" s="276"/>
      <c r="V1829" s="276"/>
      <c r="W1829" s="283"/>
      <c r="X1829" s="280"/>
      <c r="Y1829" s="280"/>
      <c r="Z1829" s="280"/>
      <c r="AA1829" s="280"/>
      <c r="AB1829" s="280"/>
      <c r="AC1829" s="280"/>
      <c r="AD1829" s="280"/>
      <c r="AG1829" s="3"/>
      <c r="AH1829" s="3"/>
      <c r="AI1829" s="3"/>
      <c r="AJ1829" s="3"/>
      <c r="AK1829" s="3"/>
      <c r="AL1829" s="3"/>
      <c r="AM1829" s="3"/>
      <c r="AN1829" s="3"/>
      <c r="AO1829" s="3"/>
      <c r="AP1829" s="11"/>
      <c r="AQ1829" s="11"/>
      <c r="AR1829" s="3"/>
      <c r="AS1829" s="3"/>
      <c r="AT1829" s="3"/>
      <c r="AU1829" s="3"/>
      <c r="AV1829" s="3"/>
      <c r="AW1829" s="3"/>
      <c r="AX1829" s="11"/>
      <c r="AZ1829"/>
      <c r="BA1829"/>
      <c r="BB1829"/>
      <c r="BC1829"/>
    </row>
    <row r="1830" spans="1:55" s="282" customFormat="1" x14ac:dyDescent="0.25">
      <c r="A1830"/>
      <c r="B1830"/>
      <c r="C1830" s="3"/>
      <c r="D1830"/>
      <c r="E1830"/>
      <c r="F1830"/>
      <c r="G1830" s="3"/>
      <c r="H1830" s="3"/>
      <c r="I1830" s="3"/>
      <c r="J1830" s="288"/>
      <c r="L1830" s="288"/>
      <c r="M1830" s="288"/>
      <c r="N1830" s="288"/>
      <c r="O1830" s="288"/>
      <c r="P1830" s="288"/>
      <c r="Q1830" s="288"/>
      <c r="R1830" s="283"/>
      <c r="S1830" s="280"/>
      <c r="T1830" s="276"/>
      <c r="U1830" s="276"/>
      <c r="V1830" s="276"/>
      <c r="W1830" s="283"/>
      <c r="X1830" s="280"/>
      <c r="Y1830" s="280"/>
      <c r="Z1830" s="280"/>
      <c r="AA1830" s="280"/>
      <c r="AB1830" s="280"/>
      <c r="AC1830" s="280"/>
      <c r="AD1830" s="280"/>
      <c r="AG1830" s="3"/>
      <c r="AH1830" s="3"/>
      <c r="AI1830" s="3"/>
      <c r="AJ1830" s="3"/>
      <c r="AK1830" s="3"/>
      <c r="AL1830" s="3"/>
      <c r="AM1830" s="3"/>
      <c r="AN1830" s="3"/>
      <c r="AO1830" s="3"/>
      <c r="AP1830" s="11"/>
      <c r="AQ1830" s="11"/>
      <c r="AR1830" s="3"/>
      <c r="AS1830" s="3"/>
      <c r="AT1830" s="3"/>
      <c r="AU1830" s="3"/>
      <c r="AV1830" s="3"/>
      <c r="AW1830" s="3"/>
      <c r="AX1830" s="11"/>
      <c r="AZ1830"/>
      <c r="BA1830"/>
      <c r="BB1830"/>
      <c r="BC1830"/>
    </row>
    <row r="1831" spans="1:55" s="282" customFormat="1" x14ac:dyDescent="0.25">
      <c r="A1831"/>
      <c r="B1831"/>
      <c r="C1831" s="3"/>
      <c r="D1831"/>
      <c r="E1831"/>
      <c r="F1831"/>
      <c r="G1831" s="3"/>
      <c r="H1831" s="3"/>
      <c r="I1831" s="3"/>
      <c r="J1831" s="288"/>
      <c r="L1831" s="288"/>
      <c r="M1831" s="288"/>
      <c r="N1831" s="288"/>
      <c r="O1831" s="288"/>
      <c r="P1831" s="288"/>
      <c r="Q1831" s="288"/>
      <c r="R1831" s="283"/>
      <c r="S1831" s="280"/>
      <c r="T1831" s="276"/>
      <c r="U1831" s="276"/>
      <c r="V1831" s="276"/>
      <c r="W1831" s="283"/>
      <c r="X1831" s="280"/>
      <c r="Y1831" s="280"/>
      <c r="Z1831" s="280"/>
      <c r="AA1831" s="280"/>
      <c r="AB1831" s="280"/>
      <c r="AC1831" s="280"/>
      <c r="AD1831" s="280"/>
      <c r="AG1831" s="3"/>
      <c r="AH1831" s="3"/>
      <c r="AI1831" s="3"/>
      <c r="AJ1831" s="3"/>
      <c r="AK1831" s="3"/>
      <c r="AL1831" s="3"/>
      <c r="AM1831" s="3"/>
      <c r="AN1831" s="3"/>
      <c r="AO1831" s="3"/>
      <c r="AP1831" s="11"/>
      <c r="AQ1831" s="11"/>
      <c r="AR1831" s="3"/>
      <c r="AS1831" s="3"/>
      <c r="AT1831" s="3"/>
      <c r="AU1831" s="3"/>
      <c r="AV1831" s="3"/>
      <c r="AW1831" s="3"/>
      <c r="AX1831" s="11"/>
      <c r="AZ1831"/>
      <c r="BA1831"/>
      <c r="BB1831"/>
      <c r="BC1831"/>
    </row>
    <row r="1832" spans="1:55" s="282" customFormat="1" x14ac:dyDescent="0.25">
      <c r="A1832"/>
      <c r="B1832"/>
      <c r="C1832" s="3"/>
      <c r="D1832"/>
      <c r="E1832"/>
      <c r="F1832"/>
      <c r="G1832" s="3"/>
      <c r="H1832" s="3"/>
      <c r="I1832" s="3"/>
      <c r="J1832" s="288"/>
      <c r="L1832" s="288"/>
      <c r="M1832" s="288"/>
      <c r="N1832" s="288"/>
      <c r="O1832" s="288"/>
      <c r="P1832" s="288"/>
      <c r="Q1832" s="288"/>
      <c r="R1832" s="283"/>
      <c r="S1832" s="280"/>
      <c r="T1832" s="276"/>
      <c r="U1832" s="276"/>
      <c r="V1832" s="276"/>
      <c r="W1832" s="283"/>
      <c r="X1832" s="280"/>
      <c r="Y1832" s="280"/>
      <c r="Z1832" s="280"/>
      <c r="AA1832" s="280"/>
      <c r="AB1832" s="280"/>
      <c r="AC1832" s="280"/>
      <c r="AD1832" s="280"/>
      <c r="AG1832" s="3"/>
      <c r="AH1832" s="3"/>
      <c r="AI1832" s="3"/>
      <c r="AJ1832" s="3"/>
      <c r="AK1832" s="3"/>
      <c r="AL1832" s="3"/>
      <c r="AM1832" s="3"/>
      <c r="AN1832" s="3"/>
      <c r="AO1832" s="3"/>
      <c r="AP1832" s="11"/>
      <c r="AQ1832" s="11"/>
      <c r="AR1832" s="3"/>
      <c r="AS1832" s="3"/>
      <c r="AT1832" s="3"/>
      <c r="AU1832" s="3"/>
      <c r="AV1832" s="3"/>
      <c r="AW1832" s="3"/>
      <c r="AX1832" s="11"/>
      <c r="AZ1832"/>
      <c r="BA1832"/>
      <c r="BB1832"/>
      <c r="BC1832"/>
    </row>
    <row r="1833" spans="1:55" s="282" customFormat="1" x14ac:dyDescent="0.25">
      <c r="A1833"/>
      <c r="B1833"/>
      <c r="C1833" s="3"/>
      <c r="D1833"/>
      <c r="E1833"/>
      <c r="F1833"/>
      <c r="G1833" s="3"/>
      <c r="H1833" s="3"/>
      <c r="I1833" s="3"/>
      <c r="J1833" s="288"/>
      <c r="L1833" s="288"/>
      <c r="M1833" s="288"/>
      <c r="N1833" s="288"/>
      <c r="O1833" s="288"/>
      <c r="P1833" s="288"/>
      <c r="Q1833" s="288"/>
      <c r="R1833" s="283"/>
      <c r="S1833" s="280"/>
      <c r="T1833" s="276"/>
      <c r="U1833" s="276"/>
      <c r="V1833" s="276"/>
      <c r="W1833" s="283"/>
      <c r="X1833" s="280"/>
      <c r="Y1833" s="280"/>
      <c r="Z1833" s="280"/>
      <c r="AA1833" s="280"/>
      <c r="AB1833" s="280"/>
      <c r="AC1833" s="280"/>
      <c r="AD1833" s="280"/>
      <c r="AG1833" s="3"/>
      <c r="AH1833" s="3"/>
      <c r="AI1833" s="3"/>
      <c r="AJ1833" s="3"/>
      <c r="AK1833" s="3"/>
      <c r="AL1833" s="3"/>
      <c r="AM1833" s="3"/>
      <c r="AN1833" s="3"/>
      <c r="AO1833" s="3"/>
      <c r="AP1833" s="11"/>
      <c r="AQ1833" s="11"/>
      <c r="AR1833" s="3"/>
      <c r="AS1833" s="3"/>
      <c r="AT1833" s="3"/>
      <c r="AU1833" s="3"/>
      <c r="AV1833" s="3"/>
      <c r="AW1833" s="3"/>
      <c r="AX1833" s="11"/>
      <c r="AZ1833"/>
      <c r="BA1833"/>
      <c r="BB1833"/>
      <c r="BC1833"/>
    </row>
    <row r="1834" spans="1:55" s="282" customFormat="1" x14ac:dyDescent="0.25">
      <c r="A1834"/>
      <c r="B1834"/>
      <c r="C1834" s="3"/>
      <c r="D1834"/>
      <c r="E1834"/>
      <c r="F1834"/>
      <c r="G1834" s="3"/>
      <c r="H1834" s="3"/>
      <c r="I1834" s="3"/>
      <c r="J1834" s="288"/>
      <c r="L1834" s="288"/>
      <c r="M1834" s="288"/>
      <c r="N1834" s="288"/>
      <c r="O1834" s="288"/>
      <c r="P1834" s="288"/>
      <c r="Q1834" s="288"/>
      <c r="R1834" s="283"/>
      <c r="S1834" s="280"/>
      <c r="T1834" s="276"/>
      <c r="U1834" s="276"/>
      <c r="V1834" s="276"/>
      <c r="W1834" s="283"/>
      <c r="X1834" s="280"/>
      <c r="Y1834" s="280"/>
      <c r="Z1834" s="280"/>
      <c r="AA1834" s="280"/>
      <c r="AB1834" s="280"/>
      <c r="AC1834" s="280"/>
      <c r="AD1834" s="280"/>
      <c r="AG1834" s="3"/>
      <c r="AH1834" s="3"/>
      <c r="AI1834" s="3"/>
      <c r="AJ1834" s="3"/>
      <c r="AK1834" s="3"/>
      <c r="AL1834" s="3"/>
      <c r="AM1834" s="3"/>
      <c r="AN1834" s="3"/>
      <c r="AO1834" s="3"/>
      <c r="AP1834" s="11"/>
      <c r="AQ1834" s="11"/>
      <c r="AR1834" s="3"/>
      <c r="AS1834" s="3"/>
      <c r="AT1834" s="3"/>
      <c r="AU1834" s="3"/>
      <c r="AV1834" s="3"/>
      <c r="AW1834" s="3"/>
      <c r="AX1834" s="11"/>
      <c r="AZ1834"/>
      <c r="BA1834"/>
      <c r="BB1834"/>
      <c r="BC1834"/>
    </row>
    <row r="1835" spans="1:55" s="282" customFormat="1" x14ac:dyDescent="0.25">
      <c r="A1835"/>
      <c r="B1835"/>
      <c r="C1835" s="3"/>
      <c r="D1835"/>
      <c r="E1835"/>
      <c r="F1835"/>
      <c r="G1835" s="3"/>
      <c r="H1835" s="3"/>
      <c r="I1835" s="3"/>
      <c r="J1835" s="288"/>
      <c r="L1835" s="288"/>
      <c r="M1835" s="288"/>
      <c r="N1835" s="288"/>
      <c r="O1835" s="288"/>
      <c r="P1835" s="288"/>
      <c r="Q1835" s="288"/>
      <c r="R1835" s="283"/>
      <c r="S1835" s="280"/>
      <c r="T1835" s="276"/>
      <c r="U1835" s="276"/>
      <c r="V1835" s="276"/>
      <c r="W1835" s="283"/>
      <c r="X1835" s="280"/>
      <c r="Y1835" s="280"/>
      <c r="Z1835" s="280"/>
      <c r="AA1835" s="280"/>
      <c r="AB1835" s="280"/>
      <c r="AC1835" s="280"/>
      <c r="AD1835" s="280"/>
      <c r="AG1835" s="3"/>
      <c r="AH1835" s="3"/>
      <c r="AI1835" s="3"/>
      <c r="AJ1835" s="3"/>
      <c r="AK1835" s="3"/>
      <c r="AL1835" s="3"/>
      <c r="AM1835" s="3"/>
      <c r="AN1835" s="3"/>
      <c r="AO1835" s="3"/>
      <c r="AP1835" s="11"/>
      <c r="AQ1835" s="11"/>
      <c r="AR1835" s="3"/>
      <c r="AS1835" s="3"/>
      <c r="AT1835" s="3"/>
      <c r="AU1835" s="3"/>
      <c r="AV1835" s="3"/>
      <c r="AW1835" s="3"/>
      <c r="AX1835" s="11"/>
      <c r="AZ1835"/>
      <c r="BA1835"/>
      <c r="BB1835"/>
      <c r="BC1835"/>
    </row>
    <row r="1836" spans="1:55" s="282" customFormat="1" x14ac:dyDescent="0.25">
      <c r="A1836"/>
      <c r="B1836"/>
      <c r="C1836" s="3"/>
      <c r="D1836"/>
      <c r="E1836"/>
      <c r="F1836"/>
      <c r="G1836" s="3"/>
      <c r="H1836" s="3"/>
      <c r="I1836" s="3"/>
      <c r="J1836" s="288"/>
      <c r="L1836" s="288"/>
      <c r="M1836" s="288"/>
      <c r="N1836" s="288"/>
      <c r="O1836" s="288"/>
      <c r="P1836" s="288"/>
      <c r="Q1836" s="288"/>
      <c r="R1836" s="283"/>
      <c r="S1836" s="280"/>
      <c r="T1836" s="276"/>
      <c r="U1836" s="276"/>
      <c r="V1836" s="276"/>
      <c r="W1836" s="283"/>
      <c r="X1836" s="280"/>
      <c r="Y1836" s="280"/>
      <c r="Z1836" s="280"/>
      <c r="AA1836" s="280"/>
      <c r="AB1836" s="280"/>
      <c r="AC1836" s="280"/>
      <c r="AD1836" s="280"/>
      <c r="AG1836" s="3"/>
      <c r="AH1836" s="3"/>
      <c r="AI1836" s="3"/>
      <c r="AJ1836" s="3"/>
      <c r="AK1836" s="3"/>
      <c r="AL1836" s="3"/>
      <c r="AM1836" s="3"/>
      <c r="AN1836" s="3"/>
      <c r="AO1836" s="3"/>
      <c r="AP1836" s="11"/>
      <c r="AQ1836" s="11"/>
      <c r="AR1836" s="3"/>
      <c r="AS1836" s="3"/>
      <c r="AT1836" s="3"/>
      <c r="AU1836" s="3"/>
      <c r="AV1836" s="3"/>
      <c r="AW1836" s="3"/>
      <c r="AX1836" s="11"/>
      <c r="AZ1836"/>
      <c r="BA1836"/>
      <c r="BB1836"/>
      <c r="BC1836"/>
    </row>
    <row r="1837" spans="1:55" s="282" customFormat="1" x14ac:dyDescent="0.25">
      <c r="A1837"/>
      <c r="B1837"/>
      <c r="C1837" s="3"/>
      <c r="D1837"/>
      <c r="E1837"/>
      <c r="F1837"/>
      <c r="G1837" s="3"/>
      <c r="H1837" s="3"/>
      <c r="I1837" s="3"/>
      <c r="J1837" s="288"/>
      <c r="L1837" s="288"/>
      <c r="M1837" s="288"/>
      <c r="N1837" s="288"/>
      <c r="O1837" s="288"/>
      <c r="P1837" s="288"/>
      <c r="Q1837" s="288"/>
      <c r="R1837" s="283"/>
      <c r="S1837" s="280"/>
      <c r="T1837" s="276"/>
      <c r="U1837" s="276"/>
      <c r="V1837" s="276"/>
      <c r="W1837" s="283"/>
      <c r="X1837" s="280"/>
      <c r="Y1837" s="280"/>
      <c r="Z1837" s="280"/>
      <c r="AA1837" s="280"/>
      <c r="AB1837" s="280"/>
      <c r="AC1837" s="280"/>
      <c r="AD1837" s="280"/>
      <c r="AG1837" s="3"/>
      <c r="AH1837" s="3"/>
      <c r="AI1837" s="3"/>
      <c r="AJ1837" s="3"/>
      <c r="AK1837" s="3"/>
      <c r="AL1837" s="3"/>
      <c r="AM1837" s="3"/>
      <c r="AN1837" s="3"/>
      <c r="AO1837" s="3"/>
      <c r="AP1837" s="11"/>
      <c r="AQ1837" s="11"/>
      <c r="AR1837" s="3"/>
      <c r="AS1837" s="3"/>
      <c r="AT1837" s="3"/>
      <c r="AU1837" s="3"/>
      <c r="AV1837" s="3"/>
      <c r="AW1837" s="3"/>
      <c r="AX1837" s="11"/>
      <c r="AZ1837"/>
      <c r="BA1837"/>
      <c r="BB1837"/>
      <c r="BC1837"/>
    </row>
    <row r="1838" spans="1:55" s="282" customFormat="1" x14ac:dyDescent="0.25">
      <c r="A1838"/>
      <c r="B1838"/>
      <c r="C1838" s="3"/>
      <c r="D1838"/>
      <c r="E1838"/>
      <c r="F1838"/>
      <c r="G1838" s="3"/>
      <c r="H1838" s="3"/>
      <c r="I1838" s="3"/>
      <c r="J1838" s="288"/>
      <c r="L1838" s="288"/>
      <c r="M1838" s="288"/>
      <c r="N1838" s="288"/>
      <c r="O1838" s="288"/>
      <c r="P1838" s="288"/>
      <c r="Q1838" s="288"/>
      <c r="R1838" s="283"/>
      <c r="S1838" s="280"/>
      <c r="T1838" s="276"/>
      <c r="U1838" s="276"/>
      <c r="V1838" s="276"/>
      <c r="W1838" s="283"/>
      <c r="X1838" s="280"/>
      <c r="Y1838" s="280"/>
      <c r="Z1838" s="280"/>
      <c r="AA1838" s="280"/>
      <c r="AB1838" s="280"/>
      <c r="AC1838" s="280"/>
      <c r="AD1838" s="280"/>
      <c r="AG1838" s="3"/>
      <c r="AH1838" s="3"/>
      <c r="AI1838" s="3"/>
      <c r="AJ1838" s="3"/>
      <c r="AK1838" s="3"/>
      <c r="AL1838" s="3"/>
      <c r="AM1838" s="3"/>
      <c r="AN1838" s="3"/>
      <c r="AO1838" s="3"/>
      <c r="AP1838" s="11"/>
      <c r="AQ1838" s="11"/>
      <c r="AR1838" s="3"/>
      <c r="AS1838" s="3"/>
      <c r="AT1838" s="3"/>
      <c r="AU1838" s="3"/>
      <c r="AV1838" s="3"/>
      <c r="AW1838" s="3"/>
      <c r="AX1838" s="11"/>
      <c r="AZ1838"/>
      <c r="BA1838"/>
      <c r="BB1838"/>
      <c r="BC1838"/>
    </row>
    <row r="1839" spans="1:55" s="282" customFormat="1" x14ac:dyDescent="0.25">
      <c r="A1839"/>
      <c r="B1839"/>
      <c r="C1839" s="3"/>
      <c r="D1839"/>
      <c r="E1839"/>
      <c r="F1839"/>
      <c r="G1839" s="3"/>
      <c r="H1839" s="3"/>
      <c r="I1839" s="3"/>
      <c r="J1839" s="288"/>
      <c r="L1839" s="288"/>
      <c r="M1839" s="288"/>
      <c r="N1839" s="288"/>
      <c r="O1839" s="288"/>
      <c r="P1839" s="288"/>
      <c r="Q1839" s="288"/>
      <c r="R1839" s="283"/>
      <c r="S1839" s="280"/>
      <c r="T1839" s="276"/>
      <c r="U1839" s="276"/>
      <c r="V1839" s="276"/>
      <c r="W1839" s="283"/>
      <c r="X1839" s="280"/>
      <c r="Y1839" s="280"/>
      <c r="Z1839" s="280"/>
      <c r="AA1839" s="280"/>
      <c r="AB1839" s="280"/>
      <c r="AC1839" s="280"/>
      <c r="AD1839" s="280"/>
      <c r="AG1839" s="3"/>
      <c r="AH1839" s="3"/>
      <c r="AI1839" s="3"/>
      <c r="AJ1839" s="3"/>
      <c r="AK1839" s="3"/>
      <c r="AL1839" s="3"/>
      <c r="AM1839" s="3"/>
      <c r="AN1839" s="3"/>
      <c r="AO1839" s="3"/>
      <c r="AP1839" s="11"/>
      <c r="AQ1839" s="11"/>
      <c r="AR1839" s="3"/>
      <c r="AS1839" s="3"/>
      <c r="AT1839" s="3"/>
      <c r="AU1839" s="3"/>
      <c r="AV1839" s="3"/>
      <c r="AW1839" s="3"/>
      <c r="AX1839" s="11"/>
      <c r="AZ1839"/>
      <c r="BA1839"/>
      <c r="BB1839"/>
      <c r="BC1839"/>
    </row>
    <row r="1840" spans="1:55" s="282" customFormat="1" x14ac:dyDescent="0.25">
      <c r="A1840"/>
      <c r="B1840"/>
      <c r="C1840" s="3"/>
      <c r="D1840"/>
      <c r="E1840"/>
      <c r="F1840"/>
      <c r="G1840" s="3"/>
      <c r="H1840" s="3"/>
      <c r="I1840" s="3"/>
      <c r="J1840" s="288"/>
      <c r="L1840" s="288"/>
      <c r="M1840" s="288"/>
      <c r="N1840" s="288"/>
      <c r="O1840" s="288"/>
      <c r="P1840" s="288"/>
      <c r="Q1840" s="288"/>
      <c r="R1840" s="283"/>
      <c r="S1840" s="280"/>
      <c r="T1840" s="276"/>
      <c r="U1840" s="276"/>
      <c r="V1840" s="276"/>
      <c r="W1840" s="283"/>
      <c r="X1840" s="280"/>
      <c r="Y1840" s="280"/>
      <c r="Z1840" s="280"/>
      <c r="AA1840" s="280"/>
      <c r="AB1840" s="280"/>
      <c r="AC1840" s="280"/>
      <c r="AD1840" s="280"/>
      <c r="AG1840" s="3"/>
      <c r="AH1840" s="3"/>
      <c r="AI1840" s="3"/>
      <c r="AJ1840" s="3"/>
      <c r="AK1840" s="3"/>
      <c r="AL1840" s="3"/>
      <c r="AM1840" s="3"/>
      <c r="AN1840" s="3"/>
      <c r="AO1840" s="3"/>
      <c r="AP1840" s="11"/>
      <c r="AQ1840" s="11"/>
      <c r="AR1840" s="3"/>
      <c r="AS1840" s="3"/>
      <c r="AT1840" s="3"/>
      <c r="AU1840" s="3"/>
      <c r="AV1840" s="3"/>
      <c r="AW1840" s="3"/>
      <c r="AX1840" s="11"/>
      <c r="AZ1840"/>
      <c r="BA1840"/>
      <c r="BB1840"/>
      <c r="BC1840"/>
    </row>
    <row r="1841" spans="1:55" s="282" customFormat="1" x14ac:dyDescent="0.25">
      <c r="A1841"/>
      <c r="B1841"/>
      <c r="C1841" s="3"/>
      <c r="D1841"/>
      <c r="E1841"/>
      <c r="F1841"/>
      <c r="G1841" s="3"/>
      <c r="H1841" s="3"/>
      <c r="I1841" s="3"/>
      <c r="J1841" s="288"/>
      <c r="L1841" s="288"/>
      <c r="M1841" s="288"/>
      <c r="N1841" s="288"/>
      <c r="O1841" s="288"/>
      <c r="P1841" s="288"/>
      <c r="Q1841" s="288"/>
      <c r="R1841" s="283"/>
      <c r="S1841" s="280"/>
      <c r="T1841" s="276"/>
      <c r="U1841" s="276"/>
      <c r="V1841" s="276"/>
      <c r="W1841" s="283"/>
      <c r="X1841" s="280"/>
      <c r="Y1841" s="280"/>
      <c r="Z1841" s="280"/>
      <c r="AA1841" s="280"/>
      <c r="AB1841" s="280"/>
      <c r="AC1841" s="280"/>
      <c r="AD1841" s="280"/>
      <c r="AG1841" s="3"/>
      <c r="AH1841" s="3"/>
      <c r="AI1841" s="3"/>
      <c r="AJ1841" s="3"/>
      <c r="AK1841" s="3"/>
      <c r="AL1841" s="3"/>
      <c r="AM1841" s="3"/>
      <c r="AN1841" s="3"/>
      <c r="AO1841" s="3"/>
      <c r="AP1841" s="11"/>
      <c r="AQ1841" s="11"/>
      <c r="AR1841" s="3"/>
      <c r="AS1841" s="3"/>
      <c r="AT1841" s="3"/>
      <c r="AU1841" s="3"/>
      <c r="AV1841" s="3"/>
      <c r="AW1841" s="3"/>
      <c r="AX1841" s="11"/>
      <c r="AZ1841"/>
      <c r="BA1841"/>
      <c r="BB1841"/>
      <c r="BC1841"/>
    </row>
    <row r="1842" spans="1:55" s="282" customFormat="1" x14ac:dyDescent="0.25">
      <c r="A1842"/>
      <c r="B1842"/>
      <c r="C1842" s="3"/>
      <c r="D1842"/>
      <c r="E1842"/>
      <c r="F1842"/>
      <c r="G1842" s="3"/>
      <c r="H1842" s="3"/>
      <c r="I1842" s="3"/>
      <c r="J1842" s="288"/>
      <c r="L1842" s="288"/>
      <c r="M1842" s="288"/>
      <c r="N1842" s="288"/>
      <c r="O1842" s="288"/>
      <c r="P1842" s="288"/>
      <c r="Q1842" s="288"/>
      <c r="R1842" s="283"/>
      <c r="S1842" s="280"/>
      <c r="T1842" s="276"/>
      <c r="U1842" s="276"/>
      <c r="V1842" s="276"/>
      <c r="W1842" s="283"/>
      <c r="X1842" s="280"/>
      <c r="Y1842" s="280"/>
      <c r="Z1842" s="280"/>
      <c r="AA1842" s="280"/>
      <c r="AB1842" s="280"/>
      <c r="AC1842" s="280"/>
      <c r="AD1842" s="280"/>
      <c r="AG1842" s="3"/>
      <c r="AH1842" s="3"/>
      <c r="AI1842" s="3"/>
      <c r="AJ1842" s="3"/>
      <c r="AK1842" s="3"/>
      <c r="AL1842" s="3"/>
      <c r="AM1842" s="3"/>
      <c r="AN1842" s="3"/>
      <c r="AO1842" s="3"/>
      <c r="AP1842" s="11"/>
      <c r="AQ1842" s="11"/>
      <c r="AR1842" s="3"/>
      <c r="AS1842" s="3"/>
      <c r="AT1842" s="3"/>
      <c r="AU1842" s="3"/>
      <c r="AV1842" s="3"/>
      <c r="AW1842" s="3"/>
      <c r="AX1842" s="11"/>
      <c r="AZ1842"/>
      <c r="BA1842"/>
      <c r="BB1842"/>
      <c r="BC1842"/>
    </row>
    <row r="1843" spans="1:55" s="282" customFormat="1" x14ac:dyDescent="0.25">
      <c r="A1843"/>
      <c r="B1843"/>
      <c r="C1843" s="3"/>
      <c r="D1843"/>
      <c r="E1843"/>
      <c r="F1843"/>
      <c r="G1843" s="3"/>
      <c r="H1843" s="3"/>
      <c r="I1843" s="3"/>
      <c r="J1843" s="288"/>
      <c r="L1843" s="288"/>
      <c r="M1843" s="288"/>
      <c r="N1843" s="288"/>
      <c r="O1843" s="288"/>
      <c r="P1843" s="288"/>
      <c r="Q1843" s="288"/>
      <c r="R1843" s="283"/>
      <c r="S1843" s="280"/>
      <c r="T1843" s="276"/>
      <c r="U1843" s="276"/>
      <c r="V1843" s="276"/>
      <c r="W1843" s="283"/>
      <c r="X1843" s="280"/>
      <c r="Y1843" s="280"/>
      <c r="Z1843" s="280"/>
      <c r="AA1843" s="280"/>
      <c r="AB1843" s="280"/>
      <c r="AC1843" s="280"/>
      <c r="AD1843" s="280"/>
      <c r="AG1843" s="3"/>
      <c r="AH1843" s="3"/>
      <c r="AI1843" s="3"/>
      <c r="AJ1843" s="3"/>
      <c r="AK1843" s="3"/>
      <c r="AL1843" s="3"/>
      <c r="AM1843" s="3"/>
      <c r="AN1843" s="3"/>
      <c r="AO1843" s="3"/>
      <c r="AP1843" s="11"/>
      <c r="AQ1843" s="11"/>
      <c r="AR1843" s="3"/>
      <c r="AS1843" s="3"/>
      <c r="AT1843" s="3"/>
      <c r="AU1843" s="3"/>
      <c r="AV1843" s="3"/>
      <c r="AW1843" s="3"/>
      <c r="AX1843" s="11"/>
      <c r="AZ1843"/>
      <c r="BA1843"/>
      <c r="BB1843"/>
      <c r="BC1843"/>
    </row>
    <row r="1844" spans="1:55" s="282" customFormat="1" x14ac:dyDescent="0.25">
      <c r="A1844"/>
      <c r="B1844"/>
      <c r="C1844" s="3"/>
      <c r="D1844"/>
      <c r="E1844"/>
      <c r="F1844"/>
      <c r="G1844" s="3"/>
      <c r="H1844" s="3"/>
      <c r="I1844" s="3"/>
      <c r="J1844" s="288"/>
      <c r="L1844" s="288"/>
      <c r="M1844" s="288"/>
      <c r="N1844" s="288"/>
      <c r="O1844" s="288"/>
      <c r="P1844" s="288"/>
      <c r="Q1844" s="288"/>
      <c r="R1844" s="283"/>
      <c r="S1844" s="280"/>
      <c r="T1844" s="276"/>
      <c r="U1844" s="276"/>
      <c r="V1844" s="276"/>
      <c r="W1844" s="283"/>
      <c r="X1844" s="280"/>
      <c r="Y1844" s="280"/>
      <c r="Z1844" s="280"/>
      <c r="AA1844" s="280"/>
      <c r="AB1844" s="280"/>
      <c r="AC1844" s="280"/>
      <c r="AD1844" s="280"/>
      <c r="AG1844" s="3"/>
      <c r="AH1844" s="3"/>
      <c r="AI1844" s="3"/>
      <c r="AJ1844" s="3"/>
      <c r="AK1844" s="3"/>
      <c r="AL1844" s="3"/>
      <c r="AM1844" s="3"/>
      <c r="AN1844" s="3"/>
      <c r="AO1844" s="3"/>
      <c r="AP1844" s="11"/>
      <c r="AQ1844" s="11"/>
      <c r="AR1844" s="3"/>
      <c r="AS1844" s="3"/>
      <c r="AT1844" s="3"/>
      <c r="AU1844" s="3"/>
      <c r="AV1844" s="3"/>
      <c r="AW1844" s="3"/>
      <c r="AX1844" s="11"/>
      <c r="AZ1844"/>
      <c r="BA1844"/>
      <c r="BB1844"/>
      <c r="BC1844"/>
    </row>
    <row r="1845" spans="1:55" s="282" customFormat="1" x14ac:dyDescent="0.25">
      <c r="A1845"/>
      <c r="B1845"/>
      <c r="C1845" s="3"/>
      <c r="D1845"/>
      <c r="E1845"/>
      <c r="F1845"/>
      <c r="G1845" s="3"/>
      <c r="H1845" s="3"/>
      <c r="I1845" s="3"/>
      <c r="J1845" s="288"/>
      <c r="L1845" s="288"/>
      <c r="M1845" s="288"/>
      <c r="N1845" s="288"/>
      <c r="O1845" s="288"/>
      <c r="P1845" s="288"/>
      <c r="Q1845" s="288"/>
      <c r="R1845" s="283"/>
      <c r="S1845" s="280"/>
      <c r="T1845" s="276"/>
      <c r="U1845" s="276"/>
      <c r="V1845" s="276"/>
      <c r="W1845" s="283"/>
      <c r="X1845" s="280"/>
      <c r="Y1845" s="280"/>
      <c r="Z1845" s="280"/>
      <c r="AA1845" s="280"/>
      <c r="AB1845" s="280"/>
      <c r="AC1845" s="280"/>
      <c r="AD1845" s="280"/>
      <c r="AG1845" s="3"/>
      <c r="AH1845" s="3"/>
      <c r="AI1845" s="3"/>
      <c r="AJ1845" s="3"/>
      <c r="AK1845" s="3"/>
      <c r="AL1845" s="3"/>
      <c r="AM1845" s="3"/>
      <c r="AN1845" s="3"/>
      <c r="AO1845" s="3"/>
      <c r="AP1845" s="11"/>
      <c r="AQ1845" s="11"/>
      <c r="AR1845" s="3"/>
      <c r="AS1845" s="3"/>
      <c r="AT1845" s="3"/>
      <c r="AU1845" s="3"/>
      <c r="AV1845" s="3"/>
      <c r="AW1845" s="3"/>
      <c r="AX1845" s="11"/>
      <c r="AZ1845"/>
      <c r="BA1845"/>
      <c r="BB1845"/>
      <c r="BC1845"/>
    </row>
    <row r="1846" spans="1:55" s="282" customFormat="1" x14ac:dyDescent="0.25">
      <c r="A1846"/>
      <c r="B1846"/>
      <c r="C1846" s="3"/>
      <c r="D1846"/>
      <c r="E1846"/>
      <c r="F1846"/>
      <c r="G1846" s="3"/>
      <c r="H1846" s="3"/>
      <c r="I1846" s="3"/>
      <c r="J1846" s="288"/>
      <c r="L1846" s="288"/>
      <c r="M1846" s="288"/>
      <c r="N1846" s="288"/>
      <c r="O1846" s="288"/>
      <c r="P1846" s="288"/>
      <c r="Q1846" s="288"/>
      <c r="R1846" s="283"/>
      <c r="S1846" s="280"/>
      <c r="T1846" s="276"/>
      <c r="U1846" s="276"/>
      <c r="V1846" s="276"/>
      <c r="W1846" s="283"/>
      <c r="X1846" s="280"/>
      <c r="Y1846" s="280"/>
      <c r="Z1846" s="280"/>
      <c r="AA1846" s="280"/>
      <c r="AB1846" s="280"/>
      <c r="AC1846" s="280"/>
      <c r="AD1846" s="280"/>
      <c r="AG1846" s="3"/>
      <c r="AH1846" s="3"/>
      <c r="AI1846" s="3"/>
      <c r="AJ1846" s="3"/>
      <c r="AK1846" s="3"/>
      <c r="AL1846" s="3"/>
      <c r="AM1846" s="3"/>
      <c r="AN1846" s="3"/>
      <c r="AO1846" s="3"/>
      <c r="AP1846" s="11"/>
      <c r="AQ1846" s="11"/>
      <c r="AR1846" s="3"/>
      <c r="AS1846" s="3"/>
      <c r="AT1846" s="3"/>
      <c r="AU1846" s="3"/>
      <c r="AV1846" s="3"/>
      <c r="AW1846" s="3"/>
      <c r="AX1846" s="11"/>
      <c r="AZ1846"/>
      <c r="BA1846"/>
      <c r="BB1846"/>
      <c r="BC1846"/>
    </row>
    <row r="1847" spans="1:55" s="282" customFormat="1" x14ac:dyDescent="0.25">
      <c r="A1847"/>
      <c r="B1847"/>
      <c r="C1847" s="3"/>
      <c r="D1847"/>
      <c r="E1847"/>
      <c r="F1847"/>
      <c r="G1847" s="3"/>
      <c r="H1847" s="3"/>
      <c r="I1847" s="3"/>
      <c r="J1847" s="288"/>
      <c r="L1847" s="288"/>
      <c r="M1847" s="288"/>
      <c r="N1847" s="288"/>
      <c r="O1847" s="288"/>
      <c r="P1847" s="288"/>
      <c r="Q1847" s="288"/>
      <c r="R1847" s="283"/>
      <c r="S1847" s="280"/>
      <c r="T1847" s="276"/>
      <c r="U1847" s="276"/>
      <c r="V1847" s="276"/>
      <c r="W1847" s="283"/>
      <c r="X1847" s="280"/>
      <c r="Y1847" s="280"/>
      <c r="Z1847" s="280"/>
      <c r="AA1847" s="280"/>
      <c r="AB1847" s="280"/>
      <c r="AC1847" s="280"/>
      <c r="AD1847" s="280"/>
      <c r="AG1847" s="3"/>
      <c r="AH1847" s="3"/>
      <c r="AI1847" s="3"/>
      <c r="AJ1847" s="3"/>
      <c r="AK1847" s="3"/>
      <c r="AL1847" s="3"/>
      <c r="AM1847" s="3"/>
      <c r="AN1847" s="3"/>
      <c r="AO1847" s="3"/>
      <c r="AP1847" s="11"/>
      <c r="AQ1847" s="11"/>
      <c r="AR1847" s="3"/>
      <c r="AS1847" s="3"/>
      <c r="AT1847" s="3"/>
      <c r="AU1847" s="3"/>
      <c r="AV1847" s="3"/>
      <c r="AW1847" s="3"/>
      <c r="AX1847" s="11"/>
      <c r="AZ1847"/>
      <c r="BA1847"/>
      <c r="BB1847"/>
      <c r="BC1847"/>
    </row>
    <row r="1848" spans="1:55" s="282" customFormat="1" x14ac:dyDescent="0.25">
      <c r="A1848"/>
      <c r="B1848"/>
      <c r="C1848" s="3"/>
      <c r="D1848"/>
      <c r="E1848"/>
      <c r="F1848"/>
      <c r="G1848" s="3"/>
      <c r="H1848" s="3"/>
      <c r="I1848" s="3"/>
      <c r="J1848" s="288"/>
      <c r="L1848" s="288"/>
      <c r="M1848" s="288"/>
      <c r="N1848" s="288"/>
      <c r="O1848" s="288"/>
      <c r="P1848" s="288"/>
      <c r="Q1848" s="288"/>
      <c r="R1848" s="283"/>
      <c r="S1848" s="280"/>
      <c r="T1848" s="276"/>
      <c r="U1848" s="276"/>
      <c r="V1848" s="276"/>
      <c r="W1848" s="283"/>
      <c r="X1848" s="280"/>
      <c r="Y1848" s="280"/>
      <c r="Z1848" s="280"/>
      <c r="AA1848" s="280"/>
      <c r="AB1848" s="280"/>
      <c r="AC1848" s="280"/>
      <c r="AD1848" s="280"/>
      <c r="AG1848" s="3"/>
      <c r="AH1848" s="3"/>
      <c r="AI1848" s="3"/>
      <c r="AJ1848" s="3"/>
      <c r="AK1848" s="3"/>
      <c r="AL1848" s="3"/>
      <c r="AM1848" s="3"/>
      <c r="AN1848" s="3"/>
      <c r="AO1848" s="3"/>
      <c r="AP1848" s="11"/>
      <c r="AQ1848" s="11"/>
      <c r="AR1848" s="3"/>
      <c r="AS1848" s="3"/>
      <c r="AT1848" s="3"/>
      <c r="AU1848" s="3"/>
      <c r="AV1848" s="3"/>
      <c r="AW1848" s="3"/>
      <c r="AX1848" s="11"/>
      <c r="AZ1848"/>
      <c r="BA1848"/>
      <c r="BB1848"/>
      <c r="BC1848"/>
    </row>
    <row r="1849" spans="1:55" s="282" customFormat="1" x14ac:dyDescent="0.25">
      <c r="A1849"/>
      <c r="B1849"/>
      <c r="C1849" s="3"/>
      <c r="D1849"/>
      <c r="E1849"/>
      <c r="F1849"/>
      <c r="G1849" s="3"/>
      <c r="H1849" s="3"/>
      <c r="I1849" s="3"/>
      <c r="J1849" s="288"/>
      <c r="L1849" s="288"/>
      <c r="M1849" s="288"/>
      <c r="N1849" s="288"/>
      <c r="O1849" s="288"/>
      <c r="P1849" s="288"/>
      <c r="Q1849" s="288"/>
      <c r="R1849" s="283"/>
      <c r="S1849" s="280"/>
      <c r="T1849" s="276"/>
      <c r="U1849" s="276"/>
      <c r="V1849" s="276"/>
      <c r="W1849" s="283"/>
      <c r="X1849" s="280"/>
      <c r="Y1849" s="280"/>
      <c r="Z1849" s="280"/>
      <c r="AA1849" s="280"/>
      <c r="AB1849" s="280"/>
      <c r="AC1849" s="280"/>
      <c r="AD1849" s="280"/>
      <c r="AG1849" s="3"/>
      <c r="AH1849" s="3"/>
      <c r="AI1849" s="3"/>
      <c r="AJ1849" s="3"/>
      <c r="AK1849" s="3"/>
      <c r="AL1849" s="3"/>
      <c r="AM1849" s="3"/>
      <c r="AN1849" s="3"/>
      <c r="AO1849" s="3"/>
      <c r="AP1849" s="11"/>
      <c r="AQ1849" s="11"/>
      <c r="AR1849" s="3"/>
      <c r="AS1849" s="3"/>
      <c r="AT1849" s="3"/>
      <c r="AU1849" s="3"/>
      <c r="AV1849" s="3"/>
      <c r="AW1849" s="3"/>
      <c r="AX1849" s="11"/>
      <c r="AZ1849"/>
      <c r="BA1849"/>
      <c r="BB1849"/>
      <c r="BC1849"/>
    </row>
    <row r="1850" spans="1:55" s="282" customFormat="1" x14ac:dyDescent="0.25">
      <c r="A1850"/>
      <c r="B1850"/>
      <c r="C1850" s="3"/>
      <c r="D1850"/>
      <c r="E1850"/>
      <c r="F1850"/>
      <c r="G1850" s="3"/>
      <c r="H1850" s="3"/>
      <c r="I1850" s="3"/>
      <c r="J1850" s="288"/>
      <c r="L1850" s="288"/>
      <c r="M1850" s="288"/>
      <c r="N1850" s="288"/>
      <c r="O1850" s="288"/>
      <c r="P1850" s="288"/>
      <c r="Q1850" s="288"/>
      <c r="R1850" s="283"/>
      <c r="S1850" s="280"/>
      <c r="T1850" s="276"/>
      <c r="U1850" s="276"/>
      <c r="V1850" s="276"/>
      <c r="W1850" s="283"/>
      <c r="X1850" s="280"/>
      <c r="Y1850" s="280"/>
      <c r="Z1850" s="280"/>
      <c r="AA1850" s="280"/>
      <c r="AB1850" s="280"/>
      <c r="AC1850" s="280"/>
      <c r="AD1850" s="280"/>
      <c r="AG1850" s="3"/>
      <c r="AH1850" s="3"/>
      <c r="AI1850" s="3"/>
      <c r="AJ1850" s="3"/>
      <c r="AK1850" s="3"/>
      <c r="AL1850" s="3"/>
      <c r="AM1850" s="3"/>
      <c r="AN1850" s="3"/>
      <c r="AO1850" s="3"/>
      <c r="AP1850" s="11"/>
      <c r="AQ1850" s="11"/>
      <c r="AR1850" s="3"/>
      <c r="AS1850" s="3"/>
      <c r="AT1850" s="3"/>
      <c r="AU1850" s="3"/>
      <c r="AV1850" s="3"/>
      <c r="AW1850" s="3"/>
      <c r="AX1850" s="11"/>
      <c r="AZ1850"/>
      <c r="BA1850"/>
      <c r="BB1850"/>
      <c r="BC1850"/>
    </row>
    <row r="1851" spans="1:55" s="282" customFormat="1" x14ac:dyDescent="0.25">
      <c r="A1851"/>
      <c r="B1851"/>
      <c r="C1851" s="3"/>
      <c r="D1851"/>
      <c r="E1851"/>
      <c r="F1851"/>
      <c r="G1851" s="3"/>
      <c r="H1851" s="3"/>
      <c r="I1851" s="3"/>
      <c r="J1851" s="288"/>
      <c r="L1851" s="288"/>
      <c r="M1851" s="288"/>
      <c r="N1851" s="288"/>
      <c r="O1851" s="288"/>
      <c r="P1851" s="288"/>
      <c r="Q1851" s="288"/>
      <c r="R1851" s="283"/>
      <c r="S1851" s="280"/>
      <c r="T1851" s="276"/>
      <c r="U1851" s="276"/>
      <c r="V1851" s="276"/>
      <c r="W1851" s="283"/>
      <c r="X1851" s="280"/>
      <c r="Y1851" s="280"/>
      <c r="Z1851" s="280"/>
      <c r="AA1851" s="280"/>
      <c r="AB1851" s="280"/>
      <c r="AC1851" s="280"/>
      <c r="AD1851" s="280"/>
      <c r="AG1851" s="3"/>
      <c r="AH1851" s="3"/>
      <c r="AI1851" s="3"/>
      <c r="AJ1851" s="3"/>
      <c r="AK1851" s="3"/>
      <c r="AL1851" s="3"/>
      <c r="AM1851" s="3"/>
      <c r="AN1851" s="3"/>
      <c r="AO1851" s="3"/>
      <c r="AP1851" s="11"/>
      <c r="AQ1851" s="11"/>
      <c r="AR1851" s="3"/>
      <c r="AS1851" s="3"/>
      <c r="AT1851" s="3"/>
      <c r="AU1851" s="3"/>
      <c r="AV1851" s="3"/>
      <c r="AW1851" s="3"/>
      <c r="AX1851" s="11"/>
      <c r="AZ1851"/>
      <c r="BA1851"/>
      <c r="BB1851"/>
      <c r="BC1851"/>
    </row>
    <row r="1852" spans="1:55" s="282" customFormat="1" x14ac:dyDescent="0.25">
      <c r="A1852"/>
      <c r="B1852"/>
      <c r="C1852" s="3"/>
      <c r="D1852"/>
      <c r="E1852"/>
      <c r="F1852"/>
      <c r="G1852" s="3"/>
      <c r="H1852" s="3"/>
      <c r="I1852" s="3"/>
      <c r="J1852" s="288"/>
      <c r="L1852" s="288"/>
      <c r="M1852" s="288"/>
      <c r="N1852" s="288"/>
      <c r="O1852" s="288"/>
      <c r="P1852" s="288"/>
      <c r="Q1852" s="288"/>
      <c r="R1852" s="283"/>
      <c r="S1852" s="280"/>
      <c r="T1852" s="276"/>
      <c r="U1852" s="276"/>
      <c r="V1852" s="276"/>
      <c r="W1852" s="283"/>
      <c r="X1852" s="280"/>
      <c r="Y1852" s="280"/>
      <c r="Z1852" s="280"/>
      <c r="AA1852" s="280"/>
      <c r="AB1852" s="280"/>
      <c r="AC1852" s="280"/>
      <c r="AD1852" s="280"/>
      <c r="AG1852" s="3"/>
      <c r="AH1852" s="3"/>
      <c r="AI1852" s="3"/>
      <c r="AJ1852" s="3"/>
      <c r="AK1852" s="3"/>
      <c r="AL1852" s="3"/>
      <c r="AM1852" s="3"/>
      <c r="AN1852" s="3"/>
      <c r="AO1852" s="3"/>
      <c r="AP1852" s="11"/>
      <c r="AQ1852" s="11"/>
      <c r="AR1852" s="3"/>
      <c r="AS1852" s="3"/>
      <c r="AT1852" s="3"/>
      <c r="AU1852" s="3"/>
      <c r="AV1852" s="3"/>
      <c r="AW1852" s="3"/>
      <c r="AX1852" s="11"/>
      <c r="AZ1852"/>
      <c r="BA1852"/>
      <c r="BB1852"/>
      <c r="BC1852"/>
    </row>
    <row r="1853" spans="1:55" s="282" customFormat="1" x14ac:dyDescent="0.25">
      <c r="A1853"/>
      <c r="B1853"/>
      <c r="C1853" s="3"/>
      <c r="D1853"/>
      <c r="E1853"/>
      <c r="F1853"/>
      <c r="G1853" s="3"/>
      <c r="H1853" s="3"/>
      <c r="I1853" s="3"/>
      <c r="J1853" s="288"/>
      <c r="L1853" s="288"/>
      <c r="M1853" s="288"/>
      <c r="N1853" s="288"/>
      <c r="O1853" s="288"/>
      <c r="P1853" s="288"/>
      <c r="Q1853" s="288"/>
      <c r="R1853" s="283"/>
      <c r="S1853" s="280"/>
      <c r="T1853" s="276"/>
      <c r="U1853" s="276"/>
      <c r="V1853" s="276"/>
      <c r="W1853" s="283"/>
      <c r="X1853" s="280"/>
      <c r="Y1853" s="280"/>
      <c r="Z1853" s="280"/>
      <c r="AA1853" s="280"/>
      <c r="AB1853" s="280"/>
      <c r="AC1853" s="280"/>
      <c r="AD1853" s="280"/>
      <c r="AG1853" s="3"/>
      <c r="AH1853" s="3"/>
      <c r="AI1853" s="3"/>
      <c r="AJ1853" s="3"/>
      <c r="AK1853" s="3"/>
      <c r="AL1853" s="3"/>
      <c r="AM1853" s="3"/>
      <c r="AN1853" s="3"/>
      <c r="AO1853" s="3"/>
      <c r="AP1853" s="11"/>
      <c r="AQ1853" s="11"/>
      <c r="AR1853" s="3"/>
      <c r="AS1853" s="3"/>
      <c r="AT1853" s="3"/>
      <c r="AU1853" s="3"/>
      <c r="AV1853" s="3"/>
      <c r="AW1853" s="3"/>
      <c r="AX1853" s="11"/>
      <c r="AZ1853"/>
      <c r="BA1853"/>
      <c r="BB1853"/>
      <c r="BC1853"/>
    </row>
    <row r="1854" spans="1:55" s="282" customFormat="1" x14ac:dyDescent="0.25">
      <c r="A1854"/>
      <c r="B1854"/>
      <c r="C1854" s="3"/>
      <c r="D1854"/>
      <c r="E1854"/>
      <c r="F1854"/>
      <c r="G1854" s="3"/>
      <c r="H1854" s="3"/>
      <c r="I1854" s="3"/>
      <c r="J1854" s="288"/>
      <c r="L1854" s="288"/>
      <c r="M1854" s="288"/>
      <c r="N1854" s="288"/>
      <c r="O1854" s="288"/>
      <c r="P1854" s="288"/>
      <c r="Q1854" s="288"/>
      <c r="R1854" s="283"/>
      <c r="S1854" s="280"/>
      <c r="T1854" s="276"/>
      <c r="U1854" s="276"/>
      <c r="V1854" s="276"/>
      <c r="W1854" s="283"/>
      <c r="X1854" s="280"/>
      <c r="Y1854" s="280"/>
      <c r="Z1854" s="280"/>
      <c r="AA1854" s="280"/>
      <c r="AB1854" s="280"/>
      <c r="AC1854" s="280"/>
      <c r="AD1854" s="280"/>
      <c r="AG1854" s="3"/>
      <c r="AH1854" s="3"/>
      <c r="AI1854" s="3"/>
      <c r="AJ1854" s="3"/>
      <c r="AK1854" s="3"/>
      <c r="AL1854" s="3"/>
      <c r="AM1854" s="3"/>
      <c r="AN1854" s="3"/>
      <c r="AO1854" s="3"/>
      <c r="AP1854" s="11"/>
      <c r="AQ1854" s="11"/>
      <c r="AR1854" s="3"/>
      <c r="AS1854" s="3"/>
      <c r="AT1854" s="3"/>
      <c r="AU1854" s="3"/>
      <c r="AV1854" s="3"/>
      <c r="AW1854" s="3"/>
      <c r="AX1854" s="11"/>
      <c r="AZ1854"/>
      <c r="BA1854"/>
      <c r="BB1854"/>
      <c r="BC1854"/>
    </row>
    <row r="1855" spans="1:55" s="282" customFormat="1" x14ac:dyDescent="0.25">
      <c r="A1855"/>
      <c r="B1855"/>
      <c r="C1855" s="3"/>
      <c r="D1855"/>
      <c r="E1855"/>
      <c r="F1855"/>
      <c r="G1855" s="3"/>
      <c r="H1855" s="3"/>
      <c r="I1855" s="3"/>
      <c r="J1855" s="288"/>
      <c r="L1855" s="288"/>
      <c r="M1855" s="288"/>
      <c r="N1855" s="288"/>
      <c r="O1855" s="288"/>
      <c r="P1855" s="288"/>
      <c r="Q1855" s="288"/>
      <c r="R1855" s="283"/>
      <c r="S1855" s="280"/>
      <c r="T1855" s="276"/>
      <c r="U1855" s="276"/>
      <c r="V1855" s="276"/>
      <c r="W1855" s="283"/>
      <c r="X1855" s="280"/>
      <c r="Y1855" s="280"/>
      <c r="Z1855" s="280"/>
      <c r="AA1855" s="280"/>
      <c r="AB1855" s="280"/>
      <c r="AC1855" s="280"/>
      <c r="AD1855" s="280"/>
      <c r="AG1855" s="3"/>
      <c r="AH1855" s="3"/>
      <c r="AI1855" s="3"/>
      <c r="AJ1855" s="3"/>
      <c r="AK1855" s="3"/>
      <c r="AL1855" s="3"/>
      <c r="AM1855" s="3"/>
      <c r="AN1855" s="3"/>
      <c r="AO1855" s="3"/>
      <c r="AP1855" s="11"/>
      <c r="AQ1855" s="11"/>
      <c r="AR1855" s="3"/>
      <c r="AS1855" s="3"/>
      <c r="AT1855" s="3"/>
      <c r="AU1855" s="3"/>
      <c r="AV1855" s="3"/>
      <c r="AW1855" s="3"/>
      <c r="AX1855" s="11"/>
      <c r="AZ1855"/>
      <c r="BA1855"/>
      <c r="BB1855"/>
      <c r="BC1855"/>
    </row>
    <row r="1856" spans="1:55" s="282" customFormat="1" x14ac:dyDescent="0.25">
      <c r="A1856"/>
      <c r="B1856"/>
      <c r="C1856" s="3"/>
      <c r="D1856"/>
      <c r="E1856"/>
      <c r="F1856"/>
      <c r="G1856" s="3"/>
      <c r="H1856" s="3"/>
      <c r="I1856" s="3"/>
      <c r="J1856" s="288"/>
      <c r="L1856" s="288"/>
      <c r="M1856" s="288"/>
      <c r="N1856" s="288"/>
      <c r="O1856" s="288"/>
      <c r="P1856" s="288"/>
      <c r="Q1856" s="288"/>
      <c r="R1856" s="283"/>
      <c r="S1856" s="280"/>
      <c r="T1856" s="276"/>
      <c r="U1856" s="276"/>
      <c r="V1856" s="276"/>
      <c r="W1856" s="283"/>
      <c r="X1856" s="280"/>
      <c r="Y1856" s="280"/>
      <c r="Z1856" s="280"/>
      <c r="AA1856" s="280"/>
      <c r="AB1856" s="280"/>
      <c r="AC1856" s="280"/>
      <c r="AD1856" s="280"/>
      <c r="AG1856" s="3"/>
      <c r="AH1856" s="3"/>
      <c r="AI1856" s="3"/>
      <c r="AJ1856" s="3"/>
      <c r="AK1856" s="3"/>
      <c r="AL1856" s="3"/>
      <c r="AM1856" s="3"/>
      <c r="AN1856" s="3"/>
      <c r="AO1856" s="3"/>
      <c r="AP1856" s="11"/>
      <c r="AQ1856" s="11"/>
      <c r="AR1856" s="3"/>
      <c r="AS1856" s="3"/>
      <c r="AT1856" s="3"/>
      <c r="AU1856" s="3"/>
      <c r="AV1856" s="3"/>
      <c r="AW1856" s="3"/>
      <c r="AX1856" s="11"/>
      <c r="AZ1856"/>
      <c r="BA1856"/>
      <c r="BB1856"/>
      <c r="BC1856"/>
    </row>
    <row r="1857" spans="1:55" s="282" customFormat="1" x14ac:dyDescent="0.25">
      <c r="A1857"/>
      <c r="B1857"/>
      <c r="C1857" s="3"/>
      <c r="D1857"/>
      <c r="E1857"/>
      <c r="F1857"/>
      <c r="G1857" s="3"/>
      <c r="H1857" s="3"/>
      <c r="I1857" s="3"/>
      <c r="J1857" s="288"/>
      <c r="L1857" s="288"/>
      <c r="M1857" s="288"/>
      <c r="N1857" s="288"/>
      <c r="O1857" s="288"/>
      <c r="P1857" s="288"/>
      <c r="Q1857" s="288"/>
      <c r="R1857" s="283"/>
      <c r="S1857" s="280"/>
      <c r="T1857" s="276"/>
      <c r="U1857" s="276"/>
      <c r="V1857" s="276"/>
      <c r="W1857" s="283"/>
      <c r="X1857" s="280"/>
      <c r="Y1857" s="280"/>
      <c r="Z1857" s="280"/>
      <c r="AA1857" s="280"/>
      <c r="AB1857" s="280"/>
      <c r="AC1857" s="280"/>
      <c r="AD1857" s="280"/>
      <c r="AG1857" s="3"/>
      <c r="AH1857" s="3"/>
      <c r="AI1857" s="3"/>
      <c r="AJ1857" s="3"/>
      <c r="AK1857" s="3"/>
      <c r="AL1857" s="3"/>
      <c r="AM1857" s="3"/>
      <c r="AN1857" s="3"/>
      <c r="AO1857" s="3"/>
      <c r="AP1857" s="11"/>
      <c r="AQ1857" s="11"/>
      <c r="AR1857" s="3"/>
      <c r="AS1857" s="3"/>
      <c r="AT1857" s="3"/>
      <c r="AU1857" s="3"/>
      <c r="AV1857" s="3"/>
      <c r="AW1857" s="3"/>
      <c r="AX1857" s="11"/>
      <c r="AZ1857"/>
      <c r="BA1857"/>
      <c r="BB1857"/>
      <c r="BC1857"/>
    </row>
    <row r="1858" spans="1:55" s="282" customFormat="1" x14ac:dyDescent="0.25">
      <c r="A1858"/>
      <c r="B1858"/>
      <c r="C1858" s="3"/>
      <c r="D1858"/>
      <c r="E1858"/>
      <c r="F1858"/>
      <c r="G1858" s="3"/>
      <c r="H1858" s="3"/>
      <c r="I1858" s="3"/>
      <c r="J1858" s="288"/>
      <c r="L1858" s="288"/>
      <c r="M1858" s="288"/>
      <c r="N1858" s="288"/>
      <c r="O1858" s="288"/>
      <c r="P1858" s="288"/>
      <c r="Q1858" s="288"/>
      <c r="R1858" s="283"/>
      <c r="S1858" s="280"/>
      <c r="T1858" s="276"/>
      <c r="U1858" s="276"/>
      <c r="V1858" s="276"/>
      <c r="W1858" s="283"/>
      <c r="X1858" s="280"/>
      <c r="Y1858" s="280"/>
      <c r="Z1858" s="280"/>
      <c r="AA1858" s="280"/>
      <c r="AB1858" s="280"/>
      <c r="AC1858" s="280"/>
      <c r="AD1858" s="280"/>
      <c r="AG1858" s="3"/>
      <c r="AH1858" s="3"/>
      <c r="AI1858" s="3"/>
      <c r="AJ1858" s="3"/>
      <c r="AK1858" s="3"/>
      <c r="AL1858" s="3"/>
      <c r="AM1858" s="3"/>
      <c r="AN1858" s="3"/>
      <c r="AO1858" s="3"/>
      <c r="AP1858" s="11"/>
      <c r="AQ1858" s="11"/>
      <c r="AR1858" s="3"/>
      <c r="AS1858" s="3"/>
      <c r="AT1858" s="3"/>
      <c r="AU1858" s="3"/>
      <c r="AV1858" s="3"/>
      <c r="AW1858" s="3"/>
      <c r="AX1858" s="11"/>
      <c r="AZ1858"/>
      <c r="BA1858"/>
      <c r="BB1858"/>
      <c r="BC1858"/>
    </row>
    <row r="1859" spans="1:55" s="282" customFormat="1" x14ac:dyDescent="0.25">
      <c r="A1859"/>
      <c r="B1859"/>
      <c r="C1859" s="3"/>
      <c r="D1859"/>
      <c r="E1859"/>
      <c r="F1859"/>
      <c r="G1859" s="3"/>
      <c r="H1859" s="3"/>
      <c r="I1859" s="3"/>
      <c r="J1859" s="288"/>
      <c r="L1859" s="288"/>
      <c r="M1859" s="288"/>
      <c r="N1859" s="288"/>
      <c r="O1859" s="288"/>
      <c r="P1859" s="288"/>
      <c r="Q1859" s="288"/>
      <c r="R1859" s="283"/>
      <c r="S1859" s="280"/>
      <c r="T1859" s="276"/>
      <c r="U1859" s="276"/>
      <c r="V1859" s="276"/>
      <c r="W1859" s="283"/>
      <c r="X1859" s="280"/>
      <c r="Y1859" s="280"/>
      <c r="Z1859" s="280"/>
      <c r="AA1859" s="280"/>
      <c r="AB1859" s="280"/>
      <c r="AC1859" s="280"/>
      <c r="AD1859" s="280"/>
      <c r="AG1859" s="3"/>
      <c r="AH1859" s="3"/>
      <c r="AI1859" s="3"/>
      <c r="AJ1859" s="3"/>
      <c r="AK1859" s="3"/>
      <c r="AL1859" s="3"/>
      <c r="AM1859" s="3"/>
      <c r="AN1859" s="3"/>
      <c r="AO1859" s="3"/>
      <c r="AP1859" s="11"/>
      <c r="AQ1859" s="11"/>
      <c r="AR1859" s="3"/>
      <c r="AS1859" s="3"/>
      <c r="AT1859" s="3"/>
      <c r="AU1859" s="3"/>
      <c r="AV1859" s="3"/>
      <c r="AW1859" s="3"/>
      <c r="AX1859" s="11"/>
      <c r="AZ1859"/>
      <c r="BA1859"/>
      <c r="BB1859"/>
      <c r="BC1859"/>
    </row>
    <row r="1860" spans="1:55" s="282" customFormat="1" x14ac:dyDescent="0.25">
      <c r="A1860"/>
      <c r="B1860"/>
      <c r="C1860" s="3"/>
      <c r="D1860"/>
      <c r="E1860"/>
      <c r="F1860"/>
      <c r="G1860" s="3"/>
      <c r="H1860" s="3"/>
      <c r="I1860" s="3"/>
      <c r="J1860" s="288"/>
      <c r="L1860" s="288"/>
      <c r="M1860" s="288"/>
      <c r="N1860" s="288"/>
      <c r="O1860" s="288"/>
      <c r="P1860" s="288"/>
      <c r="Q1860" s="288"/>
      <c r="R1860" s="283"/>
      <c r="S1860" s="280"/>
      <c r="T1860" s="276"/>
      <c r="U1860" s="276"/>
      <c r="V1860" s="276"/>
      <c r="W1860" s="283"/>
      <c r="X1860" s="280"/>
      <c r="Y1860" s="280"/>
      <c r="Z1860" s="280"/>
      <c r="AA1860" s="280"/>
      <c r="AB1860" s="280"/>
      <c r="AC1860" s="280"/>
      <c r="AD1860" s="280"/>
      <c r="AG1860" s="3"/>
      <c r="AH1860" s="3"/>
      <c r="AI1860" s="3"/>
      <c r="AJ1860" s="3"/>
      <c r="AK1860" s="3"/>
      <c r="AL1860" s="3"/>
      <c r="AM1860" s="3"/>
      <c r="AN1860" s="3"/>
      <c r="AO1860" s="3"/>
      <c r="AP1860" s="11"/>
      <c r="AQ1860" s="11"/>
      <c r="AR1860" s="3"/>
      <c r="AS1860" s="3"/>
      <c r="AT1860" s="3"/>
      <c r="AU1860" s="3"/>
      <c r="AV1860" s="3"/>
      <c r="AW1860" s="3"/>
      <c r="AX1860" s="11"/>
      <c r="AZ1860"/>
      <c r="BA1860"/>
      <c r="BB1860"/>
      <c r="BC1860"/>
    </row>
    <row r="1861" spans="1:55" s="282" customFormat="1" x14ac:dyDescent="0.25">
      <c r="A1861"/>
      <c r="B1861"/>
      <c r="C1861" s="3"/>
      <c r="D1861"/>
      <c r="E1861"/>
      <c r="F1861"/>
      <c r="G1861" s="3"/>
      <c r="H1861" s="3"/>
      <c r="I1861" s="3"/>
      <c r="J1861" s="288"/>
      <c r="L1861" s="288"/>
      <c r="M1861" s="288"/>
      <c r="N1861" s="288"/>
      <c r="O1861" s="288"/>
      <c r="P1861" s="288"/>
      <c r="Q1861" s="288"/>
      <c r="R1861" s="283"/>
      <c r="S1861" s="280"/>
      <c r="T1861" s="276"/>
      <c r="U1861" s="276"/>
      <c r="V1861" s="276"/>
      <c r="W1861" s="283"/>
      <c r="X1861" s="280"/>
      <c r="Y1861" s="280"/>
      <c r="Z1861" s="280"/>
      <c r="AA1861" s="280"/>
      <c r="AB1861" s="280"/>
      <c r="AC1861" s="280"/>
      <c r="AD1861" s="280"/>
      <c r="AG1861" s="3"/>
      <c r="AH1861" s="3"/>
      <c r="AI1861" s="3"/>
      <c r="AJ1861" s="3"/>
      <c r="AK1861" s="3"/>
      <c r="AL1861" s="3"/>
      <c r="AM1861" s="3"/>
      <c r="AN1861" s="3"/>
      <c r="AO1861" s="3"/>
      <c r="AP1861" s="11"/>
      <c r="AQ1861" s="11"/>
      <c r="AR1861" s="3"/>
      <c r="AS1861" s="3"/>
      <c r="AT1861" s="3"/>
      <c r="AU1861" s="3"/>
      <c r="AV1861" s="3"/>
      <c r="AW1861" s="3"/>
      <c r="AX1861" s="11"/>
      <c r="AZ1861"/>
      <c r="BA1861"/>
      <c r="BB1861"/>
      <c r="BC1861"/>
    </row>
    <row r="1862" spans="1:55" s="282" customFormat="1" x14ac:dyDescent="0.25">
      <c r="A1862"/>
      <c r="B1862"/>
      <c r="C1862" s="3"/>
      <c r="D1862"/>
      <c r="E1862"/>
      <c r="F1862"/>
      <c r="G1862" s="3"/>
      <c r="H1862" s="3"/>
      <c r="I1862" s="3"/>
      <c r="J1862" s="288"/>
      <c r="L1862" s="288"/>
      <c r="M1862" s="288"/>
      <c r="N1862" s="288"/>
      <c r="O1862" s="288"/>
      <c r="P1862" s="288"/>
      <c r="Q1862" s="288"/>
      <c r="R1862" s="283"/>
      <c r="S1862" s="280"/>
      <c r="T1862" s="276"/>
      <c r="U1862" s="276"/>
      <c r="V1862" s="276"/>
      <c r="W1862" s="283"/>
      <c r="X1862" s="280"/>
      <c r="Y1862" s="280"/>
      <c r="Z1862" s="280"/>
      <c r="AA1862" s="280"/>
      <c r="AB1862" s="280"/>
      <c r="AC1862" s="280"/>
      <c r="AD1862" s="280"/>
      <c r="AG1862" s="3"/>
      <c r="AH1862" s="3"/>
      <c r="AI1862" s="3"/>
      <c r="AJ1862" s="3"/>
      <c r="AK1862" s="3"/>
      <c r="AL1862" s="3"/>
      <c r="AM1862" s="3"/>
      <c r="AN1862" s="3"/>
      <c r="AO1862" s="3"/>
      <c r="AP1862" s="11"/>
      <c r="AQ1862" s="11"/>
      <c r="AR1862" s="3"/>
      <c r="AS1862" s="3"/>
      <c r="AT1862" s="3"/>
      <c r="AU1862" s="3"/>
      <c r="AV1862" s="3"/>
      <c r="AW1862" s="3"/>
      <c r="AX1862" s="11"/>
      <c r="AZ1862"/>
      <c r="BA1862"/>
      <c r="BB1862"/>
      <c r="BC1862"/>
    </row>
    <row r="1863" spans="1:55" s="282" customFormat="1" x14ac:dyDescent="0.25">
      <c r="A1863"/>
      <c r="B1863"/>
      <c r="C1863" s="3"/>
      <c r="D1863"/>
      <c r="E1863"/>
      <c r="F1863"/>
      <c r="G1863" s="3"/>
      <c r="H1863" s="3"/>
      <c r="I1863" s="3"/>
      <c r="J1863" s="288"/>
      <c r="L1863" s="288"/>
      <c r="M1863" s="288"/>
      <c r="N1863" s="288"/>
      <c r="O1863" s="288"/>
      <c r="P1863" s="288"/>
      <c r="Q1863" s="288"/>
      <c r="R1863" s="283"/>
      <c r="S1863" s="280"/>
      <c r="T1863" s="276"/>
      <c r="U1863" s="276"/>
      <c r="V1863" s="276"/>
      <c r="W1863" s="283"/>
      <c r="X1863" s="280"/>
      <c r="Y1863" s="280"/>
      <c r="Z1863" s="280"/>
      <c r="AA1863" s="280"/>
      <c r="AB1863" s="280"/>
      <c r="AC1863" s="280"/>
      <c r="AD1863" s="280"/>
      <c r="AG1863" s="3"/>
      <c r="AH1863" s="3"/>
      <c r="AI1863" s="3"/>
      <c r="AJ1863" s="3"/>
      <c r="AK1863" s="3"/>
      <c r="AL1863" s="3"/>
      <c r="AM1863" s="3"/>
      <c r="AN1863" s="3"/>
      <c r="AO1863" s="3"/>
      <c r="AP1863" s="11"/>
      <c r="AQ1863" s="11"/>
      <c r="AR1863" s="3"/>
      <c r="AS1863" s="3"/>
      <c r="AT1863" s="3"/>
      <c r="AU1863" s="3"/>
      <c r="AV1863" s="3"/>
      <c r="AW1863" s="3"/>
      <c r="AX1863" s="11"/>
      <c r="AZ1863"/>
      <c r="BA1863"/>
      <c r="BB1863"/>
      <c r="BC1863"/>
    </row>
    <row r="1864" spans="1:55" s="282" customFormat="1" x14ac:dyDescent="0.25">
      <c r="A1864"/>
      <c r="B1864"/>
      <c r="C1864" s="3"/>
      <c r="D1864"/>
      <c r="E1864"/>
      <c r="F1864"/>
      <c r="G1864" s="3"/>
      <c r="H1864" s="3"/>
      <c r="I1864" s="3"/>
      <c r="J1864" s="288"/>
      <c r="L1864" s="288"/>
      <c r="M1864" s="288"/>
      <c r="N1864" s="288"/>
      <c r="O1864" s="288"/>
      <c r="P1864" s="288"/>
      <c r="Q1864" s="288"/>
      <c r="R1864" s="283"/>
      <c r="S1864" s="280"/>
      <c r="T1864" s="276"/>
      <c r="U1864" s="276"/>
      <c r="V1864" s="276"/>
      <c r="W1864" s="283"/>
      <c r="X1864" s="280"/>
      <c r="Y1864" s="280"/>
      <c r="Z1864" s="280"/>
      <c r="AA1864" s="280"/>
      <c r="AB1864" s="280"/>
      <c r="AC1864" s="280"/>
      <c r="AD1864" s="280"/>
      <c r="AG1864" s="3"/>
      <c r="AH1864" s="3"/>
      <c r="AI1864" s="3"/>
      <c r="AJ1864" s="3"/>
      <c r="AK1864" s="3"/>
      <c r="AL1864" s="3"/>
      <c r="AM1864" s="3"/>
      <c r="AN1864" s="3"/>
      <c r="AO1864" s="3"/>
      <c r="AP1864" s="11"/>
      <c r="AQ1864" s="11"/>
      <c r="AR1864" s="3"/>
      <c r="AS1864" s="3"/>
      <c r="AT1864" s="3"/>
      <c r="AU1864" s="3"/>
      <c r="AV1864" s="3"/>
      <c r="AW1864" s="3"/>
      <c r="AX1864" s="11"/>
      <c r="AZ1864"/>
      <c r="BA1864"/>
      <c r="BB1864"/>
      <c r="BC1864"/>
    </row>
    <row r="1865" spans="1:55" s="282" customFormat="1" x14ac:dyDescent="0.25">
      <c r="A1865"/>
      <c r="B1865"/>
      <c r="C1865" s="3"/>
      <c r="D1865"/>
      <c r="E1865"/>
      <c r="F1865"/>
      <c r="G1865" s="3"/>
      <c r="H1865" s="3"/>
      <c r="I1865" s="3"/>
      <c r="J1865" s="288"/>
      <c r="L1865" s="288"/>
      <c r="M1865" s="288"/>
      <c r="N1865" s="288"/>
      <c r="O1865" s="288"/>
      <c r="P1865" s="288"/>
      <c r="Q1865" s="288"/>
      <c r="R1865" s="283"/>
      <c r="S1865" s="280"/>
      <c r="T1865" s="276"/>
      <c r="U1865" s="276"/>
      <c r="V1865" s="276"/>
      <c r="W1865" s="283"/>
      <c r="X1865" s="280"/>
      <c r="Y1865" s="280"/>
      <c r="Z1865" s="280"/>
      <c r="AA1865" s="280"/>
      <c r="AB1865" s="280"/>
      <c r="AC1865" s="280"/>
      <c r="AD1865" s="280"/>
      <c r="AG1865" s="3"/>
      <c r="AH1865" s="3"/>
      <c r="AI1865" s="3"/>
      <c r="AJ1865" s="3"/>
      <c r="AK1865" s="3"/>
      <c r="AL1865" s="3"/>
      <c r="AM1865" s="3"/>
      <c r="AN1865" s="3"/>
      <c r="AO1865" s="3"/>
      <c r="AP1865" s="11"/>
      <c r="AQ1865" s="11"/>
      <c r="AR1865" s="3"/>
      <c r="AS1865" s="3"/>
      <c r="AT1865" s="3"/>
      <c r="AU1865" s="3"/>
      <c r="AV1865" s="3"/>
      <c r="AW1865" s="3"/>
      <c r="AX1865" s="11"/>
      <c r="AZ1865"/>
      <c r="BA1865"/>
      <c r="BB1865"/>
      <c r="BC1865"/>
    </row>
    <row r="1866" spans="1:55" s="282" customFormat="1" x14ac:dyDescent="0.25">
      <c r="A1866"/>
      <c r="B1866"/>
      <c r="C1866" s="3"/>
      <c r="D1866"/>
      <c r="E1866"/>
      <c r="F1866"/>
      <c r="G1866" s="3"/>
      <c r="H1866" s="3"/>
      <c r="I1866" s="3"/>
      <c r="J1866" s="288"/>
      <c r="L1866" s="288"/>
      <c r="M1866" s="288"/>
      <c r="N1866" s="288"/>
      <c r="O1866" s="288"/>
      <c r="P1866" s="288"/>
      <c r="Q1866" s="288"/>
      <c r="R1866" s="283"/>
      <c r="S1866" s="280"/>
      <c r="T1866" s="276"/>
      <c r="U1866" s="276"/>
      <c r="V1866" s="276"/>
      <c r="W1866" s="283"/>
      <c r="X1866" s="280"/>
      <c r="Y1866" s="280"/>
      <c r="Z1866" s="280"/>
      <c r="AA1866" s="280"/>
      <c r="AB1866" s="280"/>
      <c r="AC1866" s="280"/>
      <c r="AD1866" s="280"/>
      <c r="AG1866" s="3"/>
      <c r="AH1866" s="3"/>
      <c r="AI1866" s="3"/>
      <c r="AJ1866" s="3"/>
      <c r="AK1866" s="3"/>
      <c r="AL1866" s="3"/>
      <c r="AM1866" s="3"/>
      <c r="AN1866" s="3"/>
      <c r="AO1866" s="3"/>
      <c r="AP1866" s="11"/>
      <c r="AQ1866" s="11"/>
      <c r="AR1866" s="3"/>
      <c r="AS1866" s="3"/>
      <c r="AT1866" s="3"/>
      <c r="AU1866" s="3"/>
      <c r="AV1866" s="3"/>
      <c r="AW1866" s="3"/>
      <c r="AX1866" s="11"/>
      <c r="AZ1866"/>
      <c r="BA1866"/>
      <c r="BB1866"/>
      <c r="BC1866"/>
    </row>
    <row r="1867" spans="1:55" s="282" customFormat="1" x14ac:dyDescent="0.25">
      <c r="A1867"/>
      <c r="B1867"/>
      <c r="C1867" s="3"/>
      <c r="D1867"/>
      <c r="E1867"/>
      <c r="F1867"/>
      <c r="G1867" s="3"/>
      <c r="H1867" s="3"/>
      <c r="I1867" s="3"/>
      <c r="J1867" s="288"/>
      <c r="L1867" s="288"/>
      <c r="M1867" s="288"/>
      <c r="N1867" s="288"/>
      <c r="O1867" s="288"/>
      <c r="P1867" s="288"/>
      <c r="Q1867" s="288"/>
      <c r="R1867" s="283"/>
      <c r="S1867" s="280"/>
      <c r="T1867" s="276"/>
      <c r="U1867" s="276"/>
      <c r="V1867" s="276"/>
      <c r="W1867" s="283"/>
      <c r="X1867" s="280"/>
      <c r="Y1867" s="280"/>
      <c r="Z1867" s="280"/>
      <c r="AA1867" s="280"/>
      <c r="AB1867" s="280"/>
      <c r="AC1867" s="280"/>
      <c r="AD1867" s="280"/>
      <c r="AG1867" s="3"/>
      <c r="AH1867" s="3"/>
      <c r="AI1867" s="3"/>
      <c r="AJ1867" s="3"/>
      <c r="AK1867" s="3"/>
      <c r="AL1867" s="3"/>
      <c r="AM1867" s="3"/>
      <c r="AN1867" s="3"/>
      <c r="AO1867" s="3"/>
      <c r="AP1867" s="11"/>
      <c r="AQ1867" s="11"/>
      <c r="AR1867" s="3"/>
      <c r="AS1867" s="3"/>
      <c r="AT1867" s="3"/>
      <c r="AU1867" s="3"/>
      <c r="AV1867" s="3"/>
      <c r="AW1867" s="3"/>
      <c r="AX1867" s="11"/>
      <c r="AZ1867"/>
      <c r="BA1867"/>
      <c r="BB1867"/>
      <c r="BC1867"/>
    </row>
    <row r="1868" spans="1:55" s="282" customFormat="1" x14ac:dyDescent="0.25">
      <c r="A1868"/>
      <c r="B1868"/>
      <c r="C1868" s="3"/>
      <c r="D1868"/>
      <c r="E1868"/>
      <c r="F1868"/>
      <c r="G1868" s="3"/>
      <c r="H1868" s="3"/>
      <c r="I1868" s="3"/>
      <c r="J1868" s="288"/>
      <c r="L1868" s="288"/>
      <c r="M1868" s="288"/>
      <c r="N1868" s="288"/>
      <c r="O1868" s="288"/>
      <c r="P1868" s="288"/>
      <c r="Q1868" s="288"/>
      <c r="R1868" s="283"/>
      <c r="S1868" s="280"/>
      <c r="T1868" s="276"/>
      <c r="U1868" s="276"/>
      <c r="V1868" s="276"/>
      <c r="W1868" s="283"/>
      <c r="X1868" s="280"/>
      <c r="Y1868" s="280"/>
      <c r="Z1868" s="280"/>
      <c r="AA1868" s="280"/>
      <c r="AB1868" s="280"/>
      <c r="AC1868" s="280"/>
      <c r="AD1868" s="280"/>
      <c r="AG1868" s="3"/>
      <c r="AH1868" s="3"/>
      <c r="AI1868" s="3"/>
      <c r="AJ1868" s="3"/>
      <c r="AK1868" s="3"/>
      <c r="AL1868" s="3"/>
      <c r="AM1868" s="3"/>
      <c r="AN1868" s="3"/>
      <c r="AO1868" s="3"/>
      <c r="AP1868" s="11"/>
      <c r="AQ1868" s="11"/>
      <c r="AR1868" s="3"/>
      <c r="AS1868" s="3"/>
      <c r="AT1868" s="3"/>
      <c r="AU1868" s="3"/>
      <c r="AV1868" s="3"/>
      <c r="AW1868" s="3"/>
      <c r="AX1868" s="11"/>
      <c r="AZ1868"/>
      <c r="BA1868"/>
      <c r="BB1868"/>
      <c r="BC1868"/>
    </row>
    <row r="1869" spans="1:55" s="282" customFormat="1" x14ac:dyDescent="0.25">
      <c r="A1869"/>
      <c r="B1869"/>
      <c r="C1869" s="3"/>
      <c r="D1869"/>
      <c r="E1869"/>
      <c r="F1869"/>
      <c r="G1869" s="3"/>
      <c r="H1869" s="3"/>
      <c r="I1869" s="3"/>
      <c r="J1869" s="288"/>
      <c r="L1869" s="288"/>
      <c r="M1869" s="288"/>
      <c r="N1869" s="288"/>
      <c r="O1869" s="288"/>
      <c r="P1869" s="288"/>
      <c r="Q1869" s="288"/>
      <c r="R1869" s="283"/>
      <c r="S1869" s="280"/>
      <c r="T1869" s="276"/>
      <c r="U1869" s="276"/>
      <c r="V1869" s="276"/>
      <c r="W1869" s="283"/>
      <c r="X1869" s="280"/>
      <c r="Y1869" s="280"/>
      <c r="Z1869" s="280"/>
      <c r="AA1869" s="280"/>
      <c r="AB1869" s="280"/>
      <c r="AC1869" s="280"/>
      <c r="AD1869" s="280"/>
      <c r="AG1869" s="3"/>
      <c r="AH1869" s="3"/>
      <c r="AI1869" s="3"/>
      <c r="AJ1869" s="3"/>
      <c r="AK1869" s="3"/>
      <c r="AL1869" s="3"/>
      <c r="AM1869" s="3"/>
      <c r="AN1869" s="3"/>
      <c r="AO1869" s="3"/>
      <c r="AP1869" s="11"/>
      <c r="AQ1869" s="11"/>
      <c r="AR1869" s="3"/>
      <c r="AS1869" s="3"/>
      <c r="AT1869" s="3"/>
      <c r="AU1869" s="3"/>
      <c r="AV1869" s="3"/>
      <c r="AW1869" s="3"/>
      <c r="AX1869" s="11"/>
      <c r="AZ1869"/>
      <c r="BA1869"/>
      <c r="BB1869"/>
      <c r="BC1869"/>
    </row>
    <row r="1870" spans="1:55" s="282" customFormat="1" x14ac:dyDescent="0.25">
      <c r="A1870"/>
      <c r="B1870"/>
      <c r="C1870" s="3"/>
      <c r="D1870"/>
      <c r="E1870"/>
      <c r="F1870"/>
      <c r="G1870" s="3"/>
      <c r="H1870" s="3"/>
      <c r="I1870" s="3"/>
      <c r="J1870" s="288"/>
      <c r="L1870" s="288"/>
      <c r="M1870" s="288"/>
      <c r="N1870" s="288"/>
      <c r="O1870" s="288"/>
      <c r="P1870" s="288"/>
      <c r="Q1870" s="288"/>
      <c r="R1870" s="283"/>
      <c r="S1870" s="280"/>
      <c r="T1870" s="276"/>
      <c r="U1870" s="276"/>
      <c r="V1870" s="276"/>
      <c r="W1870" s="283"/>
      <c r="X1870" s="280"/>
      <c r="Y1870" s="280"/>
      <c r="Z1870" s="280"/>
      <c r="AA1870" s="280"/>
      <c r="AB1870" s="280"/>
      <c r="AC1870" s="280"/>
      <c r="AD1870" s="280"/>
      <c r="AG1870" s="3"/>
      <c r="AH1870" s="3"/>
      <c r="AI1870" s="3"/>
      <c r="AJ1870" s="3"/>
      <c r="AK1870" s="3"/>
      <c r="AL1870" s="3"/>
      <c r="AM1870" s="3"/>
      <c r="AN1870" s="3"/>
      <c r="AO1870" s="3"/>
      <c r="AP1870" s="11"/>
      <c r="AQ1870" s="11"/>
      <c r="AR1870" s="3"/>
      <c r="AS1870" s="3"/>
      <c r="AT1870" s="3"/>
      <c r="AU1870" s="3"/>
      <c r="AV1870" s="3"/>
      <c r="AW1870" s="3"/>
      <c r="AX1870" s="11"/>
      <c r="AZ1870"/>
      <c r="BA1870"/>
      <c r="BB1870"/>
      <c r="BC1870"/>
    </row>
    <row r="1871" spans="1:55" s="282" customFormat="1" x14ac:dyDescent="0.25">
      <c r="A1871"/>
      <c r="B1871"/>
      <c r="C1871" s="3"/>
      <c r="D1871"/>
      <c r="E1871"/>
      <c r="F1871"/>
      <c r="G1871" s="3"/>
      <c r="H1871" s="3"/>
      <c r="I1871" s="3"/>
      <c r="J1871" s="288"/>
      <c r="L1871" s="288"/>
      <c r="M1871" s="288"/>
      <c r="N1871" s="288"/>
      <c r="O1871" s="288"/>
      <c r="P1871" s="288"/>
      <c r="Q1871" s="288"/>
      <c r="R1871" s="283"/>
      <c r="S1871" s="280"/>
      <c r="T1871" s="276"/>
      <c r="U1871" s="276"/>
      <c r="V1871" s="276"/>
      <c r="W1871" s="283"/>
      <c r="X1871" s="280"/>
      <c r="Y1871" s="280"/>
      <c r="Z1871" s="280"/>
      <c r="AA1871" s="280"/>
      <c r="AB1871" s="280"/>
      <c r="AC1871" s="280"/>
      <c r="AD1871" s="280"/>
      <c r="AG1871" s="3"/>
      <c r="AH1871" s="3"/>
      <c r="AI1871" s="3"/>
      <c r="AJ1871" s="3"/>
      <c r="AK1871" s="3"/>
      <c r="AL1871" s="3"/>
      <c r="AM1871" s="3"/>
      <c r="AN1871" s="3"/>
      <c r="AO1871" s="3"/>
      <c r="AP1871" s="11"/>
      <c r="AQ1871" s="11"/>
      <c r="AR1871" s="3"/>
      <c r="AS1871" s="3"/>
      <c r="AT1871" s="3"/>
      <c r="AU1871" s="3"/>
      <c r="AV1871" s="3"/>
      <c r="AW1871" s="3"/>
      <c r="AX1871" s="11"/>
      <c r="AZ1871"/>
      <c r="BA1871"/>
      <c r="BB1871"/>
      <c r="BC1871"/>
    </row>
    <row r="1872" spans="1:55" s="282" customFormat="1" x14ac:dyDescent="0.25">
      <c r="A1872"/>
      <c r="B1872"/>
      <c r="C1872" s="3"/>
      <c r="D1872"/>
      <c r="E1872"/>
      <c r="F1872"/>
      <c r="G1872" s="3"/>
      <c r="H1872" s="3"/>
      <c r="I1872" s="3"/>
      <c r="J1872" s="288"/>
      <c r="L1872" s="288"/>
      <c r="M1872" s="288"/>
      <c r="N1872" s="288"/>
      <c r="O1872" s="288"/>
      <c r="P1872" s="288"/>
      <c r="Q1872" s="288"/>
      <c r="R1872" s="283"/>
      <c r="S1872" s="280"/>
      <c r="T1872" s="276"/>
      <c r="U1872" s="276"/>
      <c r="V1872" s="276"/>
      <c r="W1872" s="283"/>
      <c r="X1872" s="280"/>
      <c r="Y1872" s="280"/>
      <c r="Z1872" s="280"/>
      <c r="AA1872" s="280"/>
      <c r="AB1872" s="280"/>
      <c r="AC1872" s="280"/>
      <c r="AD1872" s="280"/>
      <c r="AG1872" s="3"/>
      <c r="AH1872" s="3"/>
      <c r="AI1872" s="3"/>
      <c r="AJ1872" s="3"/>
      <c r="AK1872" s="3"/>
      <c r="AL1872" s="3"/>
      <c r="AM1872" s="3"/>
      <c r="AN1872" s="3"/>
      <c r="AO1872" s="3"/>
      <c r="AP1872" s="11"/>
      <c r="AQ1872" s="11"/>
      <c r="AR1872" s="3"/>
      <c r="AS1872" s="3"/>
      <c r="AT1872" s="3"/>
      <c r="AU1872" s="3"/>
      <c r="AV1872" s="3"/>
      <c r="AW1872" s="3"/>
      <c r="AX1872" s="11"/>
      <c r="AZ1872"/>
      <c r="BA1872"/>
      <c r="BB1872"/>
      <c r="BC1872"/>
    </row>
    <row r="1873" spans="1:55" s="282" customFormat="1" x14ac:dyDescent="0.25">
      <c r="A1873"/>
      <c r="B1873"/>
      <c r="C1873" s="3"/>
      <c r="D1873"/>
      <c r="E1873"/>
      <c r="F1873"/>
      <c r="G1873" s="3"/>
      <c r="H1873" s="3"/>
      <c r="I1873" s="3"/>
      <c r="J1873" s="288"/>
      <c r="L1873" s="288"/>
      <c r="M1873" s="288"/>
      <c r="N1873" s="288"/>
      <c r="O1873" s="288"/>
      <c r="P1873" s="288"/>
      <c r="Q1873" s="288"/>
      <c r="R1873" s="283"/>
      <c r="S1873" s="280"/>
      <c r="T1873" s="276"/>
      <c r="U1873" s="276"/>
      <c r="V1873" s="276"/>
      <c r="W1873" s="283"/>
      <c r="X1873" s="280"/>
      <c r="Y1873" s="280"/>
      <c r="Z1873" s="280"/>
      <c r="AA1873" s="280"/>
      <c r="AB1873" s="280"/>
      <c r="AC1873" s="280"/>
      <c r="AD1873" s="280"/>
      <c r="AG1873" s="3"/>
      <c r="AH1873" s="3"/>
      <c r="AI1873" s="3"/>
      <c r="AJ1873" s="3"/>
      <c r="AK1873" s="3"/>
      <c r="AL1873" s="3"/>
      <c r="AM1873" s="3"/>
      <c r="AN1873" s="3"/>
      <c r="AO1873" s="3"/>
      <c r="AP1873" s="11"/>
      <c r="AQ1873" s="11"/>
      <c r="AR1873" s="3"/>
      <c r="AS1873" s="3"/>
      <c r="AT1873" s="3"/>
      <c r="AU1873" s="3"/>
      <c r="AV1873" s="3"/>
      <c r="AW1873" s="3"/>
      <c r="AX1873" s="11"/>
      <c r="AZ1873"/>
      <c r="BA1873"/>
      <c r="BB1873"/>
      <c r="BC1873"/>
    </row>
    <row r="1874" spans="1:55" s="282" customFormat="1" x14ac:dyDescent="0.25">
      <c r="A1874"/>
      <c r="B1874"/>
      <c r="C1874" s="3"/>
      <c r="D1874"/>
      <c r="E1874"/>
      <c r="F1874"/>
      <c r="G1874" s="3"/>
      <c r="H1874" s="3"/>
      <c r="I1874" s="3"/>
      <c r="J1874" s="288"/>
      <c r="L1874" s="288"/>
      <c r="M1874" s="288"/>
      <c r="N1874" s="288"/>
      <c r="O1874" s="288"/>
      <c r="P1874" s="288"/>
      <c r="Q1874" s="288"/>
      <c r="R1874" s="283"/>
      <c r="S1874" s="280"/>
      <c r="T1874" s="276"/>
      <c r="U1874" s="276"/>
      <c r="V1874" s="276"/>
      <c r="W1874" s="283"/>
      <c r="X1874" s="280"/>
      <c r="Y1874" s="280"/>
      <c r="Z1874" s="280"/>
      <c r="AA1874" s="280"/>
      <c r="AB1874" s="280"/>
      <c r="AC1874" s="280"/>
      <c r="AD1874" s="280"/>
      <c r="AG1874" s="3"/>
      <c r="AH1874" s="3"/>
      <c r="AI1874" s="3"/>
      <c r="AJ1874" s="3"/>
      <c r="AK1874" s="3"/>
      <c r="AL1874" s="3"/>
      <c r="AM1874" s="3"/>
      <c r="AN1874" s="3"/>
      <c r="AO1874" s="3"/>
      <c r="AP1874" s="11"/>
      <c r="AQ1874" s="11"/>
      <c r="AR1874" s="3"/>
      <c r="AS1874" s="3"/>
      <c r="AT1874" s="3"/>
      <c r="AU1874" s="3"/>
      <c r="AV1874" s="3"/>
      <c r="AW1874" s="3"/>
      <c r="AX1874" s="11"/>
      <c r="AZ1874"/>
      <c r="BA1874"/>
      <c r="BB1874"/>
      <c r="BC1874"/>
    </row>
    <row r="1875" spans="1:55" s="282" customFormat="1" x14ac:dyDescent="0.25">
      <c r="A1875"/>
      <c r="B1875"/>
      <c r="C1875" s="3"/>
      <c r="D1875"/>
      <c r="E1875"/>
      <c r="F1875"/>
      <c r="G1875" s="3"/>
      <c r="H1875" s="3"/>
      <c r="I1875" s="3"/>
      <c r="J1875" s="288"/>
      <c r="L1875" s="288"/>
      <c r="M1875" s="288"/>
      <c r="N1875" s="288"/>
      <c r="O1875" s="288"/>
      <c r="P1875" s="288"/>
      <c r="Q1875" s="288"/>
      <c r="R1875" s="283"/>
      <c r="S1875" s="280"/>
      <c r="T1875" s="276"/>
      <c r="U1875" s="276"/>
      <c r="V1875" s="276"/>
      <c r="W1875" s="283"/>
      <c r="X1875" s="280"/>
      <c r="Y1875" s="280"/>
      <c r="Z1875" s="280"/>
      <c r="AA1875" s="280"/>
      <c r="AB1875" s="280"/>
      <c r="AC1875" s="280"/>
      <c r="AD1875" s="280"/>
      <c r="AG1875" s="3"/>
      <c r="AH1875" s="3"/>
      <c r="AI1875" s="3"/>
      <c r="AJ1875" s="3"/>
      <c r="AK1875" s="3"/>
      <c r="AL1875" s="3"/>
      <c r="AM1875" s="3"/>
      <c r="AN1875" s="3"/>
      <c r="AO1875" s="3"/>
      <c r="AP1875" s="11"/>
      <c r="AQ1875" s="11"/>
      <c r="AR1875" s="3"/>
      <c r="AS1875" s="3"/>
      <c r="AT1875" s="3"/>
      <c r="AU1875" s="3"/>
      <c r="AV1875" s="3"/>
      <c r="AW1875" s="3"/>
      <c r="AX1875" s="11"/>
      <c r="AZ1875"/>
      <c r="BA1875"/>
      <c r="BB1875"/>
      <c r="BC1875"/>
    </row>
    <row r="1876" spans="1:55" s="282" customFormat="1" x14ac:dyDescent="0.25">
      <c r="A1876"/>
      <c r="B1876"/>
      <c r="C1876" s="3"/>
      <c r="D1876"/>
      <c r="E1876"/>
      <c r="F1876"/>
      <c r="G1876" s="3"/>
      <c r="H1876" s="3"/>
      <c r="I1876" s="3"/>
      <c r="J1876" s="288"/>
      <c r="L1876" s="288"/>
      <c r="M1876" s="288"/>
      <c r="N1876" s="288"/>
      <c r="O1876" s="288"/>
      <c r="P1876" s="288"/>
      <c r="Q1876" s="288"/>
      <c r="R1876" s="283"/>
      <c r="S1876" s="280"/>
      <c r="T1876" s="276"/>
      <c r="U1876" s="276"/>
      <c r="V1876" s="276"/>
      <c r="W1876" s="283"/>
      <c r="X1876" s="280"/>
      <c r="Y1876" s="280"/>
      <c r="Z1876" s="280"/>
      <c r="AA1876" s="280"/>
      <c r="AB1876" s="280"/>
      <c r="AC1876" s="280"/>
      <c r="AD1876" s="280"/>
      <c r="AG1876" s="3"/>
      <c r="AH1876" s="3"/>
      <c r="AI1876" s="3"/>
      <c r="AJ1876" s="3"/>
      <c r="AK1876" s="3"/>
      <c r="AL1876" s="3"/>
      <c r="AM1876" s="3"/>
      <c r="AN1876" s="3"/>
      <c r="AO1876" s="3"/>
      <c r="AP1876" s="11"/>
      <c r="AQ1876" s="11"/>
      <c r="AR1876" s="3"/>
      <c r="AS1876" s="3"/>
      <c r="AT1876" s="3"/>
      <c r="AU1876" s="3"/>
      <c r="AV1876" s="3"/>
      <c r="AW1876" s="3"/>
      <c r="AX1876" s="11"/>
      <c r="AZ1876"/>
      <c r="BA1876"/>
      <c r="BB1876"/>
      <c r="BC1876"/>
    </row>
    <row r="1877" spans="1:55" s="282" customFormat="1" x14ac:dyDescent="0.25">
      <c r="A1877"/>
      <c r="B1877"/>
      <c r="C1877" s="3"/>
      <c r="D1877"/>
      <c r="E1877"/>
      <c r="F1877"/>
      <c r="G1877" s="3"/>
      <c r="H1877" s="3"/>
      <c r="I1877" s="3"/>
      <c r="J1877" s="288"/>
      <c r="L1877" s="288"/>
      <c r="M1877" s="288"/>
      <c r="N1877" s="288"/>
      <c r="O1877" s="288"/>
      <c r="P1877" s="288"/>
      <c r="Q1877" s="288"/>
      <c r="R1877" s="283"/>
      <c r="S1877" s="280"/>
      <c r="T1877" s="276"/>
      <c r="U1877" s="276"/>
      <c r="V1877" s="276"/>
      <c r="W1877" s="283"/>
      <c r="X1877" s="280"/>
      <c r="Y1877" s="280"/>
      <c r="Z1877" s="280"/>
      <c r="AA1877" s="280"/>
      <c r="AB1877" s="280"/>
      <c r="AC1877" s="280"/>
      <c r="AD1877" s="280"/>
      <c r="AG1877" s="3"/>
      <c r="AH1877" s="3"/>
      <c r="AI1877" s="3"/>
      <c r="AJ1877" s="3"/>
      <c r="AK1877" s="3"/>
      <c r="AL1877" s="3"/>
      <c r="AM1877" s="3"/>
      <c r="AN1877" s="3"/>
      <c r="AO1877" s="3"/>
      <c r="AP1877" s="11"/>
      <c r="AQ1877" s="11"/>
      <c r="AR1877" s="3"/>
      <c r="AS1877" s="3"/>
      <c r="AT1877" s="3"/>
      <c r="AU1877" s="3"/>
      <c r="AV1877" s="3"/>
      <c r="AW1877" s="3"/>
      <c r="AX1877" s="11"/>
      <c r="AZ1877"/>
      <c r="BA1877"/>
      <c r="BB1877"/>
      <c r="BC1877"/>
    </row>
    <row r="1878" spans="1:55" s="282" customFormat="1" x14ac:dyDescent="0.25">
      <c r="A1878"/>
      <c r="B1878"/>
      <c r="C1878" s="3"/>
      <c r="D1878"/>
      <c r="E1878"/>
      <c r="F1878"/>
      <c r="G1878" s="3"/>
      <c r="H1878" s="3"/>
      <c r="I1878" s="3"/>
      <c r="J1878" s="288"/>
      <c r="L1878" s="288"/>
      <c r="M1878" s="288"/>
      <c r="N1878" s="288"/>
      <c r="O1878" s="288"/>
      <c r="P1878" s="288"/>
      <c r="Q1878" s="288"/>
      <c r="R1878" s="283"/>
      <c r="S1878" s="280"/>
      <c r="T1878" s="276"/>
      <c r="U1878" s="276"/>
      <c r="V1878" s="276"/>
      <c r="W1878" s="283"/>
      <c r="X1878" s="280"/>
      <c r="Y1878" s="280"/>
      <c r="Z1878" s="280"/>
      <c r="AA1878" s="280"/>
      <c r="AB1878" s="280"/>
      <c r="AC1878" s="280"/>
      <c r="AD1878" s="280"/>
      <c r="AG1878" s="3"/>
      <c r="AH1878" s="3"/>
      <c r="AI1878" s="3"/>
      <c r="AJ1878" s="3"/>
      <c r="AK1878" s="3"/>
      <c r="AL1878" s="3"/>
      <c r="AM1878" s="3"/>
      <c r="AN1878" s="3"/>
      <c r="AO1878" s="3"/>
      <c r="AP1878" s="11"/>
      <c r="AQ1878" s="11"/>
      <c r="AR1878" s="3"/>
      <c r="AS1878" s="3"/>
      <c r="AT1878" s="3"/>
      <c r="AU1878" s="3"/>
      <c r="AV1878" s="3"/>
      <c r="AW1878" s="3"/>
      <c r="AX1878" s="11"/>
      <c r="AZ1878"/>
      <c r="BA1878"/>
      <c r="BB1878"/>
      <c r="BC1878"/>
    </row>
    <row r="1879" spans="1:55" s="282" customFormat="1" x14ac:dyDescent="0.25">
      <c r="A1879"/>
      <c r="B1879"/>
      <c r="C1879" s="3"/>
      <c r="D1879"/>
      <c r="E1879"/>
      <c r="F1879"/>
      <c r="G1879" s="3"/>
      <c r="H1879" s="3"/>
      <c r="I1879" s="3"/>
      <c r="J1879" s="288"/>
      <c r="L1879" s="288"/>
      <c r="M1879" s="288"/>
      <c r="N1879" s="288"/>
      <c r="O1879" s="288"/>
      <c r="P1879" s="288"/>
      <c r="Q1879" s="288"/>
      <c r="R1879" s="283"/>
      <c r="S1879" s="280"/>
      <c r="T1879" s="276"/>
      <c r="U1879" s="276"/>
      <c r="V1879" s="276"/>
      <c r="W1879" s="283"/>
      <c r="X1879" s="280"/>
      <c r="Y1879" s="280"/>
      <c r="Z1879" s="280"/>
      <c r="AA1879" s="280"/>
      <c r="AB1879" s="280"/>
      <c r="AC1879" s="280"/>
      <c r="AD1879" s="280"/>
      <c r="AG1879" s="3"/>
      <c r="AH1879" s="3"/>
      <c r="AI1879" s="3"/>
      <c r="AJ1879" s="3"/>
      <c r="AK1879" s="3"/>
      <c r="AL1879" s="3"/>
      <c r="AM1879" s="3"/>
      <c r="AN1879" s="3"/>
      <c r="AO1879" s="3"/>
      <c r="AP1879" s="11"/>
      <c r="AQ1879" s="11"/>
      <c r="AR1879" s="3"/>
      <c r="AS1879" s="3"/>
      <c r="AT1879" s="3"/>
      <c r="AU1879" s="3"/>
      <c r="AV1879" s="3"/>
      <c r="AW1879" s="3"/>
      <c r="AX1879" s="11"/>
      <c r="AZ1879"/>
      <c r="BA1879"/>
      <c r="BB1879"/>
      <c r="BC1879"/>
    </row>
    <row r="1880" spans="1:55" s="282" customFormat="1" x14ac:dyDescent="0.25">
      <c r="A1880"/>
      <c r="B1880"/>
      <c r="C1880" s="3"/>
      <c r="D1880"/>
      <c r="E1880"/>
      <c r="F1880"/>
      <c r="G1880" s="3"/>
      <c r="H1880" s="3"/>
      <c r="I1880" s="3"/>
      <c r="J1880" s="288"/>
      <c r="L1880" s="288"/>
      <c r="M1880" s="288"/>
      <c r="N1880" s="288"/>
      <c r="O1880" s="288"/>
      <c r="P1880" s="288"/>
      <c r="Q1880" s="288"/>
      <c r="R1880" s="283"/>
      <c r="S1880" s="280"/>
      <c r="T1880" s="276"/>
      <c r="U1880" s="276"/>
      <c r="V1880" s="276"/>
      <c r="W1880" s="283"/>
      <c r="X1880" s="280"/>
      <c r="Y1880" s="280"/>
      <c r="Z1880" s="280"/>
      <c r="AA1880" s="280"/>
      <c r="AB1880" s="280"/>
      <c r="AC1880" s="280"/>
      <c r="AD1880" s="280"/>
      <c r="AG1880" s="3"/>
      <c r="AH1880" s="3"/>
      <c r="AI1880" s="3"/>
      <c r="AJ1880" s="3"/>
      <c r="AK1880" s="3"/>
      <c r="AL1880" s="3"/>
      <c r="AM1880" s="3"/>
      <c r="AN1880" s="3"/>
      <c r="AO1880" s="3"/>
      <c r="AP1880" s="11"/>
      <c r="AQ1880" s="11"/>
      <c r="AR1880" s="3"/>
      <c r="AS1880" s="3"/>
      <c r="AT1880" s="3"/>
      <c r="AU1880" s="3"/>
      <c r="AV1880" s="3"/>
      <c r="AW1880" s="3"/>
      <c r="AX1880" s="11"/>
      <c r="AZ1880"/>
      <c r="BA1880"/>
      <c r="BB1880"/>
      <c r="BC1880"/>
    </row>
    <row r="1881" spans="1:55" s="282" customFormat="1" x14ac:dyDescent="0.25">
      <c r="A1881"/>
      <c r="B1881"/>
      <c r="C1881" s="3"/>
      <c r="D1881"/>
      <c r="E1881"/>
      <c r="F1881"/>
      <c r="G1881" s="3"/>
      <c r="H1881" s="3"/>
      <c r="I1881" s="3"/>
      <c r="J1881" s="288"/>
      <c r="L1881" s="288"/>
      <c r="M1881" s="288"/>
      <c r="N1881" s="288"/>
      <c r="O1881" s="288"/>
      <c r="P1881" s="288"/>
      <c r="Q1881" s="288"/>
      <c r="R1881" s="283"/>
      <c r="S1881" s="280"/>
      <c r="T1881" s="276"/>
      <c r="U1881" s="276"/>
      <c r="V1881" s="276"/>
      <c r="W1881" s="283"/>
      <c r="X1881" s="280"/>
      <c r="Y1881" s="280"/>
      <c r="Z1881" s="280"/>
      <c r="AA1881" s="280"/>
      <c r="AB1881" s="280"/>
      <c r="AC1881" s="280"/>
      <c r="AD1881" s="280"/>
      <c r="AG1881" s="3"/>
      <c r="AH1881" s="3"/>
      <c r="AI1881" s="3"/>
      <c r="AJ1881" s="3"/>
      <c r="AK1881" s="3"/>
      <c r="AL1881" s="3"/>
      <c r="AM1881" s="3"/>
      <c r="AN1881" s="3"/>
      <c r="AO1881" s="3"/>
      <c r="AP1881" s="11"/>
      <c r="AQ1881" s="11"/>
      <c r="AR1881" s="3"/>
      <c r="AS1881" s="3"/>
      <c r="AT1881" s="3"/>
      <c r="AU1881" s="3"/>
      <c r="AV1881" s="3"/>
      <c r="AW1881" s="3"/>
      <c r="AX1881" s="11"/>
      <c r="AZ1881"/>
      <c r="BA1881"/>
      <c r="BB1881"/>
      <c r="BC1881"/>
    </row>
    <row r="1882" spans="1:55" s="282" customFormat="1" x14ac:dyDescent="0.25">
      <c r="A1882"/>
      <c r="B1882"/>
      <c r="C1882" s="3"/>
      <c r="D1882"/>
      <c r="E1882"/>
      <c r="F1882"/>
      <c r="G1882" s="3"/>
      <c r="H1882" s="3"/>
      <c r="I1882" s="3"/>
      <c r="J1882" s="288"/>
      <c r="L1882" s="288"/>
      <c r="M1882" s="288"/>
      <c r="N1882" s="288"/>
      <c r="O1882" s="288"/>
      <c r="P1882" s="288"/>
      <c r="Q1882" s="288"/>
      <c r="R1882" s="283"/>
      <c r="S1882" s="280"/>
      <c r="T1882" s="276"/>
      <c r="U1882" s="276"/>
      <c r="V1882" s="276"/>
      <c r="W1882" s="283"/>
      <c r="X1882" s="280"/>
      <c r="Y1882" s="280"/>
      <c r="Z1882" s="280"/>
      <c r="AA1882" s="280"/>
      <c r="AB1882" s="280"/>
      <c r="AC1882" s="280"/>
      <c r="AD1882" s="280"/>
      <c r="AG1882" s="3"/>
      <c r="AH1882" s="3"/>
      <c r="AI1882" s="3"/>
      <c r="AJ1882" s="3"/>
      <c r="AK1882" s="3"/>
      <c r="AL1882" s="3"/>
      <c r="AM1882" s="3"/>
      <c r="AN1882" s="3"/>
      <c r="AO1882" s="3"/>
      <c r="AP1882" s="11"/>
      <c r="AQ1882" s="11"/>
      <c r="AR1882" s="3"/>
      <c r="AS1882" s="3"/>
      <c r="AT1882" s="3"/>
      <c r="AU1882" s="3"/>
      <c r="AV1882" s="3"/>
      <c r="AW1882" s="3"/>
      <c r="AX1882" s="11"/>
      <c r="AZ1882"/>
      <c r="BA1882"/>
      <c r="BB1882"/>
      <c r="BC1882"/>
    </row>
    <row r="1883" spans="1:55" s="282" customFormat="1" x14ac:dyDescent="0.25">
      <c r="A1883"/>
      <c r="B1883"/>
      <c r="C1883" s="3"/>
      <c r="D1883"/>
      <c r="E1883"/>
      <c r="F1883"/>
      <c r="G1883" s="3"/>
      <c r="H1883" s="3"/>
      <c r="I1883" s="3"/>
      <c r="J1883" s="288"/>
      <c r="L1883" s="288"/>
      <c r="M1883" s="288"/>
      <c r="N1883" s="288"/>
      <c r="O1883" s="288"/>
      <c r="P1883" s="288"/>
      <c r="Q1883" s="288"/>
      <c r="R1883" s="283"/>
      <c r="S1883" s="280"/>
      <c r="T1883" s="276"/>
      <c r="U1883" s="276"/>
      <c r="V1883" s="276"/>
      <c r="W1883" s="283"/>
      <c r="X1883" s="280"/>
      <c r="Y1883" s="280"/>
      <c r="Z1883" s="280"/>
      <c r="AA1883" s="280"/>
      <c r="AB1883" s="280"/>
      <c r="AC1883" s="280"/>
      <c r="AD1883" s="280"/>
      <c r="AG1883" s="3"/>
      <c r="AH1883" s="3"/>
      <c r="AI1883" s="3"/>
      <c r="AJ1883" s="3"/>
      <c r="AK1883" s="3"/>
      <c r="AL1883" s="3"/>
      <c r="AM1883" s="3"/>
      <c r="AN1883" s="3"/>
      <c r="AO1883" s="3"/>
      <c r="AP1883" s="11"/>
      <c r="AQ1883" s="11"/>
      <c r="AR1883" s="3"/>
      <c r="AS1883" s="3"/>
      <c r="AT1883" s="3"/>
      <c r="AU1883" s="3"/>
      <c r="AV1883" s="3"/>
      <c r="AW1883" s="3"/>
      <c r="AX1883" s="11"/>
      <c r="AZ1883"/>
      <c r="BA1883"/>
      <c r="BB1883"/>
      <c r="BC1883"/>
    </row>
    <row r="1884" spans="1:55" s="282" customFormat="1" x14ac:dyDescent="0.25">
      <c r="A1884"/>
      <c r="B1884"/>
      <c r="C1884" s="3"/>
      <c r="D1884"/>
      <c r="E1884"/>
      <c r="F1884"/>
      <c r="G1884" s="3"/>
      <c r="H1884" s="3"/>
      <c r="I1884" s="3"/>
      <c r="J1884" s="288"/>
      <c r="L1884" s="288"/>
      <c r="M1884" s="288"/>
      <c r="N1884" s="288"/>
      <c r="O1884" s="288"/>
      <c r="P1884" s="288"/>
      <c r="Q1884" s="288"/>
      <c r="R1884" s="283"/>
      <c r="S1884" s="280"/>
      <c r="T1884" s="276"/>
      <c r="U1884" s="276"/>
      <c r="V1884" s="276"/>
      <c r="W1884" s="283"/>
      <c r="X1884" s="280"/>
      <c r="Y1884" s="280"/>
      <c r="Z1884" s="280"/>
      <c r="AA1884" s="280"/>
      <c r="AB1884" s="280"/>
      <c r="AC1884" s="280"/>
      <c r="AD1884" s="280"/>
      <c r="AG1884" s="3"/>
      <c r="AH1884" s="3"/>
      <c r="AI1884" s="3"/>
      <c r="AJ1884" s="3"/>
      <c r="AK1884" s="3"/>
      <c r="AL1884" s="3"/>
      <c r="AM1884" s="3"/>
      <c r="AN1884" s="3"/>
      <c r="AO1884" s="3"/>
      <c r="AP1884" s="11"/>
      <c r="AQ1884" s="11"/>
      <c r="AR1884" s="3"/>
      <c r="AS1884" s="3"/>
      <c r="AT1884" s="3"/>
      <c r="AU1884" s="3"/>
      <c r="AV1884" s="3"/>
      <c r="AW1884" s="3"/>
      <c r="AX1884" s="11"/>
      <c r="AZ1884"/>
      <c r="BA1884"/>
      <c r="BB1884"/>
      <c r="BC1884"/>
    </row>
    <row r="1885" spans="1:55" s="282" customFormat="1" x14ac:dyDescent="0.25">
      <c r="A1885"/>
      <c r="B1885"/>
      <c r="C1885" s="3"/>
      <c r="D1885"/>
      <c r="E1885"/>
      <c r="F1885"/>
      <c r="G1885" s="3"/>
      <c r="H1885" s="3"/>
      <c r="I1885" s="3"/>
      <c r="J1885" s="288"/>
      <c r="L1885" s="288"/>
      <c r="M1885" s="288"/>
      <c r="N1885" s="288"/>
      <c r="O1885" s="288"/>
      <c r="P1885" s="288"/>
      <c r="Q1885" s="288"/>
      <c r="R1885" s="283"/>
      <c r="S1885" s="280"/>
      <c r="T1885" s="276"/>
      <c r="U1885" s="276"/>
      <c r="V1885" s="276"/>
      <c r="W1885" s="283"/>
      <c r="X1885" s="280"/>
      <c r="Y1885" s="280"/>
      <c r="Z1885" s="280"/>
      <c r="AA1885" s="280"/>
      <c r="AB1885" s="280"/>
      <c r="AC1885" s="280"/>
      <c r="AD1885" s="280"/>
      <c r="AG1885" s="3"/>
      <c r="AH1885" s="3"/>
      <c r="AI1885" s="3"/>
      <c r="AJ1885" s="3"/>
      <c r="AK1885" s="3"/>
      <c r="AL1885" s="3"/>
      <c r="AM1885" s="3"/>
      <c r="AN1885" s="3"/>
      <c r="AO1885" s="3"/>
      <c r="AP1885" s="11"/>
      <c r="AQ1885" s="11"/>
      <c r="AR1885" s="3"/>
      <c r="AS1885" s="3"/>
      <c r="AT1885" s="3"/>
      <c r="AU1885" s="3"/>
      <c r="AV1885" s="3"/>
      <c r="AW1885" s="3"/>
      <c r="AX1885" s="11"/>
      <c r="AZ1885"/>
      <c r="BA1885"/>
      <c r="BB1885"/>
      <c r="BC1885"/>
    </row>
    <row r="1886" spans="1:55" s="282" customFormat="1" x14ac:dyDescent="0.25">
      <c r="A1886"/>
      <c r="B1886"/>
      <c r="C1886" s="3"/>
      <c r="D1886"/>
      <c r="E1886"/>
      <c r="F1886"/>
      <c r="G1886" s="3"/>
      <c r="H1886" s="3"/>
      <c r="I1886" s="3"/>
      <c r="J1886" s="288"/>
      <c r="L1886" s="288"/>
      <c r="M1886" s="288"/>
      <c r="N1886" s="288"/>
      <c r="O1886" s="288"/>
      <c r="P1886" s="288"/>
      <c r="Q1886" s="288"/>
      <c r="R1886" s="283"/>
      <c r="S1886" s="280"/>
      <c r="T1886" s="276"/>
      <c r="U1886" s="276"/>
      <c r="V1886" s="276"/>
      <c r="W1886" s="283"/>
      <c r="X1886" s="280"/>
      <c r="Y1886" s="280"/>
      <c r="Z1886" s="280"/>
      <c r="AA1886" s="280"/>
      <c r="AB1886" s="280"/>
      <c r="AC1886" s="280"/>
      <c r="AD1886" s="280"/>
      <c r="AG1886" s="3"/>
      <c r="AH1886" s="3"/>
      <c r="AI1886" s="3"/>
      <c r="AJ1886" s="3"/>
      <c r="AK1886" s="3"/>
      <c r="AL1886" s="3"/>
      <c r="AM1886" s="3"/>
      <c r="AN1886" s="3"/>
      <c r="AO1886" s="3"/>
      <c r="AP1886" s="11"/>
      <c r="AQ1886" s="11"/>
      <c r="AR1886" s="3"/>
      <c r="AS1886" s="3"/>
      <c r="AT1886" s="3"/>
      <c r="AU1886" s="3"/>
      <c r="AV1886" s="3"/>
      <c r="AW1886" s="3"/>
      <c r="AX1886" s="11"/>
      <c r="AZ1886"/>
      <c r="BA1886"/>
      <c r="BB1886"/>
      <c r="BC1886"/>
    </row>
    <row r="1887" spans="1:55" s="282" customFormat="1" x14ac:dyDescent="0.25">
      <c r="A1887"/>
      <c r="B1887"/>
      <c r="C1887" s="3"/>
      <c r="D1887"/>
      <c r="E1887"/>
      <c r="F1887"/>
      <c r="G1887" s="3"/>
      <c r="H1887" s="3"/>
      <c r="I1887" s="3"/>
      <c r="J1887" s="288"/>
      <c r="L1887" s="288"/>
      <c r="M1887" s="288"/>
      <c r="N1887" s="288"/>
      <c r="O1887" s="288"/>
      <c r="P1887" s="288"/>
      <c r="Q1887" s="288"/>
      <c r="R1887" s="283"/>
      <c r="S1887" s="280"/>
      <c r="T1887" s="276"/>
      <c r="U1887" s="276"/>
      <c r="V1887" s="276"/>
      <c r="W1887" s="283"/>
      <c r="X1887" s="280"/>
      <c r="Y1887" s="280"/>
      <c r="Z1887" s="280"/>
      <c r="AA1887" s="280"/>
      <c r="AB1887" s="280"/>
      <c r="AC1887" s="280"/>
      <c r="AD1887" s="280"/>
      <c r="AG1887" s="3"/>
      <c r="AH1887" s="3"/>
      <c r="AI1887" s="3"/>
      <c r="AJ1887" s="3"/>
      <c r="AK1887" s="3"/>
      <c r="AL1887" s="3"/>
      <c r="AM1887" s="3"/>
      <c r="AN1887" s="3"/>
      <c r="AO1887" s="3"/>
      <c r="AP1887" s="11"/>
      <c r="AQ1887" s="11"/>
      <c r="AR1887" s="3"/>
      <c r="AS1887" s="3"/>
      <c r="AT1887" s="3"/>
      <c r="AU1887" s="3"/>
      <c r="AV1887" s="3"/>
      <c r="AW1887" s="3"/>
      <c r="AX1887" s="11"/>
      <c r="AZ1887"/>
      <c r="BA1887"/>
      <c r="BB1887"/>
      <c r="BC1887"/>
    </row>
    <row r="1888" spans="1:55" s="282" customFormat="1" x14ac:dyDescent="0.25">
      <c r="A1888"/>
      <c r="B1888"/>
      <c r="C1888" s="3"/>
      <c r="D1888"/>
      <c r="E1888"/>
      <c r="F1888"/>
      <c r="G1888" s="3"/>
      <c r="H1888" s="3"/>
      <c r="I1888" s="3"/>
      <c r="J1888" s="288"/>
      <c r="L1888" s="288"/>
      <c r="M1888" s="288"/>
      <c r="N1888" s="288"/>
      <c r="O1888" s="288"/>
      <c r="P1888" s="288"/>
      <c r="Q1888" s="288"/>
      <c r="R1888" s="283"/>
      <c r="S1888" s="280"/>
      <c r="T1888" s="276"/>
      <c r="U1888" s="276"/>
      <c r="V1888" s="276"/>
      <c r="W1888" s="283"/>
      <c r="X1888" s="280"/>
      <c r="Y1888" s="280"/>
      <c r="Z1888" s="280"/>
      <c r="AA1888" s="280"/>
      <c r="AB1888" s="280"/>
      <c r="AC1888" s="280"/>
      <c r="AD1888" s="280"/>
      <c r="AG1888" s="3"/>
      <c r="AH1888" s="3"/>
      <c r="AI1888" s="3"/>
      <c r="AJ1888" s="3"/>
      <c r="AK1888" s="3"/>
      <c r="AL1888" s="3"/>
      <c r="AM1888" s="3"/>
      <c r="AN1888" s="3"/>
      <c r="AO1888" s="3"/>
      <c r="AP1888" s="11"/>
      <c r="AQ1888" s="11"/>
      <c r="AR1888" s="3"/>
      <c r="AS1888" s="3"/>
      <c r="AT1888" s="3"/>
      <c r="AU1888" s="3"/>
      <c r="AV1888" s="3"/>
      <c r="AW1888" s="3"/>
      <c r="AX1888" s="11"/>
      <c r="AZ1888"/>
      <c r="BA1888"/>
      <c r="BB1888"/>
      <c r="BC1888"/>
    </row>
    <row r="1889" spans="1:55" s="282" customFormat="1" x14ac:dyDescent="0.25">
      <c r="A1889"/>
      <c r="B1889"/>
      <c r="C1889" s="3"/>
      <c r="D1889"/>
      <c r="E1889"/>
      <c r="F1889"/>
      <c r="G1889" s="3"/>
      <c r="H1889" s="3"/>
      <c r="I1889" s="3"/>
      <c r="J1889" s="288"/>
      <c r="L1889" s="288"/>
      <c r="M1889" s="288"/>
      <c r="N1889" s="288"/>
      <c r="O1889" s="288"/>
      <c r="P1889" s="288"/>
      <c r="Q1889" s="288"/>
      <c r="R1889" s="283"/>
      <c r="S1889" s="280"/>
      <c r="T1889" s="276"/>
      <c r="U1889" s="276"/>
      <c r="V1889" s="276"/>
      <c r="W1889" s="283"/>
      <c r="X1889" s="280"/>
      <c r="Y1889" s="280"/>
      <c r="Z1889" s="280"/>
      <c r="AA1889" s="280"/>
      <c r="AB1889" s="280"/>
      <c r="AC1889" s="280"/>
      <c r="AD1889" s="280"/>
      <c r="AG1889" s="3"/>
      <c r="AH1889" s="3"/>
      <c r="AI1889" s="3"/>
      <c r="AJ1889" s="3"/>
      <c r="AK1889" s="3"/>
      <c r="AL1889" s="3"/>
      <c r="AM1889" s="3"/>
      <c r="AN1889" s="3"/>
      <c r="AO1889" s="3"/>
      <c r="AP1889" s="11"/>
      <c r="AQ1889" s="11"/>
      <c r="AR1889" s="3"/>
      <c r="AS1889" s="3"/>
      <c r="AT1889" s="3"/>
      <c r="AU1889" s="3"/>
      <c r="AV1889" s="3"/>
      <c r="AW1889" s="3"/>
      <c r="AX1889" s="11"/>
      <c r="AZ1889"/>
      <c r="BA1889"/>
      <c r="BB1889"/>
      <c r="BC1889"/>
    </row>
    <row r="1890" spans="1:55" s="282" customFormat="1" x14ac:dyDescent="0.25">
      <c r="A1890"/>
      <c r="B1890"/>
      <c r="C1890" s="3"/>
      <c r="D1890"/>
      <c r="E1890"/>
      <c r="F1890"/>
      <c r="G1890" s="3"/>
      <c r="H1890" s="3"/>
      <c r="I1890" s="3"/>
      <c r="J1890" s="288"/>
      <c r="L1890" s="288"/>
      <c r="M1890" s="288"/>
      <c r="N1890" s="288"/>
      <c r="O1890" s="288"/>
      <c r="P1890" s="288"/>
      <c r="Q1890" s="288"/>
      <c r="R1890" s="283"/>
      <c r="S1890" s="280"/>
      <c r="T1890" s="276"/>
      <c r="U1890" s="276"/>
      <c r="V1890" s="276"/>
      <c r="W1890" s="283"/>
      <c r="X1890" s="280"/>
      <c r="Y1890" s="280"/>
      <c r="Z1890" s="280"/>
      <c r="AA1890" s="280"/>
      <c r="AB1890" s="280"/>
      <c r="AC1890" s="280"/>
      <c r="AD1890" s="280"/>
      <c r="AG1890" s="3"/>
      <c r="AH1890" s="3"/>
      <c r="AI1890" s="3"/>
      <c r="AJ1890" s="3"/>
      <c r="AK1890" s="3"/>
      <c r="AL1890" s="3"/>
      <c r="AM1890" s="3"/>
      <c r="AN1890" s="3"/>
      <c r="AO1890" s="3"/>
      <c r="AP1890" s="11"/>
      <c r="AQ1890" s="11"/>
      <c r="AR1890" s="3"/>
      <c r="AS1890" s="3"/>
      <c r="AT1890" s="3"/>
      <c r="AU1890" s="3"/>
      <c r="AV1890" s="3"/>
      <c r="AW1890" s="3"/>
      <c r="AX1890" s="11"/>
      <c r="AZ1890"/>
      <c r="BA1890"/>
      <c r="BB1890"/>
      <c r="BC1890"/>
    </row>
    <row r="1891" spans="1:55" s="282" customFormat="1" x14ac:dyDescent="0.25">
      <c r="A1891"/>
      <c r="B1891"/>
      <c r="C1891" s="3"/>
      <c r="D1891"/>
      <c r="E1891"/>
      <c r="F1891"/>
      <c r="G1891" s="3"/>
      <c r="H1891" s="3"/>
      <c r="I1891" s="3"/>
      <c r="J1891" s="288"/>
      <c r="L1891" s="288"/>
      <c r="M1891" s="288"/>
      <c r="N1891" s="288"/>
      <c r="O1891" s="288"/>
      <c r="P1891" s="288"/>
      <c r="Q1891" s="288"/>
      <c r="R1891" s="283"/>
      <c r="S1891" s="280"/>
      <c r="T1891" s="276"/>
      <c r="U1891" s="276"/>
      <c r="V1891" s="276"/>
      <c r="W1891" s="283"/>
      <c r="X1891" s="280"/>
      <c r="Y1891" s="280"/>
      <c r="Z1891" s="280"/>
      <c r="AA1891" s="280"/>
      <c r="AB1891" s="280"/>
      <c r="AC1891" s="280"/>
      <c r="AD1891" s="280"/>
      <c r="AG1891" s="3"/>
      <c r="AH1891" s="3"/>
      <c r="AI1891" s="3"/>
      <c r="AJ1891" s="3"/>
      <c r="AK1891" s="3"/>
      <c r="AL1891" s="3"/>
      <c r="AM1891" s="3"/>
      <c r="AN1891" s="3"/>
      <c r="AO1891" s="3"/>
      <c r="AP1891" s="11"/>
      <c r="AQ1891" s="11"/>
      <c r="AR1891" s="3"/>
      <c r="AS1891" s="3"/>
      <c r="AT1891" s="3"/>
      <c r="AU1891" s="3"/>
      <c r="AV1891" s="3"/>
      <c r="AW1891" s="3"/>
      <c r="AX1891" s="11"/>
      <c r="AZ1891"/>
      <c r="BA1891"/>
      <c r="BB1891"/>
      <c r="BC1891"/>
    </row>
    <row r="1892" spans="1:55" s="282" customFormat="1" x14ac:dyDescent="0.25">
      <c r="A1892"/>
      <c r="B1892"/>
      <c r="C1892" s="3"/>
      <c r="D1892"/>
      <c r="E1892"/>
      <c r="F1892"/>
      <c r="G1892" s="3"/>
      <c r="H1892" s="3"/>
      <c r="I1892" s="3"/>
      <c r="J1892" s="288"/>
      <c r="L1892" s="288"/>
      <c r="M1892" s="288"/>
      <c r="N1892" s="288"/>
      <c r="O1892" s="288"/>
      <c r="P1892" s="288"/>
      <c r="Q1892" s="288"/>
      <c r="R1892" s="283"/>
      <c r="S1892" s="280"/>
      <c r="T1892" s="276"/>
      <c r="U1892" s="276"/>
      <c r="V1892" s="276"/>
      <c r="W1892" s="283"/>
      <c r="X1892" s="280"/>
      <c r="Y1892" s="280"/>
      <c r="Z1892" s="280"/>
      <c r="AA1892" s="280"/>
      <c r="AB1892" s="280"/>
      <c r="AC1892" s="280"/>
      <c r="AD1892" s="280"/>
      <c r="AG1892" s="3"/>
      <c r="AH1892" s="3"/>
      <c r="AI1892" s="3"/>
      <c r="AJ1892" s="3"/>
      <c r="AK1892" s="3"/>
      <c r="AL1892" s="3"/>
      <c r="AM1892" s="3"/>
      <c r="AN1892" s="3"/>
      <c r="AO1892" s="3"/>
      <c r="AP1892" s="11"/>
      <c r="AQ1892" s="11"/>
      <c r="AR1892" s="3"/>
      <c r="AS1892" s="3"/>
      <c r="AT1892" s="3"/>
      <c r="AU1892" s="3"/>
      <c r="AV1892" s="3"/>
      <c r="AW1892" s="3"/>
      <c r="AX1892" s="11"/>
      <c r="AZ1892"/>
      <c r="BA1892"/>
      <c r="BB1892"/>
      <c r="BC1892"/>
    </row>
    <row r="1893" spans="1:55" s="282" customFormat="1" x14ac:dyDescent="0.25">
      <c r="A1893"/>
      <c r="B1893"/>
      <c r="C1893" s="3"/>
      <c r="D1893"/>
      <c r="E1893"/>
      <c r="F1893"/>
      <c r="G1893" s="3"/>
      <c r="H1893" s="3"/>
      <c r="I1893" s="3"/>
      <c r="J1893" s="288"/>
      <c r="L1893" s="288"/>
      <c r="M1893" s="288"/>
      <c r="N1893" s="288"/>
      <c r="O1893" s="288"/>
      <c r="P1893" s="288"/>
      <c r="Q1893" s="288"/>
      <c r="R1893" s="283"/>
      <c r="S1893" s="280"/>
      <c r="T1893" s="276"/>
      <c r="U1893" s="276"/>
      <c r="V1893" s="276"/>
      <c r="W1893" s="283"/>
      <c r="X1893" s="280"/>
      <c r="Y1893" s="280"/>
      <c r="Z1893" s="280"/>
      <c r="AA1893" s="280"/>
      <c r="AB1893" s="280"/>
      <c r="AC1893" s="280"/>
      <c r="AD1893" s="280"/>
      <c r="AG1893" s="3"/>
      <c r="AH1893" s="3"/>
      <c r="AI1893" s="3"/>
      <c r="AJ1893" s="3"/>
      <c r="AK1893" s="3"/>
      <c r="AL1893" s="3"/>
      <c r="AM1893" s="3"/>
      <c r="AN1893" s="3"/>
      <c r="AO1893" s="3"/>
      <c r="AP1893" s="11"/>
      <c r="AQ1893" s="11"/>
      <c r="AR1893" s="3"/>
      <c r="AS1893" s="3"/>
      <c r="AT1893" s="3"/>
      <c r="AU1893" s="3"/>
      <c r="AV1893" s="3"/>
      <c r="AW1893" s="3"/>
      <c r="AX1893" s="11"/>
      <c r="AZ1893"/>
      <c r="BA1893"/>
      <c r="BB1893"/>
      <c r="BC1893"/>
    </row>
    <row r="1894" spans="1:55" s="282" customFormat="1" x14ac:dyDescent="0.25">
      <c r="A1894"/>
      <c r="B1894"/>
      <c r="C1894" s="3"/>
      <c r="D1894"/>
      <c r="E1894"/>
      <c r="F1894"/>
      <c r="G1894" s="3"/>
      <c r="H1894" s="3"/>
      <c r="I1894" s="3"/>
      <c r="J1894" s="288"/>
      <c r="L1894" s="288"/>
      <c r="M1894" s="288"/>
      <c r="N1894" s="288"/>
      <c r="O1894" s="288"/>
      <c r="P1894" s="288"/>
      <c r="Q1894" s="288"/>
      <c r="R1894" s="283"/>
      <c r="S1894" s="280"/>
      <c r="T1894" s="276"/>
      <c r="U1894" s="276"/>
      <c r="V1894" s="276"/>
      <c r="W1894" s="283"/>
      <c r="X1894" s="280"/>
      <c r="Y1894" s="280"/>
      <c r="Z1894" s="280"/>
      <c r="AA1894" s="280"/>
      <c r="AB1894" s="280"/>
      <c r="AC1894" s="280"/>
      <c r="AD1894" s="280"/>
      <c r="AG1894" s="3"/>
      <c r="AH1894" s="3"/>
      <c r="AI1894" s="3"/>
      <c r="AJ1894" s="3"/>
      <c r="AK1894" s="3"/>
      <c r="AL1894" s="3"/>
      <c r="AM1894" s="3"/>
      <c r="AN1894" s="3"/>
      <c r="AO1894" s="3"/>
      <c r="AP1894" s="11"/>
      <c r="AQ1894" s="11"/>
      <c r="AR1894" s="3"/>
      <c r="AS1894" s="3"/>
      <c r="AT1894" s="3"/>
      <c r="AU1894" s="3"/>
      <c r="AV1894" s="3"/>
      <c r="AW1894" s="3"/>
      <c r="AX1894" s="11"/>
      <c r="AZ1894"/>
      <c r="BA1894"/>
      <c r="BB1894"/>
      <c r="BC1894"/>
    </row>
    <row r="1895" spans="1:55" s="282" customFormat="1" x14ac:dyDescent="0.25">
      <c r="A1895"/>
      <c r="B1895"/>
      <c r="C1895" s="3"/>
      <c r="D1895"/>
      <c r="E1895"/>
      <c r="F1895"/>
      <c r="G1895" s="3"/>
      <c r="H1895" s="3"/>
      <c r="I1895" s="3"/>
      <c r="J1895" s="288"/>
      <c r="L1895" s="288"/>
      <c r="M1895" s="288"/>
      <c r="N1895" s="288"/>
      <c r="O1895" s="288"/>
      <c r="P1895" s="288"/>
      <c r="Q1895" s="288"/>
      <c r="R1895" s="283"/>
      <c r="S1895" s="280"/>
      <c r="T1895" s="276"/>
      <c r="U1895" s="276"/>
      <c r="V1895" s="276"/>
      <c r="W1895" s="283"/>
      <c r="X1895" s="280"/>
      <c r="Y1895" s="280"/>
      <c r="Z1895" s="280"/>
      <c r="AA1895" s="280"/>
      <c r="AB1895" s="280"/>
      <c r="AC1895" s="280"/>
      <c r="AD1895" s="280"/>
      <c r="AG1895" s="3"/>
      <c r="AH1895" s="3"/>
      <c r="AI1895" s="3"/>
      <c r="AJ1895" s="3"/>
      <c r="AK1895" s="3"/>
      <c r="AL1895" s="3"/>
      <c r="AM1895" s="3"/>
      <c r="AN1895" s="3"/>
      <c r="AO1895" s="3"/>
      <c r="AP1895" s="11"/>
      <c r="AQ1895" s="11"/>
      <c r="AR1895" s="3"/>
      <c r="AS1895" s="3"/>
      <c r="AT1895" s="3"/>
      <c r="AU1895" s="3"/>
      <c r="AV1895" s="3"/>
      <c r="AW1895" s="3"/>
      <c r="AX1895" s="11"/>
      <c r="AZ1895"/>
      <c r="BA1895"/>
      <c r="BB1895"/>
      <c r="BC1895"/>
    </row>
    <row r="1896" spans="1:55" s="282" customFormat="1" x14ac:dyDescent="0.25">
      <c r="A1896"/>
      <c r="B1896"/>
      <c r="C1896" s="3"/>
      <c r="D1896"/>
      <c r="E1896"/>
      <c r="F1896"/>
      <c r="G1896" s="3"/>
      <c r="H1896" s="3"/>
      <c r="I1896" s="3"/>
      <c r="J1896" s="288"/>
      <c r="L1896" s="288"/>
      <c r="M1896" s="288"/>
      <c r="N1896" s="288"/>
      <c r="O1896" s="288"/>
      <c r="P1896" s="288"/>
      <c r="Q1896" s="288"/>
      <c r="R1896" s="283"/>
      <c r="S1896" s="280"/>
      <c r="T1896" s="276"/>
      <c r="U1896" s="276"/>
      <c r="V1896" s="276"/>
      <c r="W1896" s="283"/>
      <c r="X1896" s="280"/>
      <c r="Y1896" s="280"/>
      <c r="Z1896" s="280"/>
      <c r="AA1896" s="280"/>
      <c r="AB1896" s="280"/>
      <c r="AC1896" s="280"/>
      <c r="AD1896" s="280"/>
      <c r="AG1896" s="3"/>
      <c r="AH1896" s="3"/>
      <c r="AI1896" s="3"/>
      <c r="AJ1896" s="3"/>
      <c r="AK1896" s="3"/>
      <c r="AL1896" s="3"/>
      <c r="AM1896" s="3"/>
      <c r="AN1896" s="3"/>
      <c r="AO1896" s="3"/>
      <c r="AP1896" s="11"/>
      <c r="AQ1896" s="11"/>
      <c r="AR1896" s="3"/>
      <c r="AS1896" s="3"/>
      <c r="AT1896" s="3"/>
      <c r="AU1896" s="3"/>
      <c r="AV1896" s="3"/>
      <c r="AW1896" s="3"/>
      <c r="AX1896" s="11"/>
      <c r="AZ1896"/>
      <c r="BA1896"/>
      <c r="BB1896"/>
      <c r="BC1896"/>
    </row>
    <row r="1897" spans="1:55" s="282" customFormat="1" x14ac:dyDescent="0.25">
      <c r="A1897"/>
      <c r="B1897"/>
      <c r="C1897" s="3"/>
      <c r="D1897"/>
      <c r="E1897"/>
      <c r="F1897"/>
      <c r="G1897" s="3"/>
      <c r="H1897" s="3"/>
      <c r="I1897" s="3"/>
      <c r="J1897" s="288"/>
      <c r="L1897" s="288"/>
      <c r="M1897" s="288"/>
      <c r="N1897" s="288"/>
      <c r="O1897" s="288"/>
      <c r="P1897" s="288"/>
      <c r="Q1897" s="288"/>
      <c r="R1897" s="283"/>
      <c r="S1897" s="280"/>
      <c r="T1897" s="276"/>
      <c r="U1897" s="276"/>
      <c r="V1897" s="276"/>
      <c r="W1897" s="283"/>
      <c r="X1897" s="280"/>
      <c r="Y1897" s="280"/>
      <c r="Z1897" s="280"/>
      <c r="AA1897" s="280"/>
      <c r="AB1897" s="280"/>
      <c r="AC1897" s="280"/>
      <c r="AD1897" s="280"/>
      <c r="AG1897" s="3"/>
      <c r="AH1897" s="3"/>
      <c r="AI1897" s="3"/>
      <c r="AJ1897" s="3"/>
      <c r="AK1897" s="3"/>
      <c r="AL1897" s="3"/>
      <c r="AM1897" s="3"/>
      <c r="AN1897" s="3"/>
      <c r="AO1897" s="3"/>
      <c r="AP1897" s="11"/>
      <c r="AQ1897" s="11"/>
      <c r="AR1897" s="3"/>
      <c r="AS1897" s="3"/>
      <c r="AT1897" s="3"/>
      <c r="AU1897" s="3"/>
      <c r="AV1897" s="3"/>
      <c r="AW1897" s="3"/>
      <c r="AX1897" s="11"/>
      <c r="AZ1897"/>
      <c r="BA1897"/>
      <c r="BB1897"/>
      <c r="BC1897"/>
    </row>
    <row r="1898" spans="1:55" s="282" customFormat="1" x14ac:dyDescent="0.25">
      <c r="A1898"/>
      <c r="B1898"/>
      <c r="C1898" s="3"/>
      <c r="D1898"/>
      <c r="E1898"/>
      <c r="F1898"/>
      <c r="G1898" s="3"/>
      <c r="H1898" s="3"/>
      <c r="I1898" s="3"/>
      <c r="J1898" s="288"/>
      <c r="L1898" s="288"/>
      <c r="M1898" s="288"/>
      <c r="N1898" s="288"/>
      <c r="O1898" s="288"/>
      <c r="P1898" s="288"/>
      <c r="Q1898" s="288"/>
      <c r="R1898" s="283"/>
      <c r="S1898" s="280"/>
      <c r="T1898" s="276"/>
      <c r="U1898" s="276"/>
      <c r="V1898" s="276"/>
      <c r="W1898" s="283"/>
      <c r="X1898" s="280"/>
      <c r="Y1898" s="280"/>
      <c r="Z1898" s="280"/>
      <c r="AA1898" s="280"/>
      <c r="AB1898" s="280"/>
      <c r="AC1898" s="280"/>
      <c r="AD1898" s="280"/>
      <c r="AG1898" s="3"/>
      <c r="AH1898" s="3"/>
      <c r="AI1898" s="3"/>
      <c r="AJ1898" s="3"/>
      <c r="AK1898" s="3"/>
      <c r="AL1898" s="3"/>
      <c r="AM1898" s="3"/>
      <c r="AN1898" s="3"/>
      <c r="AO1898" s="3"/>
      <c r="AP1898" s="11"/>
      <c r="AQ1898" s="11"/>
      <c r="AR1898" s="3"/>
      <c r="AS1898" s="3"/>
      <c r="AT1898" s="3"/>
      <c r="AU1898" s="3"/>
      <c r="AV1898" s="3"/>
      <c r="AW1898" s="3"/>
      <c r="AX1898" s="11"/>
      <c r="AZ1898"/>
      <c r="BA1898"/>
      <c r="BB1898"/>
      <c r="BC1898"/>
    </row>
    <row r="1899" spans="1:55" s="282" customFormat="1" x14ac:dyDescent="0.25">
      <c r="A1899"/>
      <c r="B1899"/>
      <c r="C1899" s="3"/>
      <c r="D1899"/>
      <c r="E1899"/>
      <c r="F1899"/>
      <c r="G1899" s="3"/>
      <c r="H1899" s="3"/>
      <c r="I1899" s="3"/>
      <c r="J1899" s="288"/>
      <c r="L1899" s="288"/>
      <c r="M1899" s="288"/>
      <c r="N1899" s="288"/>
      <c r="O1899" s="288"/>
      <c r="P1899" s="288"/>
      <c r="Q1899" s="288"/>
      <c r="R1899" s="283"/>
      <c r="S1899" s="280"/>
      <c r="T1899" s="276"/>
      <c r="U1899" s="276"/>
      <c r="V1899" s="276"/>
      <c r="W1899" s="283"/>
      <c r="X1899" s="280"/>
      <c r="Y1899" s="280"/>
      <c r="Z1899" s="280"/>
      <c r="AA1899" s="280"/>
      <c r="AB1899" s="280"/>
      <c r="AC1899" s="280"/>
      <c r="AD1899" s="280"/>
      <c r="AG1899" s="3"/>
      <c r="AH1899" s="3"/>
      <c r="AI1899" s="3"/>
      <c r="AJ1899" s="3"/>
      <c r="AK1899" s="3"/>
      <c r="AL1899" s="3"/>
      <c r="AM1899" s="3"/>
      <c r="AN1899" s="3"/>
      <c r="AO1899" s="3"/>
      <c r="AP1899" s="11"/>
      <c r="AQ1899" s="11"/>
      <c r="AR1899" s="3"/>
      <c r="AS1899" s="3"/>
      <c r="AT1899" s="3"/>
      <c r="AU1899" s="3"/>
      <c r="AV1899" s="3"/>
      <c r="AW1899" s="3"/>
      <c r="AX1899" s="11"/>
      <c r="AZ1899"/>
      <c r="BA1899"/>
      <c r="BB1899"/>
      <c r="BC1899"/>
    </row>
    <row r="1900" spans="1:55" s="282" customFormat="1" x14ac:dyDescent="0.25">
      <c r="A1900"/>
      <c r="B1900"/>
      <c r="C1900" s="3"/>
      <c r="D1900"/>
      <c r="E1900"/>
      <c r="F1900"/>
      <c r="G1900" s="3"/>
      <c r="H1900" s="3"/>
      <c r="I1900" s="3"/>
      <c r="J1900" s="288"/>
      <c r="L1900" s="288"/>
      <c r="M1900" s="288"/>
      <c r="N1900" s="288"/>
      <c r="O1900" s="288"/>
      <c r="P1900" s="288"/>
      <c r="Q1900" s="288"/>
      <c r="R1900" s="283"/>
      <c r="S1900" s="280"/>
      <c r="T1900" s="276"/>
      <c r="U1900" s="276"/>
      <c r="V1900" s="276"/>
      <c r="W1900" s="283"/>
      <c r="X1900" s="280"/>
      <c r="Y1900" s="280"/>
      <c r="Z1900" s="280"/>
      <c r="AA1900" s="280"/>
      <c r="AB1900" s="280"/>
      <c r="AC1900" s="280"/>
      <c r="AD1900" s="280"/>
      <c r="AG1900" s="3"/>
      <c r="AH1900" s="3"/>
      <c r="AI1900" s="3"/>
      <c r="AJ1900" s="3"/>
      <c r="AK1900" s="3"/>
      <c r="AL1900" s="3"/>
      <c r="AM1900" s="3"/>
      <c r="AN1900" s="3"/>
      <c r="AO1900" s="3"/>
      <c r="AP1900" s="11"/>
      <c r="AQ1900" s="11"/>
      <c r="AR1900" s="3"/>
      <c r="AS1900" s="3"/>
      <c r="AT1900" s="3"/>
      <c r="AU1900" s="3"/>
      <c r="AV1900" s="3"/>
      <c r="AW1900" s="3"/>
      <c r="AX1900" s="11"/>
      <c r="AZ1900"/>
      <c r="BA1900"/>
      <c r="BB1900"/>
      <c r="BC1900"/>
    </row>
    <row r="1901" spans="1:55" s="282" customFormat="1" x14ac:dyDescent="0.25">
      <c r="A1901"/>
      <c r="B1901"/>
      <c r="C1901" s="3"/>
      <c r="D1901"/>
      <c r="E1901"/>
      <c r="F1901"/>
      <c r="G1901" s="3"/>
      <c r="H1901" s="3"/>
      <c r="I1901" s="3"/>
      <c r="J1901" s="288"/>
      <c r="L1901" s="288"/>
      <c r="M1901" s="288"/>
      <c r="N1901" s="288"/>
      <c r="O1901" s="288"/>
      <c r="P1901" s="288"/>
      <c r="Q1901" s="288"/>
      <c r="R1901" s="283"/>
      <c r="S1901" s="280"/>
      <c r="T1901" s="276"/>
      <c r="U1901" s="276"/>
      <c r="V1901" s="276"/>
      <c r="W1901" s="283"/>
      <c r="X1901" s="280"/>
      <c r="Y1901" s="280"/>
      <c r="Z1901" s="280"/>
      <c r="AA1901" s="280"/>
      <c r="AB1901" s="280"/>
      <c r="AC1901" s="280"/>
      <c r="AD1901" s="280"/>
      <c r="AG1901" s="3"/>
      <c r="AH1901" s="3"/>
      <c r="AI1901" s="3"/>
      <c r="AJ1901" s="3"/>
      <c r="AK1901" s="3"/>
      <c r="AL1901" s="3"/>
      <c r="AM1901" s="3"/>
      <c r="AN1901" s="3"/>
      <c r="AO1901" s="3"/>
      <c r="AP1901" s="11"/>
      <c r="AQ1901" s="11"/>
      <c r="AR1901" s="3"/>
      <c r="AS1901" s="3"/>
      <c r="AT1901" s="3"/>
      <c r="AU1901" s="3"/>
      <c r="AV1901" s="3"/>
      <c r="AW1901" s="3"/>
      <c r="AX1901" s="11"/>
      <c r="AZ1901"/>
      <c r="BA1901"/>
      <c r="BB1901"/>
      <c r="BC1901"/>
    </row>
    <row r="1902" spans="1:55" s="282" customFormat="1" x14ac:dyDescent="0.25">
      <c r="A1902"/>
      <c r="B1902"/>
      <c r="C1902" s="3"/>
      <c r="D1902"/>
      <c r="E1902"/>
      <c r="F1902"/>
      <c r="G1902" s="3"/>
      <c r="H1902" s="3"/>
      <c r="I1902" s="3"/>
      <c r="J1902" s="288"/>
      <c r="L1902" s="288"/>
      <c r="M1902" s="288"/>
      <c r="N1902" s="288"/>
      <c r="O1902" s="288"/>
      <c r="P1902" s="288"/>
      <c r="Q1902" s="288"/>
      <c r="R1902" s="283"/>
      <c r="S1902" s="280"/>
      <c r="T1902" s="276"/>
      <c r="U1902" s="276"/>
      <c r="V1902" s="276"/>
      <c r="W1902" s="283"/>
      <c r="X1902" s="280"/>
      <c r="Y1902" s="280"/>
      <c r="Z1902" s="280"/>
      <c r="AA1902" s="280"/>
      <c r="AB1902" s="280"/>
      <c r="AC1902" s="280"/>
      <c r="AD1902" s="280"/>
      <c r="AG1902" s="3"/>
      <c r="AH1902" s="3"/>
      <c r="AI1902" s="3"/>
      <c r="AJ1902" s="3"/>
      <c r="AK1902" s="3"/>
      <c r="AL1902" s="3"/>
      <c r="AM1902" s="3"/>
      <c r="AN1902" s="3"/>
      <c r="AO1902" s="3"/>
      <c r="AP1902" s="11"/>
      <c r="AQ1902" s="11"/>
      <c r="AR1902" s="3"/>
      <c r="AS1902" s="3"/>
      <c r="AT1902" s="3"/>
      <c r="AU1902" s="3"/>
      <c r="AV1902" s="3"/>
      <c r="AW1902" s="3"/>
      <c r="AX1902" s="11"/>
      <c r="AZ1902"/>
      <c r="BA1902"/>
      <c r="BB1902"/>
      <c r="BC1902"/>
    </row>
    <row r="1903" spans="1:55" s="282" customFormat="1" x14ac:dyDescent="0.25">
      <c r="A1903"/>
      <c r="B1903"/>
      <c r="C1903" s="3"/>
      <c r="D1903"/>
      <c r="E1903"/>
      <c r="F1903"/>
      <c r="G1903" s="3"/>
      <c r="H1903" s="3"/>
      <c r="I1903" s="3"/>
      <c r="J1903" s="288"/>
      <c r="L1903" s="288"/>
      <c r="M1903" s="288"/>
      <c r="N1903" s="288"/>
      <c r="O1903" s="288"/>
      <c r="P1903" s="288"/>
      <c r="Q1903" s="288"/>
      <c r="R1903" s="283"/>
      <c r="S1903" s="280"/>
      <c r="T1903" s="276"/>
      <c r="U1903" s="276"/>
      <c r="V1903" s="276"/>
      <c r="W1903" s="283"/>
      <c r="X1903" s="280"/>
      <c r="Y1903" s="280"/>
      <c r="Z1903" s="280"/>
      <c r="AA1903" s="280"/>
      <c r="AB1903" s="280"/>
      <c r="AC1903" s="280"/>
      <c r="AD1903" s="280"/>
      <c r="AG1903" s="3"/>
      <c r="AH1903" s="3"/>
      <c r="AI1903" s="3"/>
      <c r="AJ1903" s="3"/>
      <c r="AK1903" s="3"/>
      <c r="AL1903" s="3"/>
      <c r="AM1903" s="3"/>
      <c r="AN1903" s="3"/>
      <c r="AO1903" s="3"/>
      <c r="AP1903" s="11"/>
      <c r="AQ1903" s="11"/>
      <c r="AR1903" s="3"/>
      <c r="AS1903" s="3"/>
      <c r="AT1903" s="3"/>
      <c r="AU1903" s="3"/>
      <c r="AV1903" s="3"/>
      <c r="AW1903" s="3"/>
      <c r="AX1903" s="11"/>
      <c r="AZ1903"/>
      <c r="BA1903"/>
      <c r="BB1903"/>
      <c r="BC1903"/>
    </row>
    <row r="1904" spans="1:55" s="282" customFormat="1" x14ac:dyDescent="0.25">
      <c r="A1904"/>
      <c r="B1904"/>
      <c r="C1904" s="3"/>
      <c r="D1904"/>
      <c r="E1904"/>
      <c r="F1904"/>
      <c r="G1904" s="3"/>
      <c r="H1904" s="3"/>
      <c r="I1904" s="3"/>
      <c r="J1904" s="288"/>
      <c r="L1904" s="288"/>
      <c r="M1904" s="288"/>
      <c r="N1904" s="288"/>
      <c r="O1904" s="288"/>
      <c r="P1904" s="288"/>
      <c r="Q1904" s="288"/>
      <c r="R1904" s="283"/>
      <c r="S1904" s="280"/>
      <c r="T1904" s="276"/>
      <c r="U1904" s="276"/>
      <c r="V1904" s="276"/>
      <c r="W1904" s="283"/>
      <c r="X1904" s="280"/>
      <c r="Y1904" s="280"/>
      <c r="Z1904" s="280"/>
      <c r="AA1904" s="280"/>
      <c r="AB1904" s="280"/>
      <c r="AC1904" s="280"/>
      <c r="AD1904" s="280"/>
      <c r="AG1904" s="3"/>
      <c r="AH1904" s="3"/>
      <c r="AI1904" s="3"/>
      <c r="AJ1904" s="3"/>
      <c r="AK1904" s="3"/>
      <c r="AL1904" s="3"/>
      <c r="AM1904" s="3"/>
      <c r="AN1904" s="3"/>
      <c r="AO1904" s="3"/>
      <c r="AP1904" s="11"/>
      <c r="AQ1904" s="11"/>
      <c r="AR1904" s="3"/>
      <c r="AS1904" s="3"/>
      <c r="AT1904" s="3"/>
      <c r="AU1904" s="3"/>
      <c r="AV1904" s="3"/>
      <c r="AW1904" s="3"/>
      <c r="AX1904" s="11"/>
      <c r="AZ1904"/>
      <c r="BA1904"/>
      <c r="BB1904"/>
      <c r="BC1904"/>
    </row>
    <row r="1905" spans="1:55" s="282" customFormat="1" x14ac:dyDescent="0.25">
      <c r="A1905"/>
      <c r="B1905"/>
      <c r="C1905" s="3"/>
      <c r="D1905"/>
      <c r="E1905"/>
      <c r="F1905"/>
      <c r="G1905" s="3"/>
      <c r="H1905" s="3"/>
      <c r="I1905" s="3"/>
      <c r="J1905" s="288"/>
      <c r="L1905" s="288"/>
      <c r="M1905" s="288"/>
      <c r="N1905" s="288"/>
      <c r="O1905" s="288"/>
      <c r="P1905" s="288"/>
      <c r="Q1905" s="288"/>
      <c r="R1905" s="283"/>
      <c r="S1905" s="280"/>
      <c r="T1905" s="276"/>
      <c r="U1905" s="276"/>
      <c r="V1905" s="276"/>
      <c r="W1905" s="283"/>
      <c r="X1905" s="280"/>
      <c r="Y1905" s="280"/>
      <c r="Z1905" s="280"/>
      <c r="AA1905" s="280"/>
      <c r="AB1905" s="280"/>
      <c r="AC1905" s="280"/>
      <c r="AD1905" s="280"/>
      <c r="AG1905" s="3"/>
      <c r="AH1905" s="3"/>
      <c r="AI1905" s="3"/>
      <c r="AJ1905" s="3"/>
      <c r="AK1905" s="3"/>
      <c r="AL1905" s="3"/>
      <c r="AM1905" s="3"/>
      <c r="AN1905" s="3"/>
      <c r="AO1905" s="3"/>
      <c r="AP1905" s="11"/>
      <c r="AQ1905" s="11"/>
      <c r="AR1905" s="3"/>
      <c r="AS1905" s="3"/>
      <c r="AT1905" s="3"/>
      <c r="AU1905" s="3"/>
      <c r="AV1905" s="3"/>
      <c r="AW1905" s="3"/>
      <c r="AX1905" s="11"/>
      <c r="AZ1905"/>
      <c r="BA1905"/>
      <c r="BB1905"/>
      <c r="BC1905"/>
    </row>
    <row r="1906" spans="1:55" s="282" customFormat="1" x14ac:dyDescent="0.25">
      <c r="A1906"/>
      <c r="B1906"/>
      <c r="C1906" s="3"/>
      <c r="D1906"/>
      <c r="E1906"/>
      <c r="F1906"/>
      <c r="G1906" s="3"/>
      <c r="H1906" s="3"/>
      <c r="I1906" s="3"/>
      <c r="J1906" s="288"/>
      <c r="L1906" s="288"/>
      <c r="M1906" s="288"/>
      <c r="N1906" s="288"/>
      <c r="O1906" s="288"/>
      <c r="P1906" s="288"/>
      <c r="Q1906" s="288"/>
      <c r="R1906" s="283"/>
      <c r="S1906" s="280"/>
      <c r="T1906" s="276"/>
      <c r="U1906" s="276"/>
      <c r="V1906" s="276"/>
      <c r="W1906" s="283"/>
      <c r="X1906" s="280"/>
      <c r="Y1906" s="280"/>
      <c r="Z1906" s="280"/>
      <c r="AA1906" s="280"/>
      <c r="AB1906" s="280"/>
      <c r="AC1906" s="280"/>
      <c r="AD1906" s="280"/>
      <c r="AG1906" s="3"/>
      <c r="AH1906" s="3"/>
      <c r="AI1906" s="3"/>
      <c r="AJ1906" s="3"/>
      <c r="AK1906" s="3"/>
      <c r="AL1906" s="3"/>
      <c r="AM1906" s="3"/>
      <c r="AN1906" s="3"/>
      <c r="AO1906" s="3"/>
      <c r="AP1906" s="11"/>
      <c r="AQ1906" s="11"/>
      <c r="AR1906" s="3"/>
      <c r="AS1906" s="3"/>
      <c r="AT1906" s="3"/>
      <c r="AU1906" s="3"/>
      <c r="AV1906" s="3"/>
      <c r="AW1906" s="3"/>
      <c r="AX1906" s="11"/>
      <c r="AZ1906"/>
      <c r="BA1906"/>
      <c r="BB1906"/>
      <c r="BC1906"/>
    </row>
    <row r="1907" spans="1:55" s="282" customFormat="1" x14ac:dyDescent="0.25">
      <c r="A1907"/>
      <c r="B1907"/>
      <c r="C1907" s="3"/>
      <c r="D1907"/>
      <c r="E1907"/>
      <c r="F1907"/>
      <c r="G1907" s="3"/>
      <c r="H1907" s="3"/>
      <c r="I1907" s="3"/>
      <c r="J1907" s="288"/>
      <c r="L1907" s="288"/>
      <c r="M1907" s="288"/>
      <c r="N1907" s="288"/>
      <c r="O1907" s="288"/>
      <c r="P1907" s="288"/>
      <c r="Q1907" s="288"/>
      <c r="R1907" s="283"/>
      <c r="S1907" s="280"/>
      <c r="T1907" s="276"/>
      <c r="U1907" s="276"/>
      <c r="V1907" s="276"/>
      <c r="W1907" s="283"/>
      <c r="X1907" s="280"/>
      <c r="Y1907" s="280"/>
      <c r="Z1907" s="280"/>
      <c r="AA1907" s="280"/>
      <c r="AB1907" s="280"/>
      <c r="AC1907" s="280"/>
      <c r="AD1907" s="280"/>
      <c r="AG1907" s="3"/>
      <c r="AH1907" s="3"/>
      <c r="AI1907" s="3"/>
      <c r="AJ1907" s="3"/>
      <c r="AK1907" s="3"/>
      <c r="AL1907" s="3"/>
      <c r="AM1907" s="3"/>
      <c r="AN1907" s="3"/>
      <c r="AO1907" s="3"/>
      <c r="AP1907" s="11"/>
      <c r="AQ1907" s="11"/>
      <c r="AR1907" s="3"/>
      <c r="AS1907" s="3"/>
      <c r="AT1907" s="3"/>
      <c r="AU1907" s="3"/>
      <c r="AV1907" s="3"/>
      <c r="AW1907" s="3"/>
      <c r="AX1907" s="11"/>
      <c r="AZ1907"/>
      <c r="BA1907"/>
      <c r="BB1907"/>
      <c r="BC1907"/>
    </row>
    <row r="1908" spans="1:55" s="282" customFormat="1" x14ac:dyDescent="0.25">
      <c r="A1908"/>
      <c r="B1908"/>
      <c r="C1908" s="3"/>
      <c r="D1908"/>
      <c r="E1908"/>
      <c r="F1908"/>
      <c r="G1908" s="3"/>
      <c r="H1908" s="3"/>
      <c r="I1908" s="3"/>
      <c r="J1908" s="288"/>
      <c r="L1908" s="288"/>
      <c r="M1908" s="288"/>
      <c r="N1908" s="288"/>
      <c r="O1908" s="288"/>
      <c r="P1908" s="288"/>
      <c r="Q1908" s="288"/>
      <c r="R1908" s="283"/>
      <c r="S1908" s="280"/>
      <c r="T1908" s="276"/>
      <c r="U1908" s="276"/>
      <c r="V1908" s="276"/>
      <c r="W1908" s="283"/>
      <c r="X1908" s="280"/>
      <c r="Y1908" s="280"/>
      <c r="Z1908" s="280"/>
      <c r="AA1908" s="280"/>
      <c r="AB1908" s="280"/>
      <c r="AC1908" s="280"/>
      <c r="AD1908" s="280"/>
      <c r="AG1908" s="3"/>
      <c r="AH1908" s="3"/>
      <c r="AI1908" s="3"/>
      <c r="AJ1908" s="3"/>
      <c r="AK1908" s="3"/>
      <c r="AL1908" s="3"/>
      <c r="AM1908" s="3"/>
      <c r="AN1908" s="3"/>
      <c r="AO1908" s="3"/>
      <c r="AP1908" s="11"/>
      <c r="AQ1908" s="11"/>
      <c r="AR1908" s="3"/>
      <c r="AS1908" s="3"/>
      <c r="AT1908" s="3"/>
      <c r="AU1908" s="3"/>
      <c r="AV1908" s="3"/>
      <c r="AW1908" s="3"/>
      <c r="AX1908" s="11"/>
      <c r="AZ1908"/>
      <c r="BA1908"/>
      <c r="BB1908"/>
      <c r="BC1908"/>
    </row>
    <row r="1909" spans="1:55" s="282" customFormat="1" x14ac:dyDescent="0.25">
      <c r="A1909"/>
      <c r="B1909"/>
      <c r="C1909" s="3"/>
      <c r="D1909"/>
      <c r="E1909"/>
      <c r="F1909"/>
      <c r="G1909" s="3"/>
      <c r="H1909" s="3"/>
      <c r="I1909" s="3"/>
      <c r="J1909" s="288"/>
      <c r="L1909" s="288"/>
      <c r="M1909" s="288"/>
      <c r="N1909" s="288"/>
      <c r="O1909" s="288"/>
      <c r="P1909" s="288"/>
      <c r="Q1909" s="288"/>
      <c r="R1909" s="283"/>
      <c r="S1909" s="280"/>
      <c r="T1909" s="276"/>
      <c r="U1909" s="276"/>
      <c r="V1909" s="276"/>
      <c r="W1909" s="283"/>
      <c r="X1909" s="280"/>
      <c r="Y1909" s="280"/>
      <c r="Z1909" s="280"/>
      <c r="AA1909" s="280"/>
      <c r="AB1909" s="280"/>
      <c r="AC1909" s="280"/>
      <c r="AD1909" s="280"/>
      <c r="AG1909" s="3"/>
      <c r="AH1909" s="3"/>
      <c r="AI1909" s="3"/>
      <c r="AJ1909" s="3"/>
      <c r="AK1909" s="3"/>
      <c r="AL1909" s="3"/>
      <c r="AM1909" s="3"/>
      <c r="AN1909" s="3"/>
      <c r="AO1909" s="3"/>
      <c r="AP1909" s="11"/>
      <c r="AQ1909" s="11"/>
      <c r="AR1909" s="3"/>
      <c r="AS1909" s="3"/>
      <c r="AT1909" s="3"/>
      <c r="AU1909" s="3"/>
      <c r="AV1909" s="3"/>
      <c r="AW1909" s="3"/>
      <c r="AX1909" s="11"/>
      <c r="AZ1909"/>
      <c r="BA1909"/>
      <c r="BB1909"/>
      <c r="BC1909"/>
    </row>
    <row r="1910" spans="1:55" s="282" customFormat="1" x14ac:dyDescent="0.25">
      <c r="A1910"/>
      <c r="B1910"/>
      <c r="C1910" s="3"/>
      <c r="D1910"/>
      <c r="E1910"/>
      <c r="F1910"/>
      <c r="G1910" s="3"/>
      <c r="H1910" s="3"/>
      <c r="I1910" s="3"/>
      <c r="J1910" s="288"/>
      <c r="L1910" s="288"/>
      <c r="M1910" s="288"/>
      <c r="N1910" s="288"/>
      <c r="O1910" s="288"/>
      <c r="P1910" s="288"/>
      <c r="Q1910" s="288"/>
      <c r="R1910" s="283"/>
      <c r="S1910" s="280"/>
      <c r="T1910" s="276"/>
      <c r="U1910" s="276"/>
      <c r="V1910" s="276"/>
      <c r="W1910" s="283"/>
      <c r="X1910" s="280"/>
      <c r="Y1910" s="280"/>
      <c r="Z1910" s="280"/>
      <c r="AA1910" s="280"/>
      <c r="AB1910" s="280"/>
      <c r="AC1910" s="280"/>
      <c r="AD1910" s="280"/>
      <c r="AG1910" s="3"/>
      <c r="AH1910" s="3"/>
      <c r="AI1910" s="3"/>
      <c r="AJ1910" s="3"/>
      <c r="AK1910" s="3"/>
      <c r="AL1910" s="3"/>
      <c r="AM1910" s="3"/>
      <c r="AN1910" s="3"/>
      <c r="AO1910" s="3"/>
      <c r="AP1910" s="11"/>
      <c r="AQ1910" s="11"/>
      <c r="AR1910" s="3"/>
      <c r="AS1910" s="3"/>
      <c r="AT1910" s="3"/>
      <c r="AU1910" s="3"/>
      <c r="AV1910" s="3"/>
      <c r="AW1910" s="3"/>
      <c r="AX1910" s="11"/>
      <c r="AZ1910"/>
      <c r="BA1910"/>
      <c r="BB1910"/>
      <c r="BC1910"/>
    </row>
    <row r="1911" spans="1:55" s="282" customFormat="1" x14ac:dyDescent="0.25">
      <c r="A1911"/>
      <c r="B1911"/>
      <c r="C1911" s="3"/>
      <c r="D1911"/>
      <c r="E1911"/>
      <c r="F1911"/>
      <c r="G1911" s="3"/>
      <c r="H1911" s="3"/>
      <c r="I1911" s="3"/>
      <c r="J1911" s="288"/>
      <c r="L1911" s="288"/>
      <c r="M1911" s="288"/>
      <c r="N1911" s="288"/>
      <c r="O1911" s="288"/>
      <c r="P1911" s="288"/>
      <c r="Q1911" s="288"/>
      <c r="R1911" s="283"/>
      <c r="S1911" s="280"/>
      <c r="T1911" s="276"/>
      <c r="U1911" s="276"/>
      <c r="V1911" s="276"/>
      <c r="W1911" s="283"/>
      <c r="X1911" s="280"/>
      <c r="Y1911" s="280"/>
      <c r="Z1911" s="280"/>
      <c r="AA1911" s="280"/>
      <c r="AB1911" s="280"/>
      <c r="AC1911" s="280"/>
      <c r="AD1911" s="280"/>
      <c r="AG1911" s="3"/>
      <c r="AH1911" s="3"/>
      <c r="AI1911" s="3"/>
      <c r="AJ1911" s="3"/>
      <c r="AK1911" s="3"/>
      <c r="AL1911" s="3"/>
      <c r="AM1911" s="3"/>
      <c r="AN1911" s="3"/>
      <c r="AO1911" s="3"/>
      <c r="AP1911" s="11"/>
      <c r="AQ1911" s="11"/>
      <c r="AR1911" s="3"/>
      <c r="AS1911" s="3"/>
      <c r="AT1911" s="3"/>
      <c r="AU1911" s="3"/>
      <c r="AV1911" s="3"/>
      <c r="AW1911" s="3"/>
      <c r="AX1911" s="11"/>
      <c r="AZ1911"/>
      <c r="BA1911"/>
      <c r="BB1911"/>
      <c r="BC1911"/>
    </row>
    <row r="1912" spans="1:55" s="282" customFormat="1" x14ac:dyDescent="0.25">
      <c r="A1912"/>
      <c r="B1912"/>
      <c r="C1912" s="3"/>
      <c r="D1912"/>
      <c r="E1912"/>
      <c r="F1912"/>
      <c r="G1912" s="3"/>
      <c r="H1912" s="3"/>
      <c r="I1912" s="3"/>
      <c r="J1912" s="288"/>
      <c r="L1912" s="288"/>
      <c r="M1912" s="288"/>
      <c r="N1912" s="288"/>
      <c r="O1912" s="288"/>
      <c r="P1912" s="288"/>
      <c r="Q1912" s="288"/>
      <c r="R1912" s="283"/>
      <c r="S1912" s="280"/>
      <c r="T1912" s="276"/>
      <c r="U1912" s="276"/>
      <c r="V1912" s="276"/>
      <c r="W1912" s="283"/>
      <c r="X1912" s="280"/>
      <c r="Y1912" s="280"/>
      <c r="Z1912" s="280"/>
      <c r="AA1912" s="280"/>
      <c r="AB1912" s="280"/>
      <c r="AC1912" s="280"/>
      <c r="AD1912" s="280"/>
      <c r="AG1912" s="3"/>
      <c r="AH1912" s="3"/>
      <c r="AI1912" s="3"/>
      <c r="AJ1912" s="3"/>
      <c r="AK1912" s="3"/>
      <c r="AL1912" s="3"/>
      <c r="AM1912" s="3"/>
      <c r="AN1912" s="3"/>
      <c r="AO1912" s="3"/>
      <c r="AP1912" s="11"/>
      <c r="AQ1912" s="11"/>
      <c r="AR1912" s="3"/>
      <c r="AS1912" s="3"/>
      <c r="AT1912" s="3"/>
      <c r="AU1912" s="3"/>
      <c r="AV1912" s="3"/>
      <c r="AW1912" s="3"/>
      <c r="AX1912" s="11"/>
      <c r="AZ1912"/>
      <c r="BA1912"/>
      <c r="BB1912"/>
      <c r="BC1912"/>
    </row>
    <row r="1913" spans="1:55" s="282" customFormat="1" x14ac:dyDescent="0.25">
      <c r="A1913"/>
      <c r="B1913"/>
      <c r="C1913" s="3"/>
      <c r="D1913"/>
      <c r="E1913"/>
      <c r="F1913"/>
      <c r="G1913" s="3"/>
      <c r="H1913" s="3"/>
      <c r="I1913" s="3"/>
      <c r="J1913" s="288"/>
      <c r="L1913" s="288"/>
      <c r="M1913" s="288"/>
      <c r="N1913" s="288"/>
      <c r="O1913" s="288"/>
      <c r="P1913" s="288"/>
      <c r="Q1913" s="288"/>
      <c r="R1913" s="283"/>
      <c r="S1913" s="280"/>
      <c r="T1913" s="276"/>
      <c r="U1913" s="276"/>
      <c r="V1913" s="276"/>
      <c r="W1913" s="283"/>
      <c r="X1913" s="280"/>
      <c r="Y1913" s="280"/>
      <c r="Z1913" s="280"/>
      <c r="AA1913" s="280"/>
      <c r="AB1913" s="280"/>
      <c r="AC1913" s="280"/>
      <c r="AD1913" s="280"/>
      <c r="AG1913" s="3"/>
      <c r="AH1913" s="3"/>
      <c r="AI1913" s="3"/>
      <c r="AJ1913" s="3"/>
      <c r="AK1913" s="3"/>
      <c r="AL1913" s="3"/>
      <c r="AM1913" s="3"/>
      <c r="AN1913" s="3"/>
      <c r="AO1913" s="3"/>
      <c r="AP1913" s="11"/>
      <c r="AQ1913" s="11"/>
      <c r="AR1913" s="3"/>
      <c r="AS1913" s="3"/>
      <c r="AT1913" s="3"/>
      <c r="AU1913" s="3"/>
      <c r="AV1913" s="3"/>
      <c r="AW1913" s="3"/>
      <c r="AX1913" s="11"/>
      <c r="AZ1913"/>
      <c r="BA1913"/>
      <c r="BB1913"/>
      <c r="BC1913"/>
    </row>
    <row r="1914" spans="1:55" s="282" customFormat="1" x14ac:dyDescent="0.25">
      <c r="A1914"/>
      <c r="B1914"/>
      <c r="C1914" s="3"/>
      <c r="D1914"/>
      <c r="E1914"/>
      <c r="F1914"/>
      <c r="G1914" s="3"/>
      <c r="H1914" s="3"/>
      <c r="I1914" s="3"/>
      <c r="J1914" s="288"/>
      <c r="L1914" s="288"/>
      <c r="M1914" s="288"/>
      <c r="N1914" s="288"/>
      <c r="O1914" s="288"/>
      <c r="P1914" s="288"/>
      <c r="Q1914" s="288"/>
      <c r="R1914" s="283"/>
      <c r="S1914" s="280"/>
      <c r="T1914" s="276"/>
      <c r="U1914" s="276"/>
      <c r="V1914" s="276"/>
      <c r="W1914" s="283"/>
      <c r="X1914" s="280"/>
      <c r="Y1914" s="280"/>
      <c r="Z1914" s="280"/>
      <c r="AA1914" s="280"/>
      <c r="AB1914" s="280"/>
      <c r="AC1914" s="280"/>
      <c r="AD1914" s="280"/>
      <c r="AG1914" s="3"/>
      <c r="AH1914" s="3"/>
      <c r="AI1914" s="3"/>
      <c r="AJ1914" s="3"/>
      <c r="AK1914" s="3"/>
      <c r="AL1914" s="3"/>
      <c r="AM1914" s="3"/>
      <c r="AN1914" s="3"/>
      <c r="AO1914" s="3"/>
      <c r="AP1914" s="11"/>
      <c r="AQ1914" s="11"/>
      <c r="AR1914" s="3"/>
      <c r="AS1914" s="3"/>
      <c r="AT1914" s="3"/>
      <c r="AU1914" s="3"/>
      <c r="AV1914" s="3"/>
      <c r="AW1914" s="3"/>
      <c r="AX1914" s="11"/>
      <c r="AZ1914"/>
      <c r="BA1914"/>
      <c r="BB1914"/>
      <c r="BC1914"/>
    </row>
    <row r="1915" spans="1:55" s="282" customFormat="1" x14ac:dyDescent="0.25">
      <c r="A1915"/>
      <c r="B1915"/>
      <c r="C1915" s="3"/>
      <c r="D1915"/>
      <c r="E1915"/>
      <c r="F1915"/>
      <c r="G1915" s="3"/>
      <c r="H1915" s="3"/>
      <c r="I1915" s="3"/>
      <c r="J1915" s="288"/>
      <c r="L1915" s="288"/>
      <c r="M1915" s="288"/>
      <c r="N1915" s="288"/>
      <c r="O1915" s="288"/>
      <c r="P1915" s="288"/>
      <c r="Q1915" s="288"/>
      <c r="R1915" s="283"/>
      <c r="S1915" s="280"/>
      <c r="T1915" s="276"/>
      <c r="U1915" s="276"/>
      <c r="V1915" s="276"/>
      <c r="W1915" s="283"/>
      <c r="X1915" s="280"/>
      <c r="Y1915" s="280"/>
      <c r="Z1915" s="280"/>
      <c r="AA1915" s="280"/>
      <c r="AB1915" s="280"/>
      <c r="AC1915" s="280"/>
      <c r="AD1915" s="280"/>
      <c r="AG1915" s="3"/>
      <c r="AH1915" s="3"/>
      <c r="AI1915" s="3"/>
      <c r="AJ1915" s="3"/>
      <c r="AK1915" s="3"/>
      <c r="AL1915" s="3"/>
      <c r="AM1915" s="3"/>
      <c r="AN1915" s="3"/>
      <c r="AO1915" s="3"/>
      <c r="AP1915" s="11"/>
      <c r="AQ1915" s="11"/>
      <c r="AR1915" s="3"/>
      <c r="AS1915" s="3"/>
      <c r="AT1915" s="3"/>
      <c r="AU1915" s="3"/>
      <c r="AV1915" s="3"/>
      <c r="AW1915" s="3"/>
      <c r="AX1915" s="11"/>
      <c r="AZ1915"/>
      <c r="BA1915"/>
      <c r="BB1915"/>
      <c r="BC1915"/>
    </row>
    <row r="1916" spans="1:55" s="282" customFormat="1" x14ac:dyDescent="0.25">
      <c r="A1916"/>
      <c r="B1916"/>
      <c r="C1916" s="3"/>
      <c r="D1916"/>
      <c r="E1916"/>
      <c r="F1916"/>
      <c r="G1916" s="3"/>
      <c r="H1916" s="3"/>
      <c r="I1916" s="3"/>
      <c r="J1916" s="288"/>
      <c r="L1916" s="288"/>
      <c r="M1916" s="288"/>
      <c r="N1916" s="288"/>
      <c r="O1916" s="288"/>
      <c r="P1916" s="288"/>
      <c r="Q1916" s="288"/>
      <c r="R1916" s="283"/>
      <c r="S1916" s="280"/>
      <c r="T1916" s="276"/>
      <c r="U1916" s="276"/>
      <c r="V1916" s="276"/>
      <c r="W1916" s="283"/>
      <c r="X1916" s="280"/>
      <c r="Y1916" s="280"/>
      <c r="Z1916" s="280"/>
      <c r="AA1916" s="280"/>
      <c r="AB1916" s="280"/>
      <c r="AC1916" s="280"/>
      <c r="AD1916" s="280"/>
      <c r="AG1916" s="3"/>
      <c r="AH1916" s="3"/>
      <c r="AI1916" s="3"/>
      <c r="AJ1916" s="3"/>
      <c r="AK1916" s="3"/>
      <c r="AL1916" s="3"/>
      <c r="AM1916" s="3"/>
      <c r="AN1916" s="3"/>
      <c r="AO1916" s="3"/>
      <c r="AP1916" s="11"/>
      <c r="AQ1916" s="11"/>
      <c r="AR1916" s="3"/>
      <c r="AS1916" s="3"/>
      <c r="AT1916" s="3"/>
      <c r="AU1916" s="3"/>
      <c r="AV1916" s="3"/>
      <c r="AW1916" s="3"/>
      <c r="AX1916" s="11"/>
      <c r="AZ1916"/>
      <c r="BA1916"/>
      <c r="BB1916"/>
      <c r="BC1916"/>
    </row>
    <row r="1917" spans="1:55" s="282" customFormat="1" x14ac:dyDescent="0.25">
      <c r="A1917"/>
      <c r="B1917"/>
      <c r="C1917" s="3"/>
      <c r="D1917"/>
      <c r="E1917"/>
      <c r="F1917"/>
      <c r="G1917" s="3"/>
      <c r="H1917" s="3"/>
      <c r="I1917" s="3"/>
      <c r="J1917" s="288"/>
      <c r="L1917" s="288"/>
      <c r="M1917" s="288"/>
      <c r="N1917" s="288"/>
      <c r="O1917" s="288"/>
      <c r="P1917" s="288"/>
      <c r="Q1917" s="288"/>
      <c r="R1917" s="283"/>
      <c r="S1917" s="280"/>
      <c r="T1917" s="276"/>
      <c r="U1917" s="276"/>
      <c r="V1917" s="276"/>
      <c r="W1917" s="283"/>
      <c r="X1917" s="280"/>
      <c r="Y1917" s="280"/>
      <c r="Z1917" s="280"/>
      <c r="AA1917" s="280"/>
      <c r="AB1917" s="280"/>
      <c r="AC1917" s="280"/>
      <c r="AD1917" s="280"/>
      <c r="AG1917" s="3"/>
      <c r="AH1917" s="3"/>
      <c r="AI1917" s="3"/>
      <c r="AJ1917" s="3"/>
      <c r="AK1917" s="3"/>
      <c r="AL1917" s="3"/>
      <c r="AM1917" s="3"/>
      <c r="AN1917" s="3"/>
      <c r="AO1917" s="3"/>
      <c r="AP1917" s="11"/>
      <c r="AQ1917" s="11"/>
      <c r="AR1917" s="3"/>
      <c r="AS1917" s="3"/>
      <c r="AT1917" s="3"/>
      <c r="AU1917" s="3"/>
      <c r="AV1917" s="3"/>
      <c r="AW1917" s="3"/>
      <c r="AX1917" s="11"/>
      <c r="AZ1917"/>
      <c r="BA1917"/>
      <c r="BB1917"/>
      <c r="BC1917"/>
    </row>
    <row r="1918" spans="1:55" s="282" customFormat="1" x14ac:dyDescent="0.25">
      <c r="A1918"/>
      <c r="B1918"/>
      <c r="C1918" s="3"/>
      <c r="D1918"/>
      <c r="E1918"/>
      <c r="F1918"/>
      <c r="G1918" s="3"/>
      <c r="H1918" s="3"/>
      <c r="I1918" s="3"/>
      <c r="J1918" s="288"/>
      <c r="L1918" s="288"/>
      <c r="M1918" s="288"/>
      <c r="N1918" s="288"/>
      <c r="O1918" s="288"/>
      <c r="P1918" s="288"/>
      <c r="Q1918" s="288"/>
      <c r="R1918" s="283"/>
      <c r="S1918" s="280"/>
      <c r="T1918" s="276"/>
      <c r="U1918" s="276"/>
      <c r="V1918" s="276"/>
      <c r="W1918" s="283"/>
      <c r="X1918" s="280"/>
      <c r="Y1918" s="280"/>
      <c r="Z1918" s="280"/>
      <c r="AA1918" s="280"/>
      <c r="AB1918" s="280"/>
      <c r="AC1918" s="280"/>
      <c r="AD1918" s="280"/>
      <c r="AG1918" s="3"/>
      <c r="AH1918" s="3"/>
      <c r="AI1918" s="3"/>
      <c r="AJ1918" s="3"/>
      <c r="AK1918" s="3"/>
      <c r="AL1918" s="3"/>
      <c r="AM1918" s="3"/>
      <c r="AN1918" s="3"/>
      <c r="AO1918" s="3"/>
      <c r="AP1918" s="11"/>
      <c r="AQ1918" s="11"/>
      <c r="AR1918" s="3"/>
      <c r="AS1918" s="3"/>
      <c r="AT1918" s="3"/>
      <c r="AU1918" s="3"/>
      <c r="AV1918" s="3"/>
      <c r="AW1918" s="3"/>
      <c r="AX1918" s="11"/>
      <c r="AZ1918"/>
      <c r="BA1918"/>
      <c r="BB1918"/>
      <c r="BC1918"/>
    </row>
    <row r="1919" spans="1:55" s="282" customFormat="1" x14ac:dyDescent="0.25">
      <c r="A1919"/>
      <c r="B1919"/>
      <c r="C1919" s="3"/>
      <c r="D1919"/>
      <c r="E1919"/>
      <c r="F1919"/>
      <c r="G1919" s="3"/>
      <c r="H1919" s="3"/>
      <c r="I1919" s="3"/>
      <c r="J1919" s="288"/>
      <c r="L1919" s="288"/>
      <c r="M1919" s="288"/>
      <c r="N1919" s="288"/>
      <c r="O1919" s="288"/>
      <c r="P1919" s="288"/>
      <c r="Q1919" s="288"/>
      <c r="R1919" s="283"/>
      <c r="S1919" s="280"/>
      <c r="T1919" s="276"/>
      <c r="U1919" s="276"/>
      <c r="V1919" s="276"/>
      <c r="W1919" s="283"/>
      <c r="X1919" s="280"/>
      <c r="Y1919" s="280"/>
      <c r="Z1919" s="280"/>
      <c r="AA1919" s="280"/>
      <c r="AB1919" s="280"/>
      <c r="AC1919" s="280"/>
      <c r="AD1919" s="280"/>
      <c r="AG1919" s="3"/>
      <c r="AH1919" s="3"/>
      <c r="AI1919" s="3"/>
      <c r="AJ1919" s="3"/>
      <c r="AK1919" s="3"/>
      <c r="AL1919" s="3"/>
      <c r="AM1919" s="3"/>
      <c r="AN1919" s="3"/>
      <c r="AO1919" s="3"/>
      <c r="AP1919" s="11"/>
      <c r="AQ1919" s="11"/>
      <c r="AR1919" s="3"/>
      <c r="AS1919" s="3"/>
      <c r="AT1919" s="3"/>
      <c r="AU1919" s="3"/>
      <c r="AV1919" s="3"/>
      <c r="AW1919" s="3"/>
      <c r="AX1919" s="11"/>
      <c r="AZ1919"/>
      <c r="BA1919"/>
      <c r="BB1919"/>
      <c r="BC1919"/>
    </row>
    <row r="1920" spans="1:55" s="282" customFormat="1" x14ac:dyDescent="0.25">
      <c r="A1920"/>
      <c r="B1920"/>
      <c r="C1920" s="3"/>
      <c r="D1920"/>
      <c r="E1920"/>
      <c r="F1920"/>
      <c r="G1920" s="3"/>
      <c r="H1920" s="3"/>
      <c r="I1920" s="3"/>
      <c r="J1920" s="288"/>
      <c r="L1920" s="288"/>
      <c r="M1920" s="288"/>
      <c r="N1920" s="288"/>
      <c r="O1920" s="288"/>
      <c r="P1920" s="288"/>
      <c r="Q1920" s="288"/>
      <c r="R1920" s="283"/>
      <c r="S1920" s="280"/>
      <c r="T1920" s="276"/>
      <c r="U1920" s="276"/>
      <c r="V1920" s="276"/>
      <c r="W1920" s="283"/>
      <c r="X1920" s="280"/>
      <c r="Y1920" s="280"/>
      <c r="Z1920" s="280"/>
      <c r="AA1920" s="280"/>
      <c r="AB1920" s="280"/>
      <c r="AC1920" s="280"/>
      <c r="AD1920" s="280"/>
      <c r="AG1920" s="3"/>
      <c r="AH1920" s="3"/>
      <c r="AI1920" s="3"/>
      <c r="AJ1920" s="3"/>
      <c r="AK1920" s="3"/>
      <c r="AL1920" s="3"/>
      <c r="AM1920" s="3"/>
      <c r="AN1920" s="3"/>
      <c r="AO1920" s="3"/>
      <c r="AP1920" s="11"/>
      <c r="AQ1920" s="11"/>
      <c r="AR1920" s="3"/>
      <c r="AS1920" s="3"/>
      <c r="AT1920" s="3"/>
      <c r="AU1920" s="3"/>
      <c r="AV1920" s="3"/>
      <c r="AW1920" s="3"/>
      <c r="AX1920" s="11"/>
      <c r="AZ1920"/>
      <c r="BA1920"/>
      <c r="BB1920"/>
      <c r="BC1920"/>
    </row>
    <row r="1921" spans="1:55" s="282" customFormat="1" x14ac:dyDescent="0.25">
      <c r="A1921"/>
      <c r="B1921"/>
      <c r="C1921" s="3"/>
      <c r="D1921"/>
      <c r="E1921"/>
      <c r="F1921"/>
      <c r="G1921" s="3"/>
      <c r="H1921" s="3"/>
      <c r="I1921" s="3"/>
      <c r="J1921" s="288"/>
      <c r="L1921" s="288"/>
      <c r="M1921" s="288"/>
      <c r="N1921" s="288"/>
      <c r="O1921" s="288"/>
      <c r="P1921" s="288"/>
      <c r="Q1921" s="288"/>
      <c r="R1921" s="283"/>
      <c r="S1921" s="280"/>
      <c r="T1921" s="276"/>
      <c r="U1921" s="276"/>
      <c r="V1921" s="276"/>
      <c r="W1921" s="283"/>
      <c r="X1921" s="280"/>
      <c r="Y1921" s="280"/>
      <c r="Z1921" s="280"/>
      <c r="AA1921" s="280"/>
      <c r="AB1921" s="280"/>
      <c r="AC1921" s="280"/>
      <c r="AD1921" s="280"/>
      <c r="AG1921" s="3"/>
      <c r="AH1921" s="3"/>
      <c r="AI1921" s="3"/>
      <c r="AJ1921" s="3"/>
      <c r="AK1921" s="3"/>
      <c r="AL1921" s="3"/>
      <c r="AM1921" s="3"/>
      <c r="AN1921" s="3"/>
      <c r="AO1921" s="3"/>
      <c r="AP1921" s="11"/>
      <c r="AQ1921" s="11"/>
      <c r="AR1921" s="3"/>
      <c r="AS1921" s="3"/>
      <c r="AT1921" s="3"/>
      <c r="AU1921" s="3"/>
      <c r="AV1921" s="3"/>
      <c r="AW1921" s="3"/>
      <c r="AX1921" s="11"/>
      <c r="AZ1921"/>
      <c r="BA1921"/>
      <c r="BB1921"/>
      <c r="BC1921"/>
    </row>
    <row r="1922" spans="1:55" s="282" customFormat="1" x14ac:dyDescent="0.25">
      <c r="A1922"/>
      <c r="B1922"/>
      <c r="C1922" s="3"/>
      <c r="D1922"/>
      <c r="E1922"/>
      <c r="F1922"/>
      <c r="G1922" s="3"/>
      <c r="H1922" s="3"/>
      <c r="I1922" s="3"/>
      <c r="J1922" s="288"/>
      <c r="L1922" s="288"/>
      <c r="M1922" s="288"/>
      <c r="N1922" s="288"/>
      <c r="O1922" s="288"/>
      <c r="P1922" s="288"/>
      <c r="Q1922" s="288"/>
      <c r="R1922" s="283"/>
      <c r="S1922" s="280"/>
      <c r="T1922" s="276"/>
      <c r="U1922" s="276"/>
      <c r="V1922" s="276"/>
      <c r="W1922" s="283"/>
      <c r="X1922" s="280"/>
      <c r="Y1922" s="280"/>
      <c r="Z1922" s="280"/>
      <c r="AA1922" s="280"/>
      <c r="AB1922" s="280"/>
      <c r="AC1922" s="280"/>
      <c r="AD1922" s="280"/>
      <c r="AG1922" s="3"/>
      <c r="AH1922" s="3"/>
      <c r="AI1922" s="3"/>
      <c r="AJ1922" s="3"/>
      <c r="AK1922" s="3"/>
      <c r="AL1922" s="3"/>
      <c r="AM1922" s="3"/>
      <c r="AN1922" s="3"/>
      <c r="AO1922" s="3"/>
      <c r="AP1922" s="11"/>
      <c r="AQ1922" s="11"/>
      <c r="AR1922" s="3"/>
      <c r="AS1922" s="3"/>
      <c r="AT1922" s="3"/>
      <c r="AU1922" s="3"/>
      <c r="AV1922" s="3"/>
      <c r="AW1922" s="3"/>
      <c r="AX1922" s="11"/>
      <c r="AZ1922"/>
      <c r="BA1922"/>
      <c r="BB1922"/>
      <c r="BC1922"/>
    </row>
    <row r="1923" spans="1:55" s="282" customFormat="1" x14ac:dyDescent="0.25">
      <c r="A1923"/>
      <c r="B1923"/>
      <c r="C1923" s="3"/>
      <c r="D1923"/>
      <c r="E1923"/>
      <c r="F1923"/>
      <c r="G1923" s="3"/>
      <c r="H1923" s="3"/>
      <c r="I1923" s="3"/>
      <c r="J1923" s="288"/>
      <c r="L1923" s="288"/>
      <c r="M1923" s="288"/>
      <c r="N1923" s="288"/>
      <c r="O1923" s="288"/>
      <c r="P1923" s="288"/>
      <c r="Q1923" s="288"/>
      <c r="R1923" s="283"/>
      <c r="S1923" s="280"/>
      <c r="T1923" s="276"/>
      <c r="U1923" s="276"/>
      <c r="V1923" s="276"/>
      <c r="W1923" s="283"/>
      <c r="X1923" s="280"/>
      <c r="Y1923" s="280"/>
      <c r="Z1923" s="280"/>
      <c r="AA1923" s="280"/>
      <c r="AB1923" s="280"/>
      <c r="AC1923" s="280"/>
      <c r="AD1923" s="280"/>
      <c r="AG1923" s="3"/>
      <c r="AH1923" s="3"/>
      <c r="AI1923" s="3"/>
      <c r="AJ1923" s="3"/>
      <c r="AK1923" s="3"/>
      <c r="AL1923" s="3"/>
      <c r="AM1923" s="3"/>
      <c r="AN1923" s="3"/>
      <c r="AO1923" s="3"/>
      <c r="AP1923" s="11"/>
      <c r="AQ1923" s="11"/>
      <c r="AR1923" s="3"/>
      <c r="AS1923" s="3"/>
      <c r="AT1923" s="3"/>
      <c r="AU1923" s="3"/>
      <c r="AV1923" s="3"/>
      <c r="AW1923" s="3"/>
      <c r="AX1923" s="11"/>
      <c r="AZ1923"/>
      <c r="BA1923"/>
      <c r="BB1923"/>
      <c r="BC1923"/>
    </row>
    <row r="1924" spans="1:55" s="282" customFormat="1" x14ac:dyDescent="0.25">
      <c r="A1924"/>
      <c r="B1924"/>
      <c r="C1924" s="3"/>
      <c r="D1924"/>
      <c r="E1924"/>
      <c r="F1924"/>
      <c r="G1924" s="3"/>
      <c r="H1924" s="3"/>
      <c r="I1924" s="3"/>
      <c r="J1924" s="288"/>
      <c r="L1924" s="288"/>
      <c r="M1924" s="288"/>
      <c r="N1924" s="288"/>
      <c r="O1924" s="288"/>
      <c r="P1924" s="288"/>
      <c r="Q1924" s="288"/>
      <c r="R1924" s="283"/>
      <c r="S1924" s="280"/>
      <c r="T1924" s="276"/>
      <c r="U1924" s="276"/>
      <c r="V1924" s="276"/>
      <c r="W1924" s="283"/>
      <c r="X1924" s="280"/>
      <c r="Y1924" s="280"/>
      <c r="Z1924" s="280"/>
      <c r="AA1924" s="280"/>
      <c r="AB1924" s="280"/>
      <c r="AC1924" s="280"/>
      <c r="AD1924" s="280"/>
      <c r="AG1924" s="3"/>
      <c r="AH1924" s="3"/>
      <c r="AI1924" s="3"/>
      <c r="AJ1924" s="3"/>
      <c r="AK1924" s="3"/>
      <c r="AL1924" s="3"/>
      <c r="AM1924" s="3"/>
      <c r="AN1924" s="3"/>
      <c r="AO1924" s="3"/>
      <c r="AP1924" s="11"/>
      <c r="AQ1924" s="11"/>
      <c r="AR1924" s="3"/>
      <c r="AS1924" s="3"/>
      <c r="AT1924" s="3"/>
      <c r="AU1924" s="3"/>
      <c r="AV1924" s="3"/>
      <c r="AW1924" s="3"/>
      <c r="AX1924" s="11"/>
      <c r="AZ1924"/>
      <c r="BA1924"/>
      <c r="BB1924"/>
      <c r="BC1924"/>
    </row>
    <row r="1925" spans="1:55" s="282" customFormat="1" x14ac:dyDescent="0.25">
      <c r="A1925"/>
      <c r="B1925"/>
      <c r="C1925" s="3"/>
      <c r="D1925"/>
      <c r="E1925"/>
      <c r="F1925"/>
      <c r="G1925" s="3"/>
      <c r="H1925" s="3"/>
      <c r="I1925" s="3"/>
      <c r="J1925" s="288"/>
      <c r="L1925" s="288"/>
      <c r="M1925" s="288"/>
      <c r="N1925" s="288"/>
      <c r="O1925" s="288"/>
      <c r="P1925" s="288"/>
      <c r="Q1925" s="288"/>
      <c r="R1925" s="283"/>
      <c r="S1925" s="280"/>
      <c r="T1925" s="276"/>
      <c r="U1925" s="276"/>
      <c r="V1925" s="276"/>
      <c r="W1925" s="283"/>
      <c r="X1925" s="280"/>
      <c r="Y1925" s="280"/>
      <c r="Z1925" s="280"/>
      <c r="AA1925" s="280"/>
      <c r="AB1925" s="280"/>
      <c r="AC1925" s="280"/>
      <c r="AD1925" s="280"/>
      <c r="AG1925" s="3"/>
      <c r="AH1925" s="3"/>
      <c r="AI1925" s="3"/>
      <c r="AJ1925" s="3"/>
      <c r="AK1925" s="3"/>
      <c r="AL1925" s="3"/>
      <c r="AM1925" s="3"/>
      <c r="AN1925" s="3"/>
      <c r="AO1925" s="3"/>
      <c r="AP1925" s="11"/>
      <c r="AQ1925" s="11"/>
      <c r="AR1925" s="3"/>
      <c r="AS1925" s="3"/>
      <c r="AT1925" s="3"/>
      <c r="AU1925" s="3"/>
      <c r="AV1925" s="3"/>
      <c r="AW1925" s="3"/>
      <c r="AX1925" s="11"/>
      <c r="AZ1925"/>
      <c r="BA1925"/>
      <c r="BB1925"/>
      <c r="BC1925"/>
    </row>
    <row r="1926" spans="1:55" s="282" customFormat="1" x14ac:dyDescent="0.25">
      <c r="A1926"/>
      <c r="B1926"/>
      <c r="C1926" s="3"/>
      <c r="D1926"/>
      <c r="E1926"/>
      <c r="F1926"/>
      <c r="G1926" s="3"/>
      <c r="H1926" s="3"/>
      <c r="I1926" s="3"/>
      <c r="J1926" s="288"/>
      <c r="L1926" s="288"/>
      <c r="M1926" s="288"/>
      <c r="N1926" s="288"/>
      <c r="O1926" s="288"/>
      <c r="P1926" s="288"/>
      <c r="Q1926" s="288"/>
      <c r="R1926" s="283"/>
      <c r="S1926" s="280"/>
      <c r="T1926" s="276"/>
      <c r="U1926" s="276"/>
      <c r="V1926" s="276"/>
      <c r="W1926" s="283"/>
      <c r="X1926" s="280"/>
      <c r="Y1926" s="280"/>
      <c r="Z1926" s="280"/>
      <c r="AA1926" s="280"/>
      <c r="AB1926" s="280"/>
      <c r="AC1926" s="280"/>
      <c r="AD1926" s="280"/>
      <c r="AG1926" s="3"/>
      <c r="AH1926" s="3"/>
      <c r="AI1926" s="3"/>
      <c r="AJ1926" s="3"/>
      <c r="AK1926" s="3"/>
      <c r="AL1926" s="3"/>
      <c r="AM1926" s="3"/>
      <c r="AN1926" s="3"/>
      <c r="AO1926" s="3"/>
      <c r="AP1926" s="11"/>
      <c r="AQ1926" s="11"/>
      <c r="AR1926" s="3"/>
      <c r="AS1926" s="3"/>
      <c r="AT1926" s="3"/>
      <c r="AU1926" s="3"/>
      <c r="AV1926" s="3"/>
      <c r="AW1926" s="3"/>
      <c r="AX1926" s="11"/>
      <c r="AZ1926"/>
      <c r="BA1926"/>
      <c r="BB1926"/>
      <c r="BC1926"/>
    </row>
    <row r="1927" spans="1:55" s="282" customFormat="1" x14ac:dyDescent="0.25">
      <c r="A1927"/>
      <c r="B1927"/>
      <c r="C1927" s="3"/>
      <c r="D1927"/>
      <c r="E1927"/>
      <c r="F1927"/>
      <c r="G1927" s="3"/>
      <c r="H1927" s="3"/>
      <c r="I1927" s="3"/>
      <c r="J1927" s="288"/>
      <c r="L1927" s="288"/>
      <c r="M1927" s="288"/>
      <c r="N1927" s="288"/>
      <c r="O1927" s="288"/>
      <c r="P1927" s="288"/>
      <c r="Q1927" s="288"/>
      <c r="R1927" s="283"/>
      <c r="S1927" s="280"/>
      <c r="T1927" s="276"/>
      <c r="U1927" s="276"/>
      <c r="V1927" s="276"/>
      <c r="W1927" s="283"/>
      <c r="X1927" s="280"/>
      <c r="Y1927" s="280"/>
      <c r="Z1927" s="280"/>
      <c r="AA1927" s="280"/>
      <c r="AB1927" s="280"/>
      <c r="AC1927" s="280"/>
      <c r="AD1927" s="280"/>
      <c r="AG1927" s="3"/>
      <c r="AH1927" s="3"/>
      <c r="AI1927" s="3"/>
      <c r="AJ1927" s="3"/>
      <c r="AK1927" s="3"/>
      <c r="AL1927" s="3"/>
      <c r="AM1927" s="3"/>
      <c r="AN1927" s="3"/>
      <c r="AO1927" s="3"/>
      <c r="AP1927" s="11"/>
      <c r="AQ1927" s="11"/>
      <c r="AR1927" s="3"/>
      <c r="AS1927" s="3"/>
      <c r="AT1927" s="3"/>
      <c r="AU1927" s="3"/>
      <c r="AV1927" s="3"/>
      <c r="AW1927" s="3"/>
      <c r="AX1927" s="11"/>
      <c r="AZ1927"/>
      <c r="BA1927"/>
      <c r="BB1927"/>
      <c r="BC1927"/>
    </row>
    <row r="1928" spans="1:55" s="282" customFormat="1" x14ac:dyDescent="0.25">
      <c r="A1928"/>
      <c r="B1928"/>
      <c r="C1928" s="3"/>
      <c r="D1928"/>
      <c r="E1928"/>
      <c r="F1928"/>
      <c r="G1928" s="3"/>
      <c r="H1928" s="3"/>
      <c r="I1928" s="3"/>
      <c r="J1928" s="288"/>
      <c r="L1928" s="288"/>
      <c r="M1928" s="288"/>
      <c r="N1928" s="288"/>
      <c r="O1928" s="288"/>
      <c r="P1928" s="288"/>
      <c r="Q1928" s="288"/>
      <c r="R1928" s="283"/>
      <c r="S1928" s="280"/>
      <c r="T1928" s="276"/>
      <c r="U1928" s="276"/>
      <c r="V1928" s="276"/>
      <c r="W1928" s="283"/>
      <c r="X1928" s="280"/>
      <c r="Y1928" s="280"/>
      <c r="Z1928" s="280"/>
      <c r="AA1928" s="280"/>
      <c r="AB1928" s="280"/>
      <c r="AC1928" s="280"/>
      <c r="AD1928" s="280"/>
      <c r="AG1928" s="3"/>
      <c r="AH1928" s="3"/>
      <c r="AI1928" s="3"/>
      <c r="AJ1928" s="3"/>
      <c r="AK1928" s="3"/>
      <c r="AL1928" s="3"/>
      <c r="AM1928" s="3"/>
      <c r="AN1928" s="3"/>
      <c r="AO1928" s="3"/>
      <c r="AP1928" s="11"/>
      <c r="AQ1928" s="11"/>
      <c r="AR1928" s="3"/>
      <c r="AS1928" s="3"/>
      <c r="AT1928" s="3"/>
      <c r="AU1928" s="3"/>
      <c r="AV1928" s="3"/>
      <c r="AW1928" s="3"/>
      <c r="AX1928" s="11"/>
      <c r="AZ1928"/>
      <c r="BA1928"/>
      <c r="BB1928"/>
      <c r="BC1928"/>
    </row>
    <row r="1929" spans="1:55" s="282" customFormat="1" x14ac:dyDescent="0.25">
      <c r="A1929"/>
      <c r="B1929"/>
      <c r="C1929" s="3"/>
      <c r="D1929"/>
      <c r="E1929"/>
      <c r="F1929"/>
      <c r="G1929" s="3"/>
      <c r="H1929" s="3"/>
      <c r="I1929" s="3"/>
      <c r="J1929" s="288"/>
      <c r="L1929" s="288"/>
      <c r="M1929" s="288"/>
      <c r="N1929" s="288"/>
      <c r="O1929" s="288"/>
      <c r="P1929" s="288"/>
      <c r="Q1929" s="288"/>
      <c r="R1929" s="283"/>
      <c r="S1929" s="280"/>
      <c r="T1929" s="276"/>
      <c r="U1929" s="276"/>
      <c r="V1929" s="276"/>
      <c r="W1929" s="283"/>
      <c r="X1929" s="280"/>
      <c r="Y1929" s="280"/>
      <c r="Z1929" s="280"/>
      <c r="AA1929" s="280"/>
      <c r="AB1929" s="280"/>
      <c r="AC1929" s="280"/>
      <c r="AD1929" s="280"/>
      <c r="AG1929" s="3"/>
      <c r="AH1929" s="3"/>
      <c r="AI1929" s="3"/>
      <c r="AJ1929" s="3"/>
      <c r="AK1929" s="3"/>
      <c r="AL1929" s="3"/>
      <c r="AM1929" s="3"/>
      <c r="AN1929" s="3"/>
      <c r="AO1929" s="3"/>
      <c r="AP1929" s="11"/>
      <c r="AQ1929" s="11"/>
      <c r="AR1929" s="3"/>
      <c r="AS1929" s="3"/>
      <c r="AT1929" s="3"/>
      <c r="AU1929" s="3"/>
      <c r="AV1929" s="3"/>
      <c r="AW1929" s="3"/>
      <c r="AX1929" s="11"/>
      <c r="AZ1929"/>
      <c r="BA1929"/>
      <c r="BB1929"/>
      <c r="BC1929"/>
    </row>
    <row r="1930" spans="1:55" s="282" customFormat="1" x14ac:dyDescent="0.25">
      <c r="A1930"/>
      <c r="B1930"/>
      <c r="C1930" s="3"/>
      <c r="D1930"/>
      <c r="E1930"/>
      <c r="F1930"/>
      <c r="G1930" s="3"/>
      <c r="H1930" s="3"/>
      <c r="I1930" s="3"/>
      <c r="J1930" s="288"/>
      <c r="L1930" s="288"/>
      <c r="M1930" s="288"/>
      <c r="N1930" s="288"/>
      <c r="O1930" s="288"/>
      <c r="P1930" s="288"/>
      <c r="Q1930" s="288"/>
      <c r="R1930" s="283"/>
      <c r="S1930" s="280"/>
      <c r="T1930" s="276"/>
      <c r="U1930" s="276"/>
      <c r="V1930" s="276"/>
      <c r="W1930" s="283"/>
      <c r="X1930" s="280"/>
      <c r="Y1930" s="280"/>
      <c r="Z1930" s="280"/>
      <c r="AA1930" s="280"/>
      <c r="AB1930" s="280"/>
      <c r="AC1930" s="280"/>
      <c r="AD1930" s="280"/>
      <c r="AG1930" s="3"/>
      <c r="AH1930" s="3"/>
      <c r="AI1930" s="3"/>
      <c r="AJ1930" s="3"/>
      <c r="AK1930" s="3"/>
      <c r="AL1930" s="3"/>
      <c r="AM1930" s="3"/>
      <c r="AN1930" s="3"/>
      <c r="AO1930" s="3"/>
      <c r="AP1930" s="11"/>
      <c r="AQ1930" s="11"/>
      <c r="AR1930" s="3"/>
      <c r="AS1930" s="3"/>
      <c r="AT1930" s="3"/>
      <c r="AU1930" s="3"/>
      <c r="AV1930" s="3"/>
      <c r="AW1930" s="3"/>
      <c r="AX1930" s="11"/>
      <c r="AZ1930"/>
      <c r="BA1930"/>
      <c r="BB1930"/>
      <c r="BC1930"/>
    </row>
    <row r="1931" spans="1:55" s="282" customFormat="1" x14ac:dyDescent="0.25">
      <c r="A1931"/>
      <c r="B1931"/>
      <c r="C1931" s="3"/>
      <c r="D1931"/>
      <c r="E1931"/>
      <c r="F1931"/>
      <c r="G1931" s="3"/>
      <c r="H1931" s="3"/>
      <c r="I1931" s="3"/>
      <c r="J1931" s="288"/>
      <c r="L1931" s="288"/>
      <c r="M1931" s="288"/>
      <c r="N1931" s="288"/>
      <c r="O1931" s="288"/>
      <c r="P1931" s="288"/>
      <c r="Q1931" s="288"/>
      <c r="R1931" s="283"/>
      <c r="S1931" s="280"/>
      <c r="T1931" s="276"/>
      <c r="U1931" s="276"/>
      <c r="V1931" s="276"/>
      <c r="W1931" s="283"/>
      <c r="X1931" s="280"/>
      <c r="Y1931" s="280"/>
      <c r="Z1931" s="280"/>
      <c r="AA1931" s="280"/>
      <c r="AB1931" s="280"/>
      <c r="AC1931" s="280"/>
      <c r="AD1931" s="280"/>
      <c r="AG1931" s="3"/>
      <c r="AH1931" s="3"/>
      <c r="AI1931" s="3"/>
      <c r="AJ1931" s="3"/>
      <c r="AK1931" s="3"/>
      <c r="AL1931" s="3"/>
      <c r="AM1931" s="3"/>
      <c r="AN1931" s="3"/>
      <c r="AO1931" s="3"/>
      <c r="AP1931" s="11"/>
      <c r="AQ1931" s="11"/>
      <c r="AR1931" s="3"/>
      <c r="AS1931" s="3"/>
      <c r="AT1931" s="3"/>
      <c r="AU1931" s="3"/>
      <c r="AV1931" s="3"/>
      <c r="AW1931" s="3"/>
      <c r="AX1931" s="11"/>
      <c r="AZ1931"/>
      <c r="BA1931"/>
      <c r="BB1931"/>
      <c r="BC1931"/>
    </row>
    <row r="1932" spans="1:55" s="282" customFormat="1" x14ac:dyDescent="0.25">
      <c r="A1932"/>
      <c r="B1932"/>
      <c r="C1932" s="3"/>
      <c r="D1932"/>
      <c r="E1932"/>
      <c r="F1932"/>
      <c r="G1932" s="3"/>
      <c r="H1932" s="3"/>
      <c r="I1932" s="3"/>
      <c r="J1932" s="288"/>
      <c r="L1932" s="288"/>
      <c r="M1932" s="288"/>
      <c r="N1932" s="288"/>
      <c r="O1932" s="288"/>
      <c r="P1932" s="288"/>
      <c r="Q1932" s="288"/>
      <c r="R1932" s="283"/>
      <c r="S1932" s="280"/>
      <c r="T1932" s="276"/>
      <c r="U1932" s="276"/>
      <c r="V1932" s="276"/>
      <c r="W1932" s="283"/>
      <c r="X1932" s="280"/>
      <c r="Y1932" s="280"/>
      <c r="Z1932" s="280"/>
      <c r="AA1932" s="280"/>
      <c r="AB1932" s="280"/>
      <c r="AC1932" s="280"/>
      <c r="AD1932" s="280"/>
      <c r="AG1932" s="3"/>
      <c r="AH1932" s="3"/>
      <c r="AI1932" s="3"/>
      <c r="AJ1932" s="3"/>
      <c r="AK1932" s="3"/>
      <c r="AL1932" s="3"/>
      <c r="AM1932" s="3"/>
      <c r="AN1932" s="3"/>
      <c r="AO1932" s="3"/>
      <c r="AP1932" s="11"/>
      <c r="AQ1932" s="11"/>
      <c r="AR1932" s="3"/>
      <c r="AS1932" s="3"/>
      <c r="AT1932" s="3"/>
      <c r="AU1932" s="3"/>
      <c r="AV1932" s="3"/>
      <c r="AW1932" s="3"/>
      <c r="AX1932" s="11"/>
      <c r="AZ1932"/>
      <c r="BA1932"/>
      <c r="BB1932"/>
      <c r="BC1932"/>
    </row>
    <row r="1933" spans="1:55" s="282" customFormat="1" x14ac:dyDescent="0.25">
      <c r="A1933"/>
      <c r="B1933"/>
      <c r="C1933" s="3"/>
      <c r="D1933"/>
      <c r="E1933"/>
      <c r="F1933"/>
      <c r="G1933" s="3"/>
      <c r="H1933" s="3"/>
      <c r="I1933" s="3"/>
      <c r="J1933" s="288"/>
      <c r="L1933" s="288"/>
      <c r="M1933" s="288"/>
      <c r="N1933" s="288"/>
      <c r="O1933" s="288"/>
      <c r="P1933" s="288"/>
      <c r="Q1933" s="288"/>
      <c r="R1933" s="283"/>
      <c r="S1933" s="280"/>
      <c r="T1933" s="276"/>
      <c r="U1933" s="276"/>
      <c r="V1933" s="276"/>
      <c r="W1933" s="283"/>
      <c r="X1933" s="280"/>
      <c r="Y1933" s="280"/>
      <c r="Z1933" s="280"/>
      <c r="AA1933" s="280"/>
      <c r="AB1933" s="280"/>
      <c r="AC1933" s="280"/>
      <c r="AD1933" s="280"/>
      <c r="AG1933" s="3"/>
      <c r="AH1933" s="3"/>
      <c r="AI1933" s="3"/>
      <c r="AJ1933" s="3"/>
      <c r="AK1933" s="3"/>
      <c r="AL1933" s="3"/>
      <c r="AM1933" s="3"/>
      <c r="AN1933" s="3"/>
      <c r="AO1933" s="3"/>
      <c r="AP1933" s="11"/>
      <c r="AQ1933" s="11"/>
      <c r="AR1933" s="3"/>
      <c r="AS1933" s="3"/>
      <c r="AT1933" s="3"/>
      <c r="AU1933" s="3"/>
      <c r="AV1933" s="3"/>
      <c r="AW1933" s="3"/>
      <c r="AX1933" s="11"/>
      <c r="AZ1933"/>
      <c r="BA1933"/>
      <c r="BB1933"/>
      <c r="BC1933"/>
    </row>
    <row r="1934" spans="1:55" s="282" customFormat="1" x14ac:dyDescent="0.25">
      <c r="A1934"/>
      <c r="B1934"/>
      <c r="C1934" s="3"/>
      <c r="D1934"/>
      <c r="E1934"/>
      <c r="F1934"/>
      <c r="G1934" s="3"/>
      <c r="H1934" s="3"/>
      <c r="I1934" s="3"/>
      <c r="J1934" s="288"/>
      <c r="L1934" s="288"/>
      <c r="M1934" s="288"/>
      <c r="N1934" s="288"/>
      <c r="O1934" s="288"/>
      <c r="P1934" s="288"/>
      <c r="Q1934" s="288"/>
      <c r="R1934" s="283"/>
      <c r="S1934" s="280"/>
      <c r="T1934" s="276"/>
      <c r="U1934" s="276"/>
      <c r="V1934" s="276"/>
      <c r="W1934" s="283"/>
      <c r="X1934" s="280"/>
      <c r="Y1934" s="280"/>
      <c r="Z1934" s="280"/>
      <c r="AA1934" s="280"/>
      <c r="AB1934" s="280"/>
      <c r="AC1934" s="280"/>
      <c r="AD1934" s="280"/>
      <c r="AG1934" s="3"/>
      <c r="AH1934" s="3"/>
      <c r="AI1934" s="3"/>
      <c r="AJ1934" s="3"/>
      <c r="AK1934" s="3"/>
      <c r="AL1934" s="3"/>
      <c r="AM1934" s="3"/>
      <c r="AN1934" s="3"/>
      <c r="AO1934" s="3"/>
      <c r="AP1934" s="11"/>
      <c r="AQ1934" s="11"/>
      <c r="AR1934" s="3"/>
      <c r="AS1934" s="3"/>
      <c r="AT1934" s="3"/>
      <c r="AU1934" s="3"/>
      <c r="AV1934" s="3"/>
      <c r="AW1934" s="3"/>
      <c r="AX1934" s="11"/>
      <c r="AZ1934"/>
      <c r="BA1934"/>
      <c r="BB1934"/>
      <c r="BC1934"/>
    </row>
    <row r="1935" spans="1:55" s="282" customFormat="1" x14ac:dyDescent="0.25">
      <c r="A1935"/>
      <c r="B1935"/>
      <c r="C1935" s="3"/>
      <c r="D1935"/>
      <c r="E1935"/>
      <c r="F1935"/>
      <c r="G1935" s="3"/>
      <c r="H1935" s="3"/>
      <c r="I1935" s="3"/>
      <c r="J1935" s="288"/>
      <c r="L1935" s="288"/>
      <c r="M1935" s="288"/>
      <c r="N1935" s="288"/>
      <c r="O1935" s="288"/>
      <c r="P1935" s="288"/>
      <c r="Q1935" s="288"/>
      <c r="R1935" s="283"/>
      <c r="S1935" s="280"/>
      <c r="T1935" s="276"/>
      <c r="U1935" s="276"/>
      <c r="V1935" s="276"/>
      <c r="W1935" s="283"/>
      <c r="X1935" s="280"/>
      <c r="Y1935" s="280"/>
      <c r="Z1935" s="280"/>
      <c r="AA1935" s="280"/>
      <c r="AB1935" s="280"/>
      <c r="AC1935" s="280"/>
      <c r="AD1935" s="280"/>
      <c r="AG1935" s="3"/>
      <c r="AH1935" s="3"/>
      <c r="AI1935" s="3"/>
      <c r="AJ1935" s="3"/>
      <c r="AK1935" s="3"/>
      <c r="AL1935" s="3"/>
      <c r="AM1935" s="3"/>
      <c r="AN1935" s="3"/>
      <c r="AO1935" s="3"/>
      <c r="AP1935" s="11"/>
      <c r="AQ1935" s="11"/>
      <c r="AR1935" s="3"/>
      <c r="AS1935" s="3"/>
      <c r="AT1935" s="3"/>
      <c r="AU1935" s="3"/>
      <c r="AV1935" s="3"/>
      <c r="AW1935" s="3"/>
      <c r="AX1935" s="11"/>
      <c r="AZ1935"/>
      <c r="BA1935"/>
      <c r="BB1935"/>
      <c r="BC1935"/>
    </row>
    <row r="1936" spans="1:55" s="282" customFormat="1" x14ac:dyDescent="0.25">
      <c r="A1936"/>
      <c r="B1936"/>
      <c r="C1936" s="3"/>
      <c r="D1936"/>
      <c r="E1936"/>
      <c r="F1936"/>
      <c r="G1936" s="3"/>
      <c r="H1936" s="3"/>
      <c r="I1936" s="3"/>
      <c r="J1936" s="288"/>
      <c r="L1936" s="288"/>
      <c r="M1936" s="288"/>
      <c r="N1936" s="288"/>
      <c r="O1936" s="288"/>
      <c r="P1936" s="288"/>
      <c r="Q1936" s="288"/>
      <c r="R1936" s="283"/>
      <c r="S1936" s="280"/>
      <c r="T1936" s="276"/>
      <c r="U1936" s="276"/>
      <c r="V1936" s="276"/>
      <c r="W1936" s="283"/>
      <c r="X1936" s="280"/>
      <c r="Y1936" s="280"/>
      <c r="Z1936" s="280"/>
      <c r="AA1936" s="280"/>
      <c r="AB1936" s="280"/>
      <c r="AC1936" s="280"/>
      <c r="AD1936" s="280"/>
      <c r="AG1936" s="3"/>
      <c r="AH1936" s="3"/>
      <c r="AI1936" s="3"/>
      <c r="AJ1936" s="3"/>
      <c r="AK1936" s="3"/>
      <c r="AL1936" s="3"/>
      <c r="AM1936" s="3"/>
      <c r="AN1936" s="3"/>
      <c r="AO1936" s="3"/>
      <c r="AP1936" s="11"/>
      <c r="AQ1936" s="11"/>
      <c r="AR1936" s="3"/>
      <c r="AS1936" s="3"/>
      <c r="AT1936" s="3"/>
      <c r="AU1936" s="3"/>
      <c r="AV1936" s="3"/>
      <c r="AW1936" s="3"/>
      <c r="AX1936" s="11"/>
      <c r="AZ1936"/>
      <c r="BA1936"/>
      <c r="BB1936"/>
      <c r="BC1936"/>
    </row>
    <row r="1937" spans="1:55" s="282" customFormat="1" x14ac:dyDescent="0.25">
      <c r="A1937"/>
      <c r="B1937"/>
      <c r="C1937" s="3"/>
      <c r="D1937"/>
      <c r="E1937"/>
      <c r="F1937"/>
      <c r="G1937" s="3"/>
      <c r="H1937" s="3"/>
      <c r="I1937" s="3"/>
      <c r="J1937" s="288"/>
      <c r="L1937" s="288"/>
      <c r="M1937" s="288"/>
      <c r="N1937" s="288"/>
      <c r="O1937" s="288"/>
      <c r="P1937" s="288"/>
      <c r="Q1937" s="288"/>
      <c r="R1937" s="283"/>
      <c r="S1937" s="280"/>
      <c r="T1937" s="276"/>
      <c r="U1937" s="276"/>
      <c r="V1937" s="276"/>
      <c r="W1937" s="283"/>
      <c r="X1937" s="280"/>
      <c r="Y1937" s="280"/>
      <c r="Z1937" s="280"/>
      <c r="AA1937" s="280"/>
      <c r="AB1937" s="280"/>
      <c r="AC1937" s="280"/>
      <c r="AD1937" s="280"/>
      <c r="AG1937" s="3"/>
      <c r="AH1937" s="3"/>
      <c r="AI1937" s="3"/>
      <c r="AJ1937" s="3"/>
      <c r="AK1937" s="3"/>
      <c r="AL1937" s="3"/>
      <c r="AM1937" s="3"/>
      <c r="AN1937" s="3"/>
      <c r="AO1937" s="3"/>
      <c r="AP1937" s="11"/>
      <c r="AQ1937" s="11"/>
      <c r="AR1937" s="3"/>
      <c r="AS1937" s="3"/>
      <c r="AT1937" s="3"/>
      <c r="AU1937" s="3"/>
      <c r="AV1937" s="3"/>
      <c r="AW1937" s="3"/>
      <c r="AX1937" s="11"/>
      <c r="AZ1937"/>
      <c r="BA1937"/>
      <c r="BB1937"/>
      <c r="BC1937"/>
    </row>
    <row r="1938" spans="1:55" s="282" customFormat="1" x14ac:dyDescent="0.25">
      <c r="A1938"/>
      <c r="B1938"/>
      <c r="C1938" s="3"/>
      <c r="D1938"/>
      <c r="E1938"/>
      <c r="F1938"/>
      <c r="G1938" s="3"/>
      <c r="H1938" s="3"/>
      <c r="I1938" s="3"/>
      <c r="J1938" s="288"/>
      <c r="L1938" s="288"/>
      <c r="M1938" s="288"/>
      <c r="N1938" s="288"/>
      <c r="O1938" s="288"/>
      <c r="P1938" s="288"/>
      <c r="Q1938" s="288"/>
      <c r="R1938" s="283"/>
      <c r="S1938" s="280"/>
      <c r="T1938" s="276"/>
      <c r="U1938" s="276"/>
      <c r="V1938" s="276"/>
      <c r="W1938" s="283"/>
      <c r="X1938" s="280"/>
      <c r="Y1938" s="280"/>
      <c r="Z1938" s="280"/>
      <c r="AA1938" s="280"/>
      <c r="AB1938" s="280"/>
      <c r="AC1938" s="280"/>
      <c r="AD1938" s="280"/>
      <c r="AG1938" s="3"/>
      <c r="AH1938" s="3"/>
      <c r="AI1938" s="3"/>
      <c r="AJ1938" s="3"/>
      <c r="AK1938" s="3"/>
      <c r="AL1938" s="3"/>
      <c r="AM1938" s="3"/>
      <c r="AN1938" s="3"/>
      <c r="AO1938" s="3"/>
      <c r="AP1938" s="11"/>
      <c r="AQ1938" s="11"/>
      <c r="AR1938" s="3"/>
      <c r="AS1938" s="3"/>
      <c r="AT1938" s="3"/>
      <c r="AU1938" s="3"/>
      <c r="AV1938" s="3"/>
      <c r="AW1938" s="3"/>
      <c r="AX1938" s="11"/>
      <c r="AZ1938"/>
      <c r="BA1938"/>
      <c r="BB1938"/>
      <c r="BC1938"/>
    </row>
    <row r="1939" spans="1:55" s="282" customFormat="1" x14ac:dyDescent="0.25">
      <c r="A1939"/>
      <c r="B1939"/>
      <c r="C1939" s="3"/>
      <c r="D1939"/>
      <c r="E1939"/>
      <c r="F1939"/>
      <c r="G1939" s="3"/>
      <c r="H1939" s="3"/>
      <c r="I1939" s="3"/>
      <c r="J1939" s="288"/>
      <c r="L1939" s="288"/>
      <c r="M1939" s="288"/>
      <c r="N1939" s="288"/>
      <c r="O1939" s="288"/>
      <c r="P1939" s="288"/>
      <c r="Q1939" s="288"/>
      <c r="R1939" s="283"/>
      <c r="S1939" s="280"/>
      <c r="T1939" s="276"/>
      <c r="U1939" s="276"/>
      <c r="V1939" s="276"/>
      <c r="W1939" s="283"/>
      <c r="X1939" s="280"/>
      <c r="Y1939" s="280"/>
      <c r="Z1939" s="280"/>
      <c r="AA1939" s="280"/>
      <c r="AB1939" s="280"/>
      <c r="AC1939" s="280"/>
      <c r="AD1939" s="280"/>
      <c r="AG1939" s="3"/>
      <c r="AH1939" s="3"/>
      <c r="AI1939" s="3"/>
      <c r="AJ1939" s="3"/>
      <c r="AK1939" s="3"/>
      <c r="AL1939" s="3"/>
      <c r="AM1939" s="3"/>
      <c r="AN1939" s="3"/>
      <c r="AO1939" s="3"/>
      <c r="AP1939" s="11"/>
      <c r="AQ1939" s="11"/>
      <c r="AR1939" s="3"/>
      <c r="AS1939" s="3"/>
      <c r="AT1939" s="3"/>
      <c r="AU1939" s="3"/>
      <c r="AV1939" s="3"/>
      <c r="AW1939" s="3"/>
      <c r="AX1939" s="11"/>
      <c r="AZ1939"/>
      <c r="BA1939"/>
      <c r="BB1939"/>
      <c r="BC1939"/>
    </row>
    <row r="1940" spans="1:55" s="282" customFormat="1" x14ac:dyDescent="0.25">
      <c r="A1940"/>
      <c r="B1940"/>
      <c r="C1940" s="3"/>
      <c r="D1940"/>
      <c r="E1940"/>
      <c r="F1940"/>
      <c r="G1940" s="3"/>
      <c r="H1940" s="3"/>
      <c r="I1940" s="3"/>
      <c r="J1940" s="288"/>
      <c r="L1940" s="288"/>
      <c r="M1940" s="288"/>
      <c r="N1940" s="288"/>
      <c r="O1940" s="288"/>
      <c r="P1940" s="288"/>
      <c r="Q1940" s="288"/>
      <c r="R1940" s="283"/>
      <c r="S1940" s="280"/>
      <c r="T1940" s="276"/>
      <c r="U1940" s="276"/>
      <c r="V1940" s="276"/>
      <c r="W1940" s="283"/>
      <c r="X1940" s="280"/>
      <c r="Y1940" s="280"/>
      <c r="Z1940" s="280"/>
      <c r="AA1940" s="280"/>
      <c r="AB1940" s="280"/>
      <c r="AC1940" s="280"/>
      <c r="AD1940" s="280"/>
      <c r="AG1940" s="3"/>
      <c r="AH1940" s="3"/>
      <c r="AI1940" s="3"/>
      <c r="AJ1940" s="3"/>
      <c r="AK1940" s="3"/>
      <c r="AL1940" s="3"/>
      <c r="AM1940" s="3"/>
      <c r="AN1940" s="3"/>
      <c r="AO1940" s="3"/>
      <c r="AP1940" s="11"/>
      <c r="AQ1940" s="11"/>
      <c r="AR1940" s="3"/>
      <c r="AS1940" s="3"/>
      <c r="AT1940" s="3"/>
      <c r="AU1940" s="3"/>
      <c r="AV1940" s="3"/>
      <c r="AW1940" s="3"/>
      <c r="AX1940" s="11"/>
      <c r="AZ1940"/>
      <c r="BA1940"/>
      <c r="BB1940"/>
      <c r="BC1940"/>
    </row>
    <row r="1941" spans="1:55" s="282" customFormat="1" x14ac:dyDescent="0.25">
      <c r="A1941"/>
      <c r="B1941"/>
      <c r="C1941" s="3"/>
      <c r="D1941"/>
      <c r="E1941"/>
      <c r="F1941"/>
      <c r="G1941" s="3"/>
      <c r="H1941" s="3"/>
      <c r="I1941" s="3"/>
      <c r="J1941" s="288"/>
      <c r="L1941" s="288"/>
      <c r="M1941" s="288"/>
      <c r="N1941" s="288"/>
      <c r="O1941" s="288"/>
      <c r="P1941" s="288"/>
      <c r="Q1941" s="288"/>
      <c r="R1941" s="283"/>
      <c r="S1941" s="280"/>
      <c r="T1941" s="276"/>
      <c r="U1941" s="276"/>
      <c r="V1941" s="276"/>
      <c r="W1941" s="283"/>
      <c r="X1941" s="280"/>
      <c r="Y1941" s="280"/>
      <c r="Z1941" s="280"/>
      <c r="AA1941" s="280"/>
      <c r="AB1941" s="280"/>
      <c r="AC1941" s="280"/>
      <c r="AD1941" s="280"/>
      <c r="AG1941" s="3"/>
      <c r="AH1941" s="3"/>
      <c r="AI1941" s="3"/>
      <c r="AJ1941" s="3"/>
      <c r="AK1941" s="3"/>
      <c r="AL1941" s="3"/>
      <c r="AM1941" s="3"/>
      <c r="AN1941" s="3"/>
      <c r="AO1941" s="3"/>
      <c r="AP1941" s="11"/>
      <c r="AQ1941" s="11"/>
      <c r="AR1941" s="3"/>
      <c r="AS1941" s="3"/>
      <c r="AT1941" s="3"/>
      <c r="AU1941" s="3"/>
      <c r="AV1941" s="3"/>
      <c r="AW1941" s="3"/>
      <c r="AX1941" s="11"/>
      <c r="AZ1941"/>
      <c r="BA1941"/>
      <c r="BB1941"/>
      <c r="BC1941"/>
    </row>
    <row r="1942" spans="1:55" s="282" customFormat="1" x14ac:dyDescent="0.25">
      <c r="A1942"/>
      <c r="B1942"/>
      <c r="C1942" s="3"/>
      <c r="D1942"/>
      <c r="E1942"/>
      <c r="F1942"/>
      <c r="G1942" s="3"/>
      <c r="H1942" s="3"/>
      <c r="I1942" s="3"/>
      <c r="J1942" s="288"/>
      <c r="L1942" s="288"/>
      <c r="M1942" s="288"/>
      <c r="N1942" s="288"/>
      <c r="O1942" s="288"/>
      <c r="P1942" s="288"/>
      <c r="Q1942" s="288"/>
      <c r="R1942" s="283"/>
      <c r="S1942" s="280"/>
      <c r="T1942" s="276"/>
      <c r="U1942" s="276"/>
      <c r="V1942" s="276"/>
      <c r="W1942" s="283"/>
      <c r="X1942" s="280"/>
      <c r="Y1942" s="280"/>
      <c r="Z1942" s="280"/>
      <c r="AA1942" s="280"/>
      <c r="AB1942" s="280"/>
      <c r="AC1942" s="280"/>
      <c r="AD1942" s="280"/>
      <c r="AG1942" s="3"/>
      <c r="AH1942" s="3"/>
      <c r="AI1942" s="3"/>
      <c r="AJ1942" s="3"/>
      <c r="AK1942" s="3"/>
      <c r="AL1942" s="3"/>
      <c r="AM1942" s="3"/>
      <c r="AN1942" s="3"/>
      <c r="AO1942" s="3"/>
      <c r="AP1942" s="11"/>
      <c r="AQ1942" s="11"/>
      <c r="AR1942" s="3"/>
      <c r="AS1942" s="3"/>
      <c r="AT1942" s="3"/>
      <c r="AU1942" s="3"/>
      <c r="AV1942" s="3"/>
      <c r="AW1942" s="3"/>
      <c r="AX1942" s="11"/>
      <c r="AZ1942"/>
      <c r="BA1942"/>
      <c r="BB1942"/>
      <c r="BC1942"/>
    </row>
    <row r="1943" spans="1:55" s="282" customFormat="1" x14ac:dyDescent="0.25">
      <c r="A1943"/>
      <c r="B1943"/>
      <c r="C1943" s="3"/>
      <c r="D1943"/>
      <c r="E1943"/>
      <c r="F1943"/>
      <c r="G1943" s="3"/>
      <c r="H1943" s="3"/>
      <c r="I1943" s="3"/>
      <c r="J1943" s="288"/>
      <c r="L1943" s="288"/>
      <c r="M1943" s="288"/>
      <c r="N1943" s="288"/>
      <c r="O1943" s="288"/>
      <c r="P1943" s="288"/>
      <c r="Q1943" s="288"/>
      <c r="R1943" s="283"/>
      <c r="S1943" s="280"/>
      <c r="T1943" s="276"/>
      <c r="U1943" s="276"/>
      <c r="V1943" s="276"/>
      <c r="W1943" s="283"/>
      <c r="X1943" s="280"/>
      <c r="Y1943" s="280"/>
      <c r="Z1943" s="280"/>
      <c r="AA1943" s="280"/>
      <c r="AB1943" s="280"/>
      <c r="AC1943" s="280"/>
      <c r="AD1943" s="280"/>
      <c r="AG1943" s="3"/>
      <c r="AH1943" s="3"/>
      <c r="AI1943" s="3"/>
      <c r="AJ1943" s="3"/>
      <c r="AK1943" s="3"/>
      <c r="AL1943" s="3"/>
      <c r="AM1943" s="3"/>
      <c r="AN1943" s="3"/>
      <c r="AO1943" s="3"/>
      <c r="AP1943" s="11"/>
      <c r="AQ1943" s="11"/>
      <c r="AR1943" s="3"/>
      <c r="AS1943" s="3"/>
      <c r="AT1943" s="3"/>
      <c r="AU1943" s="3"/>
      <c r="AV1943" s="3"/>
      <c r="AW1943" s="3"/>
      <c r="AX1943" s="11"/>
      <c r="AZ1943"/>
      <c r="BA1943"/>
      <c r="BB1943"/>
      <c r="BC1943"/>
    </row>
    <row r="1944" spans="1:55" s="282" customFormat="1" x14ac:dyDescent="0.25">
      <c r="A1944"/>
      <c r="B1944"/>
      <c r="C1944" s="3"/>
      <c r="D1944"/>
      <c r="E1944"/>
      <c r="F1944"/>
      <c r="G1944" s="3"/>
      <c r="H1944" s="3"/>
      <c r="I1944" s="3"/>
      <c r="J1944" s="288"/>
      <c r="L1944" s="288"/>
      <c r="M1944" s="288"/>
      <c r="N1944" s="288"/>
      <c r="O1944" s="288"/>
      <c r="P1944" s="288"/>
      <c r="Q1944" s="288"/>
      <c r="R1944" s="283"/>
      <c r="S1944" s="280"/>
      <c r="T1944" s="276"/>
      <c r="U1944" s="276"/>
      <c r="V1944" s="276"/>
      <c r="W1944" s="283"/>
      <c r="X1944" s="280"/>
      <c r="Y1944" s="280"/>
      <c r="Z1944" s="280"/>
      <c r="AA1944" s="280"/>
      <c r="AB1944" s="280"/>
      <c r="AC1944" s="280"/>
      <c r="AD1944" s="280"/>
      <c r="AG1944" s="3"/>
      <c r="AH1944" s="3"/>
      <c r="AI1944" s="3"/>
      <c r="AJ1944" s="3"/>
      <c r="AK1944" s="3"/>
      <c r="AL1944" s="3"/>
      <c r="AM1944" s="3"/>
      <c r="AN1944" s="3"/>
      <c r="AO1944" s="3"/>
      <c r="AP1944" s="11"/>
      <c r="AQ1944" s="11"/>
      <c r="AR1944" s="3"/>
      <c r="AS1944" s="3"/>
      <c r="AT1944" s="3"/>
      <c r="AU1944" s="3"/>
      <c r="AV1944" s="3"/>
      <c r="AW1944" s="3"/>
      <c r="AX1944" s="11"/>
      <c r="AZ1944"/>
      <c r="BA1944"/>
      <c r="BB1944"/>
      <c r="BC1944"/>
    </row>
    <row r="1945" spans="1:55" s="282" customFormat="1" x14ac:dyDescent="0.25">
      <c r="A1945"/>
      <c r="B1945"/>
      <c r="C1945" s="3"/>
      <c r="D1945"/>
      <c r="E1945"/>
      <c r="F1945"/>
      <c r="G1945" s="3"/>
      <c r="H1945" s="3"/>
      <c r="I1945" s="3"/>
      <c r="J1945" s="288"/>
      <c r="L1945" s="288"/>
      <c r="M1945" s="288"/>
      <c r="N1945" s="288"/>
      <c r="O1945" s="288"/>
      <c r="P1945" s="288"/>
      <c r="Q1945" s="288"/>
      <c r="R1945" s="283"/>
      <c r="S1945" s="280"/>
      <c r="T1945" s="276"/>
      <c r="U1945" s="276"/>
      <c r="V1945" s="276"/>
      <c r="W1945" s="283"/>
      <c r="X1945" s="280"/>
      <c r="Y1945" s="280"/>
      <c r="Z1945" s="280"/>
      <c r="AA1945" s="280"/>
      <c r="AB1945" s="280"/>
      <c r="AC1945" s="280"/>
      <c r="AD1945" s="280"/>
      <c r="AG1945" s="3"/>
      <c r="AH1945" s="3"/>
      <c r="AI1945" s="3"/>
      <c r="AJ1945" s="3"/>
      <c r="AK1945" s="3"/>
      <c r="AL1945" s="3"/>
      <c r="AM1945" s="3"/>
      <c r="AN1945" s="3"/>
      <c r="AO1945" s="3"/>
      <c r="AP1945" s="11"/>
      <c r="AQ1945" s="11"/>
      <c r="AR1945" s="3"/>
      <c r="AS1945" s="3"/>
      <c r="AT1945" s="3"/>
      <c r="AU1945" s="3"/>
      <c r="AV1945" s="3"/>
      <c r="AW1945" s="3"/>
      <c r="AX1945" s="11"/>
      <c r="AZ1945"/>
      <c r="BA1945"/>
      <c r="BB1945"/>
      <c r="BC1945"/>
    </row>
    <row r="1946" spans="1:55" s="282" customFormat="1" x14ac:dyDescent="0.25">
      <c r="A1946"/>
      <c r="B1946"/>
      <c r="C1946" s="3"/>
      <c r="D1946"/>
      <c r="E1946"/>
      <c r="F1946"/>
      <c r="G1946" s="3"/>
      <c r="H1946" s="3"/>
      <c r="I1946" s="3"/>
      <c r="J1946" s="288"/>
      <c r="L1946" s="288"/>
      <c r="M1946" s="288"/>
      <c r="N1946" s="288"/>
      <c r="O1946" s="288"/>
      <c r="P1946" s="288"/>
      <c r="Q1946" s="288"/>
      <c r="R1946" s="283"/>
      <c r="S1946" s="280"/>
      <c r="T1946" s="276"/>
      <c r="U1946" s="276"/>
      <c r="V1946" s="276"/>
      <c r="W1946" s="283"/>
      <c r="X1946" s="280"/>
      <c r="Y1946" s="280"/>
      <c r="Z1946" s="280"/>
      <c r="AA1946" s="280"/>
      <c r="AB1946" s="280"/>
      <c r="AC1946" s="280"/>
      <c r="AD1946" s="280"/>
      <c r="AG1946" s="3"/>
      <c r="AH1946" s="3"/>
      <c r="AI1946" s="3"/>
      <c r="AJ1946" s="3"/>
      <c r="AK1946" s="3"/>
      <c r="AL1946" s="3"/>
      <c r="AM1946" s="3"/>
      <c r="AN1946" s="3"/>
      <c r="AO1946" s="3"/>
      <c r="AP1946" s="11"/>
      <c r="AQ1946" s="11"/>
      <c r="AR1946" s="3"/>
      <c r="AS1946" s="3"/>
      <c r="AT1946" s="3"/>
      <c r="AU1946" s="3"/>
      <c r="AV1946" s="3"/>
      <c r="AW1946" s="3"/>
      <c r="AX1946" s="11"/>
      <c r="AZ1946"/>
      <c r="BA1946"/>
      <c r="BB1946"/>
      <c r="BC1946"/>
    </row>
    <row r="1947" spans="1:55" s="282" customFormat="1" x14ac:dyDescent="0.25">
      <c r="A1947"/>
      <c r="B1947"/>
      <c r="C1947" s="3"/>
      <c r="D1947"/>
      <c r="E1947"/>
      <c r="F1947"/>
      <c r="G1947" s="3"/>
      <c r="H1947" s="3"/>
      <c r="I1947" s="3"/>
      <c r="J1947" s="288"/>
      <c r="L1947" s="288"/>
      <c r="M1947" s="288"/>
      <c r="N1947" s="288"/>
      <c r="O1947" s="288"/>
      <c r="P1947" s="288"/>
      <c r="Q1947" s="288"/>
      <c r="R1947" s="283"/>
      <c r="S1947" s="280"/>
      <c r="T1947" s="276"/>
      <c r="U1947" s="276"/>
      <c r="V1947" s="276"/>
      <c r="W1947" s="283"/>
      <c r="X1947" s="280"/>
      <c r="Y1947" s="280"/>
      <c r="Z1947" s="280"/>
      <c r="AA1947" s="280"/>
      <c r="AB1947" s="280"/>
      <c r="AC1947" s="280"/>
      <c r="AD1947" s="280"/>
      <c r="AG1947" s="3"/>
      <c r="AH1947" s="3"/>
      <c r="AI1947" s="3"/>
      <c r="AJ1947" s="3"/>
      <c r="AK1947" s="3"/>
      <c r="AL1947" s="3"/>
      <c r="AM1947" s="3"/>
      <c r="AN1947" s="3"/>
      <c r="AO1947" s="3"/>
      <c r="AP1947" s="11"/>
      <c r="AQ1947" s="11"/>
      <c r="AR1947" s="3"/>
      <c r="AS1947" s="3"/>
      <c r="AT1947" s="3"/>
      <c r="AU1947" s="3"/>
      <c r="AV1947" s="3"/>
      <c r="AW1947" s="3"/>
      <c r="AX1947" s="11"/>
      <c r="AZ1947"/>
      <c r="BA1947"/>
      <c r="BB1947"/>
      <c r="BC1947"/>
    </row>
    <row r="1948" spans="1:55" s="282" customFormat="1" x14ac:dyDescent="0.25">
      <c r="A1948"/>
      <c r="B1948"/>
      <c r="C1948" s="3"/>
      <c r="D1948"/>
      <c r="E1948"/>
      <c r="F1948"/>
      <c r="G1948" s="3"/>
      <c r="H1948" s="3"/>
      <c r="I1948" s="3"/>
      <c r="J1948" s="288"/>
      <c r="L1948" s="288"/>
      <c r="M1948" s="288"/>
      <c r="N1948" s="288"/>
      <c r="O1948" s="288"/>
      <c r="P1948" s="288"/>
      <c r="Q1948" s="288"/>
      <c r="R1948" s="283"/>
      <c r="S1948" s="280"/>
      <c r="T1948" s="276"/>
      <c r="U1948" s="276"/>
      <c r="V1948" s="276"/>
      <c r="W1948" s="283"/>
      <c r="X1948" s="280"/>
      <c r="Y1948" s="280"/>
      <c r="Z1948" s="280"/>
      <c r="AA1948" s="280"/>
      <c r="AB1948" s="280"/>
      <c r="AC1948" s="280"/>
      <c r="AD1948" s="280"/>
      <c r="AG1948" s="3"/>
      <c r="AH1948" s="3"/>
      <c r="AI1948" s="3"/>
      <c r="AJ1948" s="3"/>
      <c r="AK1948" s="3"/>
      <c r="AL1948" s="3"/>
      <c r="AM1948" s="3"/>
      <c r="AN1948" s="3"/>
      <c r="AO1948" s="3"/>
      <c r="AP1948" s="11"/>
      <c r="AQ1948" s="11"/>
      <c r="AR1948" s="3"/>
      <c r="AS1948" s="3"/>
      <c r="AT1948" s="3"/>
      <c r="AU1948" s="3"/>
      <c r="AV1948" s="3"/>
      <c r="AW1948" s="3"/>
      <c r="AX1948" s="11"/>
      <c r="AZ1948"/>
      <c r="BA1948"/>
      <c r="BB1948"/>
      <c r="BC1948"/>
    </row>
    <row r="1949" spans="1:55" s="282" customFormat="1" x14ac:dyDescent="0.25">
      <c r="A1949"/>
      <c r="B1949"/>
      <c r="C1949" s="3"/>
      <c r="D1949"/>
      <c r="E1949"/>
      <c r="F1949"/>
      <c r="G1949" s="3"/>
      <c r="H1949" s="3"/>
      <c r="I1949" s="3"/>
      <c r="J1949" s="288"/>
      <c r="L1949" s="288"/>
      <c r="M1949" s="288"/>
      <c r="N1949" s="288"/>
      <c r="O1949" s="288"/>
      <c r="P1949" s="288"/>
      <c r="Q1949" s="288"/>
      <c r="R1949" s="283"/>
      <c r="S1949" s="280"/>
      <c r="T1949" s="276"/>
      <c r="U1949" s="276"/>
      <c r="V1949" s="276"/>
      <c r="W1949" s="283"/>
      <c r="X1949" s="280"/>
      <c r="Y1949" s="280"/>
      <c r="Z1949" s="280"/>
      <c r="AA1949" s="280"/>
      <c r="AB1949" s="280"/>
      <c r="AC1949" s="280"/>
      <c r="AD1949" s="280"/>
      <c r="AG1949" s="3"/>
      <c r="AH1949" s="3"/>
      <c r="AI1949" s="3"/>
      <c r="AJ1949" s="3"/>
      <c r="AK1949" s="3"/>
      <c r="AL1949" s="3"/>
      <c r="AM1949" s="3"/>
      <c r="AN1949" s="3"/>
      <c r="AO1949" s="3"/>
      <c r="AP1949" s="11"/>
      <c r="AQ1949" s="11"/>
      <c r="AR1949" s="3"/>
      <c r="AS1949" s="3"/>
      <c r="AT1949" s="3"/>
      <c r="AU1949" s="3"/>
      <c r="AV1949" s="3"/>
      <c r="AW1949" s="3"/>
      <c r="AX1949" s="11"/>
      <c r="AZ1949"/>
      <c r="BA1949"/>
      <c r="BB1949"/>
      <c r="BC1949"/>
    </row>
    <row r="1950" spans="1:55" s="282" customFormat="1" x14ac:dyDescent="0.25">
      <c r="A1950"/>
      <c r="B1950"/>
      <c r="C1950" s="3"/>
      <c r="D1950"/>
      <c r="E1950"/>
      <c r="F1950"/>
      <c r="G1950" s="3"/>
      <c r="H1950" s="3"/>
      <c r="I1950" s="3"/>
      <c r="J1950" s="288"/>
      <c r="L1950" s="288"/>
      <c r="M1950" s="288"/>
      <c r="N1950" s="288"/>
      <c r="O1950" s="288"/>
      <c r="P1950" s="288"/>
      <c r="Q1950" s="288"/>
      <c r="R1950" s="283"/>
      <c r="S1950" s="280"/>
      <c r="T1950" s="276"/>
      <c r="U1950" s="276"/>
      <c r="V1950" s="276"/>
      <c r="W1950" s="283"/>
      <c r="X1950" s="280"/>
      <c r="Y1950" s="280"/>
      <c r="Z1950" s="280"/>
      <c r="AA1950" s="280"/>
      <c r="AB1950" s="280"/>
      <c r="AC1950" s="280"/>
      <c r="AD1950" s="280"/>
      <c r="AG1950" s="3"/>
      <c r="AH1950" s="3"/>
      <c r="AI1950" s="3"/>
      <c r="AJ1950" s="3"/>
      <c r="AK1950" s="3"/>
      <c r="AL1950" s="3"/>
      <c r="AM1950" s="3"/>
      <c r="AN1950" s="3"/>
      <c r="AO1950" s="3"/>
      <c r="AP1950" s="11"/>
      <c r="AQ1950" s="11"/>
      <c r="AR1950" s="3"/>
      <c r="AS1950" s="3"/>
      <c r="AT1950" s="3"/>
      <c r="AU1950" s="3"/>
      <c r="AV1950" s="3"/>
      <c r="AW1950" s="3"/>
      <c r="AX1950" s="11"/>
      <c r="AZ1950"/>
      <c r="BA1950"/>
      <c r="BB1950"/>
      <c r="BC1950"/>
    </row>
    <row r="1951" spans="1:55" s="282" customFormat="1" x14ac:dyDescent="0.25">
      <c r="A1951"/>
      <c r="B1951"/>
      <c r="C1951" s="3"/>
      <c r="D1951"/>
      <c r="E1951"/>
      <c r="F1951"/>
      <c r="G1951" s="3"/>
      <c r="H1951" s="3"/>
      <c r="I1951" s="3"/>
      <c r="J1951" s="288"/>
      <c r="L1951" s="288"/>
      <c r="M1951" s="288"/>
      <c r="N1951" s="288"/>
      <c r="O1951" s="288"/>
      <c r="P1951" s="288"/>
      <c r="Q1951" s="288"/>
      <c r="R1951" s="283"/>
      <c r="S1951" s="280"/>
      <c r="T1951" s="276"/>
      <c r="U1951" s="276"/>
      <c r="V1951" s="276"/>
      <c r="W1951" s="283"/>
      <c r="X1951" s="280"/>
      <c r="Y1951" s="280"/>
      <c r="Z1951" s="280"/>
      <c r="AA1951" s="280"/>
      <c r="AB1951" s="280"/>
      <c r="AC1951" s="280"/>
      <c r="AD1951" s="280"/>
      <c r="AG1951" s="3"/>
      <c r="AH1951" s="3"/>
      <c r="AI1951" s="3"/>
      <c r="AJ1951" s="3"/>
      <c r="AK1951" s="3"/>
      <c r="AL1951" s="3"/>
      <c r="AM1951" s="3"/>
      <c r="AN1951" s="3"/>
      <c r="AO1951" s="3"/>
      <c r="AP1951" s="11"/>
      <c r="AQ1951" s="11"/>
      <c r="AR1951" s="3"/>
      <c r="AS1951" s="3"/>
      <c r="AT1951" s="3"/>
      <c r="AU1951" s="3"/>
      <c r="AV1951" s="3"/>
      <c r="AW1951" s="3"/>
      <c r="AX1951" s="11"/>
      <c r="AZ1951"/>
      <c r="BA1951"/>
      <c r="BB1951"/>
      <c r="BC1951"/>
    </row>
    <row r="1952" spans="1:55" s="282" customFormat="1" x14ac:dyDescent="0.25">
      <c r="A1952"/>
      <c r="B1952"/>
      <c r="C1952" s="3"/>
      <c r="D1952"/>
      <c r="E1952"/>
      <c r="F1952"/>
      <c r="G1952" s="3"/>
      <c r="H1952" s="3"/>
      <c r="I1952" s="3"/>
      <c r="J1952" s="288"/>
      <c r="L1952" s="288"/>
      <c r="M1952" s="288"/>
      <c r="N1952" s="288"/>
      <c r="O1952" s="288"/>
      <c r="P1952" s="288"/>
      <c r="Q1952" s="288"/>
      <c r="R1952" s="283"/>
      <c r="S1952" s="280"/>
      <c r="T1952" s="276"/>
      <c r="U1952" s="276"/>
      <c r="V1952" s="276"/>
      <c r="W1952" s="283"/>
      <c r="X1952" s="280"/>
      <c r="Y1952" s="280"/>
      <c r="Z1952" s="280"/>
      <c r="AA1952" s="280"/>
      <c r="AB1952" s="280"/>
      <c r="AC1952" s="280"/>
      <c r="AD1952" s="280"/>
      <c r="AG1952" s="3"/>
      <c r="AH1952" s="3"/>
      <c r="AI1952" s="3"/>
      <c r="AJ1952" s="3"/>
      <c r="AK1952" s="3"/>
      <c r="AL1952" s="3"/>
      <c r="AM1952" s="3"/>
      <c r="AN1952" s="3"/>
      <c r="AO1952" s="3"/>
      <c r="AP1952" s="11"/>
      <c r="AQ1952" s="11"/>
      <c r="AR1952" s="3"/>
      <c r="AS1952" s="3"/>
      <c r="AT1952" s="3"/>
      <c r="AU1952" s="3"/>
      <c r="AV1952" s="3"/>
      <c r="AW1952" s="3"/>
      <c r="AX1952" s="11"/>
      <c r="AZ1952"/>
      <c r="BA1952"/>
      <c r="BB1952"/>
      <c r="BC1952"/>
    </row>
    <row r="1953" spans="1:55" s="282" customFormat="1" x14ac:dyDescent="0.25">
      <c r="A1953"/>
      <c r="B1953"/>
      <c r="C1953" s="3"/>
      <c r="D1953"/>
      <c r="E1953"/>
      <c r="F1953"/>
      <c r="G1953" s="3"/>
      <c r="H1953" s="3"/>
      <c r="I1953" s="3"/>
      <c r="J1953" s="288"/>
      <c r="L1953" s="288"/>
      <c r="M1953" s="288"/>
      <c r="N1953" s="288"/>
      <c r="O1953" s="288"/>
      <c r="P1953" s="288"/>
      <c r="Q1953" s="288"/>
      <c r="R1953" s="283"/>
      <c r="S1953" s="280"/>
      <c r="T1953" s="276"/>
      <c r="U1953" s="276"/>
      <c r="V1953" s="276"/>
      <c r="W1953" s="283"/>
      <c r="X1953" s="280"/>
      <c r="Y1953" s="280"/>
      <c r="Z1953" s="280"/>
      <c r="AA1953" s="280"/>
      <c r="AB1953" s="280"/>
      <c r="AC1953" s="280"/>
      <c r="AD1953" s="280"/>
      <c r="AG1953" s="3"/>
      <c r="AH1953" s="3"/>
      <c r="AI1953" s="3"/>
      <c r="AJ1953" s="3"/>
      <c r="AK1953" s="3"/>
      <c r="AL1953" s="3"/>
      <c r="AM1953" s="3"/>
      <c r="AN1953" s="3"/>
      <c r="AO1953" s="3"/>
      <c r="AP1953" s="11"/>
      <c r="AQ1953" s="11"/>
      <c r="AR1953" s="3"/>
      <c r="AS1953" s="3"/>
      <c r="AT1953" s="3"/>
      <c r="AU1953" s="3"/>
      <c r="AV1953" s="3"/>
      <c r="AW1953" s="3"/>
      <c r="AX1953" s="11"/>
      <c r="AZ1953"/>
      <c r="BA1953"/>
      <c r="BB1953"/>
      <c r="BC1953"/>
    </row>
    <row r="1954" spans="1:55" s="282" customFormat="1" x14ac:dyDescent="0.25">
      <c r="A1954"/>
      <c r="B1954"/>
      <c r="C1954" s="3"/>
      <c r="D1954"/>
      <c r="E1954"/>
      <c r="F1954"/>
      <c r="G1954" s="3"/>
      <c r="H1954" s="3"/>
      <c r="I1954" s="3"/>
      <c r="J1954" s="288"/>
      <c r="L1954" s="288"/>
      <c r="M1954" s="288"/>
      <c r="N1954" s="288"/>
      <c r="O1954" s="288"/>
      <c r="P1954" s="288"/>
      <c r="Q1954" s="288"/>
      <c r="R1954" s="283"/>
      <c r="S1954" s="280"/>
      <c r="T1954" s="276"/>
      <c r="U1954" s="276"/>
      <c r="V1954" s="276"/>
      <c r="W1954" s="283"/>
      <c r="X1954" s="280"/>
      <c r="Y1954" s="280"/>
      <c r="Z1954" s="280"/>
      <c r="AA1954" s="280"/>
      <c r="AB1954" s="280"/>
      <c r="AC1954" s="280"/>
      <c r="AD1954" s="280"/>
      <c r="AG1954" s="3"/>
      <c r="AH1954" s="3"/>
      <c r="AI1954" s="3"/>
      <c r="AJ1954" s="3"/>
      <c r="AK1954" s="3"/>
      <c r="AL1954" s="3"/>
      <c r="AM1954" s="3"/>
      <c r="AN1954" s="3"/>
      <c r="AO1954" s="3"/>
      <c r="AP1954" s="11"/>
      <c r="AQ1954" s="11"/>
      <c r="AR1954" s="3"/>
      <c r="AS1954" s="3"/>
      <c r="AT1954" s="3"/>
      <c r="AU1954" s="3"/>
      <c r="AV1954" s="3"/>
      <c r="AW1954" s="3"/>
      <c r="AX1954" s="11"/>
      <c r="AZ1954"/>
      <c r="BA1954"/>
      <c r="BB1954"/>
      <c r="BC1954"/>
    </row>
    <row r="1955" spans="1:55" s="282" customFormat="1" x14ac:dyDescent="0.25">
      <c r="A1955"/>
      <c r="B1955"/>
      <c r="C1955" s="3"/>
      <c r="D1955"/>
      <c r="E1955"/>
      <c r="F1955"/>
      <c r="G1955" s="3"/>
      <c r="H1955" s="3"/>
      <c r="I1955" s="3"/>
      <c r="J1955" s="288"/>
      <c r="L1955" s="288"/>
      <c r="M1955" s="288"/>
      <c r="N1955" s="288"/>
      <c r="O1955" s="288"/>
      <c r="P1955" s="288"/>
      <c r="Q1955" s="288"/>
      <c r="R1955" s="283"/>
      <c r="S1955" s="280"/>
      <c r="T1955" s="276"/>
      <c r="U1955" s="276"/>
      <c r="V1955" s="276"/>
      <c r="W1955" s="283"/>
      <c r="X1955" s="280"/>
      <c r="Y1955" s="280"/>
      <c r="Z1955" s="280"/>
      <c r="AA1955" s="280"/>
      <c r="AB1955" s="280"/>
      <c r="AC1955" s="280"/>
      <c r="AD1955" s="280"/>
      <c r="AG1955" s="3"/>
      <c r="AH1955" s="3"/>
      <c r="AI1955" s="3"/>
      <c r="AJ1955" s="3"/>
      <c r="AK1955" s="3"/>
      <c r="AL1955" s="3"/>
      <c r="AM1955" s="3"/>
      <c r="AN1955" s="3"/>
      <c r="AO1955" s="3"/>
      <c r="AP1955" s="11"/>
      <c r="AQ1955" s="11"/>
      <c r="AR1955" s="3"/>
      <c r="AS1955" s="3"/>
      <c r="AT1955" s="3"/>
      <c r="AU1955" s="3"/>
      <c r="AV1955" s="3"/>
      <c r="AW1955" s="3"/>
      <c r="AX1955" s="11"/>
      <c r="AZ1955"/>
      <c r="BA1955"/>
      <c r="BB1955"/>
      <c r="BC1955"/>
    </row>
    <row r="1956" spans="1:55" s="282" customFormat="1" x14ac:dyDescent="0.25">
      <c r="A1956"/>
      <c r="B1956"/>
      <c r="C1956" s="3"/>
      <c r="D1956"/>
      <c r="E1956"/>
      <c r="F1956"/>
      <c r="G1956" s="3"/>
      <c r="H1956" s="3"/>
      <c r="I1956" s="3"/>
      <c r="J1956" s="288"/>
      <c r="L1956" s="288"/>
      <c r="M1956" s="288"/>
      <c r="N1956" s="288"/>
      <c r="O1956" s="288"/>
      <c r="P1956" s="288"/>
      <c r="Q1956" s="288"/>
      <c r="R1956" s="283"/>
      <c r="S1956" s="280"/>
      <c r="T1956" s="276"/>
      <c r="U1956" s="276"/>
      <c r="V1956" s="276"/>
      <c r="W1956" s="283"/>
      <c r="X1956" s="280"/>
      <c r="Y1956" s="280"/>
      <c r="Z1956" s="280"/>
      <c r="AA1956" s="280"/>
      <c r="AB1956" s="280"/>
      <c r="AC1956" s="280"/>
      <c r="AD1956" s="280"/>
      <c r="AG1956" s="3"/>
      <c r="AH1956" s="3"/>
      <c r="AI1956" s="3"/>
      <c r="AJ1956" s="3"/>
      <c r="AK1956" s="3"/>
      <c r="AL1956" s="3"/>
      <c r="AM1956" s="3"/>
      <c r="AN1956" s="3"/>
      <c r="AO1956" s="3"/>
      <c r="AP1956" s="11"/>
      <c r="AQ1956" s="11"/>
      <c r="AR1956" s="3"/>
      <c r="AS1956" s="3"/>
      <c r="AT1956" s="3"/>
      <c r="AU1956" s="3"/>
      <c r="AV1956" s="3"/>
      <c r="AW1956" s="3"/>
      <c r="AX1956" s="11"/>
      <c r="AZ1956"/>
      <c r="BA1956"/>
      <c r="BB1956"/>
      <c r="BC1956"/>
    </row>
    <row r="1957" spans="1:55" s="282" customFormat="1" x14ac:dyDescent="0.25">
      <c r="A1957"/>
      <c r="B1957"/>
      <c r="C1957" s="3"/>
      <c r="D1957"/>
      <c r="E1957"/>
      <c r="F1957"/>
      <c r="G1957" s="3"/>
      <c r="H1957" s="3"/>
      <c r="I1957" s="3"/>
      <c r="J1957" s="288"/>
      <c r="L1957" s="288"/>
      <c r="M1957" s="288"/>
      <c r="N1957" s="288"/>
      <c r="O1957" s="288"/>
      <c r="P1957" s="288"/>
      <c r="Q1957" s="288"/>
      <c r="R1957" s="283"/>
      <c r="S1957" s="280"/>
      <c r="T1957" s="276"/>
      <c r="U1957" s="276"/>
      <c r="V1957" s="276"/>
      <c r="W1957" s="283"/>
      <c r="X1957" s="280"/>
      <c r="Y1957" s="280"/>
      <c r="Z1957" s="280"/>
      <c r="AA1957" s="280"/>
      <c r="AB1957" s="280"/>
      <c r="AC1957" s="280"/>
      <c r="AD1957" s="280"/>
      <c r="AG1957" s="3"/>
      <c r="AH1957" s="3"/>
      <c r="AI1957" s="3"/>
      <c r="AJ1957" s="3"/>
      <c r="AK1957" s="3"/>
      <c r="AL1957" s="3"/>
      <c r="AM1957" s="3"/>
      <c r="AN1957" s="3"/>
      <c r="AO1957" s="3"/>
      <c r="AP1957" s="11"/>
      <c r="AQ1957" s="11"/>
      <c r="AR1957" s="3"/>
      <c r="AS1957" s="3"/>
      <c r="AT1957" s="3"/>
      <c r="AU1957" s="3"/>
      <c r="AV1957" s="3"/>
      <c r="AW1957" s="3"/>
      <c r="AX1957" s="11"/>
      <c r="AZ1957"/>
      <c r="BA1957"/>
      <c r="BB1957"/>
      <c r="BC1957"/>
    </row>
    <row r="1958" spans="1:55" s="282" customFormat="1" x14ac:dyDescent="0.25">
      <c r="A1958"/>
      <c r="B1958"/>
      <c r="C1958" s="3"/>
      <c r="D1958"/>
      <c r="E1958"/>
      <c r="F1958"/>
      <c r="G1958" s="3"/>
      <c r="H1958" s="3"/>
      <c r="I1958" s="3"/>
      <c r="J1958" s="288"/>
      <c r="L1958" s="288"/>
      <c r="M1958" s="288"/>
      <c r="N1958" s="288"/>
      <c r="O1958" s="288"/>
      <c r="P1958" s="288"/>
      <c r="Q1958" s="288"/>
      <c r="R1958" s="283"/>
      <c r="S1958" s="280"/>
      <c r="T1958" s="276"/>
      <c r="U1958" s="276"/>
      <c r="V1958" s="276"/>
      <c r="W1958" s="283"/>
      <c r="X1958" s="280"/>
      <c r="Y1958" s="280"/>
      <c r="Z1958" s="280"/>
      <c r="AA1958" s="280"/>
      <c r="AB1958" s="280"/>
      <c r="AC1958" s="280"/>
      <c r="AD1958" s="280"/>
      <c r="AG1958" s="3"/>
      <c r="AH1958" s="3"/>
      <c r="AI1958" s="3"/>
      <c r="AJ1958" s="3"/>
      <c r="AK1958" s="3"/>
      <c r="AL1958" s="3"/>
      <c r="AM1958" s="3"/>
      <c r="AN1958" s="3"/>
      <c r="AO1958" s="3"/>
      <c r="AP1958" s="11"/>
      <c r="AQ1958" s="11"/>
      <c r="AR1958" s="3"/>
      <c r="AS1958" s="3"/>
      <c r="AT1958" s="3"/>
      <c r="AU1958" s="3"/>
      <c r="AV1958" s="3"/>
      <c r="AW1958" s="3"/>
      <c r="AX1958" s="11"/>
      <c r="AZ1958"/>
      <c r="BA1958"/>
      <c r="BB1958"/>
      <c r="BC1958"/>
    </row>
    <row r="1959" spans="1:55" s="282" customFormat="1" x14ac:dyDescent="0.25">
      <c r="A1959"/>
      <c r="B1959"/>
      <c r="C1959" s="3"/>
      <c r="D1959"/>
      <c r="E1959"/>
      <c r="F1959"/>
      <c r="G1959" s="3"/>
      <c r="H1959" s="3"/>
      <c r="I1959" s="3"/>
      <c r="J1959" s="288"/>
      <c r="L1959" s="288"/>
      <c r="M1959" s="288"/>
      <c r="N1959" s="288"/>
      <c r="O1959" s="288"/>
      <c r="P1959" s="288"/>
      <c r="Q1959" s="288"/>
      <c r="R1959" s="283"/>
      <c r="S1959" s="280"/>
      <c r="T1959" s="276"/>
      <c r="U1959" s="276"/>
      <c r="V1959" s="276"/>
      <c r="W1959" s="283"/>
      <c r="X1959" s="280"/>
      <c r="Y1959" s="280"/>
      <c r="Z1959" s="280"/>
      <c r="AA1959" s="280"/>
      <c r="AB1959" s="280"/>
      <c r="AC1959" s="280"/>
      <c r="AD1959" s="280"/>
      <c r="AG1959" s="3"/>
      <c r="AH1959" s="3"/>
      <c r="AI1959" s="3"/>
      <c r="AJ1959" s="3"/>
      <c r="AK1959" s="3"/>
      <c r="AL1959" s="3"/>
      <c r="AM1959" s="3"/>
      <c r="AN1959" s="3"/>
      <c r="AO1959" s="3"/>
      <c r="AP1959" s="11"/>
      <c r="AQ1959" s="11"/>
      <c r="AR1959" s="3"/>
      <c r="AS1959" s="3"/>
      <c r="AT1959" s="3"/>
      <c r="AU1959" s="3"/>
      <c r="AV1959" s="3"/>
      <c r="AW1959" s="3"/>
      <c r="AX1959" s="11"/>
      <c r="AZ1959"/>
      <c r="BA1959"/>
      <c r="BB1959"/>
      <c r="BC1959"/>
    </row>
    <row r="1960" spans="1:55" s="282" customFormat="1" x14ac:dyDescent="0.25">
      <c r="A1960"/>
      <c r="B1960"/>
      <c r="C1960" s="3"/>
      <c r="D1960"/>
      <c r="E1960"/>
      <c r="F1960"/>
      <c r="G1960" s="3"/>
      <c r="H1960" s="3"/>
      <c r="I1960" s="3"/>
      <c r="J1960" s="288"/>
      <c r="L1960" s="288"/>
      <c r="M1960" s="288"/>
      <c r="N1960" s="288"/>
      <c r="O1960" s="288"/>
      <c r="P1960" s="288"/>
      <c r="Q1960" s="288"/>
      <c r="R1960" s="283"/>
      <c r="S1960" s="280"/>
      <c r="T1960" s="276"/>
      <c r="U1960" s="276"/>
      <c r="V1960" s="276"/>
      <c r="W1960" s="283"/>
      <c r="X1960" s="280"/>
      <c r="Y1960" s="280"/>
      <c r="Z1960" s="280"/>
      <c r="AA1960" s="280"/>
      <c r="AB1960" s="280"/>
      <c r="AC1960" s="280"/>
      <c r="AD1960" s="280"/>
      <c r="AG1960" s="3"/>
      <c r="AH1960" s="3"/>
      <c r="AI1960" s="3"/>
      <c r="AJ1960" s="3"/>
      <c r="AK1960" s="3"/>
      <c r="AL1960" s="3"/>
      <c r="AM1960" s="3"/>
      <c r="AN1960" s="3"/>
      <c r="AO1960" s="3"/>
      <c r="AP1960" s="11"/>
      <c r="AQ1960" s="11"/>
      <c r="AR1960" s="3"/>
      <c r="AS1960" s="3"/>
      <c r="AT1960" s="3"/>
      <c r="AU1960" s="3"/>
      <c r="AV1960" s="3"/>
      <c r="AW1960" s="3"/>
      <c r="AX1960" s="11"/>
      <c r="AZ1960"/>
      <c r="BA1960"/>
      <c r="BB1960"/>
      <c r="BC1960"/>
    </row>
    <row r="1961" spans="1:55" s="282" customFormat="1" x14ac:dyDescent="0.25">
      <c r="A1961"/>
      <c r="B1961"/>
      <c r="C1961" s="3"/>
      <c r="D1961"/>
      <c r="E1961"/>
      <c r="F1961"/>
      <c r="G1961" s="3"/>
      <c r="H1961" s="3"/>
      <c r="I1961" s="3"/>
      <c r="J1961" s="288"/>
      <c r="L1961" s="288"/>
      <c r="M1961" s="288"/>
      <c r="N1961" s="288"/>
      <c r="O1961" s="288"/>
      <c r="P1961" s="288"/>
      <c r="Q1961" s="288"/>
      <c r="R1961" s="283"/>
      <c r="S1961" s="280"/>
      <c r="T1961" s="276"/>
      <c r="U1961" s="276"/>
      <c r="V1961" s="276"/>
      <c r="W1961" s="283"/>
      <c r="X1961" s="280"/>
      <c r="Y1961" s="280"/>
      <c r="Z1961" s="280"/>
      <c r="AA1961" s="280"/>
      <c r="AB1961" s="280"/>
      <c r="AC1961" s="280"/>
      <c r="AD1961" s="280"/>
      <c r="AG1961" s="3"/>
      <c r="AH1961" s="3"/>
      <c r="AI1961" s="3"/>
      <c r="AJ1961" s="3"/>
      <c r="AK1961" s="3"/>
      <c r="AL1961" s="3"/>
      <c r="AM1961" s="3"/>
      <c r="AN1961" s="3"/>
      <c r="AO1961" s="3"/>
      <c r="AP1961" s="11"/>
      <c r="AQ1961" s="11"/>
      <c r="AR1961" s="3"/>
      <c r="AS1961" s="3"/>
      <c r="AT1961" s="3"/>
      <c r="AU1961" s="3"/>
      <c r="AV1961" s="3"/>
      <c r="AW1961" s="3"/>
      <c r="AX1961" s="11"/>
      <c r="AZ1961"/>
      <c r="BA1961"/>
      <c r="BB1961"/>
      <c r="BC1961"/>
    </row>
    <row r="1962" spans="1:55" s="282" customFormat="1" x14ac:dyDescent="0.25">
      <c r="A1962"/>
      <c r="B1962"/>
      <c r="C1962" s="3"/>
      <c r="D1962"/>
      <c r="E1962"/>
      <c r="F1962"/>
      <c r="G1962" s="3"/>
      <c r="H1962" s="3"/>
      <c r="I1962" s="3"/>
      <c r="J1962" s="288"/>
      <c r="L1962" s="288"/>
      <c r="M1962" s="288"/>
      <c r="N1962" s="288"/>
      <c r="O1962" s="288"/>
      <c r="P1962" s="288"/>
      <c r="Q1962" s="288"/>
      <c r="R1962" s="283"/>
      <c r="S1962" s="280"/>
      <c r="T1962" s="276"/>
      <c r="U1962" s="276"/>
      <c r="V1962" s="276"/>
      <c r="W1962" s="283"/>
      <c r="X1962" s="280"/>
      <c r="Y1962" s="280"/>
      <c r="Z1962" s="280"/>
      <c r="AA1962" s="280"/>
      <c r="AB1962" s="280"/>
      <c r="AC1962" s="280"/>
      <c r="AD1962" s="280"/>
      <c r="AG1962" s="3"/>
      <c r="AH1962" s="3"/>
      <c r="AI1962" s="3"/>
      <c r="AJ1962" s="3"/>
      <c r="AK1962" s="3"/>
      <c r="AL1962" s="3"/>
      <c r="AM1962" s="3"/>
      <c r="AN1962" s="3"/>
      <c r="AO1962" s="3"/>
      <c r="AP1962" s="11"/>
      <c r="AQ1962" s="11"/>
      <c r="AR1962" s="3"/>
      <c r="AS1962" s="3"/>
      <c r="AT1962" s="3"/>
      <c r="AU1962" s="3"/>
      <c r="AV1962" s="3"/>
      <c r="AW1962" s="3"/>
      <c r="AX1962" s="11"/>
      <c r="AZ1962"/>
      <c r="BA1962"/>
      <c r="BB1962"/>
      <c r="BC1962"/>
    </row>
    <row r="1963" spans="1:55" s="282" customFormat="1" x14ac:dyDescent="0.25">
      <c r="A1963"/>
      <c r="B1963"/>
      <c r="C1963" s="3"/>
      <c r="D1963"/>
      <c r="E1963"/>
      <c r="F1963"/>
      <c r="G1963" s="3"/>
      <c r="H1963" s="3"/>
      <c r="I1963" s="3"/>
      <c r="J1963" s="288"/>
      <c r="L1963" s="288"/>
      <c r="M1963" s="288"/>
      <c r="N1963" s="288"/>
      <c r="O1963" s="288"/>
      <c r="P1963" s="288"/>
      <c r="Q1963" s="288"/>
      <c r="R1963" s="283"/>
      <c r="S1963" s="280"/>
      <c r="T1963" s="276"/>
      <c r="U1963" s="276"/>
      <c r="V1963" s="276"/>
      <c r="W1963" s="283"/>
      <c r="X1963" s="280"/>
      <c r="Y1963" s="280"/>
      <c r="Z1963" s="280"/>
      <c r="AA1963" s="280"/>
      <c r="AB1963" s="280"/>
      <c r="AC1963" s="280"/>
      <c r="AD1963" s="280"/>
      <c r="AG1963" s="3"/>
      <c r="AH1963" s="3"/>
      <c r="AI1963" s="3"/>
      <c r="AJ1963" s="3"/>
      <c r="AK1963" s="3"/>
      <c r="AL1963" s="3"/>
      <c r="AM1963" s="3"/>
      <c r="AN1963" s="3"/>
      <c r="AO1963" s="3"/>
      <c r="AP1963" s="11"/>
      <c r="AQ1963" s="11"/>
      <c r="AR1963" s="3"/>
      <c r="AS1963" s="3"/>
      <c r="AT1963" s="3"/>
      <c r="AU1963" s="3"/>
      <c r="AV1963" s="3"/>
      <c r="AW1963" s="3"/>
      <c r="AX1963" s="11"/>
      <c r="AZ1963"/>
      <c r="BA1963"/>
      <c r="BB1963"/>
      <c r="BC1963"/>
    </row>
    <row r="1964" spans="1:55" s="282" customFormat="1" x14ac:dyDescent="0.25">
      <c r="A1964"/>
      <c r="B1964"/>
      <c r="C1964" s="3"/>
      <c r="D1964"/>
      <c r="E1964"/>
      <c r="F1964"/>
      <c r="G1964" s="3"/>
      <c r="H1964" s="3"/>
      <c r="I1964" s="3"/>
      <c r="J1964" s="288"/>
      <c r="L1964" s="288"/>
      <c r="M1964" s="288"/>
      <c r="N1964" s="288"/>
      <c r="O1964" s="288"/>
      <c r="P1964" s="288"/>
      <c r="Q1964" s="288"/>
      <c r="R1964" s="283"/>
      <c r="S1964" s="280"/>
      <c r="T1964" s="276"/>
      <c r="U1964" s="276"/>
      <c r="V1964" s="276"/>
      <c r="W1964" s="283"/>
      <c r="X1964" s="280"/>
      <c r="Y1964" s="280"/>
      <c r="Z1964" s="280"/>
      <c r="AA1964" s="280"/>
      <c r="AB1964" s="280"/>
      <c r="AC1964" s="280"/>
      <c r="AD1964" s="280"/>
      <c r="AG1964" s="3"/>
      <c r="AH1964" s="3"/>
      <c r="AI1964" s="3"/>
      <c r="AJ1964" s="3"/>
      <c r="AK1964" s="3"/>
      <c r="AL1964" s="3"/>
      <c r="AM1964" s="3"/>
      <c r="AN1964" s="3"/>
      <c r="AO1964" s="3"/>
      <c r="AP1964" s="11"/>
      <c r="AQ1964" s="11"/>
      <c r="AR1964" s="3"/>
      <c r="AS1964" s="3"/>
      <c r="AT1964" s="3"/>
      <c r="AU1964" s="3"/>
      <c r="AV1964" s="3"/>
      <c r="AW1964" s="3"/>
      <c r="AX1964" s="11"/>
      <c r="AZ1964"/>
      <c r="BA1964"/>
      <c r="BB1964"/>
      <c r="BC1964"/>
    </row>
    <row r="1965" spans="1:55" s="282" customFormat="1" x14ac:dyDescent="0.25">
      <c r="A1965"/>
      <c r="B1965"/>
      <c r="C1965" s="3"/>
      <c r="D1965"/>
      <c r="E1965"/>
      <c r="F1965"/>
      <c r="G1965" s="3"/>
      <c r="H1965" s="3"/>
      <c r="I1965" s="3"/>
      <c r="J1965" s="288"/>
      <c r="L1965" s="288"/>
      <c r="M1965" s="288"/>
      <c r="N1965" s="288"/>
      <c r="O1965" s="288"/>
      <c r="P1965" s="288"/>
      <c r="Q1965" s="288"/>
      <c r="R1965" s="283"/>
      <c r="S1965" s="280"/>
      <c r="T1965" s="276"/>
      <c r="U1965" s="276"/>
      <c r="V1965" s="276"/>
      <c r="W1965" s="283"/>
      <c r="X1965" s="280"/>
      <c r="Y1965" s="280"/>
      <c r="Z1965" s="280"/>
      <c r="AA1965" s="280"/>
      <c r="AB1965" s="280"/>
      <c r="AC1965" s="280"/>
      <c r="AD1965" s="280"/>
      <c r="AG1965" s="3"/>
      <c r="AH1965" s="3"/>
      <c r="AI1965" s="3"/>
      <c r="AJ1965" s="3"/>
      <c r="AK1965" s="3"/>
      <c r="AL1965" s="3"/>
      <c r="AM1965" s="3"/>
      <c r="AN1965" s="3"/>
      <c r="AO1965" s="3"/>
      <c r="AP1965" s="11"/>
      <c r="AQ1965" s="11"/>
      <c r="AR1965" s="3"/>
      <c r="AS1965" s="3"/>
      <c r="AT1965" s="3"/>
      <c r="AU1965" s="3"/>
      <c r="AV1965" s="3"/>
      <c r="AW1965" s="3"/>
      <c r="AX1965" s="11"/>
      <c r="AZ1965"/>
      <c r="BA1965"/>
      <c r="BB1965"/>
      <c r="BC1965"/>
    </row>
    <row r="1966" spans="1:55" s="282" customFormat="1" x14ac:dyDescent="0.25">
      <c r="A1966"/>
      <c r="B1966"/>
      <c r="C1966" s="3"/>
      <c r="D1966"/>
      <c r="E1966"/>
      <c r="F1966"/>
      <c r="G1966" s="3"/>
      <c r="H1966" s="3"/>
      <c r="I1966" s="3"/>
      <c r="J1966" s="288"/>
      <c r="L1966" s="288"/>
      <c r="M1966" s="288"/>
      <c r="N1966" s="288"/>
      <c r="O1966" s="288"/>
      <c r="P1966" s="288"/>
      <c r="Q1966" s="288"/>
      <c r="R1966" s="283"/>
      <c r="S1966" s="280"/>
      <c r="T1966" s="276"/>
      <c r="U1966" s="276"/>
      <c r="V1966" s="276"/>
      <c r="W1966" s="283"/>
      <c r="X1966" s="280"/>
      <c r="Y1966" s="280"/>
      <c r="Z1966" s="280"/>
      <c r="AA1966" s="280"/>
      <c r="AB1966" s="280"/>
      <c r="AC1966" s="280"/>
      <c r="AD1966" s="280"/>
      <c r="AG1966" s="3"/>
      <c r="AH1966" s="3"/>
      <c r="AI1966" s="3"/>
      <c r="AJ1966" s="3"/>
      <c r="AK1966" s="3"/>
      <c r="AL1966" s="3"/>
      <c r="AM1966" s="3"/>
      <c r="AN1966" s="3"/>
      <c r="AO1966" s="3"/>
      <c r="AP1966" s="11"/>
      <c r="AQ1966" s="11"/>
      <c r="AR1966" s="3"/>
      <c r="AS1966" s="3"/>
      <c r="AT1966" s="3"/>
      <c r="AU1966" s="3"/>
      <c r="AV1966" s="3"/>
      <c r="AW1966" s="3"/>
      <c r="AX1966" s="11"/>
      <c r="AZ1966"/>
      <c r="BA1966"/>
      <c r="BB1966"/>
      <c r="BC1966"/>
    </row>
    <row r="1967" spans="1:55" s="282" customFormat="1" x14ac:dyDescent="0.25">
      <c r="A1967"/>
      <c r="B1967"/>
      <c r="C1967" s="3"/>
      <c r="D1967"/>
      <c r="E1967"/>
      <c r="F1967"/>
      <c r="G1967" s="3"/>
      <c r="H1967" s="3"/>
      <c r="I1967" s="3"/>
      <c r="J1967" s="288"/>
      <c r="L1967" s="288"/>
      <c r="M1967" s="288"/>
      <c r="N1967" s="288"/>
      <c r="O1967" s="288"/>
      <c r="P1967" s="288"/>
      <c r="Q1967" s="288"/>
      <c r="R1967" s="283"/>
      <c r="S1967" s="280"/>
      <c r="T1967" s="276"/>
      <c r="U1967" s="276"/>
      <c r="V1967" s="276"/>
      <c r="W1967" s="283"/>
      <c r="X1967" s="280"/>
      <c r="Y1967" s="280"/>
      <c r="Z1967" s="280"/>
      <c r="AA1967" s="280"/>
      <c r="AB1967" s="280"/>
      <c r="AC1967" s="280"/>
      <c r="AD1967" s="280"/>
      <c r="AG1967" s="3"/>
      <c r="AH1967" s="3"/>
      <c r="AI1967" s="3"/>
      <c r="AJ1967" s="3"/>
      <c r="AK1967" s="3"/>
      <c r="AL1967" s="3"/>
      <c r="AM1967" s="3"/>
      <c r="AN1967" s="3"/>
      <c r="AO1967" s="3"/>
      <c r="AP1967" s="11"/>
      <c r="AQ1967" s="11"/>
      <c r="AR1967" s="3"/>
      <c r="AS1967" s="3"/>
      <c r="AT1967" s="3"/>
      <c r="AU1967" s="3"/>
      <c r="AV1967" s="3"/>
      <c r="AW1967" s="3"/>
      <c r="AX1967" s="11"/>
      <c r="AZ1967"/>
      <c r="BA1967"/>
      <c r="BB1967"/>
      <c r="BC1967"/>
    </row>
    <row r="1968" spans="1:55" s="282" customFormat="1" x14ac:dyDescent="0.25">
      <c r="A1968"/>
      <c r="B1968"/>
      <c r="C1968" s="3"/>
      <c r="D1968"/>
      <c r="E1968"/>
      <c r="F1968"/>
      <c r="G1968" s="3"/>
      <c r="H1968" s="3"/>
      <c r="I1968" s="3"/>
      <c r="J1968" s="288"/>
      <c r="L1968" s="288"/>
      <c r="M1968" s="288"/>
      <c r="N1968" s="288"/>
      <c r="O1968" s="288"/>
      <c r="P1968" s="288"/>
      <c r="Q1968" s="288"/>
      <c r="R1968" s="283"/>
      <c r="S1968" s="280"/>
      <c r="T1968" s="276"/>
      <c r="U1968" s="276"/>
      <c r="V1968" s="276"/>
      <c r="W1968" s="283"/>
      <c r="X1968" s="280"/>
      <c r="Y1968" s="280"/>
      <c r="Z1968" s="280"/>
      <c r="AA1968" s="280"/>
      <c r="AB1968" s="280"/>
      <c r="AC1968" s="280"/>
      <c r="AD1968" s="280"/>
      <c r="AG1968" s="3"/>
      <c r="AH1968" s="3"/>
      <c r="AI1968" s="3"/>
      <c r="AJ1968" s="3"/>
      <c r="AK1968" s="3"/>
      <c r="AL1968" s="3"/>
      <c r="AM1968" s="3"/>
      <c r="AN1968" s="3"/>
      <c r="AO1968" s="3"/>
      <c r="AP1968" s="11"/>
      <c r="AQ1968" s="11"/>
      <c r="AR1968" s="3"/>
      <c r="AS1968" s="3"/>
      <c r="AT1968" s="3"/>
      <c r="AU1968" s="3"/>
      <c r="AV1968" s="3"/>
      <c r="AW1968" s="3"/>
      <c r="AX1968" s="11"/>
      <c r="AZ1968"/>
      <c r="BA1968"/>
      <c r="BB1968"/>
      <c r="BC1968"/>
    </row>
    <row r="1969" spans="1:55" s="282" customFormat="1" x14ac:dyDescent="0.25">
      <c r="A1969"/>
      <c r="B1969"/>
      <c r="C1969" s="3"/>
      <c r="D1969"/>
      <c r="E1969"/>
      <c r="F1969"/>
      <c r="G1969" s="3"/>
      <c r="H1969" s="3"/>
      <c r="I1969" s="3"/>
      <c r="J1969" s="288"/>
      <c r="L1969" s="288"/>
      <c r="M1969" s="288"/>
      <c r="N1969" s="288"/>
      <c r="O1969" s="288"/>
      <c r="P1969" s="288"/>
      <c r="Q1969" s="288"/>
      <c r="R1969" s="283"/>
      <c r="S1969" s="280"/>
      <c r="T1969" s="276"/>
      <c r="U1969" s="276"/>
      <c r="V1969" s="276"/>
      <c r="W1969" s="283"/>
      <c r="X1969" s="280"/>
      <c r="Y1969" s="280"/>
      <c r="Z1969" s="280"/>
      <c r="AA1969" s="280"/>
      <c r="AB1969" s="280"/>
      <c r="AC1969" s="280"/>
      <c r="AD1969" s="280"/>
      <c r="AG1969" s="3"/>
      <c r="AH1969" s="3"/>
      <c r="AI1969" s="3"/>
      <c r="AJ1969" s="3"/>
      <c r="AK1969" s="3"/>
      <c r="AL1969" s="3"/>
      <c r="AM1969" s="3"/>
      <c r="AN1969" s="3"/>
      <c r="AO1969" s="3"/>
      <c r="AP1969" s="11"/>
      <c r="AQ1969" s="11"/>
      <c r="AR1969" s="3"/>
      <c r="AS1969" s="3"/>
      <c r="AT1969" s="3"/>
      <c r="AU1969" s="3"/>
      <c r="AV1969" s="3"/>
      <c r="AW1969" s="3"/>
      <c r="AX1969" s="11"/>
      <c r="AZ1969"/>
      <c r="BA1969"/>
      <c r="BB1969"/>
      <c r="BC1969"/>
    </row>
    <row r="1970" spans="1:55" s="282" customFormat="1" x14ac:dyDescent="0.25">
      <c r="A1970"/>
      <c r="B1970"/>
      <c r="C1970" s="3"/>
      <c r="D1970"/>
      <c r="E1970"/>
      <c r="F1970"/>
      <c r="G1970" s="3"/>
      <c r="H1970" s="3"/>
      <c r="I1970" s="3"/>
      <c r="J1970" s="288"/>
      <c r="L1970" s="288"/>
      <c r="M1970" s="288"/>
      <c r="N1970" s="288"/>
      <c r="O1970" s="288"/>
      <c r="P1970" s="288"/>
      <c r="Q1970" s="288"/>
      <c r="R1970" s="283"/>
      <c r="S1970" s="280"/>
      <c r="T1970" s="276"/>
      <c r="U1970" s="276"/>
      <c r="V1970" s="276"/>
      <c r="W1970" s="283"/>
      <c r="X1970" s="280"/>
      <c r="Y1970" s="280"/>
      <c r="Z1970" s="280"/>
      <c r="AA1970" s="280"/>
      <c r="AB1970" s="280"/>
      <c r="AC1970" s="280"/>
      <c r="AD1970" s="280"/>
      <c r="AG1970" s="3"/>
      <c r="AH1970" s="3"/>
      <c r="AI1970" s="3"/>
      <c r="AJ1970" s="3"/>
      <c r="AK1970" s="3"/>
      <c r="AL1970" s="3"/>
      <c r="AM1970" s="3"/>
      <c r="AN1970" s="3"/>
      <c r="AO1970" s="3"/>
      <c r="AP1970" s="11"/>
      <c r="AQ1970" s="11"/>
      <c r="AR1970" s="3"/>
      <c r="AS1970" s="3"/>
      <c r="AT1970" s="3"/>
      <c r="AU1970" s="3"/>
      <c r="AV1970" s="3"/>
      <c r="AW1970" s="3"/>
      <c r="AX1970" s="11"/>
      <c r="AZ1970"/>
      <c r="BA1970"/>
      <c r="BB1970"/>
      <c r="BC1970"/>
    </row>
    <row r="1971" spans="1:55" s="282" customFormat="1" x14ac:dyDescent="0.25">
      <c r="A1971"/>
      <c r="B1971"/>
      <c r="C1971" s="3"/>
      <c r="D1971"/>
      <c r="E1971"/>
      <c r="F1971"/>
      <c r="G1971" s="3"/>
      <c r="H1971" s="3"/>
      <c r="I1971" s="3"/>
      <c r="J1971" s="288"/>
      <c r="L1971" s="288"/>
      <c r="M1971" s="288"/>
      <c r="N1971" s="288"/>
      <c r="O1971" s="288"/>
      <c r="P1971" s="288"/>
      <c r="Q1971" s="288"/>
      <c r="R1971" s="283"/>
      <c r="S1971" s="280"/>
      <c r="T1971" s="276"/>
      <c r="U1971" s="276"/>
      <c r="V1971" s="276"/>
      <c r="W1971" s="283"/>
      <c r="X1971" s="280"/>
      <c r="Y1971" s="280"/>
      <c r="Z1971" s="280"/>
      <c r="AA1971" s="280"/>
      <c r="AB1971" s="280"/>
      <c r="AC1971" s="280"/>
      <c r="AD1971" s="280"/>
      <c r="AG1971" s="3"/>
      <c r="AH1971" s="3"/>
      <c r="AI1971" s="3"/>
      <c r="AJ1971" s="3"/>
      <c r="AK1971" s="3"/>
      <c r="AL1971" s="3"/>
      <c r="AM1971" s="3"/>
      <c r="AN1971" s="3"/>
      <c r="AO1971" s="3"/>
      <c r="AP1971" s="11"/>
      <c r="AQ1971" s="11"/>
      <c r="AR1971" s="3"/>
      <c r="AS1971" s="3"/>
      <c r="AT1971" s="3"/>
      <c r="AU1971" s="3"/>
      <c r="AV1971" s="3"/>
      <c r="AW1971" s="3"/>
      <c r="AX1971" s="11"/>
      <c r="AZ1971"/>
      <c r="BA1971"/>
      <c r="BB1971"/>
      <c r="BC1971"/>
    </row>
    <row r="1972" spans="1:55" s="282" customFormat="1" x14ac:dyDescent="0.25">
      <c r="A1972"/>
      <c r="B1972"/>
      <c r="C1972" s="3"/>
      <c r="D1972"/>
      <c r="E1972"/>
      <c r="F1972"/>
      <c r="G1972" s="3"/>
      <c r="H1972" s="3"/>
      <c r="I1972" s="3"/>
      <c r="J1972" s="288"/>
      <c r="L1972" s="288"/>
      <c r="M1972" s="288"/>
      <c r="N1972" s="288"/>
      <c r="O1972" s="288"/>
      <c r="P1972" s="288"/>
      <c r="Q1972" s="288"/>
      <c r="R1972" s="283"/>
      <c r="S1972" s="280"/>
      <c r="T1972" s="276"/>
      <c r="U1972" s="276"/>
      <c r="V1972" s="276"/>
      <c r="W1972" s="283"/>
      <c r="X1972" s="280"/>
      <c r="Y1972" s="280"/>
      <c r="Z1972" s="280"/>
      <c r="AA1972" s="280"/>
      <c r="AB1972" s="280"/>
      <c r="AC1972" s="280"/>
      <c r="AD1972" s="280"/>
      <c r="AG1972" s="3"/>
      <c r="AH1972" s="3"/>
      <c r="AI1972" s="3"/>
      <c r="AJ1972" s="3"/>
      <c r="AK1972" s="3"/>
      <c r="AL1972" s="3"/>
      <c r="AM1972" s="3"/>
      <c r="AN1972" s="3"/>
      <c r="AO1972" s="3"/>
      <c r="AP1972" s="11"/>
      <c r="AQ1972" s="11"/>
      <c r="AR1972" s="3"/>
      <c r="AS1972" s="3"/>
      <c r="AT1972" s="3"/>
      <c r="AU1972" s="3"/>
      <c r="AV1972" s="3"/>
      <c r="AW1972" s="3"/>
      <c r="AX1972" s="11"/>
      <c r="AZ1972"/>
      <c r="BA1972"/>
      <c r="BB1972"/>
      <c r="BC1972"/>
    </row>
    <row r="1973" spans="1:55" s="282" customFormat="1" x14ac:dyDescent="0.25">
      <c r="A1973"/>
      <c r="B1973"/>
      <c r="C1973" s="3"/>
      <c r="D1973"/>
      <c r="E1973"/>
      <c r="F1973"/>
      <c r="G1973" s="3"/>
      <c r="H1973" s="3"/>
      <c r="I1973" s="3"/>
      <c r="J1973" s="288"/>
      <c r="L1973" s="288"/>
      <c r="M1973" s="288"/>
      <c r="N1973" s="288"/>
      <c r="O1973" s="288"/>
      <c r="P1973" s="288"/>
      <c r="Q1973" s="288"/>
      <c r="R1973" s="283"/>
      <c r="S1973" s="280"/>
      <c r="T1973" s="276"/>
      <c r="U1973" s="276"/>
      <c r="V1973" s="276"/>
      <c r="W1973" s="283"/>
      <c r="X1973" s="280"/>
      <c r="Y1973" s="280"/>
      <c r="Z1973" s="280"/>
      <c r="AA1973" s="280"/>
      <c r="AB1973" s="280"/>
      <c r="AC1973" s="280"/>
      <c r="AD1973" s="280"/>
      <c r="AG1973" s="3"/>
      <c r="AH1973" s="3"/>
      <c r="AI1973" s="3"/>
      <c r="AJ1973" s="3"/>
      <c r="AK1973" s="3"/>
      <c r="AL1973" s="3"/>
      <c r="AM1973" s="3"/>
      <c r="AN1973" s="3"/>
      <c r="AO1973" s="3"/>
      <c r="AP1973" s="11"/>
      <c r="AQ1973" s="11"/>
      <c r="AR1973" s="3"/>
      <c r="AS1973" s="3"/>
      <c r="AT1973" s="3"/>
      <c r="AU1973" s="3"/>
      <c r="AV1973" s="3"/>
      <c r="AW1973" s="3"/>
      <c r="AX1973" s="11"/>
      <c r="AZ1973"/>
      <c r="BA1973"/>
      <c r="BB1973"/>
      <c r="BC1973"/>
    </row>
    <row r="1974" spans="1:55" s="282" customFormat="1" x14ac:dyDescent="0.25">
      <c r="A1974"/>
      <c r="B1974"/>
      <c r="C1974" s="3"/>
      <c r="D1974"/>
      <c r="E1974"/>
      <c r="F1974"/>
      <c r="G1974" s="3"/>
      <c r="H1974" s="3"/>
      <c r="I1974" s="3"/>
      <c r="J1974" s="288"/>
      <c r="L1974" s="288"/>
      <c r="M1974" s="288"/>
      <c r="N1974" s="288"/>
      <c r="O1974" s="288"/>
      <c r="P1974" s="288"/>
      <c r="Q1974" s="288"/>
      <c r="R1974" s="283"/>
      <c r="S1974" s="280"/>
      <c r="T1974" s="276"/>
      <c r="U1974" s="276"/>
      <c r="V1974" s="276"/>
      <c r="W1974" s="283"/>
      <c r="X1974" s="280"/>
      <c r="Y1974" s="280"/>
      <c r="Z1974" s="280"/>
      <c r="AA1974" s="280"/>
      <c r="AB1974" s="280"/>
      <c r="AC1974" s="280"/>
      <c r="AD1974" s="280"/>
      <c r="AG1974" s="3"/>
      <c r="AH1974" s="3"/>
      <c r="AI1974" s="3"/>
      <c r="AJ1974" s="3"/>
      <c r="AK1974" s="3"/>
      <c r="AL1974" s="3"/>
      <c r="AM1974" s="3"/>
      <c r="AN1974" s="3"/>
      <c r="AO1974" s="3"/>
      <c r="AP1974" s="11"/>
      <c r="AQ1974" s="11"/>
      <c r="AR1974" s="3"/>
      <c r="AS1974" s="3"/>
      <c r="AT1974" s="3"/>
      <c r="AU1974" s="3"/>
      <c r="AV1974" s="3"/>
      <c r="AW1974" s="3"/>
      <c r="AX1974" s="11"/>
      <c r="AZ1974"/>
      <c r="BA1974"/>
      <c r="BB1974"/>
      <c r="BC1974"/>
    </row>
    <row r="1975" spans="1:55" s="282" customFormat="1" x14ac:dyDescent="0.25">
      <c r="A1975"/>
      <c r="B1975"/>
      <c r="C1975" s="3"/>
      <c r="D1975"/>
      <c r="E1975"/>
      <c r="F1975"/>
      <c r="G1975" s="3"/>
      <c r="H1975" s="3"/>
      <c r="I1975" s="3"/>
      <c r="J1975" s="288"/>
      <c r="L1975" s="288"/>
      <c r="M1975" s="288"/>
      <c r="N1975" s="288"/>
      <c r="O1975" s="288"/>
      <c r="P1975" s="288"/>
      <c r="Q1975" s="288"/>
      <c r="R1975" s="283"/>
      <c r="S1975" s="280"/>
      <c r="T1975" s="276"/>
      <c r="U1975" s="276"/>
      <c r="V1975" s="276"/>
      <c r="W1975" s="283"/>
      <c r="X1975" s="280"/>
      <c r="Y1975" s="280"/>
      <c r="Z1975" s="280"/>
      <c r="AA1975" s="280"/>
      <c r="AB1975" s="280"/>
      <c r="AC1975" s="280"/>
      <c r="AD1975" s="280"/>
      <c r="AG1975" s="3"/>
      <c r="AH1975" s="3"/>
      <c r="AI1975" s="3"/>
      <c r="AJ1975" s="3"/>
      <c r="AK1975" s="3"/>
      <c r="AL1975" s="3"/>
      <c r="AM1975" s="3"/>
      <c r="AN1975" s="3"/>
      <c r="AO1975" s="3"/>
      <c r="AP1975" s="11"/>
      <c r="AQ1975" s="11"/>
      <c r="AR1975" s="3"/>
      <c r="AS1975" s="3"/>
      <c r="AT1975" s="3"/>
      <c r="AU1975" s="3"/>
      <c r="AV1975" s="3"/>
      <c r="AW1975" s="3"/>
      <c r="AX1975" s="11"/>
      <c r="AZ1975"/>
      <c r="BA1975"/>
      <c r="BB1975"/>
      <c r="BC1975"/>
    </row>
    <row r="1976" spans="1:55" s="282" customFormat="1" x14ac:dyDescent="0.25">
      <c r="A1976"/>
      <c r="B1976"/>
      <c r="C1976" s="3"/>
      <c r="D1976"/>
      <c r="E1976"/>
      <c r="F1976"/>
      <c r="G1976" s="3"/>
      <c r="H1976" s="3"/>
      <c r="I1976" s="3"/>
      <c r="J1976" s="288"/>
      <c r="L1976" s="288"/>
      <c r="M1976" s="288"/>
      <c r="N1976" s="288"/>
      <c r="O1976" s="288"/>
      <c r="P1976" s="288"/>
      <c r="Q1976" s="288"/>
      <c r="R1976" s="283"/>
      <c r="S1976" s="280"/>
      <c r="T1976" s="276"/>
      <c r="U1976" s="276"/>
      <c r="V1976" s="276"/>
      <c r="W1976" s="283"/>
      <c r="X1976" s="280"/>
      <c r="Y1976" s="280"/>
      <c r="Z1976" s="280"/>
      <c r="AA1976" s="280"/>
      <c r="AB1976" s="280"/>
      <c r="AC1976" s="280"/>
      <c r="AD1976" s="280"/>
      <c r="AG1976" s="3"/>
      <c r="AH1976" s="3"/>
      <c r="AI1976" s="3"/>
      <c r="AJ1976" s="3"/>
      <c r="AK1976" s="3"/>
      <c r="AL1976" s="3"/>
      <c r="AM1976" s="3"/>
      <c r="AN1976" s="3"/>
      <c r="AO1976" s="3"/>
      <c r="AP1976" s="11"/>
      <c r="AQ1976" s="11"/>
      <c r="AR1976" s="3"/>
      <c r="AS1976" s="3"/>
      <c r="AT1976" s="3"/>
      <c r="AU1976" s="3"/>
      <c r="AV1976" s="3"/>
      <c r="AW1976" s="3"/>
      <c r="AX1976" s="11"/>
      <c r="AZ1976"/>
      <c r="BA1976"/>
      <c r="BB1976"/>
      <c r="BC1976"/>
    </row>
    <row r="1977" spans="1:55" s="282" customFormat="1" x14ac:dyDescent="0.25">
      <c r="A1977"/>
      <c r="B1977"/>
      <c r="C1977" s="3"/>
      <c r="D1977"/>
      <c r="E1977"/>
      <c r="F1977"/>
      <c r="G1977" s="3"/>
      <c r="H1977" s="3"/>
      <c r="I1977" s="3"/>
      <c r="J1977" s="288"/>
      <c r="L1977" s="288"/>
      <c r="M1977" s="288"/>
      <c r="N1977" s="288"/>
      <c r="O1977" s="288"/>
      <c r="P1977" s="288"/>
      <c r="Q1977" s="288"/>
      <c r="R1977" s="283"/>
      <c r="S1977" s="280"/>
      <c r="T1977" s="276"/>
      <c r="U1977" s="276"/>
      <c r="V1977" s="276"/>
      <c r="W1977" s="283"/>
      <c r="X1977" s="280"/>
      <c r="Y1977" s="280"/>
      <c r="Z1977" s="280"/>
      <c r="AA1977" s="280"/>
      <c r="AB1977" s="280"/>
      <c r="AC1977" s="280"/>
      <c r="AD1977" s="280"/>
      <c r="AG1977" s="3"/>
      <c r="AH1977" s="3"/>
      <c r="AI1977" s="3"/>
      <c r="AJ1977" s="3"/>
      <c r="AK1977" s="3"/>
      <c r="AL1977" s="3"/>
      <c r="AM1977" s="3"/>
      <c r="AN1977" s="3"/>
      <c r="AO1977" s="3"/>
      <c r="AP1977" s="11"/>
      <c r="AQ1977" s="11"/>
      <c r="AR1977" s="3"/>
      <c r="AS1977" s="3"/>
      <c r="AT1977" s="3"/>
      <c r="AU1977" s="3"/>
      <c r="AV1977" s="3"/>
      <c r="AW1977" s="3"/>
      <c r="AX1977" s="11"/>
      <c r="AZ1977"/>
      <c r="BA1977"/>
      <c r="BB1977"/>
      <c r="BC1977"/>
    </row>
    <row r="1978" spans="1:55" s="282" customFormat="1" x14ac:dyDescent="0.25">
      <c r="A1978"/>
      <c r="B1978"/>
      <c r="C1978" s="3"/>
      <c r="D1978"/>
      <c r="E1978"/>
      <c r="F1978"/>
      <c r="G1978" s="3"/>
      <c r="H1978" s="3"/>
      <c r="I1978" s="3"/>
      <c r="J1978" s="288"/>
      <c r="L1978" s="288"/>
      <c r="M1978" s="288"/>
      <c r="N1978" s="288"/>
      <c r="O1978" s="288"/>
      <c r="P1978" s="288"/>
      <c r="Q1978" s="288"/>
      <c r="R1978" s="283"/>
      <c r="S1978" s="280"/>
      <c r="T1978" s="276"/>
      <c r="U1978" s="276"/>
      <c r="V1978" s="276"/>
      <c r="W1978" s="283"/>
      <c r="X1978" s="280"/>
      <c r="Y1978" s="280"/>
      <c r="Z1978" s="280"/>
      <c r="AA1978" s="280"/>
      <c r="AB1978" s="280"/>
      <c r="AC1978" s="280"/>
      <c r="AD1978" s="280"/>
      <c r="AG1978" s="3"/>
      <c r="AH1978" s="3"/>
      <c r="AI1978" s="3"/>
      <c r="AJ1978" s="3"/>
      <c r="AK1978" s="3"/>
      <c r="AL1978" s="3"/>
      <c r="AM1978" s="3"/>
      <c r="AN1978" s="3"/>
      <c r="AO1978" s="3"/>
      <c r="AP1978" s="11"/>
      <c r="AQ1978" s="11"/>
      <c r="AR1978" s="3"/>
      <c r="AS1978" s="3"/>
      <c r="AT1978" s="3"/>
      <c r="AU1978" s="3"/>
      <c r="AV1978" s="3"/>
      <c r="AW1978" s="3"/>
      <c r="AX1978" s="11"/>
      <c r="AZ1978"/>
      <c r="BA1978"/>
      <c r="BB1978"/>
      <c r="BC1978"/>
    </row>
    <row r="1979" spans="1:55" s="282" customFormat="1" x14ac:dyDescent="0.25">
      <c r="A1979"/>
      <c r="B1979"/>
      <c r="C1979" s="3"/>
      <c r="D1979"/>
      <c r="E1979"/>
      <c r="F1979"/>
      <c r="G1979" s="3"/>
      <c r="H1979" s="3"/>
      <c r="I1979" s="3"/>
      <c r="J1979" s="288"/>
      <c r="L1979" s="288"/>
      <c r="M1979" s="288"/>
      <c r="N1979" s="288"/>
      <c r="O1979" s="288"/>
      <c r="P1979" s="288"/>
      <c r="Q1979" s="288"/>
      <c r="R1979" s="283"/>
      <c r="S1979" s="280"/>
      <c r="T1979" s="276"/>
      <c r="U1979" s="276"/>
      <c r="V1979" s="276"/>
      <c r="W1979" s="283"/>
      <c r="X1979" s="280"/>
      <c r="Y1979" s="280"/>
      <c r="Z1979" s="280"/>
      <c r="AA1979" s="280"/>
      <c r="AB1979" s="280"/>
      <c r="AC1979" s="280"/>
      <c r="AD1979" s="280"/>
      <c r="AG1979" s="3"/>
      <c r="AH1979" s="3"/>
      <c r="AI1979" s="3"/>
      <c r="AJ1979" s="3"/>
      <c r="AK1979" s="3"/>
      <c r="AL1979" s="3"/>
      <c r="AM1979" s="3"/>
      <c r="AN1979" s="3"/>
      <c r="AO1979" s="3"/>
      <c r="AP1979" s="11"/>
      <c r="AQ1979" s="11"/>
      <c r="AR1979" s="3"/>
      <c r="AS1979" s="3"/>
      <c r="AT1979" s="3"/>
      <c r="AU1979" s="3"/>
      <c r="AV1979" s="3"/>
      <c r="AW1979" s="3"/>
      <c r="AX1979" s="11"/>
      <c r="AZ1979"/>
      <c r="BA1979"/>
      <c r="BB1979"/>
      <c r="BC1979"/>
    </row>
    <row r="1980" spans="1:55" s="282" customFormat="1" x14ac:dyDescent="0.25">
      <c r="A1980"/>
      <c r="B1980"/>
      <c r="C1980" s="3"/>
      <c r="D1980"/>
      <c r="E1980"/>
      <c r="F1980"/>
      <c r="G1980" s="3"/>
      <c r="H1980" s="3"/>
      <c r="I1980" s="3"/>
      <c r="J1980" s="288"/>
      <c r="L1980" s="288"/>
      <c r="M1980" s="288"/>
      <c r="N1980" s="288"/>
      <c r="O1980" s="288"/>
      <c r="P1980" s="288"/>
      <c r="Q1980" s="288"/>
      <c r="R1980" s="283"/>
      <c r="S1980" s="280"/>
      <c r="T1980" s="276"/>
      <c r="U1980" s="276"/>
      <c r="V1980" s="276"/>
      <c r="W1980" s="283"/>
      <c r="X1980" s="280"/>
      <c r="Y1980" s="280"/>
      <c r="Z1980" s="280"/>
      <c r="AA1980" s="280"/>
      <c r="AB1980" s="280"/>
      <c r="AC1980" s="280"/>
      <c r="AD1980" s="280"/>
      <c r="AG1980" s="3"/>
      <c r="AH1980" s="3"/>
      <c r="AI1980" s="3"/>
      <c r="AJ1980" s="3"/>
      <c r="AK1980" s="3"/>
      <c r="AL1980" s="3"/>
      <c r="AM1980" s="3"/>
      <c r="AN1980" s="3"/>
      <c r="AO1980" s="3"/>
      <c r="AP1980" s="11"/>
      <c r="AQ1980" s="11"/>
      <c r="AR1980" s="3"/>
      <c r="AS1980" s="3"/>
      <c r="AT1980" s="3"/>
      <c r="AU1980" s="3"/>
      <c r="AV1980" s="3"/>
      <c r="AW1980" s="3"/>
      <c r="AX1980" s="11"/>
      <c r="AZ1980"/>
      <c r="BA1980"/>
      <c r="BB1980"/>
      <c r="BC1980"/>
    </row>
    <row r="1981" spans="1:55" s="282" customFormat="1" x14ac:dyDescent="0.25">
      <c r="A1981"/>
      <c r="B1981"/>
      <c r="C1981" s="3"/>
      <c r="D1981"/>
      <c r="E1981"/>
      <c r="F1981"/>
      <c r="G1981" s="3"/>
      <c r="H1981" s="3"/>
      <c r="I1981" s="3"/>
      <c r="J1981" s="288"/>
      <c r="L1981" s="288"/>
      <c r="M1981" s="288"/>
      <c r="N1981" s="288"/>
      <c r="O1981" s="288"/>
      <c r="P1981" s="288"/>
      <c r="Q1981" s="288"/>
      <c r="R1981" s="283"/>
      <c r="S1981" s="280"/>
      <c r="T1981" s="276"/>
      <c r="U1981" s="276"/>
      <c r="V1981" s="276"/>
      <c r="W1981" s="283"/>
      <c r="X1981" s="280"/>
      <c r="Y1981" s="280"/>
      <c r="Z1981" s="280"/>
      <c r="AA1981" s="280"/>
      <c r="AB1981" s="280"/>
      <c r="AC1981" s="280"/>
      <c r="AD1981" s="280"/>
      <c r="AG1981" s="3"/>
      <c r="AH1981" s="3"/>
      <c r="AI1981" s="3"/>
      <c r="AJ1981" s="3"/>
      <c r="AK1981" s="3"/>
      <c r="AL1981" s="3"/>
      <c r="AM1981" s="3"/>
      <c r="AN1981" s="3"/>
      <c r="AO1981" s="3"/>
      <c r="AP1981" s="11"/>
      <c r="AQ1981" s="11"/>
      <c r="AR1981" s="3"/>
      <c r="AS1981" s="3"/>
      <c r="AT1981" s="3"/>
      <c r="AU1981" s="3"/>
      <c r="AV1981" s="3"/>
      <c r="AW1981" s="3"/>
      <c r="AX1981" s="11"/>
      <c r="AZ1981"/>
      <c r="BA1981"/>
      <c r="BB1981"/>
      <c r="BC1981"/>
    </row>
    <row r="1982" spans="1:55" s="282" customFormat="1" x14ac:dyDescent="0.25">
      <c r="A1982"/>
      <c r="B1982"/>
      <c r="C1982" s="3"/>
      <c r="D1982"/>
      <c r="E1982"/>
      <c r="F1982"/>
      <c r="G1982" s="3"/>
      <c r="H1982" s="3"/>
      <c r="I1982" s="3"/>
      <c r="J1982" s="288"/>
      <c r="L1982" s="288"/>
      <c r="M1982" s="288"/>
      <c r="N1982" s="288"/>
      <c r="O1982" s="288"/>
      <c r="P1982" s="288"/>
      <c r="Q1982" s="288"/>
      <c r="R1982" s="283"/>
      <c r="S1982" s="280"/>
      <c r="T1982" s="276"/>
      <c r="U1982" s="276"/>
      <c r="V1982" s="276"/>
      <c r="W1982" s="283"/>
      <c r="X1982" s="280"/>
      <c r="Y1982" s="280"/>
      <c r="Z1982" s="280"/>
      <c r="AA1982" s="280"/>
      <c r="AB1982" s="280"/>
      <c r="AC1982" s="280"/>
      <c r="AD1982" s="280"/>
      <c r="AG1982" s="3"/>
      <c r="AH1982" s="3"/>
      <c r="AI1982" s="3"/>
      <c r="AJ1982" s="3"/>
      <c r="AK1982" s="3"/>
      <c r="AL1982" s="3"/>
      <c r="AM1982" s="3"/>
      <c r="AN1982" s="3"/>
      <c r="AO1982" s="3"/>
      <c r="AP1982" s="11"/>
      <c r="AQ1982" s="11"/>
      <c r="AR1982" s="3"/>
      <c r="AS1982" s="3"/>
      <c r="AT1982" s="3"/>
      <c r="AU1982" s="3"/>
      <c r="AV1982" s="3"/>
      <c r="AW1982" s="3"/>
      <c r="AX1982" s="11"/>
      <c r="AZ1982"/>
      <c r="BA1982"/>
      <c r="BB1982"/>
      <c r="BC1982"/>
    </row>
    <row r="1983" spans="1:55" s="282" customFormat="1" x14ac:dyDescent="0.25">
      <c r="A1983"/>
      <c r="B1983"/>
      <c r="C1983" s="3"/>
      <c r="D1983"/>
      <c r="E1983"/>
      <c r="F1983"/>
      <c r="G1983" s="3"/>
      <c r="H1983" s="3"/>
      <c r="I1983" s="3"/>
      <c r="J1983" s="288"/>
      <c r="L1983" s="288"/>
      <c r="M1983" s="288"/>
      <c r="N1983" s="288"/>
      <c r="O1983" s="288"/>
      <c r="P1983" s="288"/>
      <c r="Q1983" s="288"/>
      <c r="R1983" s="283"/>
      <c r="S1983" s="280"/>
      <c r="T1983" s="276"/>
      <c r="U1983" s="276"/>
      <c r="V1983" s="276"/>
      <c r="W1983" s="283"/>
      <c r="X1983" s="280"/>
      <c r="Y1983" s="280"/>
      <c r="Z1983" s="280"/>
      <c r="AA1983" s="280"/>
      <c r="AB1983" s="280"/>
      <c r="AC1983" s="280"/>
      <c r="AD1983" s="280"/>
      <c r="AG1983" s="3"/>
      <c r="AH1983" s="3"/>
      <c r="AI1983" s="3"/>
      <c r="AJ1983" s="3"/>
      <c r="AK1983" s="3"/>
      <c r="AL1983" s="3"/>
      <c r="AM1983" s="3"/>
      <c r="AN1983" s="3"/>
      <c r="AO1983" s="3"/>
      <c r="AP1983" s="11"/>
      <c r="AQ1983" s="11"/>
      <c r="AR1983" s="3"/>
      <c r="AS1983" s="3"/>
      <c r="AT1983" s="3"/>
      <c r="AU1983" s="3"/>
      <c r="AV1983" s="3"/>
      <c r="AW1983" s="3"/>
      <c r="AX1983" s="11"/>
      <c r="AZ1983"/>
      <c r="BA1983"/>
      <c r="BB1983"/>
      <c r="BC1983"/>
    </row>
    <row r="1984" spans="1:55" s="282" customFormat="1" x14ac:dyDescent="0.25">
      <c r="A1984"/>
      <c r="B1984"/>
      <c r="C1984" s="3"/>
      <c r="D1984"/>
      <c r="E1984"/>
      <c r="F1984"/>
      <c r="G1984" s="3"/>
      <c r="H1984" s="3"/>
      <c r="I1984" s="3"/>
      <c r="J1984" s="288"/>
      <c r="L1984" s="288"/>
      <c r="M1984" s="288"/>
      <c r="N1984" s="288"/>
      <c r="O1984" s="288"/>
      <c r="P1984" s="288"/>
      <c r="Q1984" s="288"/>
      <c r="R1984" s="283"/>
      <c r="S1984" s="280"/>
      <c r="T1984" s="276"/>
      <c r="U1984" s="276"/>
      <c r="V1984" s="276"/>
      <c r="W1984" s="283"/>
      <c r="X1984" s="280"/>
      <c r="Y1984" s="280"/>
      <c r="Z1984" s="280"/>
      <c r="AA1984" s="280"/>
      <c r="AB1984" s="280"/>
      <c r="AC1984" s="280"/>
      <c r="AD1984" s="280"/>
      <c r="AG1984" s="3"/>
      <c r="AH1984" s="3"/>
      <c r="AI1984" s="3"/>
      <c r="AJ1984" s="3"/>
      <c r="AK1984" s="3"/>
      <c r="AL1984" s="3"/>
      <c r="AM1984" s="3"/>
      <c r="AN1984" s="3"/>
      <c r="AO1984" s="3"/>
      <c r="AP1984" s="11"/>
      <c r="AQ1984" s="11"/>
      <c r="AR1984" s="3"/>
      <c r="AS1984" s="3"/>
      <c r="AT1984" s="3"/>
      <c r="AU1984" s="3"/>
      <c r="AV1984" s="3"/>
      <c r="AW1984" s="3"/>
      <c r="AX1984" s="11"/>
      <c r="AZ1984"/>
      <c r="BA1984"/>
      <c r="BB1984"/>
      <c r="BC1984"/>
    </row>
    <row r="1985" spans="1:55" s="282" customFormat="1" x14ac:dyDescent="0.25">
      <c r="A1985"/>
      <c r="B1985"/>
      <c r="C1985" s="3"/>
      <c r="D1985"/>
      <c r="E1985"/>
      <c r="F1985"/>
      <c r="G1985" s="3"/>
      <c r="H1985" s="3"/>
      <c r="I1985" s="3"/>
      <c r="J1985" s="288"/>
      <c r="L1985" s="288"/>
      <c r="M1985" s="288"/>
      <c r="N1985" s="288"/>
      <c r="O1985" s="288"/>
      <c r="P1985" s="288"/>
      <c r="Q1985" s="288"/>
      <c r="R1985" s="283"/>
      <c r="S1985" s="280"/>
      <c r="T1985" s="276"/>
      <c r="U1985" s="276"/>
      <c r="V1985" s="276"/>
      <c r="W1985" s="283"/>
      <c r="X1985" s="280"/>
      <c r="Y1985" s="280"/>
      <c r="Z1985" s="280"/>
      <c r="AA1985" s="280"/>
      <c r="AB1985" s="280"/>
      <c r="AC1985" s="280"/>
      <c r="AD1985" s="280"/>
      <c r="AG1985" s="3"/>
      <c r="AH1985" s="3"/>
      <c r="AI1985" s="3"/>
      <c r="AJ1985" s="3"/>
      <c r="AK1985" s="3"/>
      <c r="AL1985" s="3"/>
      <c r="AM1985" s="3"/>
      <c r="AN1985" s="3"/>
      <c r="AO1985" s="3"/>
      <c r="AP1985" s="11"/>
      <c r="AQ1985" s="11"/>
      <c r="AR1985" s="3"/>
      <c r="AS1985" s="3"/>
      <c r="AT1985" s="3"/>
      <c r="AU1985" s="3"/>
      <c r="AV1985" s="3"/>
      <c r="AW1985" s="3"/>
      <c r="AX1985" s="11"/>
      <c r="AZ1985"/>
      <c r="BA1985"/>
      <c r="BB1985"/>
      <c r="BC1985"/>
    </row>
    <row r="1986" spans="1:55" s="282" customFormat="1" x14ac:dyDescent="0.25">
      <c r="A1986"/>
      <c r="B1986"/>
      <c r="C1986" s="3"/>
      <c r="D1986"/>
      <c r="E1986"/>
      <c r="F1986"/>
      <c r="G1986" s="3"/>
      <c r="H1986" s="3"/>
      <c r="I1986" s="3"/>
      <c r="J1986" s="288"/>
      <c r="L1986" s="288"/>
      <c r="M1986" s="288"/>
      <c r="N1986" s="288"/>
      <c r="O1986" s="288"/>
      <c r="P1986" s="288"/>
      <c r="Q1986" s="288"/>
      <c r="R1986" s="283"/>
      <c r="S1986" s="280"/>
      <c r="T1986" s="276"/>
      <c r="U1986" s="276"/>
      <c r="V1986" s="276"/>
      <c r="W1986" s="283"/>
      <c r="X1986" s="280"/>
      <c r="Y1986" s="280"/>
      <c r="Z1986" s="280"/>
      <c r="AA1986" s="280"/>
      <c r="AB1986" s="280"/>
      <c r="AC1986" s="280"/>
      <c r="AD1986" s="280"/>
      <c r="AG1986" s="3"/>
      <c r="AH1986" s="3"/>
      <c r="AI1986" s="3"/>
      <c r="AJ1986" s="3"/>
      <c r="AK1986" s="3"/>
      <c r="AL1986" s="3"/>
      <c r="AM1986" s="3"/>
      <c r="AN1986" s="3"/>
      <c r="AO1986" s="3"/>
      <c r="AP1986" s="11"/>
      <c r="AQ1986" s="11"/>
      <c r="AR1986" s="3"/>
      <c r="AS1986" s="3"/>
      <c r="AT1986" s="3"/>
      <c r="AU1986" s="3"/>
      <c r="AV1986" s="3"/>
      <c r="AW1986" s="3"/>
      <c r="AX1986" s="11"/>
      <c r="AZ1986"/>
      <c r="BA1986"/>
      <c r="BB1986"/>
      <c r="BC1986"/>
    </row>
    <row r="1987" spans="1:55" s="282" customFormat="1" x14ac:dyDescent="0.25">
      <c r="A1987"/>
      <c r="B1987"/>
      <c r="C1987" s="3"/>
      <c r="D1987"/>
      <c r="E1987"/>
      <c r="F1987"/>
      <c r="G1987" s="3"/>
      <c r="H1987" s="3"/>
      <c r="I1987" s="3"/>
      <c r="J1987" s="288"/>
      <c r="L1987" s="288"/>
      <c r="M1987" s="288"/>
      <c r="N1987" s="288"/>
      <c r="O1987" s="288"/>
      <c r="P1987" s="288"/>
      <c r="Q1987" s="288"/>
      <c r="R1987" s="283"/>
      <c r="S1987" s="280"/>
      <c r="T1987" s="276"/>
      <c r="U1987" s="276"/>
      <c r="V1987" s="276"/>
      <c r="W1987" s="283"/>
      <c r="X1987" s="280"/>
      <c r="Y1987" s="280"/>
      <c r="Z1987" s="280"/>
      <c r="AA1987" s="280"/>
      <c r="AB1987" s="280"/>
      <c r="AC1987" s="280"/>
      <c r="AD1987" s="280"/>
      <c r="AG1987" s="3"/>
      <c r="AH1987" s="3"/>
      <c r="AI1987" s="3"/>
      <c r="AJ1987" s="3"/>
      <c r="AK1987" s="3"/>
      <c r="AL1987" s="3"/>
      <c r="AM1987" s="3"/>
      <c r="AN1987" s="3"/>
      <c r="AO1987" s="3"/>
      <c r="AP1987" s="11"/>
      <c r="AQ1987" s="11"/>
      <c r="AR1987" s="3"/>
      <c r="AS1987" s="3"/>
      <c r="AT1987" s="3"/>
      <c r="AU1987" s="3"/>
      <c r="AV1987" s="3"/>
      <c r="AW1987" s="3"/>
      <c r="AX1987" s="11"/>
      <c r="AZ1987"/>
      <c r="BA1987"/>
      <c r="BB1987"/>
      <c r="BC1987"/>
    </row>
    <row r="1988" spans="1:55" s="282" customFormat="1" x14ac:dyDescent="0.25">
      <c r="A1988"/>
      <c r="B1988"/>
      <c r="C1988" s="3"/>
      <c r="D1988"/>
      <c r="E1988"/>
      <c r="F1988"/>
      <c r="G1988" s="3"/>
      <c r="H1988" s="3"/>
      <c r="I1988" s="3"/>
      <c r="J1988" s="288"/>
      <c r="L1988" s="288"/>
      <c r="M1988" s="288"/>
      <c r="N1988" s="288"/>
      <c r="O1988" s="288"/>
      <c r="P1988" s="288"/>
      <c r="Q1988" s="288"/>
      <c r="R1988" s="283"/>
      <c r="S1988" s="280"/>
      <c r="T1988" s="276"/>
      <c r="U1988" s="276"/>
      <c r="V1988" s="276"/>
      <c r="W1988" s="283"/>
      <c r="X1988" s="280"/>
      <c r="Y1988" s="280"/>
      <c r="Z1988" s="280"/>
      <c r="AA1988" s="280"/>
      <c r="AB1988" s="280"/>
      <c r="AC1988" s="280"/>
      <c r="AD1988" s="280"/>
      <c r="AG1988" s="3"/>
      <c r="AH1988" s="3"/>
      <c r="AI1988" s="3"/>
      <c r="AJ1988" s="3"/>
      <c r="AK1988" s="3"/>
      <c r="AL1988" s="3"/>
      <c r="AM1988" s="3"/>
      <c r="AN1988" s="3"/>
      <c r="AO1988" s="3"/>
      <c r="AP1988" s="11"/>
      <c r="AQ1988" s="11"/>
      <c r="AR1988" s="3"/>
      <c r="AS1988" s="3"/>
      <c r="AT1988" s="3"/>
      <c r="AU1988" s="3"/>
      <c r="AV1988" s="3"/>
      <c r="AW1988" s="3"/>
      <c r="AX1988" s="11"/>
      <c r="AZ1988"/>
      <c r="BA1988"/>
      <c r="BB1988"/>
      <c r="BC1988"/>
    </row>
    <row r="1989" spans="1:55" s="282" customFormat="1" x14ac:dyDescent="0.25">
      <c r="A1989"/>
      <c r="B1989"/>
      <c r="C1989" s="3"/>
      <c r="D1989"/>
      <c r="E1989"/>
      <c r="F1989"/>
      <c r="G1989" s="3"/>
      <c r="H1989" s="3"/>
      <c r="I1989" s="3"/>
      <c r="J1989" s="288"/>
      <c r="L1989" s="288"/>
      <c r="M1989" s="288"/>
      <c r="N1989" s="288"/>
      <c r="O1989" s="288"/>
      <c r="P1989" s="288"/>
      <c r="Q1989" s="288"/>
      <c r="R1989" s="283"/>
      <c r="S1989" s="280"/>
      <c r="T1989" s="276"/>
      <c r="U1989" s="276"/>
      <c r="V1989" s="276"/>
      <c r="W1989" s="283"/>
      <c r="X1989" s="280"/>
      <c r="Y1989" s="280"/>
      <c r="Z1989" s="280"/>
      <c r="AA1989" s="280"/>
      <c r="AB1989" s="280"/>
      <c r="AC1989" s="280"/>
      <c r="AD1989" s="280"/>
      <c r="AG1989" s="3"/>
      <c r="AH1989" s="3"/>
      <c r="AI1989" s="3"/>
      <c r="AJ1989" s="3"/>
      <c r="AK1989" s="3"/>
      <c r="AL1989" s="3"/>
      <c r="AM1989" s="3"/>
      <c r="AN1989" s="3"/>
      <c r="AO1989" s="3"/>
      <c r="AP1989" s="11"/>
      <c r="AQ1989" s="11"/>
      <c r="AR1989" s="3"/>
      <c r="AS1989" s="3"/>
      <c r="AT1989" s="3"/>
      <c r="AU1989" s="3"/>
      <c r="AV1989" s="3"/>
      <c r="AW1989" s="3"/>
      <c r="AX1989" s="11"/>
      <c r="AZ1989"/>
      <c r="BA1989"/>
      <c r="BB1989"/>
      <c r="BC1989"/>
    </row>
    <row r="1990" spans="1:55" s="282" customFormat="1" x14ac:dyDescent="0.25">
      <c r="A1990"/>
      <c r="B1990"/>
      <c r="C1990" s="3"/>
      <c r="D1990"/>
      <c r="E1990"/>
      <c r="F1990"/>
      <c r="G1990" s="3"/>
      <c r="H1990" s="3"/>
      <c r="I1990" s="3"/>
      <c r="J1990" s="288"/>
      <c r="L1990" s="288"/>
      <c r="M1990" s="288"/>
      <c r="N1990" s="288"/>
      <c r="O1990" s="288"/>
      <c r="P1990" s="288"/>
      <c r="Q1990" s="288"/>
      <c r="R1990" s="283"/>
      <c r="S1990" s="280"/>
      <c r="T1990" s="276"/>
      <c r="U1990" s="276"/>
      <c r="V1990" s="276"/>
      <c r="W1990" s="283"/>
      <c r="X1990" s="280"/>
      <c r="Y1990" s="280"/>
      <c r="Z1990" s="280"/>
      <c r="AA1990" s="280"/>
      <c r="AB1990" s="280"/>
      <c r="AC1990" s="280"/>
      <c r="AD1990" s="280"/>
      <c r="AG1990" s="3"/>
      <c r="AH1990" s="3"/>
      <c r="AI1990" s="3"/>
      <c r="AJ1990" s="3"/>
      <c r="AK1990" s="3"/>
      <c r="AL1990" s="3"/>
      <c r="AM1990" s="3"/>
      <c r="AN1990" s="3"/>
      <c r="AO1990" s="3"/>
      <c r="AP1990" s="11"/>
      <c r="AQ1990" s="11"/>
      <c r="AR1990" s="3"/>
      <c r="AS1990" s="3"/>
      <c r="AT1990" s="3"/>
      <c r="AU1990" s="3"/>
      <c r="AV1990" s="3"/>
      <c r="AW1990" s="3"/>
      <c r="AX1990" s="11"/>
      <c r="AZ1990"/>
      <c r="BA1990"/>
      <c r="BB1990"/>
      <c r="BC1990"/>
    </row>
    <row r="1991" spans="1:55" s="282" customFormat="1" x14ac:dyDescent="0.25">
      <c r="A1991"/>
      <c r="B1991"/>
      <c r="C1991" s="3"/>
      <c r="D1991"/>
      <c r="E1991"/>
      <c r="F1991"/>
      <c r="G1991" s="3"/>
      <c r="H1991" s="3"/>
      <c r="I1991" s="3"/>
      <c r="J1991" s="288"/>
      <c r="L1991" s="288"/>
      <c r="M1991" s="288"/>
      <c r="N1991" s="288"/>
      <c r="O1991" s="288"/>
      <c r="P1991" s="288"/>
      <c r="Q1991" s="288"/>
      <c r="R1991" s="283"/>
      <c r="S1991" s="280"/>
      <c r="T1991" s="276"/>
      <c r="U1991" s="276"/>
      <c r="V1991" s="276"/>
      <c r="W1991" s="283"/>
      <c r="X1991" s="280"/>
      <c r="Y1991" s="280"/>
      <c r="Z1991" s="280"/>
      <c r="AA1991" s="280"/>
      <c r="AB1991" s="280"/>
      <c r="AC1991" s="280"/>
      <c r="AD1991" s="280"/>
      <c r="AG1991" s="3"/>
      <c r="AH1991" s="3"/>
      <c r="AI1991" s="3"/>
      <c r="AJ1991" s="3"/>
      <c r="AK1991" s="3"/>
      <c r="AL1991" s="3"/>
      <c r="AM1991" s="3"/>
      <c r="AN1991" s="3"/>
      <c r="AO1991" s="3"/>
      <c r="AP1991" s="11"/>
      <c r="AQ1991" s="11"/>
      <c r="AR1991" s="3"/>
      <c r="AS1991" s="3"/>
      <c r="AT1991" s="3"/>
      <c r="AU1991" s="3"/>
      <c r="AV1991" s="3"/>
      <c r="AW1991" s="3"/>
      <c r="AX1991" s="11"/>
      <c r="AZ1991"/>
      <c r="BA1991"/>
      <c r="BB1991"/>
      <c r="BC1991"/>
    </row>
    <row r="1992" spans="1:55" s="282" customFormat="1" x14ac:dyDescent="0.25">
      <c r="A1992"/>
      <c r="B1992"/>
      <c r="C1992" s="3"/>
      <c r="D1992"/>
      <c r="E1992"/>
      <c r="F1992"/>
      <c r="G1992" s="3"/>
      <c r="H1992" s="3"/>
      <c r="I1992" s="3"/>
      <c r="J1992" s="288"/>
      <c r="L1992" s="288"/>
      <c r="M1992" s="288"/>
      <c r="N1992" s="288"/>
      <c r="O1992" s="288"/>
      <c r="P1992" s="288"/>
      <c r="Q1992" s="288"/>
      <c r="R1992" s="283"/>
      <c r="S1992" s="280"/>
      <c r="T1992" s="276"/>
      <c r="U1992" s="276"/>
      <c r="V1992" s="276"/>
      <c r="W1992" s="283"/>
      <c r="X1992" s="280"/>
      <c r="Y1992" s="280"/>
      <c r="Z1992" s="280"/>
      <c r="AA1992" s="280"/>
      <c r="AB1992" s="280"/>
      <c r="AC1992" s="280"/>
      <c r="AD1992" s="280"/>
      <c r="AG1992" s="3"/>
      <c r="AH1992" s="3"/>
      <c r="AI1992" s="3"/>
      <c r="AJ1992" s="3"/>
      <c r="AK1992" s="3"/>
      <c r="AL1992" s="3"/>
      <c r="AM1992" s="3"/>
      <c r="AN1992" s="3"/>
      <c r="AO1992" s="3"/>
      <c r="AP1992" s="11"/>
      <c r="AQ1992" s="11"/>
      <c r="AR1992" s="3"/>
      <c r="AS1992" s="3"/>
      <c r="AT1992" s="3"/>
      <c r="AU1992" s="3"/>
      <c r="AV1992" s="3"/>
      <c r="AW1992" s="3"/>
      <c r="AX1992" s="11"/>
      <c r="AZ1992"/>
      <c r="BA1992"/>
      <c r="BB1992"/>
      <c r="BC1992"/>
    </row>
    <row r="1993" spans="1:55" s="282" customFormat="1" x14ac:dyDescent="0.25">
      <c r="A1993"/>
      <c r="B1993"/>
      <c r="C1993" s="3"/>
      <c r="D1993"/>
      <c r="E1993"/>
      <c r="F1993"/>
      <c r="G1993" s="3"/>
      <c r="H1993" s="3"/>
      <c r="I1993" s="3"/>
      <c r="J1993" s="288"/>
      <c r="L1993" s="288"/>
      <c r="M1993" s="288"/>
      <c r="N1993" s="288"/>
      <c r="O1993" s="288"/>
      <c r="P1993" s="288"/>
      <c r="Q1993" s="288"/>
      <c r="R1993" s="283"/>
      <c r="S1993" s="280"/>
      <c r="T1993" s="276"/>
      <c r="U1993" s="276"/>
      <c r="V1993" s="276"/>
      <c r="W1993" s="283"/>
      <c r="X1993" s="280"/>
      <c r="Y1993" s="280"/>
      <c r="Z1993" s="280"/>
      <c r="AA1993" s="280"/>
      <c r="AB1993" s="280"/>
      <c r="AC1993" s="280"/>
      <c r="AD1993" s="280"/>
      <c r="AG1993" s="3"/>
      <c r="AH1993" s="3"/>
      <c r="AI1993" s="3"/>
      <c r="AJ1993" s="3"/>
      <c r="AK1993" s="3"/>
      <c r="AL1993" s="3"/>
      <c r="AM1993" s="3"/>
      <c r="AN1993" s="3"/>
      <c r="AO1993" s="3"/>
      <c r="AP1993" s="11"/>
      <c r="AQ1993" s="11"/>
      <c r="AR1993" s="3"/>
      <c r="AS1993" s="3"/>
      <c r="AT1993" s="3"/>
      <c r="AU1993" s="3"/>
      <c r="AV1993" s="3"/>
      <c r="AW1993" s="3"/>
      <c r="AX1993" s="11"/>
      <c r="AZ1993"/>
      <c r="BA1993"/>
      <c r="BB1993"/>
      <c r="BC1993"/>
    </row>
    <row r="1994" spans="1:55" s="282" customFormat="1" x14ac:dyDescent="0.25">
      <c r="A1994"/>
      <c r="B1994"/>
      <c r="C1994" s="3"/>
      <c r="D1994"/>
      <c r="E1994"/>
      <c r="F1994"/>
      <c r="G1994" s="3"/>
      <c r="H1994" s="3"/>
      <c r="I1994" s="3"/>
      <c r="J1994" s="288"/>
      <c r="L1994" s="288"/>
      <c r="M1994" s="288"/>
      <c r="N1994" s="288"/>
      <c r="O1994" s="288"/>
      <c r="P1994" s="288"/>
      <c r="Q1994" s="288"/>
      <c r="R1994" s="283"/>
      <c r="S1994" s="280"/>
      <c r="T1994" s="276"/>
      <c r="U1994" s="276"/>
      <c r="V1994" s="276"/>
      <c r="W1994" s="283"/>
      <c r="X1994" s="280"/>
      <c r="Y1994" s="280"/>
      <c r="Z1994" s="280"/>
      <c r="AA1994" s="280"/>
      <c r="AB1994" s="280"/>
      <c r="AC1994" s="280"/>
      <c r="AD1994" s="280"/>
      <c r="AG1994" s="3"/>
      <c r="AH1994" s="3"/>
      <c r="AI1994" s="3"/>
      <c r="AJ1994" s="3"/>
      <c r="AK1994" s="3"/>
      <c r="AL1994" s="3"/>
      <c r="AM1994" s="3"/>
      <c r="AN1994" s="3"/>
      <c r="AO1994" s="3"/>
      <c r="AP1994" s="11"/>
      <c r="AQ1994" s="11"/>
      <c r="AR1994" s="3"/>
      <c r="AS1994" s="3"/>
      <c r="AT1994" s="3"/>
      <c r="AU1994" s="3"/>
      <c r="AV1994" s="3"/>
      <c r="AW1994" s="3"/>
      <c r="AX1994" s="11"/>
      <c r="AZ1994"/>
      <c r="BA1994"/>
      <c r="BB1994"/>
      <c r="BC1994"/>
    </row>
    <row r="1995" spans="1:55" s="282" customFormat="1" x14ac:dyDescent="0.25">
      <c r="A1995"/>
      <c r="B1995"/>
      <c r="C1995" s="3"/>
      <c r="D1995"/>
      <c r="E1995"/>
      <c r="F1995"/>
      <c r="G1995" s="3"/>
      <c r="H1995" s="3"/>
      <c r="I1995" s="3"/>
      <c r="J1995" s="288"/>
      <c r="L1995" s="288"/>
      <c r="M1995" s="288"/>
      <c r="N1995" s="288"/>
      <c r="O1995" s="288"/>
      <c r="P1995" s="288"/>
      <c r="Q1995" s="288"/>
      <c r="R1995" s="283"/>
      <c r="S1995" s="280"/>
      <c r="T1995" s="276"/>
      <c r="U1995" s="276"/>
      <c r="V1995" s="276"/>
      <c r="W1995" s="283"/>
      <c r="X1995" s="280"/>
      <c r="Y1995" s="280"/>
      <c r="Z1995" s="280"/>
      <c r="AA1995" s="280"/>
      <c r="AB1995" s="280"/>
      <c r="AC1995" s="280"/>
      <c r="AD1995" s="280"/>
      <c r="AG1995" s="3"/>
      <c r="AH1995" s="3"/>
      <c r="AI1995" s="3"/>
      <c r="AJ1995" s="3"/>
      <c r="AK1995" s="3"/>
      <c r="AL1995" s="3"/>
      <c r="AM1995" s="3"/>
      <c r="AN1995" s="3"/>
      <c r="AO1995" s="3"/>
      <c r="AP1995" s="11"/>
      <c r="AQ1995" s="11"/>
      <c r="AR1995" s="3"/>
      <c r="AS1995" s="3"/>
      <c r="AT1995" s="3"/>
      <c r="AU1995" s="3"/>
      <c r="AV1995" s="3"/>
      <c r="AW1995" s="3"/>
      <c r="AX1995" s="11"/>
      <c r="AZ1995"/>
      <c r="BA1995"/>
      <c r="BB1995"/>
      <c r="BC1995"/>
    </row>
    <row r="1996" spans="1:55" s="282" customFormat="1" x14ac:dyDescent="0.25">
      <c r="A1996"/>
      <c r="B1996"/>
      <c r="C1996" s="3"/>
      <c r="D1996"/>
      <c r="E1996"/>
      <c r="F1996"/>
      <c r="G1996" s="3"/>
      <c r="H1996" s="3"/>
      <c r="I1996" s="3"/>
      <c r="J1996" s="288"/>
      <c r="L1996" s="288"/>
      <c r="M1996" s="288"/>
      <c r="N1996" s="288"/>
      <c r="O1996" s="288"/>
      <c r="P1996" s="288"/>
      <c r="Q1996" s="288"/>
      <c r="R1996" s="283"/>
      <c r="S1996" s="280"/>
      <c r="T1996" s="276"/>
      <c r="U1996" s="276"/>
      <c r="V1996" s="276"/>
      <c r="W1996" s="283"/>
      <c r="X1996" s="280"/>
      <c r="Y1996" s="280"/>
      <c r="Z1996" s="280"/>
      <c r="AA1996" s="280"/>
      <c r="AB1996" s="280"/>
      <c r="AC1996" s="280"/>
      <c r="AD1996" s="280"/>
      <c r="AG1996" s="3"/>
      <c r="AH1996" s="3"/>
      <c r="AI1996" s="3"/>
      <c r="AJ1996" s="3"/>
      <c r="AK1996" s="3"/>
      <c r="AL1996" s="3"/>
      <c r="AM1996" s="3"/>
      <c r="AN1996" s="3"/>
      <c r="AO1996" s="3"/>
      <c r="AP1996" s="11"/>
      <c r="AQ1996" s="11"/>
      <c r="AR1996" s="3"/>
      <c r="AS1996" s="3"/>
      <c r="AT1996" s="3"/>
      <c r="AU1996" s="3"/>
      <c r="AV1996" s="3"/>
      <c r="AW1996" s="3"/>
      <c r="AX1996" s="11"/>
      <c r="AZ1996"/>
      <c r="BA1996"/>
      <c r="BB1996"/>
      <c r="BC1996"/>
    </row>
    <row r="1997" spans="1:55" s="282" customFormat="1" x14ac:dyDescent="0.25">
      <c r="A1997"/>
      <c r="B1997"/>
      <c r="C1997" s="3"/>
      <c r="D1997"/>
      <c r="E1997"/>
      <c r="F1997"/>
      <c r="G1997" s="3"/>
      <c r="H1997" s="3"/>
      <c r="I1997" s="3"/>
      <c r="J1997" s="288"/>
      <c r="L1997" s="288"/>
      <c r="M1997" s="288"/>
      <c r="N1997" s="288"/>
      <c r="O1997" s="288"/>
      <c r="P1997" s="288"/>
      <c r="Q1997" s="288"/>
      <c r="R1997" s="283"/>
      <c r="S1997" s="280"/>
      <c r="T1997" s="276"/>
      <c r="U1997" s="276"/>
      <c r="V1997" s="276"/>
      <c r="W1997" s="283"/>
      <c r="X1997" s="280"/>
      <c r="Y1997" s="280"/>
      <c r="Z1997" s="280"/>
      <c r="AA1997" s="280"/>
      <c r="AB1997" s="280"/>
      <c r="AC1997" s="280"/>
      <c r="AD1997" s="280"/>
      <c r="AG1997" s="3"/>
      <c r="AH1997" s="3"/>
      <c r="AI1997" s="3"/>
      <c r="AJ1997" s="3"/>
      <c r="AK1997" s="3"/>
      <c r="AL1997" s="3"/>
      <c r="AM1997" s="3"/>
      <c r="AN1997" s="3"/>
      <c r="AO1997" s="3"/>
      <c r="AP1997" s="11"/>
      <c r="AQ1997" s="11"/>
      <c r="AR1997" s="3"/>
      <c r="AS1997" s="3"/>
      <c r="AT1997" s="3"/>
      <c r="AU1997" s="3"/>
      <c r="AV1997" s="3"/>
      <c r="AW1997" s="3"/>
      <c r="AX1997" s="11"/>
      <c r="AZ1997"/>
      <c r="BA1997"/>
      <c r="BB1997"/>
      <c r="BC1997"/>
    </row>
    <row r="1998" spans="1:55" s="282" customFormat="1" x14ac:dyDescent="0.25">
      <c r="A1998"/>
      <c r="B1998"/>
      <c r="C1998" s="3"/>
      <c r="D1998"/>
      <c r="E1998"/>
      <c r="F1998"/>
      <c r="G1998" s="3"/>
      <c r="H1998" s="3"/>
      <c r="I1998" s="3"/>
      <c r="J1998" s="288"/>
      <c r="L1998" s="288"/>
      <c r="M1998" s="288"/>
      <c r="N1998" s="288"/>
      <c r="O1998" s="288"/>
      <c r="P1998" s="288"/>
      <c r="Q1998" s="288"/>
      <c r="R1998" s="283"/>
      <c r="S1998" s="280"/>
      <c r="T1998" s="276"/>
      <c r="U1998" s="276"/>
      <c r="V1998" s="276"/>
      <c r="W1998" s="283"/>
      <c r="X1998" s="280"/>
      <c r="Y1998" s="280"/>
      <c r="Z1998" s="280"/>
      <c r="AA1998" s="280"/>
      <c r="AB1998" s="280"/>
      <c r="AC1998" s="280"/>
      <c r="AD1998" s="280"/>
      <c r="AG1998" s="3"/>
      <c r="AH1998" s="3"/>
      <c r="AI1998" s="3"/>
      <c r="AJ1998" s="3"/>
      <c r="AK1998" s="3"/>
      <c r="AL1998" s="3"/>
      <c r="AM1998" s="3"/>
      <c r="AN1998" s="3"/>
      <c r="AO1998" s="3"/>
      <c r="AP1998" s="11"/>
      <c r="AQ1998" s="11"/>
      <c r="AR1998" s="3"/>
      <c r="AS1998" s="3"/>
      <c r="AT1998" s="3"/>
      <c r="AU1998" s="3"/>
      <c r="AV1998" s="3"/>
      <c r="AW1998" s="3"/>
      <c r="AX1998" s="11"/>
      <c r="AZ1998"/>
      <c r="BA1998"/>
      <c r="BB1998"/>
      <c r="BC1998"/>
    </row>
    <row r="1999" spans="1:55" s="282" customFormat="1" x14ac:dyDescent="0.25">
      <c r="A1999"/>
      <c r="B1999"/>
      <c r="C1999" s="3"/>
      <c r="D1999"/>
      <c r="E1999"/>
      <c r="F1999"/>
      <c r="G1999" s="3"/>
      <c r="H1999" s="3"/>
      <c r="I1999" s="3"/>
      <c r="J1999" s="288"/>
      <c r="L1999" s="288"/>
      <c r="M1999" s="288"/>
      <c r="N1999" s="288"/>
      <c r="O1999" s="288"/>
      <c r="P1999" s="288"/>
      <c r="Q1999" s="288"/>
      <c r="R1999" s="283"/>
      <c r="S1999" s="280"/>
      <c r="T1999" s="276"/>
      <c r="U1999" s="276"/>
      <c r="V1999" s="276"/>
      <c r="W1999" s="283"/>
      <c r="X1999" s="280"/>
      <c r="Y1999" s="280"/>
      <c r="Z1999" s="280"/>
      <c r="AA1999" s="280"/>
      <c r="AB1999" s="280"/>
      <c r="AC1999" s="280"/>
      <c r="AD1999" s="280"/>
      <c r="AG1999" s="3"/>
      <c r="AH1999" s="3"/>
      <c r="AI1999" s="3"/>
      <c r="AJ1999" s="3"/>
      <c r="AK1999" s="3"/>
      <c r="AL1999" s="3"/>
      <c r="AM1999" s="3"/>
      <c r="AN1999" s="3"/>
      <c r="AO1999" s="3"/>
      <c r="AP1999" s="11"/>
      <c r="AQ1999" s="11"/>
      <c r="AR1999" s="3"/>
      <c r="AS1999" s="3"/>
      <c r="AT1999" s="3"/>
      <c r="AU1999" s="3"/>
      <c r="AV1999" s="3"/>
      <c r="AW1999" s="3"/>
      <c r="AX1999" s="11"/>
      <c r="AZ1999"/>
      <c r="BA1999"/>
      <c r="BB1999"/>
      <c r="BC1999"/>
    </row>
    <row r="2000" spans="1:55" s="282" customFormat="1" x14ac:dyDescent="0.25">
      <c r="A2000"/>
      <c r="B2000"/>
      <c r="C2000" s="3"/>
      <c r="D2000"/>
      <c r="E2000"/>
      <c r="F2000"/>
      <c r="G2000" s="3"/>
      <c r="H2000" s="3"/>
      <c r="I2000" s="3"/>
      <c r="J2000" s="288"/>
      <c r="L2000" s="288"/>
      <c r="M2000" s="288"/>
      <c r="N2000" s="288"/>
      <c r="O2000" s="288"/>
      <c r="P2000" s="288"/>
      <c r="Q2000" s="288"/>
      <c r="R2000" s="283"/>
      <c r="S2000" s="280"/>
      <c r="T2000" s="276"/>
      <c r="U2000" s="276"/>
      <c r="V2000" s="276"/>
      <c r="W2000" s="283"/>
      <c r="X2000" s="280"/>
      <c r="Y2000" s="280"/>
      <c r="Z2000" s="280"/>
      <c r="AA2000" s="280"/>
      <c r="AB2000" s="280"/>
      <c r="AC2000" s="280"/>
      <c r="AD2000" s="280"/>
      <c r="AG2000" s="3"/>
      <c r="AH2000" s="3"/>
      <c r="AI2000" s="3"/>
      <c r="AJ2000" s="3"/>
      <c r="AK2000" s="3"/>
      <c r="AL2000" s="3"/>
      <c r="AM2000" s="3"/>
      <c r="AN2000" s="3"/>
      <c r="AO2000" s="3"/>
      <c r="AP2000" s="11"/>
      <c r="AQ2000" s="11"/>
      <c r="AR2000" s="3"/>
      <c r="AS2000" s="3"/>
      <c r="AT2000" s="3"/>
      <c r="AU2000" s="3"/>
      <c r="AV2000" s="3"/>
      <c r="AW2000" s="3"/>
      <c r="AX2000" s="11"/>
      <c r="AZ2000"/>
      <c r="BA2000"/>
      <c r="BB2000"/>
      <c r="BC2000"/>
    </row>
    <row r="2001" spans="1:55" s="282" customFormat="1" x14ac:dyDescent="0.25">
      <c r="A2001"/>
      <c r="B2001"/>
      <c r="C2001" s="3"/>
      <c r="D2001"/>
      <c r="E2001"/>
      <c r="F2001"/>
      <c r="G2001" s="3"/>
      <c r="H2001" s="3"/>
      <c r="I2001" s="3"/>
      <c r="J2001" s="288"/>
      <c r="L2001" s="288"/>
      <c r="M2001" s="288"/>
      <c r="N2001" s="288"/>
      <c r="O2001" s="288"/>
      <c r="P2001" s="288"/>
      <c r="Q2001" s="288"/>
      <c r="R2001" s="283"/>
      <c r="S2001" s="280"/>
      <c r="T2001" s="276"/>
      <c r="U2001" s="276"/>
      <c r="V2001" s="276"/>
      <c r="W2001" s="283"/>
      <c r="X2001" s="280"/>
      <c r="Y2001" s="280"/>
      <c r="Z2001" s="280"/>
      <c r="AA2001" s="280"/>
      <c r="AB2001" s="280"/>
      <c r="AC2001" s="280"/>
      <c r="AD2001" s="280"/>
      <c r="AG2001" s="3"/>
      <c r="AH2001" s="3"/>
      <c r="AI2001" s="3"/>
      <c r="AJ2001" s="3"/>
      <c r="AK2001" s="3"/>
      <c r="AL2001" s="3"/>
      <c r="AM2001" s="3"/>
      <c r="AN2001" s="3"/>
      <c r="AO2001" s="3"/>
      <c r="AP2001" s="11"/>
      <c r="AQ2001" s="11"/>
      <c r="AR2001" s="3"/>
      <c r="AS2001" s="3"/>
      <c r="AT2001" s="3"/>
      <c r="AU2001" s="3"/>
      <c r="AV2001" s="3"/>
      <c r="AW2001" s="3"/>
      <c r="AX2001" s="11"/>
      <c r="AZ2001"/>
      <c r="BA2001"/>
      <c r="BB2001"/>
      <c r="BC2001"/>
    </row>
    <row r="2002" spans="1:55" s="282" customFormat="1" x14ac:dyDescent="0.25">
      <c r="A2002"/>
      <c r="B2002"/>
      <c r="C2002" s="3"/>
      <c r="D2002"/>
      <c r="E2002"/>
      <c r="F2002"/>
      <c r="G2002" s="3"/>
      <c r="H2002" s="3"/>
      <c r="I2002" s="3"/>
      <c r="J2002" s="288"/>
      <c r="L2002" s="288"/>
      <c r="M2002" s="288"/>
      <c r="N2002" s="288"/>
      <c r="O2002" s="288"/>
      <c r="P2002" s="288"/>
      <c r="Q2002" s="288"/>
      <c r="R2002" s="283"/>
      <c r="S2002" s="280"/>
      <c r="T2002" s="276"/>
      <c r="U2002" s="276"/>
      <c r="V2002" s="276"/>
      <c r="W2002" s="283"/>
      <c r="X2002" s="280"/>
      <c r="Y2002" s="280"/>
      <c r="Z2002" s="280"/>
      <c r="AA2002" s="280"/>
      <c r="AB2002" s="280"/>
      <c r="AC2002" s="280"/>
      <c r="AD2002" s="280"/>
      <c r="AG2002" s="3"/>
      <c r="AH2002" s="3"/>
      <c r="AI2002" s="3"/>
      <c r="AJ2002" s="3"/>
      <c r="AK2002" s="3"/>
      <c r="AL2002" s="3"/>
      <c r="AM2002" s="3"/>
      <c r="AN2002" s="3"/>
      <c r="AO2002" s="3"/>
      <c r="AP2002" s="11"/>
      <c r="AQ2002" s="11"/>
      <c r="AR2002" s="3"/>
      <c r="AS2002" s="3"/>
      <c r="AT2002" s="3"/>
      <c r="AU2002" s="3"/>
      <c r="AV2002" s="3"/>
      <c r="AW2002" s="3"/>
      <c r="AX2002" s="11"/>
      <c r="AZ2002"/>
      <c r="BA2002"/>
      <c r="BB2002"/>
      <c r="BC2002"/>
    </row>
    <row r="2003" spans="1:55" s="282" customFormat="1" x14ac:dyDescent="0.25">
      <c r="A2003"/>
      <c r="B2003"/>
      <c r="C2003" s="3"/>
      <c r="D2003"/>
      <c r="E2003"/>
      <c r="F2003"/>
      <c r="G2003" s="3"/>
      <c r="H2003" s="3"/>
      <c r="I2003" s="3"/>
      <c r="J2003" s="288"/>
      <c r="L2003" s="288"/>
      <c r="M2003" s="288"/>
      <c r="N2003" s="288"/>
      <c r="O2003" s="288"/>
      <c r="P2003" s="288"/>
      <c r="Q2003" s="288"/>
      <c r="R2003" s="283"/>
      <c r="S2003" s="280"/>
      <c r="T2003" s="276"/>
      <c r="U2003" s="276"/>
      <c r="V2003" s="276"/>
      <c r="W2003" s="283"/>
      <c r="X2003" s="280"/>
      <c r="Y2003" s="280"/>
      <c r="Z2003" s="280"/>
      <c r="AA2003" s="280"/>
      <c r="AB2003" s="280"/>
      <c r="AC2003" s="280"/>
      <c r="AD2003" s="280"/>
      <c r="AG2003" s="3"/>
      <c r="AH2003" s="3"/>
      <c r="AI2003" s="3"/>
      <c r="AJ2003" s="3"/>
      <c r="AK2003" s="3"/>
      <c r="AL2003" s="3"/>
      <c r="AM2003" s="3"/>
      <c r="AN2003" s="3"/>
      <c r="AO2003" s="3"/>
      <c r="AP2003" s="11"/>
      <c r="AQ2003" s="11"/>
      <c r="AR2003" s="3"/>
      <c r="AS2003" s="3"/>
      <c r="AT2003" s="3"/>
      <c r="AU2003" s="3"/>
      <c r="AV2003" s="3"/>
      <c r="AW2003" s="3"/>
      <c r="AX2003" s="11"/>
      <c r="AZ2003"/>
      <c r="BA2003"/>
      <c r="BB2003"/>
      <c r="BC2003"/>
    </row>
    <row r="2004" spans="1:55" s="282" customFormat="1" x14ac:dyDescent="0.25">
      <c r="A2004"/>
      <c r="B2004"/>
      <c r="C2004" s="3"/>
      <c r="D2004"/>
      <c r="E2004"/>
      <c r="F2004"/>
      <c r="G2004" s="3"/>
      <c r="H2004" s="3"/>
      <c r="I2004" s="3"/>
      <c r="J2004" s="288"/>
      <c r="L2004" s="288"/>
      <c r="M2004" s="288"/>
      <c r="N2004" s="288"/>
      <c r="O2004" s="288"/>
      <c r="P2004" s="288"/>
      <c r="Q2004" s="288"/>
      <c r="R2004" s="283"/>
      <c r="S2004" s="280"/>
      <c r="T2004" s="276"/>
      <c r="U2004" s="276"/>
      <c r="V2004" s="276"/>
      <c r="W2004" s="283"/>
      <c r="X2004" s="280"/>
      <c r="Y2004" s="280"/>
      <c r="Z2004" s="280"/>
      <c r="AA2004" s="280"/>
      <c r="AB2004" s="280"/>
      <c r="AC2004" s="280"/>
      <c r="AD2004" s="280"/>
      <c r="AG2004" s="3"/>
      <c r="AH2004" s="3"/>
      <c r="AI2004" s="3"/>
      <c r="AJ2004" s="3"/>
      <c r="AK2004" s="3"/>
      <c r="AL2004" s="3"/>
      <c r="AM2004" s="3"/>
      <c r="AN2004" s="3"/>
      <c r="AO2004" s="3"/>
      <c r="AP2004" s="11"/>
      <c r="AQ2004" s="11"/>
      <c r="AR2004" s="3"/>
      <c r="AS2004" s="3"/>
      <c r="AT2004" s="3"/>
      <c r="AU2004" s="3"/>
      <c r="AV2004" s="3"/>
      <c r="AW2004" s="3"/>
      <c r="AX2004" s="11"/>
      <c r="AZ2004"/>
      <c r="BA2004"/>
      <c r="BB2004"/>
      <c r="BC2004"/>
    </row>
    <row r="2005" spans="1:55" s="282" customFormat="1" x14ac:dyDescent="0.25">
      <c r="A2005"/>
      <c r="B2005"/>
      <c r="C2005" s="3"/>
      <c r="D2005"/>
      <c r="E2005"/>
      <c r="F2005"/>
      <c r="G2005" s="3"/>
      <c r="H2005" s="3"/>
      <c r="I2005" s="3"/>
      <c r="J2005" s="288"/>
      <c r="L2005" s="288"/>
      <c r="M2005" s="288"/>
      <c r="N2005" s="288"/>
      <c r="O2005" s="288"/>
      <c r="P2005" s="288"/>
      <c r="Q2005" s="288"/>
      <c r="R2005" s="283"/>
      <c r="S2005" s="280"/>
      <c r="T2005" s="276"/>
      <c r="U2005" s="276"/>
      <c r="V2005" s="276"/>
      <c r="W2005" s="283"/>
      <c r="X2005" s="280"/>
      <c r="Y2005" s="280"/>
      <c r="Z2005" s="280"/>
      <c r="AA2005" s="280"/>
      <c r="AB2005" s="280"/>
      <c r="AC2005" s="280"/>
      <c r="AD2005" s="280"/>
      <c r="AG2005" s="3"/>
      <c r="AH2005" s="3"/>
      <c r="AI2005" s="3"/>
      <c r="AJ2005" s="3"/>
      <c r="AK2005" s="3"/>
      <c r="AL2005" s="3"/>
      <c r="AM2005" s="3"/>
      <c r="AN2005" s="3"/>
      <c r="AO2005" s="3"/>
      <c r="AP2005" s="11"/>
      <c r="AQ2005" s="11"/>
      <c r="AR2005" s="3"/>
      <c r="AS2005" s="3"/>
      <c r="AT2005" s="3"/>
      <c r="AU2005" s="3"/>
      <c r="AV2005" s="3"/>
      <c r="AW2005" s="3"/>
      <c r="AX2005" s="11"/>
      <c r="AZ2005"/>
      <c r="BA2005"/>
      <c r="BB2005"/>
      <c r="BC2005"/>
    </row>
    <row r="2006" spans="1:55" s="282" customFormat="1" x14ac:dyDescent="0.25">
      <c r="A2006"/>
      <c r="B2006"/>
      <c r="C2006" s="3"/>
      <c r="D2006"/>
      <c r="E2006"/>
      <c r="F2006"/>
      <c r="G2006" s="3"/>
      <c r="H2006" s="3"/>
      <c r="I2006" s="3"/>
      <c r="J2006" s="288"/>
      <c r="L2006" s="288"/>
      <c r="M2006" s="288"/>
      <c r="N2006" s="288"/>
      <c r="O2006" s="288"/>
      <c r="P2006" s="288"/>
      <c r="Q2006" s="288"/>
      <c r="R2006" s="283"/>
      <c r="S2006" s="280"/>
      <c r="T2006" s="276"/>
      <c r="U2006" s="276"/>
      <c r="V2006" s="276"/>
      <c r="W2006" s="283"/>
      <c r="X2006" s="280"/>
      <c r="Y2006" s="280"/>
      <c r="Z2006" s="280"/>
      <c r="AA2006" s="280"/>
      <c r="AB2006" s="280"/>
      <c r="AC2006" s="280"/>
      <c r="AD2006" s="280"/>
      <c r="AG2006" s="3"/>
      <c r="AH2006" s="3"/>
      <c r="AI2006" s="3"/>
      <c r="AJ2006" s="3"/>
      <c r="AK2006" s="3"/>
      <c r="AL2006" s="3"/>
      <c r="AM2006" s="3"/>
      <c r="AN2006" s="3"/>
      <c r="AO2006" s="3"/>
      <c r="AP2006" s="11"/>
      <c r="AQ2006" s="11"/>
      <c r="AR2006" s="3"/>
      <c r="AS2006" s="3"/>
      <c r="AT2006" s="3"/>
      <c r="AU2006" s="3"/>
      <c r="AV2006" s="3"/>
      <c r="AW2006" s="3"/>
      <c r="AX2006" s="11"/>
      <c r="AZ2006"/>
      <c r="BA2006"/>
      <c r="BB2006"/>
      <c r="BC2006"/>
    </row>
    <row r="2007" spans="1:55" s="282" customFormat="1" x14ac:dyDescent="0.25">
      <c r="A2007"/>
      <c r="B2007"/>
      <c r="C2007" s="3"/>
      <c r="D2007"/>
      <c r="E2007"/>
      <c r="F2007"/>
      <c r="G2007" s="3"/>
      <c r="H2007" s="3"/>
      <c r="I2007" s="3"/>
      <c r="J2007" s="288"/>
      <c r="L2007" s="288"/>
      <c r="M2007" s="288"/>
      <c r="N2007" s="288"/>
      <c r="O2007" s="288"/>
      <c r="P2007" s="288"/>
      <c r="Q2007" s="288"/>
      <c r="R2007" s="283"/>
      <c r="S2007" s="280"/>
      <c r="T2007" s="276"/>
      <c r="U2007" s="276"/>
      <c r="V2007" s="276"/>
      <c r="W2007" s="283"/>
      <c r="X2007" s="280"/>
      <c r="Y2007" s="280"/>
      <c r="Z2007" s="280"/>
      <c r="AA2007" s="280"/>
      <c r="AB2007" s="280"/>
      <c r="AC2007" s="280"/>
      <c r="AD2007" s="280"/>
      <c r="AG2007" s="3"/>
      <c r="AH2007" s="3"/>
      <c r="AI2007" s="3"/>
      <c r="AJ2007" s="3"/>
      <c r="AK2007" s="3"/>
      <c r="AL2007" s="3"/>
      <c r="AM2007" s="3"/>
      <c r="AN2007" s="3"/>
      <c r="AO2007" s="3"/>
      <c r="AP2007" s="11"/>
      <c r="AQ2007" s="11"/>
      <c r="AR2007" s="3"/>
      <c r="AS2007" s="3"/>
      <c r="AT2007" s="3"/>
      <c r="AU2007" s="3"/>
      <c r="AV2007" s="3"/>
      <c r="AW2007" s="3"/>
      <c r="AX2007" s="11"/>
      <c r="AZ2007"/>
      <c r="BA2007"/>
      <c r="BB2007"/>
      <c r="BC2007"/>
    </row>
    <row r="2008" spans="1:55" s="282" customFormat="1" x14ac:dyDescent="0.25">
      <c r="A2008"/>
      <c r="B2008"/>
      <c r="C2008" s="3"/>
      <c r="D2008"/>
      <c r="E2008"/>
      <c r="F2008"/>
      <c r="G2008" s="3"/>
      <c r="H2008" s="3"/>
      <c r="I2008" s="3"/>
      <c r="J2008" s="288"/>
      <c r="L2008" s="288"/>
      <c r="M2008" s="288"/>
      <c r="N2008" s="288"/>
      <c r="O2008" s="288"/>
      <c r="P2008" s="288"/>
      <c r="Q2008" s="288"/>
      <c r="R2008" s="283"/>
      <c r="S2008" s="280"/>
      <c r="T2008" s="276"/>
      <c r="U2008" s="276"/>
      <c r="V2008" s="276"/>
      <c r="W2008" s="283"/>
      <c r="X2008" s="280"/>
      <c r="Y2008" s="280"/>
      <c r="Z2008" s="280"/>
      <c r="AA2008" s="280"/>
      <c r="AB2008" s="280"/>
      <c r="AC2008" s="280"/>
      <c r="AD2008" s="280"/>
      <c r="AG2008" s="3"/>
      <c r="AH2008" s="3"/>
      <c r="AI2008" s="3"/>
      <c r="AJ2008" s="3"/>
      <c r="AK2008" s="3"/>
      <c r="AL2008" s="3"/>
      <c r="AM2008" s="3"/>
      <c r="AN2008" s="3"/>
      <c r="AO2008" s="3"/>
      <c r="AP2008" s="11"/>
      <c r="AQ2008" s="11"/>
      <c r="AR2008" s="3"/>
      <c r="AS2008" s="3"/>
      <c r="AT2008" s="3"/>
      <c r="AU2008" s="3"/>
      <c r="AV2008" s="3"/>
      <c r="AW2008" s="3"/>
      <c r="AX2008" s="11"/>
      <c r="AZ2008"/>
      <c r="BA2008"/>
      <c r="BB2008"/>
      <c r="BC2008"/>
    </row>
    <row r="2009" spans="1:55" s="282" customFormat="1" x14ac:dyDescent="0.25">
      <c r="A2009"/>
      <c r="B2009"/>
      <c r="C2009" s="3"/>
      <c r="D2009"/>
      <c r="E2009"/>
      <c r="F2009"/>
      <c r="G2009" s="3"/>
      <c r="H2009" s="3"/>
      <c r="I2009" s="3"/>
      <c r="J2009" s="288"/>
      <c r="L2009" s="288"/>
      <c r="M2009" s="288"/>
      <c r="N2009" s="288"/>
      <c r="O2009" s="288"/>
      <c r="P2009" s="288"/>
      <c r="Q2009" s="288"/>
      <c r="R2009" s="283"/>
      <c r="S2009" s="280"/>
      <c r="T2009" s="276"/>
      <c r="U2009" s="276"/>
      <c r="V2009" s="276"/>
      <c r="W2009" s="283"/>
      <c r="X2009" s="280"/>
      <c r="Y2009" s="280"/>
      <c r="Z2009" s="280"/>
      <c r="AA2009" s="280"/>
      <c r="AB2009" s="280"/>
      <c r="AC2009" s="280"/>
      <c r="AD2009" s="280"/>
      <c r="AG2009" s="3"/>
      <c r="AH2009" s="3"/>
      <c r="AI2009" s="3"/>
      <c r="AJ2009" s="3"/>
      <c r="AK2009" s="3"/>
      <c r="AL2009" s="3"/>
      <c r="AM2009" s="3"/>
      <c r="AN2009" s="3"/>
      <c r="AO2009" s="3"/>
      <c r="AP2009" s="11"/>
      <c r="AQ2009" s="11"/>
      <c r="AR2009" s="3"/>
      <c r="AS2009" s="3"/>
      <c r="AT2009" s="3"/>
      <c r="AU2009" s="3"/>
      <c r="AV2009" s="3"/>
      <c r="AW2009" s="3"/>
      <c r="AX2009" s="11"/>
      <c r="AZ2009"/>
      <c r="BA2009"/>
      <c r="BB2009"/>
      <c r="BC2009"/>
    </row>
    <row r="2010" spans="1:55" s="282" customFormat="1" x14ac:dyDescent="0.25">
      <c r="A2010"/>
      <c r="B2010"/>
      <c r="C2010" s="3"/>
      <c r="D2010"/>
      <c r="E2010"/>
      <c r="F2010"/>
      <c r="G2010" s="3"/>
      <c r="H2010" s="3"/>
      <c r="I2010" s="3"/>
      <c r="J2010" s="288"/>
      <c r="L2010" s="288"/>
      <c r="M2010" s="288"/>
      <c r="N2010" s="288"/>
      <c r="O2010" s="288"/>
      <c r="P2010" s="288"/>
      <c r="Q2010" s="288"/>
      <c r="R2010" s="283"/>
      <c r="S2010" s="280"/>
      <c r="T2010" s="276"/>
      <c r="U2010" s="276"/>
      <c r="V2010" s="276"/>
      <c r="W2010" s="283"/>
      <c r="X2010" s="280"/>
      <c r="Y2010" s="280"/>
      <c r="Z2010" s="280"/>
      <c r="AA2010" s="280"/>
      <c r="AB2010" s="280"/>
      <c r="AC2010" s="280"/>
      <c r="AD2010" s="280"/>
      <c r="AG2010" s="3"/>
      <c r="AH2010" s="3"/>
      <c r="AI2010" s="3"/>
      <c r="AJ2010" s="3"/>
      <c r="AK2010" s="3"/>
      <c r="AL2010" s="3"/>
      <c r="AM2010" s="3"/>
      <c r="AN2010" s="3"/>
      <c r="AO2010" s="3"/>
      <c r="AP2010" s="11"/>
      <c r="AQ2010" s="11"/>
      <c r="AR2010" s="3"/>
      <c r="AS2010" s="3"/>
      <c r="AT2010" s="3"/>
      <c r="AU2010" s="3"/>
      <c r="AV2010" s="3"/>
      <c r="AW2010" s="3"/>
      <c r="AX2010" s="11"/>
      <c r="AZ2010"/>
      <c r="BA2010"/>
      <c r="BB2010"/>
      <c r="BC2010"/>
    </row>
    <row r="2011" spans="1:55" s="282" customFormat="1" x14ac:dyDescent="0.25">
      <c r="A2011"/>
      <c r="B2011"/>
      <c r="C2011" s="3"/>
      <c r="D2011"/>
      <c r="E2011"/>
      <c r="F2011"/>
      <c r="G2011" s="3"/>
      <c r="H2011" s="3"/>
      <c r="I2011" s="3"/>
      <c r="J2011" s="288"/>
      <c r="L2011" s="288"/>
      <c r="M2011" s="288"/>
      <c r="N2011" s="288"/>
      <c r="O2011" s="288"/>
      <c r="P2011" s="288"/>
      <c r="Q2011" s="288"/>
      <c r="R2011" s="283"/>
      <c r="S2011" s="280"/>
      <c r="T2011" s="276"/>
      <c r="U2011" s="276"/>
      <c r="V2011" s="276"/>
      <c r="W2011" s="283"/>
      <c r="X2011" s="280"/>
      <c r="Y2011" s="280"/>
      <c r="Z2011" s="280"/>
      <c r="AA2011" s="280"/>
      <c r="AB2011" s="280"/>
      <c r="AC2011" s="280"/>
      <c r="AD2011" s="280"/>
      <c r="AG2011" s="3"/>
      <c r="AH2011" s="3"/>
      <c r="AI2011" s="3"/>
      <c r="AJ2011" s="3"/>
      <c r="AK2011" s="3"/>
      <c r="AL2011" s="3"/>
      <c r="AM2011" s="3"/>
      <c r="AN2011" s="3"/>
      <c r="AO2011" s="3"/>
      <c r="AP2011" s="11"/>
      <c r="AQ2011" s="11"/>
      <c r="AR2011" s="3"/>
      <c r="AS2011" s="3"/>
      <c r="AT2011" s="3"/>
      <c r="AU2011" s="3"/>
      <c r="AV2011" s="3"/>
      <c r="AW2011" s="3"/>
      <c r="AX2011" s="11"/>
      <c r="AZ2011"/>
      <c r="BA2011"/>
      <c r="BB2011"/>
      <c r="BC2011"/>
    </row>
    <row r="2012" spans="1:55" s="282" customFormat="1" x14ac:dyDescent="0.25">
      <c r="A2012"/>
      <c r="B2012"/>
      <c r="C2012" s="3"/>
      <c r="D2012"/>
      <c r="E2012"/>
      <c r="F2012"/>
      <c r="G2012" s="3"/>
      <c r="H2012" s="3"/>
      <c r="I2012" s="3"/>
      <c r="J2012" s="288"/>
      <c r="L2012" s="288"/>
      <c r="M2012" s="288"/>
      <c r="N2012" s="288"/>
      <c r="O2012" s="288"/>
      <c r="P2012" s="288"/>
      <c r="Q2012" s="288"/>
      <c r="R2012" s="283"/>
      <c r="S2012" s="280"/>
      <c r="T2012" s="276"/>
      <c r="U2012" s="276"/>
      <c r="V2012" s="276"/>
      <c r="W2012" s="283"/>
      <c r="X2012" s="280"/>
      <c r="Y2012" s="280"/>
      <c r="Z2012" s="280"/>
      <c r="AA2012" s="280"/>
      <c r="AB2012" s="280"/>
      <c r="AC2012" s="280"/>
      <c r="AD2012" s="280"/>
      <c r="AG2012" s="3"/>
      <c r="AH2012" s="3"/>
      <c r="AI2012" s="3"/>
      <c r="AJ2012" s="3"/>
      <c r="AK2012" s="3"/>
      <c r="AL2012" s="3"/>
      <c r="AM2012" s="3"/>
      <c r="AN2012" s="3"/>
      <c r="AO2012" s="3"/>
      <c r="AP2012" s="11"/>
      <c r="AQ2012" s="11"/>
      <c r="AR2012" s="3"/>
      <c r="AS2012" s="3"/>
      <c r="AT2012" s="3"/>
      <c r="AU2012" s="3"/>
      <c r="AV2012" s="3"/>
      <c r="AW2012" s="3"/>
      <c r="AX2012" s="11"/>
      <c r="AZ2012"/>
      <c r="BA2012"/>
      <c r="BB2012"/>
      <c r="BC2012"/>
    </row>
    <row r="2013" spans="1:55" s="282" customFormat="1" x14ac:dyDescent="0.25">
      <c r="A2013"/>
      <c r="B2013"/>
      <c r="C2013" s="3"/>
      <c r="D2013"/>
      <c r="E2013"/>
      <c r="F2013"/>
      <c r="G2013" s="3"/>
      <c r="H2013" s="3"/>
      <c r="I2013" s="3"/>
      <c r="J2013" s="288"/>
      <c r="L2013" s="288"/>
      <c r="M2013" s="288"/>
      <c r="N2013" s="288"/>
      <c r="O2013" s="288"/>
      <c r="P2013" s="288"/>
      <c r="Q2013" s="288"/>
      <c r="R2013" s="283"/>
      <c r="S2013" s="280"/>
      <c r="T2013" s="276"/>
      <c r="U2013" s="276"/>
      <c r="V2013" s="276"/>
      <c r="W2013" s="283"/>
      <c r="X2013" s="280"/>
      <c r="Y2013" s="280"/>
      <c r="Z2013" s="280"/>
      <c r="AA2013" s="280"/>
      <c r="AB2013" s="280"/>
      <c r="AC2013" s="280"/>
      <c r="AD2013" s="280"/>
      <c r="AG2013" s="3"/>
      <c r="AH2013" s="3"/>
      <c r="AI2013" s="3"/>
      <c r="AJ2013" s="3"/>
      <c r="AK2013" s="3"/>
      <c r="AL2013" s="3"/>
      <c r="AM2013" s="3"/>
      <c r="AN2013" s="3"/>
      <c r="AO2013" s="3"/>
      <c r="AP2013" s="11"/>
      <c r="AQ2013" s="11"/>
      <c r="AR2013" s="3"/>
      <c r="AS2013" s="3"/>
      <c r="AT2013" s="3"/>
      <c r="AU2013" s="3"/>
      <c r="AV2013" s="3"/>
      <c r="AW2013" s="3"/>
      <c r="AX2013" s="11"/>
      <c r="AZ2013"/>
      <c r="BA2013"/>
      <c r="BB2013"/>
      <c r="BC2013"/>
    </row>
    <row r="2014" spans="1:55" s="282" customFormat="1" x14ac:dyDescent="0.25">
      <c r="A2014"/>
      <c r="B2014"/>
      <c r="C2014" s="3"/>
      <c r="D2014"/>
      <c r="E2014"/>
      <c r="F2014"/>
      <c r="G2014" s="3"/>
      <c r="H2014" s="3"/>
      <c r="I2014" s="3"/>
      <c r="J2014" s="288"/>
      <c r="L2014" s="288"/>
      <c r="M2014" s="288"/>
      <c r="N2014" s="288"/>
      <c r="O2014" s="288"/>
      <c r="P2014" s="288"/>
      <c r="Q2014" s="288"/>
      <c r="R2014" s="283"/>
      <c r="S2014" s="280"/>
      <c r="T2014" s="276"/>
      <c r="U2014" s="276"/>
      <c r="V2014" s="276"/>
      <c r="W2014" s="283"/>
      <c r="X2014" s="280"/>
      <c r="Y2014" s="280"/>
      <c r="Z2014" s="280"/>
      <c r="AA2014" s="280"/>
      <c r="AB2014" s="280"/>
      <c r="AC2014" s="280"/>
      <c r="AD2014" s="280"/>
      <c r="AG2014" s="3"/>
      <c r="AH2014" s="3"/>
      <c r="AI2014" s="3"/>
      <c r="AJ2014" s="3"/>
      <c r="AK2014" s="3"/>
      <c r="AL2014" s="3"/>
      <c r="AM2014" s="3"/>
      <c r="AN2014" s="3"/>
      <c r="AO2014" s="3"/>
      <c r="AP2014" s="11"/>
      <c r="AQ2014" s="11"/>
      <c r="AR2014" s="3"/>
      <c r="AS2014" s="3"/>
      <c r="AT2014" s="3"/>
      <c r="AU2014" s="3"/>
      <c r="AV2014" s="3"/>
      <c r="AW2014" s="3"/>
      <c r="AX2014" s="11"/>
      <c r="AZ2014"/>
      <c r="BA2014"/>
      <c r="BB2014"/>
      <c r="BC2014"/>
    </row>
    <row r="2015" spans="1:55" s="282" customFormat="1" x14ac:dyDescent="0.25">
      <c r="A2015"/>
      <c r="B2015"/>
      <c r="C2015" s="3"/>
      <c r="D2015"/>
      <c r="E2015"/>
      <c r="F2015"/>
      <c r="G2015" s="3"/>
      <c r="H2015" s="3"/>
      <c r="I2015" s="3"/>
      <c r="J2015" s="288"/>
      <c r="L2015" s="288"/>
      <c r="M2015" s="288"/>
      <c r="N2015" s="288"/>
      <c r="O2015" s="288"/>
      <c r="P2015" s="288"/>
      <c r="Q2015" s="288"/>
      <c r="R2015" s="283"/>
      <c r="S2015" s="280"/>
      <c r="T2015" s="276"/>
      <c r="U2015" s="276"/>
      <c r="V2015" s="276"/>
      <c r="W2015" s="283"/>
      <c r="X2015" s="280"/>
      <c r="Y2015" s="280"/>
      <c r="Z2015" s="280"/>
      <c r="AA2015" s="280"/>
      <c r="AB2015" s="280"/>
      <c r="AC2015" s="280"/>
      <c r="AD2015" s="280"/>
      <c r="AG2015" s="3"/>
      <c r="AH2015" s="3"/>
      <c r="AI2015" s="3"/>
      <c r="AJ2015" s="3"/>
      <c r="AK2015" s="3"/>
      <c r="AL2015" s="3"/>
      <c r="AM2015" s="3"/>
      <c r="AN2015" s="3"/>
      <c r="AO2015" s="3"/>
      <c r="AP2015" s="11"/>
      <c r="AQ2015" s="11"/>
      <c r="AR2015" s="3"/>
      <c r="AS2015" s="3"/>
      <c r="AT2015" s="3"/>
      <c r="AU2015" s="3"/>
      <c r="AV2015" s="3"/>
      <c r="AW2015" s="3"/>
      <c r="AX2015" s="11"/>
      <c r="AZ2015"/>
      <c r="BA2015"/>
      <c r="BB2015"/>
      <c r="BC2015"/>
    </row>
    <row r="2016" spans="1:55" s="282" customFormat="1" x14ac:dyDescent="0.25">
      <c r="A2016"/>
      <c r="B2016"/>
      <c r="C2016" s="3"/>
      <c r="D2016"/>
      <c r="E2016"/>
      <c r="F2016"/>
      <c r="G2016" s="3"/>
      <c r="H2016" s="3"/>
      <c r="I2016" s="3"/>
      <c r="J2016" s="288"/>
      <c r="L2016" s="288"/>
      <c r="M2016" s="288"/>
      <c r="N2016" s="288"/>
      <c r="O2016" s="288"/>
      <c r="P2016" s="288"/>
      <c r="Q2016" s="288"/>
      <c r="R2016" s="283"/>
      <c r="S2016" s="280"/>
      <c r="T2016" s="276"/>
      <c r="U2016" s="276"/>
      <c r="V2016" s="276"/>
      <c r="W2016" s="283"/>
      <c r="X2016" s="280"/>
      <c r="Y2016" s="280"/>
      <c r="Z2016" s="280"/>
      <c r="AA2016" s="280"/>
      <c r="AB2016" s="280"/>
      <c r="AC2016" s="280"/>
      <c r="AD2016" s="280"/>
      <c r="AG2016" s="3"/>
      <c r="AH2016" s="3"/>
      <c r="AI2016" s="3"/>
      <c r="AJ2016" s="3"/>
      <c r="AK2016" s="3"/>
      <c r="AL2016" s="3"/>
      <c r="AM2016" s="3"/>
      <c r="AN2016" s="3"/>
      <c r="AO2016" s="3"/>
      <c r="AP2016" s="11"/>
      <c r="AQ2016" s="11"/>
      <c r="AR2016" s="3"/>
      <c r="AS2016" s="3"/>
      <c r="AT2016" s="3"/>
      <c r="AU2016" s="3"/>
      <c r="AV2016" s="3"/>
      <c r="AW2016" s="3"/>
      <c r="AX2016" s="11"/>
      <c r="AZ2016"/>
      <c r="BA2016"/>
      <c r="BB2016"/>
      <c r="BC2016"/>
    </row>
    <row r="2017" spans="1:55" s="282" customFormat="1" x14ac:dyDescent="0.25">
      <c r="A2017"/>
      <c r="B2017"/>
      <c r="C2017" s="3"/>
      <c r="D2017"/>
      <c r="E2017"/>
      <c r="F2017"/>
      <c r="G2017" s="3"/>
      <c r="H2017" s="3"/>
      <c r="I2017" s="3"/>
      <c r="J2017" s="288"/>
      <c r="L2017" s="288"/>
      <c r="M2017" s="288"/>
      <c r="N2017" s="288"/>
      <c r="O2017" s="288"/>
      <c r="P2017" s="288"/>
      <c r="Q2017" s="288"/>
      <c r="R2017" s="283"/>
      <c r="S2017" s="280"/>
      <c r="T2017" s="276"/>
      <c r="U2017" s="276"/>
      <c r="V2017" s="276"/>
      <c r="W2017" s="283"/>
      <c r="X2017" s="280"/>
      <c r="Y2017" s="280"/>
      <c r="Z2017" s="280"/>
      <c r="AA2017" s="280"/>
      <c r="AB2017" s="280"/>
      <c r="AC2017" s="280"/>
      <c r="AD2017" s="280"/>
      <c r="AG2017" s="3"/>
      <c r="AH2017" s="3"/>
      <c r="AI2017" s="3"/>
      <c r="AJ2017" s="3"/>
      <c r="AK2017" s="3"/>
      <c r="AL2017" s="3"/>
      <c r="AM2017" s="3"/>
      <c r="AN2017" s="3"/>
      <c r="AO2017" s="3"/>
      <c r="AP2017" s="11"/>
      <c r="AQ2017" s="11"/>
      <c r="AR2017" s="3"/>
      <c r="AS2017" s="3"/>
      <c r="AT2017" s="3"/>
      <c r="AU2017" s="3"/>
      <c r="AV2017" s="3"/>
      <c r="AW2017" s="3"/>
      <c r="AX2017" s="11"/>
      <c r="AZ2017"/>
      <c r="BA2017"/>
      <c r="BB2017"/>
      <c r="BC2017"/>
    </row>
    <row r="2018" spans="1:55" s="282" customFormat="1" x14ac:dyDescent="0.25">
      <c r="A2018"/>
      <c r="B2018"/>
      <c r="C2018" s="3"/>
      <c r="D2018"/>
      <c r="E2018"/>
      <c r="F2018"/>
      <c r="G2018" s="3"/>
      <c r="H2018" s="3"/>
      <c r="I2018" s="3"/>
      <c r="J2018" s="288"/>
      <c r="L2018" s="288"/>
      <c r="M2018" s="288"/>
      <c r="N2018" s="288"/>
      <c r="O2018" s="288"/>
      <c r="P2018" s="288"/>
      <c r="Q2018" s="288"/>
      <c r="R2018" s="283"/>
      <c r="S2018" s="280"/>
      <c r="T2018" s="276"/>
      <c r="U2018" s="276"/>
      <c r="V2018" s="276"/>
      <c r="W2018" s="283"/>
      <c r="X2018" s="280"/>
      <c r="Y2018" s="280"/>
      <c r="Z2018" s="280"/>
      <c r="AA2018" s="280"/>
      <c r="AB2018" s="280"/>
      <c r="AC2018" s="280"/>
      <c r="AD2018" s="280"/>
      <c r="AG2018" s="3"/>
      <c r="AH2018" s="3"/>
      <c r="AI2018" s="3"/>
      <c r="AJ2018" s="3"/>
      <c r="AK2018" s="3"/>
      <c r="AL2018" s="3"/>
      <c r="AM2018" s="3"/>
      <c r="AN2018" s="3"/>
      <c r="AO2018" s="3"/>
      <c r="AP2018" s="11"/>
      <c r="AQ2018" s="11"/>
      <c r="AR2018" s="3"/>
      <c r="AS2018" s="3"/>
      <c r="AT2018" s="3"/>
      <c r="AU2018" s="3"/>
      <c r="AV2018" s="3"/>
      <c r="AW2018" s="3"/>
      <c r="AX2018" s="11"/>
      <c r="AZ2018"/>
      <c r="BA2018"/>
      <c r="BB2018"/>
      <c r="BC2018"/>
    </row>
    <row r="2019" spans="1:55" s="282" customFormat="1" x14ac:dyDescent="0.25">
      <c r="A2019"/>
      <c r="B2019"/>
      <c r="C2019" s="3"/>
      <c r="D2019"/>
      <c r="E2019"/>
      <c r="F2019"/>
      <c r="G2019" s="3"/>
      <c r="H2019" s="3"/>
      <c r="I2019" s="3"/>
      <c r="J2019" s="288"/>
      <c r="L2019" s="288"/>
      <c r="M2019" s="288"/>
      <c r="N2019" s="288"/>
      <c r="O2019" s="288"/>
      <c r="P2019" s="288"/>
      <c r="Q2019" s="288"/>
      <c r="R2019" s="283"/>
      <c r="S2019" s="280"/>
      <c r="T2019" s="276"/>
      <c r="U2019" s="276"/>
      <c r="V2019" s="276"/>
      <c r="W2019" s="283"/>
      <c r="X2019" s="280"/>
      <c r="Y2019" s="280"/>
      <c r="Z2019" s="280"/>
      <c r="AA2019" s="280"/>
      <c r="AB2019" s="280"/>
      <c r="AC2019" s="280"/>
      <c r="AD2019" s="280"/>
      <c r="AG2019" s="3"/>
      <c r="AH2019" s="3"/>
      <c r="AI2019" s="3"/>
      <c r="AJ2019" s="3"/>
      <c r="AK2019" s="3"/>
      <c r="AL2019" s="3"/>
      <c r="AM2019" s="3"/>
      <c r="AN2019" s="3"/>
      <c r="AO2019" s="3"/>
      <c r="AP2019" s="11"/>
      <c r="AQ2019" s="11"/>
      <c r="AR2019" s="3"/>
      <c r="AS2019" s="3"/>
      <c r="AT2019" s="3"/>
      <c r="AU2019" s="3"/>
      <c r="AV2019" s="3"/>
      <c r="AW2019" s="3"/>
      <c r="AX2019" s="11"/>
      <c r="AZ2019"/>
      <c r="BA2019"/>
      <c r="BB2019"/>
      <c r="BC2019"/>
    </row>
    <row r="2020" spans="1:55" s="282" customFormat="1" x14ac:dyDescent="0.25">
      <c r="A2020"/>
      <c r="B2020"/>
      <c r="C2020" s="3"/>
      <c r="D2020"/>
      <c r="E2020"/>
      <c r="F2020"/>
      <c r="G2020" s="3"/>
      <c r="H2020" s="3"/>
      <c r="I2020" s="3"/>
      <c r="J2020" s="288"/>
      <c r="L2020" s="288"/>
      <c r="M2020" s="288"/>
      <c r="N2020" s="288"/>
      <c r="O2020" s="288"/>
      <c r="P2020" s="288"/>
      <c r="Q2020" s="288"/>
      <c r="R2020" s="283"/>
      <c r="S2020" s="280"/>
      <c r="T2020" s="276"/>
      <c r="U2020" s="276"/>
      <c r="V2020" s="276"/>
      <c r="W2020" s="283"/>
      <c r="X2020" s="280"/>
      <c r="Y2020" s="280"/>
      <c r="Z2020" s="280"/>
      <c r="AA2020" s="280"/>
      <c r="AB2020" s="280"/>
      <c r="AC2020" s="280"/>
      <c r="AD2020" s="280"/>
      <c r="AG2020" s="3"/>
      <c r="AH2020" s="3"/>
      <c r="AI2020" s="3"/>
      <c r="AJ2020" s="3"/>
      <c r="AK2020" s="3"/>
      <c r="AL2020" s="3"/>
      <c r="AM2020" s="3"/>
      <c r="AN2020" s="3"/>
      <c r="AO2020" s="3"/>
      <c r="AP2020" s="11"/>
      <c r="AQ2020" s="11"/>
      <c r="AR2020" s="3"/>
      <c r="AS2020" s="3"/>
      <c r="AT2020" s="3"/>
      <c r="AU2020" s="3"/>
      <c r="AV2020" s="3"/>
      <c r="AW2020" s="3"/>
      <c r="AX2020" s="11"/>
      <c r="AZ2020"/>
      <c r="BA2020"/>
      <c r="BB2020"/>
      <c r="BC2020"/>
    </row>
    <row r="2021" spans="1:55" s="282" customFormat="1" x14ac:dyDescent="0.25">
      <c r="A2021"/>
      <c r="B2021"/>
      <c r="C2021" s="3"/>
      <c r="D2021"/>
      <c r="E2021"/>
      <c r="F2021"/>
      <c r="G2021" s="3"/>
      <c r="H2021" s="3"/>
      <c r="I2021" s="3"/>
      <c r="J2021" s="288"/>
      <c r="L2021" s="288"/>
      <c r="M2021" s="288"/>
      <c r="N2021" s="288"/>
      <c r="O2021" s="288"/>
      <c r="P2021" s="288"/>
      <c r="Q2021" s="288"/>
      <c r="R2021" s="283"/>
      <c r="S2021" s="280"/>
      <c r="T2021" s="276"/>
      <c r="U2021" s="276"/>
      <c r="V2021" s="276"/>
      <c r="W2021" s="283"/>
      <c r="X2021" s="280"/>
      <c r="Y2021" s="280"/>
      <c r="Z2021" s="280"/>
      <c r="AA2021" s="280"/>
      <c r="AB2021" s="280"/>
      <c r="AC2021" s="280"/>
      <c r="AD2021" s="280"/>
      <c r="AG2021" s="3"/>
      <c r="AH2021" s="3"/>
      <c r="AI2021" s="3"/>
      <c r="AJ2021" s="3"/>
      <c r="AK2021" s="3"/>
      <c r="AL2021" s="3"/>
      <c r="AM2021" s="3"/>
      <c r="AN2021" s="3"/>
      <c r="AO2021" s="3"/>
      <c r="AP2021" s="11"/>
      <c r="AQ2021" s="11"/>
      <c r="AR2021" s="3"/>
      <c r="AS2021" s="3"/>
      <c r="AT2021" s="3"/>
      <c r="AU2021" s="3"/>
      <c r="AV2021" s="3"/>
      <c r="AW2021" s="3"/>
      <c r="AX2021" s="11"/>
      <c r="AZ2021"/>
      <c r="BA2021"/>
      <c r="BB2021"/>
      <c r="BC2021"/>
    </row>
    <row r="2022" spans="1:55" s="282" customFormat="1" x14ac:dyDescent="0.25">
      <c r="A2022"/>
      <c r="B2022"/>
      <c r="C2022" s="3"/>
      <c r="D2022"/>
      <c r="E2022"/>
      <c r="F2022"/>
      <c r="G2022" s="3"/>
      <c r="H2022" s="3"/>
      <c r="I2022" s="3"/>
      <c r="J2022" s="288"/>
      <c r="L2022" s="288"/>
      <c r="M2022" s="288"/>
      <c r="N2022" s="288"/>
      <c r="O2022" s="288"/>
      <c r="P2022" s="288"/>
      <c r="Q2022" s="288"/>
      <c r="R2022" s="283"/>
      <c r="S2022" s="280"/>
      <c r="T2022" s="276"/>
      <c r="U2022" s="276"/>
      <c r="V2022" s="276"/>
      <c r="W2022" s="283"/>
      <c r="X2022" s="280"/>
      <c r="Y2022" s="280"/>
      <c r="Z2022" s="280"/>
      <c r="AA2022" s="280"/>
      <c r="AB2022" s="280"/>
      <c r="AC2022" s="280"/>
      <c r="AD2022" s="280"/>
      <c r="AG2022" s="3"/>
      <c r="AH2022" s="3"/>
      <c r="AI2022" s="3"/>
      <c r="AJ2022" s="3"/>
      <c r="AK2022" s="3"/>
      <c r="AL2022" s="3"/>
      <c r="AM2022" s="3"/>
      <c r="AN2022" s="3"/>
      <c r="AO2022" s="3"/>
      <c r="AP2022" s="11"/>
      <c r="AQ2022" s="11"/>
      <c r="AR2022" s="3"/>
      <c r="AS2022" s="3"/>
      <c r="AT2022" s="3"/>
      <c r="AU2022" s="3"/>
      <c r="AV2022" s="3"/>
      <c r="AW2022" s="3"/>
      <c r="AX2022" s="11"/>
      <c r="AZ2022"/>
      <c r="BA2022"/>
      <c r="BB2022"/>
      <c r="BC2022"/>
    </row>
    <row r="2023" spans="1:55" s="282" customFormat="1" x14ac:dyDescent="0.25">
      <c r="A2023"/>
      <c r="B2023"/>
      <c r="C2023" s="3"/>
      <c r="D2023"/>
      <c r="E2023"/>
      <c r="F2023"/>
      <c r="G2023" s="3"/>
      <c r="H2023" s="3"/>
      <c r="I2023" s="3"/>
      <c r="J2023" s="288"/>
      <c r="L2023" s="288"/>
      <c r="M2023" s="288"/>
      <c r="N2023" s="288"/>
      <c r="O2023" s="288"/>
      <c r="P2023" s="288"/>
      <c r="Q2023" s="288"/>
      <c r="R2023" s="283"/>
      <c r="S2023" s="280"/>
      <c r="T2023" s="276"/>
      <c r="U2023" s="276"/>
      <c r="V2023" s="276"/>
      <c r="W2023" s="283"/>
      <c r="X2023" s="280"/>
      <c r="Y2023" s="280"/>
      <c r="Z2023" s="280"/>
      <c r="AA2023" s="280"/>
      <c r="AB2023" s="280"/>
      <c r="AC2023" s="280"/>
      <c r="AD2023" s="280"/>
      <c r="AG2023" s="3"/>
      <c r="AH2023" s="3"/>
      <c r="AI2023" s="3"/>
      <c r="AJ2023" s="3"/>
      <c r="AK2023" s="3"/>
      <c r="AL2023" s="3"/>
      <c r="AM2023" s="3"/>
      <c r="AN2023" s="3"/>
      <c r="AO2023" s="3"/>
      <c r="AP2023" s="11"/>
      <c r="AQ2023" s="11"/>
      <c r="AR2023" s="3"/>
      <c r="AS2023" s="3"/>
      <c r="AT2023" s="3"/>
      <c r="AU2023" s="3"/>
      <c r="AV2023" s="3"/>
      <c r="AW2023" s="3"/>
      <c r="AX2023" s="11"/>
      <c r="AZ2023"/>
      <c r="BA2023"/>
      <c r="BB2023"/>
      <c r="BC2023"/>
    </row>
    <row r="2024" spans="1:55" s="282" customFormat="1" x14ac:dyDescent="0.25">
      <c r="A2024"/>
      <c r="B2024"/>
      <c r="C2024" s="3"/>
      <c r="D2024"/>
      <c r="E2024"/>
      <c r="F2024"/>
      <c r="G2024" s="3"/>
      <c r="H2024" s="3"/>
      <c r="I2024" s="3"/>
      <c r="J2024" s="288"/>
      <c r="L2024" s="288"/>
      <c r="M2024" s="288"/>
      <c r="N2024" s="288"/>
      <c r="O2024" s="288"/>
      <c r="P2024" s="288"/>
      <c r="Q2024" s="288"/>
      <c r="R2024" s="283"/>
      <c r="S2024" s="280"/>
      <c r="T2024" s="276"/>
      <c r="U2024" s="276"/>
      <c r="V2024" s="276"/>
      <c r="W2024" s="283"/>
      <c r="X2024" s="280"/>
      <c r="Y2024" s="280"/>
      <c r="Z2024" s="280"/>
      <c r="AA2024" s="280"/>
      <c r="AB2024" s="280"/>
      <c r="AC2024" s="280"/>
      <c r="AD2024" s="280"/>
      <c r="AG2024" s="3"/>
      <c r="AH2024" s="3"/>
      <c r="AI2024" s="3"/>
      <c r="AJ2024" s="3"/>
      <c r="AK2024" s="3"/>
      <c r="AL2024" s="3"/>
      <c r="AM2024" s="3"/>
      <c r="AN2024" s="3"/>
      <c r="AO2024" s="3"/>
      <c r="AP2024" s="11"/>
      <c r="AQ2024" s="11"/>
      <c r="AR2024" s="3"/>
      <c r="AS2024" s="3"/>
      <c r="AT2024" s="3"/>
      <c r="AU2024" s="3"/>
      <c r="AV2024" s="3"/>
      <c r="AW2024" s="3"/>
      <c r="AX2024" s="11"/>
      <c r="AZ2024"/>
      <c r="BA2024"/>
      <c r="BB2024"/>
      <c r="BC2024"/>
    </row>
    <row r="2025" spans="1:55" s="282" customFormat="1" x14ac:dyDescent="0.25">
      <c r="A2025"/>
      <c r="B2025"/>
      <c r="C2025" s="3"/>
      <c r="D2025"/>
      <c r="E2025"/>
      <c r="F2025"/>
      <c r="G2025" s="3"/>
      <c r="H2025" s="3"/>
      <c r="I2025" s="3"/>
      <c r="J2025" s="288"/>
      <c r="L2025" s="288"/>
      <c r="M2025" s="288"/>
      <c r="N2025" s="288"/>
      <c r="O2025" s="288"/>
      <c r="P2025" s="288"/>
      <c r="Q2025" s="288"/>
      <c r="R2025" s="283"/>
      <c r="S2025" s="280"/>
      <c r="T2025" s="276"/>
      <c r="U2025" s="276"/>
      <c r="V2025" s="276"/>
      <c r="W2025" s="283"/>
      <c r="X2025" s="280"/>
      <c r="Y2025" s="280"/>
      <c r="Z2025" s="280"/>
      <c r="AA2025" s="280"/>
      <c r="AB2025" s="280"/>
      <c r="AC2025" s="280"/>
      <c r="AD2025" s="280"/>
      <c r="AG2025" s="3"/>
      <c r="AH2025" s="3"/>
      <c r="AI2025" s="3"/>
      <c r="AJ2025" s="3"/>
      <c r="AK2025" s="3"/>
      <c r="AL2025" s="3"/>
      <c r="AM2025" s="3"/>
      <c r="AN2025" s="3"/>
      <c r="AO2025" s="3"/>
      <c r="AP2025" s="11"/>
      <c r="AQ2025" s="11"/>
      <c r="AR2025" s="3"/>
      <c r="AS2025" s="3"/>
      <c r="AT2025" s="3"/>
      <c r="AU2025" s="3"/>
      <c r="AV2025" s="3"/>
      <c r="AW2025" s="3"/>
      <c r="AX2025" s="11"/>
      <c r="AZ2025"/>
      <c r="BA2025"/>
      <c r="BB2025"/>
      <c r="BC2025"/>
    </row>
    <row r="2026" spans="1:55" s="282" customFormat="1" x14ac:dyDescent="0.25">
      <c r="A2026"/>
      <c r="B2026"/>
      <c r="C2026" s="3"/>
      <c r="D2026"/>
      <c r="E2026"/>
      <c r="F2026"/>
      <c r="G2026" s="3"/>
      <c r="H2026" s="3"/>
      <c r="I2026" s="3"/>
      <c r="J2026" s="288"/>
      <c r="L2026" s="288"/>
      <c r="M2026" s="288"/>
      <c r="N2026" s="288"/>
      <c r="O2026" s="288"/>
      <c r="P2026" s="288"/>
      <c r="Q2026" s="288"/>
      <c r="R2026" s="283"/>
      <c r="S2026" s="280"/>
      <c r="T2026" s="276"/>
      <c r="U2026" s="276"/>
      <c r="V2026" s="276"/>
      <c r="W2026" s="283"/>
      <c r="X2026" s="280"/>
      <c r="Y2026" s="280"/>
      <c r="Z2026" s="280"/>
      <c r="AA2026" s="280"/>
      <c r="AB2026" s="280"/>
      <c r="AC2026" s="280"/>
      <c r="AD2026" s="280"/>
      <c r="AG2026" s="3"/>
      <c r="AH2026" s="3"/>
      <c r="AI2026" s="3"/>
      <c r="AJ2026" s="3"/>
      <c r="AK2026" s="3"/>
      <c r="AL2026" s="3"/>
      <c r="AM2026" s="3"/>
      <c r="AN2026" s="3"/>
      <c r="AO2026" s="3"/>
      <c r="AP2026" s="11"/>
      <c r="AQ2026" s="11"/>
      <c r="AR2026" s="3"/>
      <c r="AS2026" s="3"/>
      <c r="AT2026" s="3"/>
      <c r="AU2026" s="3"/>
      <c r="AV2026" s="3"/>
      <c r="AW2026" s="3"/>
      <c r="AX2026" s="11"/>
      <c r="AZ2026"/>
      <c r="BA2026"/>
      <c r="BB2026"/>
      <c r="BC2026"/>
    </row>
    <row r="2027" spans="1:55" s="282" customFormat="1" x14ac:dyDescent="0.25">
      <c r="A2027"/>
      <c r="B2027"/>
      <c r="C2027" s="3"/>
      <c r="D2027"/>
      <c r="E2027"/>
      <c r="F2027"/>
      <c r="G2027" s="3"/>
      <c r="H2027" s="3"/>
      <c r="I2027" s="3"/>
      <c r="J2027" s="288"/>
      <c r="L2027" s="288"/>
      <c r="M2027" s="288"/>
      <c r="N2027" s="288"/>
      <c r="O2027" s="288"/>
      <c r="P2027" s="288"/>
      <c r="Q2027" s="288"/>
      <c r="R2027" s="283"/>
      <c r="S2027" s="280"/>
      <c r="T2027" s="276"/>
      <c r="U2027" s="276"/>
      <c r="V2027" s="276"/>
      <c r="W2027" s="283"/>
      <c r="X2027" s="280"/>
      <c r="Y2027" s="280"/>
      <c r="Z2027" s="280"/>
      <c r="AA2027" s="280"/>
      <c r="AB2027" s="280"/>
      <c r="AC2027" s="280"/>
      <c r="AD2027" s="280"/>
      <c r="AG2027" s="3"/>
      <c r="AH2027" s="3"/>
      <c r="AI2027" s="3"/>
      <c r="AJ2027" s="3"/>
      <c r="AK2027" s="3"/>
      <c r="AL2027" s="3"/>
      <c r="AM2027" s="3"/>
      <c r="AN2027" s="3"/>
      <c r="AO2027" s="3"/>
      <c r="AP2027" s="11"/>
      <c r="AQ2027" s="11"/>
      <c r="AR2027" s="3"/>
      <c r="AS2027" s="3"/>
      <c r="AT2027" s="3"/>
      <c r="AU2027" s="3"/>
      <c r="AV2027" s="3"/>
      <c r="AW2027" s="3"/>
      <c r="AX2027" s="11"/>
      <c r="AZ2027"/>
      <c r="BA2027"/>
      <c r="BB2027"/>
      <c r="BC2027"/>
    </row>
    <row r="2028" spans="1:55" s="282" customFormat="1" x14ac:dyDescent="0.25">
      <c r="A2028"/>
      <c r="B2028"/>
      <c r="C2028" s="3"/>
      <c r="D2028"/>
      <c r="E2028"/>
      <c r="F2028"/>
      <c r="G2028" s="3"/>
      <c r="H2028" s="3"/>
      <c r="I2028" s="3"/>
      <c r="J2028" s="288"/>
      <c r="L2028" s="288"/>
      <c r="M2028" s="288"/>
      <c r="N2028" s="288"/>
      <c r="O2028" s="288"/>
      <c r="P2028" s="288"/>
      <c r="Q2028" s="288"/>
      <c r="R2028" s="283"/>
      <c r="S2028" s="280"/>
      <c r="T2028" s="276"/>
      <c r="U2028" s="276"/>
      <c r="V2028" s="276"/>
      <c r="W2028" s="283"/>
      <c r="X2028" s="280"/>
      <c r="Y2028" s="280"/>
      <c r="Z2028" s="280"/>
      <c r="AA2028" s="280"/>
      <c r="AB2028" s="280"/>
      <c r="AC2028" s="280"/>
      <c r="AD2028" s="280"/>
      <c r="AG2028" s="3"/>
      <c r="AH2028" s="3"/>
      <c r="AI2028" s="3"/>
      <c r="AJ2028" s="3"/>
      <c r="AK2028" s="3"/>
      <c r="AL2028" s="3"/>
      <c r="AM2028" s="3"/>
      <c r="AN2028" s="3"/>
      <c r="AO2028" s="3"/>
      <c r="AP2028" s="11"/>
      <c r="AQ2028" s="11"/>
      <c r="AR2028" s="3"/>
      <c r="AS2028" s="3"/>
      <c r="AT2028" s="3"/>
      <c r="AU2028" s="3"/>
      <c r="AV2028" s="3"/>
      <c r="AW2028" s="3"/>
      <c r="AX2028" s="11"/>
      <c r="AZ2028"/>
      <c r="BA2028"/>
      <c r="BB2028"/>
      <c r="BC2028"/>
    </row>
    <row r="2029" spans="1:55" s="282" customFormat="1" x14ac:dyDescent="0.25">
      <c r="A2029"/>
      <c r="B2029"/>
      <c r="C2029" s="3"/>
      <c r="D2029"/>
      <c r="E2029"/>
      <c r="F2029"/>
      <c r="G2029" s="3"/>
      <c r="H2029" s="3"/>
      <c r="I2029" s="3"/>
      <c r="J2029" s="288"/>
      <c r="L2029" s="288"/>
      <c r="M2029" s="288"/>
      <c r="N2029" s="288"/>
      <c r="O2029" s="288"/>
      <c r="P2029" s="288"/>
      <c r="Q2029" s="288"/>
      <c r="R2029" s="283"/>
      <c r="S2029" s="280"/>
      <c r="T2029" s="276"/>
      <c r="U2029" s="276"/>
      <c r="V2029" s="276"/>
      <c r="W2029" s="283"/>
      <c r="X2029" s="280"/>
      <c r="Y2029" s="280"/>
      <c r="Z2029" s="280"/>
      <c r="AA2029" s="280"/>
      <c r="AB2029" s="280"/>
      <c r="AC2029" s="280"/>
      <c r="AD2029" s="280"/>
      <c r="AG2029" s="3"/>
      <c r="AH2029" s="3"/>
      <c r="AI2029" s="3"/>
      <c r="AJ2029" s="3"/>
      <c r="AK2029" s="3"/>
      <c r="AL2029" s="3"/>
      <c r="AM2029" s="3"/>
      <c r="AN2029" s="3"/>
      <c r="AO2029" s="3"/>
      <c r="AP2029" s="11"/>
      <c r="AQ2029" s="11"/>
      <c r="AR2029" s="3"/>
      <c r="AS2029" s="3"/>
      <c r="AT2029" s="3"/>
      <c r="AU2029" s="3"/>
      <c r="AV2029" s="3"/>
      <c r="AW2029" s="3"/>
      <c r="AX2029" s="11"/>
      <c r="AZ2029"/>
      <c r="BA2029"/>
      <c r="BB2029"/>
      <c r="BC2029"/>
    </row>
    <row r="2030" spans="1:55" s="282" customFormat="1" x14ac:dyDescent="0.25">
      <c r="A2030"/>
      <c r="B2030"/>
      <c r="C2030" s="3"/>
      <c r="D2030"/>
      <c r="E2030"/>
      <c r="F2030"/>
      <c r="G2030" s="3"/>
      <c r="H2030" s="3"/>
      <c r="I2030" s="3"/>
      <c r="J2030" s="288"/>
      <c r="L2030" s="288"/>
      <c r="M2030" s="288"/>
      <c r="N2030" s="288"/>
      <c r="O2030" s="288"/>
      <c r="P2030" s="288"/>
      <c r="Q2030" s="288"/>
      <c r="R2030" s="283"/>
      <c r="S2030" s="280"/>
      <c r="T2030" s="276"/>
      <c r="U2030" s="276"/>
      <c r="V2030" s="276"/>
      <c r="W2030" s="283"/>
      <c r="X2030" s="280"/>
      <c r="Y2030" s="280"/>
      <c r="Z2030" s="280"/>
      <c r="AA2030" s="280"/>
      <c r="AB2030" s="280"/>
      <c r="AC2030" s="280"/>
      <c r="AD2030" s="280"/>
      <c r="AG2030" s="3"/>
      <c r="AH2030" s="3"/>
      <c r="AI2030" s="3"/>
      <c r="AJ2030" s="3"/>
      <c r="AK2030" s="3"/>
      <c r="AL2030" s="3"/>
      <c r="AM2030" s="3"/>
      <c r="AN2030" s="3"/>
      <c r="AO2030" s="3"/>
      <c r="AP2030" s="11"/>
      <c r="AQ2030" s="11"/>
      <c r="AR2030" s="3"/>
      <c r="AS2030" s="3"/>
      <c r="AT2030" s="3"/>
      <c r="AU2030" s="3"/>
      <c r="AV2030" s="3"/>
      <c r="AW2030" s="3"/>
      <c r="AX2030" s="11"/>
      <c r="AZ2030"/>
      <c r="BA2030"/>
      <c r="BB2030"/>
      <c r="BC2030"/>
    </row>
    <row r="2031" spans="1:55" s="282" customFormat="1" x14ac:dyDescent="0.25">
      <c r="A2031"/>
      <c r="B2031"/>
      <c r="C2031" s="3"/>
      <c r="D2031"/>
      <c r="E2031"/>
      <c r="F2031"/>
      <c r="G2031" s="3"/>
      <c r="H2031" s="3"/>
      <c r="I2031" s="3"/>
      <c r="J2031" s="288"/>
      <c r="L2031" s="288"/>
      <c r="M2031" s="288"/>
      <c r="N2031" s="288"/>
      <c r="O2031" s="288"/>
      <c r="P2031" s="288"/>
      <c r="Q2031" s="288"/>
      <c r="R2031" s="283"/>
      <c r="S2031" s="280"/>
      <c r="T2031" s="276"/>
      <c r="U2031" s="276"/>
      <c r="V2031" s="276"/>
      <c r="W2031" s="283"/>
      <c r="X2031" s="280"/>
      <c r="Y2031" s="280"/>
      <c r="Z2031" s="280"/>
      <c r="AA2031" s="280"/>
      <c r="AB2031" s="280"/>
      <c r="AC2031" s="280"/>
      <c r="AD2031" s="280"/>
      <c r="AG2031" s="3"/>
      <c r="AH2031" s="3"/>
      <c r="AI2031" s="3"/>
      <c r="AJ2031" s="3"/>
      <c r="AK2031" s="3"/>
      <c r="AL2031" s="3"/>
      <c r="AM2031" s="3"/>
      <c r="AN2031" s="3"/>
      <c r="AO2031" s="3"/>
      <c r="AP2031" s="11"/>
      <c r="AQ2031" s="11"/>
      <c r="AR2031" s="3"/>
      <c r="AS2031" s="3"/>
      <c r="AT2031" s="3"/>
      <c r="AU2031" s="3"/>
      <c r="AV2031" s="3"/>
      <c r="AW2031" s="3"/>
      <c r="AX2031" s="11"/>
      <c r="AZ2031"/>
      <c r="BA2031"/>
      <c r="BB2031"/>
      <c r="BC2031"/>
    </row>
    <row r="2032" spans="1:55" s="282" customFormat="1" x14ac:dyDescent="0.25">
      <c r="A2032"/>
      <c r="B2032"/>
      <c r="C2032" s="3"/>
      <c r="D2032"/>
      <c r="E2032"/>
      <c r="F2032"/>
      <c r="G2032" s="3"/>
      <c r="H2032" s="3"/>
      <c r="I2032" s="3"/>
      <c r="J2032" s="288"/>
      <c r="L2032" s="288"/>
      <c r="M2032" s="288"/>
      <c r="N2032" s="288"/>
      <c r="O2032" s="288"/>
      <c r="P2032" s="288"/>
      <c r="Q2032" s="288"/>
      <c r="R2032" s="283"/>
      <c r="S2032" s="280"/>
      <c r="T2032" s="276"/>
      <c r="U2032" s="276"/>
      <c r="V2032" s="276"/>
      <c r="W2032" s="283"/>
      <c r="X2032" s="280"/>
      <c r="Y2032" s="280"/>
      <c r="Z2032" s="280"/>
      <c r="AA2032" s="280"/>
      <c r="AB2032" s="280"/>
      <c r="AC2032" s="280"/>
      <c r="AD2032" s="280"/>
      <c r="AG2032" s="3"/>
      <c r="AH2032" s="3"/>
      <c r="AI2032" s="3"/>
      <c r="AJ2032" s="3"/>
      <c r="AK2032" s="3"/>
      <c r="AL2032" s="3"/>
      <c r="AM2032" s="3"/>
      <c r="AN2032" s="3"/>
      <c r="AO2032" s="3"/>
      <c r="AP2032" s="11"/>
      <c r="AQ2032" s="11"/>
      <c r="AR2032" s="3"/>
      <c r="AS2032" s="3"/>
      <c r="AT2032" s="3"/>
      <c r="AU2032" s="3"/>
      <c r="AV2032" s="3"/>
      <c r="AW2032" s="3"/>
      <c r="AX2032" s="11"/>
      <c r="AZ2032"/>
      <c r="BA2032"/>
      <c r="BB2032"/>
      <c r="BC2032"/>
    </row>
    <row r="2033" spans="1:55" s="282" customFormat="1" x14ac:dyDescent="0.25">
      <c r="A2033"/>
      <c r="B2033"/>
      <c r="C2033" s="3"/>
      <c r="D2033"/>
      <c r="E2033"/>
      <c r="F2033"/>
      <c r="G2033" s="3"/>
      <c r="H2033" s="3"/>
      <c r="I2033" s="3"/>
      <c r="J2033" s="288"/>
      <c r="L2033" s="288"/>
      <c r="M2033" s="288"/>
      <c r="N2033" s="288"/>
      <c r="O2033" s="288"/>
      <c r="P2033" s="288"/>
      <c r="Q2033" s="288"/>
      <c r="R2033" s="283"/>
      <c r="S2033" s="280"/>
      <c r="T2033" s="276"/>
      <c r="U2033" s="276"/>
      <c r="V2033" s="276"/>
      <c r="W2033" s="283"/>
      <c r="X2033" s="280"/>
      <c r="Y2033" s="280"/>
      <c r="Z2033" s="280"/>
      <c r="AA2033" s="280"/>
      <c r="AB2033" s="280"/>
      <c r="AC2033" s="280"/>
      <c r="AD2033" s="280"/>
      <c r="AG2033" s="3"/>
      <c r="AH2033" s="3"/>
      <c r="AI2033" s="3"/>
      <c r="AJ2033" s="3"/>
      <c r="AK2033" s="3"/>
      <c r="AL2033" s="3"/>
      <c r="AM2033" s="3"/>
      <c r="AN2033" s="3"/>
      <c r="AO2033" s="3"/>
      <c r="AP2033" s="11"/>
      <c r="AQ2033" s="11"/>
      <c r="AR2033" s="3"/>
      <c r="AS2033" s="3"/>
      <c r="AT2033" s="3"/>
      <c r="AU2033" s="3"/>
      <c r="AV2033" s="3"/>
      <c r="AW2033" s="3"/>
      <c r="AX2033" s="11"/>
      <c r="AZ2033"/>
      <c r="BA2033"/>
      <c r="BB2033"/>
      <c r="BC2033"/>
    </row>
    <row r="2034" spans="1:55" s="282" customFormat="1" x14ac:dyDescent="0.25">
      <c r="A2034"/>
      <c r="B2034"/>
      <c r="C2034" s="3"/>
      <c r="D2034"/>
      <c r="E2034"/>
      <c r="F2034"/>
      <c r="G2034" s="3"/>
      <c r="H2034" s="3"/>
      <c r="I2034" s="3"/>
      <c r="J2034" s="288"/>
      <c r="L2034" s="288"/>
      <c r="M2034" s="288"/>
      <c r="N2034" s="288"/>
      <c r="O2034" s="288"/>
      <c r="P2034" s="288"/>
      <c r="Q2034" s="288"/>
      <c r="R2034" s="283"/>
      <c r="S2034" s="280"/>
      <c r="T2034" s="276"/>
      <c r="U2034" s="276"/>
      <c r="V2034" s="276"/>
      <c r="W2034" s="283"/>
      <c r="X2034" s="280"/>
      <c r="Y2034" s="280"/>
      <c r="Z2034" s="280"/>
      <c r="AA2034" s="280"/>
      <c r="AB2034" s="280"/>
      <c r="AC2034" s="280"/>
      <c r="AD2034" s="280"/>
      <c r="AG2034" s="3"/>
      <c r="AH2034" s="3"/>
      <c r="AI2034" s="3"/>
      <c r="AJ2034" s="3"/>
      <c r="AK2034" s="3"/>
      <c r="AL2034" s="3"/>
      <c r="AM2034" s="3"/>
      <c r="AN2034" s="3"/>
      <c r="AO2034" s="3"/>
      <c r="AP2034" s="11"/>
      <c r="AQ2034" s="11"/>
      <c r="AR2034" s="3"/>
      <c r="AS2034" s="3"/>
      <c r="AT2034" s="3"/>
      <c r="AU2034" s="3"/>
      <c r="AV2034" s="3"/>
      <c r="AW2034" s="3"/>
      <c r="AX2034" s="11"/>
      <c r="AZ2034"/>
      <c r="BA2034"/>
      <c r="BB2034"/>
      <c r="BC2034"/>
    </row>
    <row r="2035" spans="1:55" s="282" customFormat="1" x14ac:dyDescent="0.25">
      <c r="A2035"/>
      <c r="B2035"/>
      <c r="C2035" s="3"/>
      <c r="D2035"/>
      <c r="E2035"/>
      <c r="F2035"/>
      <c r="G2035" s="3"/>
      <c r="H2035" s="3"/>
      <c r="I2035" s="3"/>
      <c r="J2035" s="288"/>
      <c r="L2035" s="288"/>
      <c r="M2035" s="288"/>
      <c r="N2035" s="288"/>
      <c r="O2035" s="288"/>
      <c r="P2035" s="288"/>
      <c r="Q2035" s="288"/>
      <c r="R2035" s="283"/>
      <c r="S2035" s="280"/>
      <c r="T2035" s="276"/>
      <c r="U2035" s="276"/>
      <c r="V2035" s="276"/>
      <c r="W2035" s="283"/>
      <c r="X2035" s="280"/>
      <c r="Y2035" s="280"/>
      <c r="Z2035" s="280"/>
      <c r="AA2035" s="280"/>
      <c r="AB2035" s="280"/>
      <c r="AC2035" s="280"/>
      <c r="AD2035" s="280"/>
      <c r="AG2035" s="3"/>
      <c r="AH2035" s="3"/>
      <c r="AI2035" s="3"/>
      <c r="AJ2035" s="3"/>
      <c r="AK2035" s="3"/>
      <c r="AL2035" s="3"/>
      <c r="AM2035" s="3"/>
      <c r="AN2035" s="3"/>
      <c r="AO2035" s="3"/>
      <c r="AP2035" s="11"/>
      <c r="AQ2035" s="11"/>
      <c r="AR2035" s="3"/>
      <c r="AS2035" s="3"/>
      <c r="AT2035" s="3"/>
      <c r="AU2035" s="3"/>
      <c r="AV2035" s="3"/>
      <c r="AW2035" s="3"/>
      <c r="AX2035" s="11"/>
      <c r="AZ2035"/>
      <c r="BA2035"/>
      <c r="BB2035"/>
      <c r="BC2035"/>
    </row>
    <row r="2036" spans="1:55" s="282" customFormat="1" x14ac:dyDescent="0.25">
      <c r="A2036"/>
      <c r="B2036"/>
      <c r="C2036" s="3"/>
      <c r="D2036"/>
      <c r="E2036"/>
      <c r="F2036"/>
      <c r="G2036" s="3"/>
      <c r="H2036" s="3"/>
      <c r="I2036" s="3"/>
      <c r="J2036" s="288"/>
      <c r="L2036" s="288"/>
      <c r="M2036" s="288"/>
      <c r="N2036" s="288"/>
      <c r="O2036" s="288"/>
      <c r="P2036" s="288"/>
      <c r="Q2036" s="288"/>
      <c r="R2036" s="283"/>
      <c r="S2036" s="280"/>
      <c r="T2036" s="276"/>
      <c r="U2036" s="276"/>
      <c r="V2036" s="276"/>
      <c r="W2036" s="283"/>
      <c r="X2036" s="280"/>
      <c r="Y2036" s="280"/>
      <c r="Z2036" s="280"/>
      <c r="AA2036" s="280"/>
      <c r="AB2036" s="280"/>
      <c r="AC2036" s="280"/>
      <c r="AD2036" s="280"/>
      <c r="AG2036" s="3"/>
      <c r="AH2036" s="3"/>
      <c r="AI2036" s="3"/>
      <c r="AJ2036" s="3"/>
      <c r="AK2036" s="3"/>
      <c r="AL2036" s="3"/>
      <c r="AM2036" s="3"/>
      <c r="AN2036" s="3"/>
      <c r="AO2036" s="3"/>
      <c r="AP2036" s="11"/>
      <c r="AQ2036" s="11"/>
      <c r="AR2036" s="3"/>
      <c r="AS2036" s="3"/>
      <c r="AT2036" s="3"/>
      <c r="AU2036" s="3"/>
      <c r="AV2036" s="3"/>
      <c r="AW2036" s="3"/>
      <c r="AX2036" s="11"/>
      <c r="AZ2036"/>
      <c r="BA2036"/>
      <c r="BB2036"/>
      <c r="BC2036"/>
    </row>
    <row r="2037" spans="1:55" s="282" customFormat="1" x14ac:dyDescent="0.25">
      <c r="A2037"/>
      <c r="B2037"/>
      <c r="C2037" s="3"/>
      <c r="D2037"/>
      <c r="E2037"/>
      <c r="F2037"/>
      <c r="G2037" s="3"/>
      <c r="H2037" s="3"/>
      <c r="I2037" s="3"/>
      <c r="J2037" s="288"/>
      <c r="L2037" s="288"/>
      <c r="M2037" s="288"/>
      <c r="N2037" s="288"/>
      <c r="O2037" s="288"/>
      <c r="P2037" s="288"/>
      <c r="Q2037" s="288"/>
      <c r="R2037" s="283"/>
      <c r="S2037" s="280"/>
      <c r="T2037" s="276"/>
      <c r="U2037" s="276"/>
      <c r="V2037" s="276"/>
      <c r="W2037" s="283"/>
      <c r="X2037" s="280"/>
      <c r="Y2037" s="280"/>
      <c r="Z2037" s="280"/>
      <c r="AA2037" s="280"/>
      <c r="AB2037" s="280"/>
      <c r="AC2037" s="280"/>
      <c r="AD2037" s="280"/>
      <c r="AG2037" s="3"/>
      <c r="AH2037" s="3"/>
      <c r="AI2037" s="3"/>
      <c r="AJ2037" s="3"/>
      <c r="AK2037" s="3"/>
      <c r="AL2037" s="3"/>
      <c r="AM2037" s="3"/>
      <c r="AN2037" s="3"/>
      <c r="AO2037" s="3"/>
      <c r="AP2037" s="11"/>
      <c r="AQ2037" s="11"/>
      <c r="AR2037" s="3"/>
      <c r="AS2037" s="3"/>
      <c r="AT2037" s="3"/>
      <c r="AU2037" s="3"/>
      <c r="AV2037" s="3"/>
      <c r="AW2037" s="3"/>
      <c r="AX2037" s="11"/>
      <c r="AZ2037"/>
      <c r="BA2037"/>
      <c r="BB2037"/>
      <c r="BC2037"/>
    </row>
    <row r="2038" spans="1:55" s="282" customFormat="1" x14ac:dyDescent="0.25">
      <c r="A2038"/>
      <c r="B2038"/>
      <c r="C2038" s="3"/>
      <c r="D2038"/>
      <c r="E2038"/>
      <c r="F2038"/>
      <c r="G2038" s="3"/>
      <c r="H2038" s="3"/>
      <c r="I2038" s="3"/>
      <c r="J2038" s="288"/>
      <c r="L2038" s="288"/>
      <c r="M2038" s="288"/>
      <c r="N2038" s="288"/>
      <c r="O2038" s="288"/>
      <c r="P2038" s="288"/>
      <c r="Q2038" s="288"/>
      <c r="R2038" s="283"/>
      <c r="S2038" s="280"/>
      <c r="T2038" s="276"/>
      <c r="U2038" s="276"/>
      <c r="V2038" s="276"/>
      <c r="W2038" s="283"/>
      <c r="X2038" s="280"/>
      <c r="Y2038" s="280"/>
      <c r="Z2038" s="280"/>
      <c r="AA2038" s="280"/>
      <c r="AB2038" s="280"/>
      <c r="AC2038" s="280"/>
      <c r="AD2038" s="280"/>
      <c r="AG2038" s="3"/>
      <c r="AH2038" s="3"/>
      <c r="AI2038" s="3"/>
      <c r="AJ2038" s="3"/>
      <c r="AK2038" s="3"/>
      <c r="AL2038" s="3"/>
      <c r="AM2038" s="3"/>
      <c r="AN2038" s="3"/>
      <c r="AO2038" s="3"/>
      <c r="AP2038" s="11"/>
      <c r="AQ2038" s="11"/>
      <c r="AR2038" s="3"/>
      <c r="AS2038" s="3"/>
      <c r="AT2038" s="3"/>
      <c r="AU2038" s="3"/>
      <c r="AV2038" s="3"/>
      <c r="AW2038" s="3"/>
      <c r="AX2038" s="11"/>
      <c r="AZ2038"/>
      <c r="BA2038"/>
      <c r="BB2038"/>
      <c r="BC2038"/>
    </row>
    <row r="2039" spans="1:55" s="282" customFormat="1" x14ac:dyDescent="0.25">
      <c r="A2039"/>
      <c r="B2039"/>
      <c r="C2039" s="3"/>
      <c r="D2039"/>
      <c r="E2039"/>
      <c r="F2039"/>
      <c r="G2039" s="3"/>
      <c r="H2039" s="3"/>
      <c r="I2039" s="3"/>
      <c r="J2039" s="288"/>
      <c r="L2039" s="288"/>
      <c r="M2039" s="288"/>
      <c r="N2039" s="288"/>
      <c r="O2039" s="288"/>
      <c r="P2039" s="288"/>
      <c r="Q2039" s="288"/>
      <c r="R2039" s="283"/>
      <c r="S2039" s="280"/>
      <c r="T2039" s="276"/>
      <c r="U2039" s="276"/>
      <c r="V2039" s="276"/>
      <c r="W2039" s="283"/>
      <c r="X2039" s="280"/>
      <c r="Y2039" s="280"/>
      <c r="Z2039" s="280"/>
      <c r="AA2039" s="280"/>
      <c r="AB2039" s="280"/>
      <c r="AC2039" s="280"/>
      <c r="AD2039" s="280"/>
      <c r="AG2039" s="3"/>
      <c r="AH2039" s="3"/>
      <c r="AI2039" s="3"/>
      <c r="AJ2039" s="3"/>
      <c r="AK2039" s="3"/>
      <c r="AL2039" s="3"/>
      <c r="AM2039" s="3"/>
      <c r="AN2039" s="3"/>
      <c r="AO2039" s="3"/>
      <c r="AP2039" s="11"/>
      <c r="AQ2039" s="11"/>
      <c r="AR2039" s="3"/>
      <c r="AS2039" s="3"/>
      <c r="AT2039" s="3"/>
      <c r="AU2039" s="3"/>
      <c r="AV2039" s="3"/>
      <c r="AW2039" s="3"/>
      <c r="AX2039" s="11"/>
      <c r="AZ2039"/>
      <c r="BA2039"/>
      <c r="BB2039"/>
      <c r="BC2039"/>
    </row>
    <row r="2040" spans="1:55" s="282" customFormat="1" x14ac:dyDescent="0.25">
      <c r="A2040"/>
      <c r="B2040"/>
      <c r="C2040" s="3"/>
      <c r="D2040"/>
      <c r="E2040"/>
      <c r="F2040"/>
      <c r="G2040" s="3"/>
      <c r="H2040" s="3"/>
      <c r="I2040" s="3"/>
      <c r="J2040" s="288"/>
      <c r="L2040" s="288"/>
      <c r="M2040" s="288"/>
      <c r="N2040" s="288"/>
      <c r="O2040" s="288"/>
      <c r="P2040" s="288"/>
      <c r="Q2040" s="288"/>
      <c r="R2040" s="283"/>
      <c r="S2040" s="280"/>
      <c r="T2040" s="276"/>
      <c r="U2040" s="276"/>
      <c r="V2040" s="276"/>
      <c r="W2040" s="283"/>
      <c r="X2040" s="280"/>
      <c r="Y2040" s="280"/>
      <c r="Z2040" s="280"/>
      <c r="AA2040" s="280"/>
      <c r="AB2040" s="280"/>
      <c r="AC2040" s="280"/>
      <c r="AD2040" s="280"/>
      <c r="AG2040" s="3"/>
      <c r="AH2040" s="3"/>
      <c r="AI2040" s="3"/>
      <c r="AJ2040" s="3"/>
      <c r="AK2040" s="3"/>
      <c r="AL2040" s="3"/>
      <c r="AM2040" s="3"/>
      <c r="AN2040" s="3"/>
      <c r="AO2040" s="3"/>
      <c r="AP2040" s="11"/>
      <c r="AQ2040" s="11"/>
      <c r="AR2040" s="3"/>
      <c r="AS2040" s="3"/>
      <c r="AT2040" s="3"/>
      <c r="AU2040" s="3"/>
      <c r="AV2040" s="3"/>
      <c r="AW2040" s="3"/>
      <c r="AX2040" s="11"/>
      <c r="AZ2040"/>
      <c r="BA2040"/>
      <c r="BB2040"/>
      <c r="BC2040"/>
    </row>
    <row r="2041" spans="1:55" s="282" customFormat="1" x14ac:dyDescent="0.25">
      <c r="A2041"/>
      <c r="B2041"/>
      <c r="C2041" s="3"/>
      <c r="D2041"/>
      <c r="E2041"/>
      <c r="F2041"/>
      <c r="G2041" s="3"/>
      <c r="H2041" s="3"/>
      <c r="I2041" s="3"/>
      <c r="J2041" s="288"/>
      <c r="L2041" s="288"/>
      <c r="M2041" s="288"/>
      <c r="N2041" s="288"/>
      <c r="O2041" s="288"/>
      <c r="P2041" s="288"/>
      <c r="Q2041" s="288"/>
      <c r="R2041" s="283"/>
      <c r="S2041" s="280"/>
      <c r="T2041" s="276"/>
      <c r="U2041" s="276"/>
      <c r="V2041" s="276"/>
      <c r="W2041" s="283"/>
      <c r="X2041" s="280"/>
      <c r="Y2041" s="280"/>
      <c r="Z2041" s="280"/>
      <c r="AA2041" s="280"/>
      <c r="AB2041" s="280"/>
      <c r="AC2041" s="280"/>
      <c r="AD2041" s="280"/>
      <c r="AG2041" s="3"/>
      <c r="AH2041" s="3"/>
      <c r="AI2041" s="3"/>
      <c r="AJ2041" s="3"/>
      <c r="AK2041" s="3"/>
      <c r="AL2041" s="3"/>
      <c r="AM2041" s="3"/>
      <c r="AN2041" s="3"/>
      <c r="AO2041" s="3"/>
      <c r="AP2041" s="11"/>
      <c r="AQ2041" s="11"/>
      <c r="AR2041" s="3"/>
      <c r="AS2041" s="3"/>
      <c r="AT2041" s="3"/>
      <c r="AU2041" s="3"/>
      <c r="AV2041" s="3"/>
      <c r="AW2041" s="3"/>
      <c r="AX2041" s="11"/>
      <c r="AZ2041"/>
      <c r="BA2041"/>
      <c r="BB2041"/>
      <c r="BC2041"/>
    </row>
    <row r="2042" spans="1:55" s="282" customFormat="1" x14ac:dyDescent="0.25">
      <c r="A2042"/>
      <c r="B2042"/>
      <c r="C2042" s="3"/>
      <c r="D2042"/>
      <c r="E2042"/>
      <c r="F2042"/>
      <c r="G2042" s="3"/>
      <c r="H2042" s="3"/>
      <c r="I2042" s="3"/>
      <c r="J2042" s="288"/>
      <c r="L2042" s="288"/>
      <c r="M2042" s="288"/>
      <c r="N2042" s="288"/>
      <c r="O2042" s="288"/>
      <c r="P2042" s="288"/>
      <c r="Q2042" s="288"/>
      <c r="R2042" s="283"/>
      <c r="S2042" s="280"/>
      <c r="T2042" s="276"/>
      <c r="U2042" s="276"/>
      <c r="V2042" s="276"/>
      <c r="W2042" s="283"/>
      <c r="X2042" s="280"/>
      <c r="Y2042" s="280"/>
      <c r="Z2042" s="280"/>
      <c r="AA2042" s="280"/>
      <c r="AB2042" s="280"/>
      <c r="AC2042" s="280"/>
      <c r="AD2042" s="280"/>
      <c r="AG2042" s="3"/>
      <c r="AH2042" s="3"/>
      <c r="AI2042" s="3"/>
      <c r="AJ2042" s="3"/>
      <c r="AK2042" s="3"/>
      <c r="AL2042" s="3"/>
      <c r="AM2042" s="3"/>
      <c r="AN2042" s="3"/>
      <c r="AO2042" s="3"/>
      <c r="AP2042" s="11"/>
      <c r="AQ2042" s="11"/>
      <c r="AR2042" s="3"/>
      <c r="AS2042" s="3"/>
      <c r="AT2042" s="3"/>
      <c r="AU2042" s="3"/>
      <c r="AV2042" s="3"/>
      <c r="AW2042" s="3"/>
      <c r="AX2042" s="11"/>
      <c r="AZ2042"/>
      <c r="BA2042"/>
      <c r="BB2042"/>
      <c r="BC2042"/>
    </row>
    <row r="2043" spans="1:55" s="282" customFormat="1" x14ac:dyDescent="0.25">
      <c r="A2043"/>
      <c r="B2043"/>
      <c r="C2043" s="3"/>
      <c r="D2043"/>
      <c r="E2043"/>
      <c r="F2043"/>
      <c r="G2043" s="3"/>
      <c r="H2043" s="3"/>
      <c r="I2043" s="3"/>
      <c r="J2043" s="288"/>
      <c r="L2043" s="288"/>
      <c r="M2043" s="288"/>
      <c r="N2043" s="288"/>
      <c r="O2043" s="288"/>
      <c r="P2043" s="288"/>
      <c r="Q2043" s="288"/>
      <c r="R2043" s="283"/>
      <c r="S2043" s="280"/>
      <c r="T2043" s="276"/>
      <c r="U2043" s="276"/>
      <c r="V2043" s="276"/>
      <c r="W2043" s="283"/>
      <c r="X2043" s="280"/>
      <c r="Y2043" s="280"/>
      <c r="Z2043" s="280"/>
      <c r="AA2043" s="280"/>
      <c r="AB2043" s="280"/>
      <c r="AC2043" s="280"/>
      <c r="AD2043" s="280"/>
      <c r="AG2043" s="3"/>
      <c r="AH2043" s="3"/>
      <c r="AI2043" s="3"/>
      <c r="AJ2043" s="3"/>
      <c r="AK2043" s="3"/>
      <c r="AL2043" s="3"/>
      <c r="AM2043" s="3"/>
      <c r="AN2043" s="3"/>
      <c r="AO2043" s="3"/>
      <c r="AP2043" s="11"/>
      <c r="AQ2043" s="11"/>
      <c r="AR2043" s="3"/>
      <c r="AS2043" s="3"/>
      <c r="AT2043" s="3"/>
      <c r="AU2043" s="3"/>
      <c r="AV2043" s="3"/>
      <c r="AW2043" s="3"/>
      <c r="AX2043" s="11"/>
      <c r="AZ2043"/>
      <c r="BA2043"/>
      <c r="BB2043"/>
      <c r="BC2043"/>
    </row>
    <row r="2044" spans="1:55" s="282" customFormat="1" x14ac:dyDescent="0.25">
      <c r="A2044"/>
      <c r="B2044"/>
      <c r="C2044" s="3"/>
      <c r="D2044"/>
      <c r="E2044"/>
      <c r="F2044"/>
      <c r="G2044" s="3"/>
      <c r="H2044" s="3"/>
      <c r="I2044" s="3"/>
      <c r="J2044" s="288"/>
      <c r="L2044" s="288"/>
      <c r="M2044" s="288"/>
      <c r="N2044" s="288"/>
      <c r="O2044" s="288"/>
      <c r="P2044" s="288"/>
      <c r="Q2044" s="288"/>
      <c r="R2044" s="283"/>
      <c r="S2044" s="280"/>
      <c r="T2044" s="276"/>
      <c r="U2044" s="276"/>
      <c r="V2044" s="276"/>
      <c r="W2044" s="283"/>
      <c r="X2044" s="280"/>
      <c r="Y2044" s="280"/>
      <c r="Z2044" s="280"/>
      <c r="AA2044" s="280"/>
      <c r="AB2044" s="280"/>
      <c r="AC2044" s="280"/>
      <c r="AD2044" s="280"/>
      <c r="AG2044" s="3"/>
      <c r="AH2044" s="3"/>
      <c r="AI2044" s="3"/>
      <c r="AJ2044" s="3"/>
      <c r="AK2044" s="3"/>
      <c r="AL2044" s="3"/>
      <c r="AM2044" s="3"/>
      <c r="AN2044" s="3"/>
      <c r="AO2044" s="3"/>
      <c r="AP2044" s="11"/>
      <c r="AQ2044" s="11"/>
      <c r="AR2044" s="3"/>
      <c r="AS2044" s="3"/>
      <c r="AT2044" s="3"/>
      <c r="AU2044" s="3"/>
      <c r="AV2044" s="3"/>
      <c r="AW2044" s="3"/>
      <c r="AX2044" s="11"/>
      <c r="AZ2044"/>
      <c r="BA2044"/>
      <c r="BB2044"/>
      <c r="BC2044"/>
    </row>
    <row r="2045" spans="1:55" s="282" customFormat="1" x14ac:dyDescent="0.25">
      <c r="A2045"/>
      <c r="B2045"/>
      <c r="C2045" s="3"/>
      <c r="D2045"/>
      <c r="E2045"/>
      <c r="F2045"/>
      <c r="G2045" s="3"/>
      <c r="H2045" s="3"/>
      <c r="I2045" s="3"/>
      <c r="J2045" s="288"/>
      <c r="L2045" s="288"/>
      <c r="M2045" s="288"/>
      <c r="N2045" s="288"/>
      <c r="O2045" s="288"/>
      <c r="P2045" s="288"/>
      <c r="Q2045" s="288"/>
      <c r="R2045" s="283"/>
      <c r="S2045" s="280"/>
      <c r="T2045" s="276"/>
      <c r="U2045" s="276"/>
      <c r="V2045" s="276"/>
      <c r="W2045" s="283"/>
      <c r="X2045" s="280"/>
      <c r="Y2045" s="280"/>
      <c r="Z2045" s="280"/>
      <c r="AA2045" s="280"/>
      <c r="AB2045" s="280"/>
      <c r="AC2045" s="280"/>
      <c r="AD2045" s="280"/>
      <c r="AG2045" s="3"/>
      <c r="AH2045" s="3"/>
      <c r="AI2045" s="3"/>
      <c r="AJ2045" s="3"/>
      <c r="AK2045" s="3"/>
      <c r="AL2045" s="3"/>
      <c r="AM2045" s="3"/>
      <c r="AN2045" s="3"/>
      <c r="AO2045" s="3"/>
      <c r="AP2045" s="11"/>
      <c r="AQ2045" s="11"/>
      <c r="AR2045" s="3"/>
      <c r="AS2045" s="3"/>
      <c r="AT2045" s="3"/>
      <c r="AU2045" s="3"/>
      <c r="AV2045" s="3"/>
      <c r="AW2045" s="3"/>
      <c r="AX2045" s="11"/>
      <c r="AZ2045"/>
      <c r="BA2045"/>
      <c r="BB2045"/>
      <c r="BC2045"/>
    </row>
    <row r="2046" spans="1:55" s="282" customFormat="1" x14ac:dyDescent="0.25">
      <c r="A2046"/>
      <c r="B2046"/>
      <c r="C2046" s="3"/>
      <c r="D2046"/>
      <c r="E2046"/>
      <c r="F2046"/>
      <c r="G2046" s="3"/>
      <c r="H2046" s="3"/>
      <c r="I2046" s="3"/>
      <c r="J2046" s="288"/>
      <c r="L2046" s="288"/>
      <c r="M2046" s="288"/>
      <c r="N2046" s="288"/>
      <c r="O2046" s="288"/>
      <c r="P2046" s="288"/>
      <c r="Q2046" s="288"/>
      <c r="R2046" s="283"/>
      <c r="S2046" s="280"/>
      <c r="T2046" s="276"/>
      <c r="U2046" s="276"/>
      <c r="V2046" s="276"/>
      <c r="W2046" s="283"/>
      <c r="X2046" s="280"/>
      <c r="Y2046" s="280"/>
      <c r="Z2046" s="280"/>
      <c r="AA2046" s="280"/>
      <c r="AB2046" s="280"/>
      <c r="AC2046" s="280"/>
      <c r="AD2046" s="280"/>
      <c r="AG2046" s="3"/>
      <c r="AH2046" s="3"/>
      <c r="AI2046" s="3"/>
      <c r="AJ2046" s="3"/>
      <c r="AK2046" s="3"/>
      <c r="AL2046" s="3"/>
      <c r="AM2046" s="3"/>
      <c r="AN2046" s="3"/>
      <c r="AO2046" s="3"/>
      <c r="AP2046" s="11"/>
      <c r="AQ2046" s="11"/>
      <c r="AR2046" s="3"/>
      <c r="AS2046" s="3"/>
      <c r="AT2046" s="3"/>
      <c r="AU2046" s="3"/>
      <c r="AV2046" s="3"/>
      <c r="AW2046" s="3"/>
      <c r="AX2046" s="11"/>
      <c r="AZ2046"/>
      <c r="BA2046"/>
      <c r="BB2046"/>
      <c r="BC2046"/>
    </row>
    <row r="2047" spans="1:55" s="282" customFormat="1" x14ac:dyDescent="0.25">
      <c r="A2047"/>
      <c r="B2047"/>
      <c r="C2047" s="3"/>
      <c r="D2047"/>
      <c r="E2047"/>
      <c r="F2047"/>
      <c r="G2047" s="3"/>
      <c r="H2047" s="3"/>
      <c r="I2047" s="3"/>
      <c r="J2047" s="288"/>
      <c r="L2047" s="288"/>
      <c r="M2047" s="288"/>
      <c r="N2047" s="288"/>
      <c r="O2047" s="288"/>
      <c r="P2047" s="288"/>
      <c r="Q2047" s="288"/>
      <c r="R2047" s="283"/>
      <c r="S2047" s="280"/>
      <c r="T2047" s="276"/>
      <c r="U2047" s="276"/>
      <c r="V2047" s="276"/>
      <c r="W2047" s="283"/>
      <c r="X2047" s="280"/>
      <c r="Y2047" s="280"/>
      <c r="Z2047" s="280"/>
      <c r="AA2047" s="280"/>
      <c r="AB2047" s="280"/>
      <c r="AC2047" s="280"/>
      <c r="AD2047" s="280"/>
      <c r="AG2047" s="3"/>
      <c r="AH2047" s="3"/>
      <c r="AI2047" s="3"/>
      <c r="AJ2047" s="3"/>
      <c r="AK2047" s="3"/>
      <c r="AL2047" s="3"/>
      <c r="AM2047" s="3"/>
      <c r="AN2047" s="3"/>
      <c r="AO2047" s="3"/>
      <c r="AP2047" s="11"/>
      <c r="AQ2047" s="11"/>
      <c r="AR2047" s="3"/>
      <c r="AS2047" s="3"/>
      <c r="AT2047" s="3"/>
      <c r="AU2047" s="3"/>
      <c r="AV2047" s="3"/>
      <c r="AW2047" s="3"/>
      <c r="AX2047" s="11"/>
      <c r="AZ2047"/>
      <c r="BA2047"/>
      <c r="BB2047"/>
      <c r="BC2047"/>
    </row>
    <row r="2048" spans="1:55" s="282" customFormat="1" x14ac:dyDescent="0.25">
      <c r="A2048"/>
      <c r="B2048"/>
      <c r="C2048" s="3"/>
      <c r="D2048"/>
      <c r="E2048"/>
      <c r="F2048"/>
      <c r="G2048" s="3"/>
      <c r="H2048" s="3"/>
      <c r="I2048" s="3"/>
      <c r="J2048" s="288"/>
      <c r="L2048" s="288"/>
      <c r="M2048" s="288"/>
      <c r="N2048" s="288"/>
      <c r="O2048" s="288"/>
      <c r="P2048" s="288"/>
      <c r="Q2048" s="288"/>
      <c r="R2048" s="283"/>
      <c r="S2048" s="280"/>
      <c r="T2048" s="276"/>
      <c r="U2048" s="276"/>
      <c r="V2048" s="276"/>
      <c r="W2048" s="283"/>
      <c r="X2048" s="280"/>
      <c r="Y2048" s="280"/>
      <c r="Z2048" s="280"/>
      <c r="AA2048" s="280"/>
      <c r="AB2048" s="280"/>
      <c r="AC2048" s="280"/>
      <c r="AD2048" s="280"/>
      <c r="AG2048" s="3"/>
      <c r="AH2048" s="3"/>
      <c r="AI2048" s="3"/>
      <c r="AJ2048" s="3"/>
      <c r="AK2048" s="3"/>
      <c r="AL2048" s="3"/>
      <c r="AM2048" s="3"/>
      <c r="AN2048" s="3"/>
      <c r="AO2048" s="3"/>
      <c r="AP2048" s="11"/>
      <c r="AQ2048" s="11"/>
      <c r="AR2048" s="3"/>
      <c r="AS2048" s="3"/>
      <c r="AT2048" s="3"/>
      <c r="AU2048" s="3"/>
      <c r="AV2048" s="3"/>
      <c r="AW2048" s="3"/>
      <c r="AX2048" s="11"/>
      <c r="AZ2048"/>
      <c r="BA2048"/>
      <c r="BB2048"/>
      <c r="BC2048"/>
    </row>
    <row r="2049" spans="1:55" s="282" customFormat="1" x14ac:dyDescent="0.25">
      <c r="A2049"/>
      <c r="B2049"/>
      <c r="C2049" s="3"/>
      <c r="D2049"/>
      <c r="E2049"/>
      <c r="F2049"/>
      <c r="G2049" s="3"/>
      <c r="H2049" s="3"/>
      <c r="I2049" s="3"/>
      <c r="J2049" s="288"/>
      <c r="L2049" s="288"/>
      <c r="M2049" s="288"/>
      <c r="N2049" s="288"/>
      <c r="O2049" s="288"/>
      <c r="P2049" s="288"/>
      <c r="Q2049" s="288"/>
      <c r="R2049" s="283"/>
      <c r="S2049" s="280"/>
      <c r="T2049" s="276"/>
      <c r="U2049" s="276"/>
      <c r="V2049" s="276"/>
      <c r="W2049" s="283"/>
      <c r="X2049" s="280"/>
      <c r="Y2049" s="280"/>
      <c r="Z2049" s="280"/>
      <c r="AA2049" s="280"/>
      <c r="AB2049" s="280"/>
      <c r="AC2049" s="280"/>
      <c r="AD2049" s="280"/>
      <c r="AG2049" s="3"/>
      <c r="AH2049" s="3"/>
      <c r="AI2049" s="3"/>
      <c r="AJ2049" s="3"/>
      <c r="AK2049" s="3"/>
      <c r="AL2049" s="3"/>
      <c r="AM2049" s="3"/>
      <c r="AN2049" s="3"/>
      <c r="AO2049" s="3"/>
      <c r="AP2049" s="11"/>
      <c r="AQ2049" s="11"/>
      <c r="AR2049" s="3"/>
      <c r="AS2049" s="3"/>
      <c r="AT2049" s="3"/>
      <c r="AU2049" s="3"/>
      <c r="AV2049" s="3"/>
      <c r="AW2049" s="3"/>
      <c r="AX2049" s="11"/>
      <c r="AZ2049"/>
      <c r="BA2049"/>
      <c r="BB2049"/>
      <c r="BC2049"/>
    </row>
    <row r="2050" spans="1:55" s="282" customFormat="1" x14ac:dyDescent="0.25">
      <c r="A2050"/>
      <c r="B2050"/>
      <c r="C2050" s="3"/>
      <c r="D2050"/>
      <c r="E2050"/>
      <c r="F2050"/>
      <c r="G2050" s="3"/>
      <c r="H2050" s="3"/>
      <c r="I2050" s="3"/>
      <c r="J2050" s="288"/>
      <c r="L2050" s="288"/>
      <c r="M2050" s="288"/>
      <c r="N2050" s="288"/>
      <c r="O2050" s="288"/>
      <c r="P2050" s="288"/>
      <c r="Q2050" s="288"/>
      <c r="R2050" s="283"/>
      <c r="S2050" s="280"/>
      <c r="T2050" s="276"/>
      <c r="U2050" s="276"/>
      <c r="V2050" s="276"/>
      <c r="W2050" s="283"/>
      <c r="X2050" s="280"/>
      <c r="Y2050" s="280"/>
      <c r="Z2050" s="280"/>
      <c r="AA2050" s="280"/>
      <c r="AB2050" s="280"/>
      <c r="AC2050" s="280"/>
      <c r="AD2050" s="280"/>
      <c r="AG2050" s="3"/>
      <c r="AH2050" s="3"/>
      <c r="AI2050" s="3"/>
      <c r="AJ2050" s="3"/>
      <c r="AK2050" s="3"/>
      <c r="AL2050" s="3"/>
      <c r="AM2050" s="3"/>
      <c r="AN2050" s="3"/>
      <c r="AO2050" s="3"/>
      <c r="AP2050" s="11"/>
      <c r="AQ2050" s="11"/>
      <c r="AR2050" s="3"/>
      <c r="AS2050" s="3"/>
      <c r="AT2050" s="3"/>
      <c r="AU2050" s="3"/>
      <c r="AV2050" s="3"/>
      <c r="AW2050" s="3"/>
      <c r="AX2050" s="11"/>
      <c r="AZ2050"/>
      <c r="BA2050"/>
      <c r="BB2050"/>
      <c r="BC2050"/>
    </row>
    <row r="2051" spans="1:55" s="282" customFormat="1" x14ac:dyDescent="0.25">
      <c r="A2051"/>
      <c r="B2051"/>
      <c r="C2051" s="3"/>
      <c r="D2051"/>
      <c r="E2051"/>
      <c r="F2051"/>
      <c r="G2051" s="3"/>
      <c r="H2051" s="3"/>
      <c r="I2051" s="3"/>
      <c r="J2051" s="288"/>
      <c r="L2051" s="288"/>
      <c r="M2051" s="288"/>
      <c r="N2051" s="288"/>
      <c r="O2051" s="288"/>
      <c r="P2051" s="288"/>
      <c r="Q2051" s="288"/>
      <c r="R2051" s="283"/>
      <c r="S2051" s="280"/>
      <c r="T2051" s="276"/>
      <c r="U2051" s="276"/>
      <c r="V2051" s="276"/>
      <c r="W2051" s="283"/>
      <c r="X2051" s="280"/>
      <c r="Y2051" s="280"/>
      <c r="Z2051" s="280"/>
      <c r="AA2051" s="280"/>
      <c r="AB2051" s="280"/>
      <c r="AC2051" s="280"/>
      <c r="AD2051" s="280"/>
      <c r="AG2051" s="3"/>
      <c r="AH2051" s="3"/>
      <c r="AI2051" s="3"/>
      <c r="AJ2051" s="3"/>
      <c r="AK2051" s="3"/>
      <c r="AL2051" s="3"/>
      <c r="AM2051" s="3"/>
      <c r="AN2051" s="3"/>
      <c r="AO2051" s="3"/>
      <c r="AP2051" s="11"/>
      <c r="AQ2051" s="11"/>
      <c r="AR2051" s="3"/>
      <c r="AS2051" s="3"/>
      <c r="AT2051" s="3"/>
      <c r="AU2051" s="3"/>
      <c r="AV2051" s="3"/>
      <c r="AW2051" s="3"/>
      <c r="AX2051" s="11"/>
      <c r="AZ2051"/>
      <c r="BA2051"/>
      <c r="BB2051"/>
      <c r="BC2051"/>
    </row>
    <row r="2052" spans="1:55" s="282" customFormat="1" x14ac:dyDescent="0.25">
      <c r="A2052"/>
      <c r="B2052"/>
      <c r="C2052" s="3"/>
      <c r="D2052"/>
      <c r="E2052"/>
      <c r="F2052"/>
      <c r="G2052" s="3"/>
      <c r="H2052" s="3"/>
      <c r="I2052" s="3"/>
      <c r="J2052" s="288"/>
      <c r="L2052" s="288"/>
      <c r="M2052" s="288"/>
      <c r="N2052" s="288"/>
      <c r="O2052" s="288"/>
      <c r="P2052" s="288"/>
      <c r="Q2052" s="288"/>
      <c r="R2052" s="283"/>
      <c r="S2052" s="280"/>
      <c r="T2052" s="276"/>
      <c r="U2052" s="276"/>
      <c r="V2052" s="276"/>
      <c r="W2052" s="283"/>
      <c r="X2052" s="280"/>
      <c r="Y2052" s="280"/>
      <c r="Z2052" s="280"/>
      <c r="AA2052" s="280"/>
      <c r="AB2052" s="280"/>
      <c r="AC2052" s="280"/>
      <c r="AD2052" s="280"/>
      <c r="AG2052" s="3"/>
      <c r="AH2052" s="3"/>
      <c r="AI2052" s="3"/>
      <c r="AJ2052" s="3"/>
      <c r="AK2052" s="3"/>
      <c r="AL2052" s="3"/>
      <c r="AM2052" s="3"/>
      <c r="AN2052" s="3"/>
      <c r="AO2052" s="3"/>
      <c r="AP2052" s="11"/>
      <c r="AQ2052" s="11"/>
      <c r="AR2052" s="3"/>
      <c r="AS2052" s="3"/>
      <c r="AT2052" s="3"/>
      <c r="AU2052" s="3"/>
      <c r="AV2052" s="3"/>
      <c r="AW2052" s="3"/>
      <c r="AX2052" s="11"/>
      <c r="AZ2052"/>
      <c r="BA2052"/>
      <c r="BB2052"/>
      <c r="BC2052"/>
    </row>
    <row r="2053" spans="1:55" s="282" customFormat="1" x14ac:dyDescent="0.25">
      <c r="A2053"/>
      <c r="B2053"/>
      <c r="C2053" s="3"/>
      <c r="D2053"/>
      <c r="E2053"/>
      <c r="F2053"/>
      <c r="G2053" s="3"/>
      <c r="H2053" s="3"/>
      <c r="I2053" s="3"/>
      <c r="J2053" s="288"/>
      <c r="L2053" s="288"/>
      <c r="M2053" s="288"/>
      <c r="N2053" s="288"/>
      <c r="O2053" s="288"/>
      <c r="P2053" s="288"/>
      <c r="Q2053" s="288"/>
      <c r="R2053" s="283"/>
      <c r="S2053" s="280"/>
      <c r="T2053" s="276"/>
      <c r="U2053" s="276"/>
      <c r="V2053" s="276"/>
      <c r="W2053" s="283"/>
      <c r="X2053" s="280"/>
      <c r="Y2053" s="280"/>
      <c r="Z2053" s="280"/>
      <c r="AA2053" s="280"/>
      <c r="AB2053" s="280"/>
      <c r="AC2053" s="280"/>
      <c r="AD2053" s="280"/>
      <c r="AG2053" s="3"/>
      <c r="AH2053" s="3"/>
      <c r="AI2053" s="3"/>
      <c r="AJ2053" s="3"/>
      <c r="AK2053" s="3"/>
      <c r="AL2053" s="3"/>
      <c r="AM2053" s="3"/>
      <c r="AN2053" s="3"/>
      <c r="AO2053" s="3"/>
      <c r="AP2053" s="11"/>
      <c r="AQ2053" s="11"/>
      <c r="AR2053" s="3"/>
      <c r="AS2053" s="3"/>
      <c r="AT2053" s="3"/>
      <c r="AU2053" s="3"/>
      <c r="AV2053" s="3"/>
      <c r="AW2053" s="3"/>
      <c r="AX2053" s="11"/>
      <c r="AZ2053"/>
      <c r="BA2053"/>
      <c r="BB2053"/>
      <c r="BC2053"/>
    </row>
    <row r="2054" spans="1:55" s="282" customFormat="1" x14ac:dyDescent="0.25">
      <c r="A2054"/>
      <c r="B2054"/>
      <c r="C2054" s="3"/>
      <c r="D2054"/>
      <c r="E2054"/>
      <c r="F2054"/>
      <c r="G2054" s="3"/>
      <c r="H2054" s="3"/>
      <c r="I2054" s="3"/>
      <c r="J2054" s="288"/>
      <c r="L2054" s="288"/>
      <c r="M2054" s="288"/>
      <c r="N2054" s="288"/>
      <c r="O2054" s="288"/>
      <c r="P2054" s="288"/>
      <c r="Q2054" s="288"/>
      <c r="R2054" s="283"/>
      <c r="S2054" s="280"/>
      <c r="T2054" s="276"/>
      <c r="U2054" s="276"/>
      <c r="V2054" s="276"/>
      <c r="W2054" s="283"/>
      <c r="X2054" s="280"/>
      <c r="Y2054" s="280"/>
      <c r="Z2054" s="280"/>
      <c r="AA2054" s="280"/>
      <c r="AB2054" s="280"/>
      <c r="AC2054" s="280"/>
      <c r="AD2054" s="280"/>
      <c r="AG2054" s="3"/>
      <c r="AH2054" s="3"/>
      <c r="AI2054" s="3"/>
      <c r="AJ2054" s="3"/>
      <c r="AK2054" s="3"/>
      <c r="AL2054" s="3"/>
      <c r="AM2054" s="3"/>
      <c r="AN2054" s="3"/>
      <c r="AO2054" s="3"/>
      <c r="AP2054" s="11"/>
      <c r="AQ2054" s="11"/>
      <c r="AR2054" s="3"/>
      <c r="AS2054" s="3"/>
      <c r="AT2054" s="3"/>
      <c r="AU2054" s="3"/>
      <c r="AV2054" s="3"/>
      <c r="AW2054" s="3"/>
      <c r="AX2054" s="11"/>
      <c r="AZ2054"/>
      <c r="BA2054"/>
      <c r="BB2054"/>
      <c r="BC2054"/>
    </row>
    <row r="2055" spans="1:55" s="282" customFormat="1" x14ac:dyDescent="0.25">
      <c r="A2055"/>
      <c r="B2055"/>
      <c r="C2055" s="3"/>
      <c r="D2055"/>
      <c r="E2055"/>
      <c r="F2055"/>
      <c r="G2055" s="3"/>
      <c r="H2055" s="3"/>
      <c r="I2055" s="3"/>
      <c r="J2055" s="288"/>
      <c r="L2055" s="288"/>
      <c r="M2055" s="288"/>
      <c r="N2055" s="288"/>
      <c r="O2055" s="288"/>
      <c r="P2055" s="288"/>
      <c r="Q2055" s="288"/>
      <c r="R2055" s="283"/>
      <c r="S2055" s="280"/>
      <c r="T2055" s="276"/>
      <c r="U2055" s="276"/>
      <c r="V2055" s="276"/>
      <c r="W2055" s="283"/>
      <c r="X2055" s="280"/>
      <c r="Y2055" s="280"/>
      <c r="Z2055" s="280"/>
      <c r="AA2055" s="280"/>
      <c r="AB2055" s="280"/>
      <c r="AC2055" s="280"/>
      <c r="AD2055" s="280"/>
      <c r="AG2055" s="3"/>
      <c r="AH2055" s="3"/>
      <c r="AI2055" s="3"/>
      <c r="AJ2055" s="3"/>
      <c r="AK2055" s="3"/>
      <c r="AL2055" s="3"/>
      <c r="AM2055" s="3"/>
      <c r="AN2055" s="3"/>
      <c r="AO2055" s="3"/>
      <c r="AP2055" s="11"/>
      <c r="AQ2055" s="11"/>
      <c r="AR2055" s="3"/>
      <c r="AS2055" s="3"/>
      <c r="AT2055" s="3"/>
      <c r="AU2055" s="3"/>
      <c r="AV2055" s="3"/>
      <c r="AW2055" s="3"/>
      <c r="AX2055" s="11"/>
      <c r="AZ2055"/>
      <c r="BA2055"/>
      <c r="BB2055"/>
      <c r="BC2055"/>
    </row>
    <row r="2056" spans="1:55" s="282" customFormat="1" x14ac:dyDescent="0.25">
      <c r="A2056"/>
      <c r="B2056"/>
      <c r="C2056" s="3"/>
      <c r="D2056"/>
      <c r="E2056"/>
      <c r="F2056"/>
      <c r="G2056" s="3"/>
      <c r="H2056" s="3"/>
      <c r="I2056" s="3"/>
      <c r="J2056" s="288"/>
      <c r="L2056" s="288"/>
      <c r="M2056" s="288"/>
      <c r="N2056" s="288"/>
      <c r="O2056" s="288"/>
      <c r="P2056" s="288"/>
      <c r="Q2056" s="288"/>
      <c r="R2056" s="283"/>
      <c r="S2056" s="280"/>
      <c r="T2056" s="276"/>
      <c r="U2056" s="276"/>
      <c r="V2056" s="276"/>
      <c r="W2056" s="283"/>
      <c r="X2056" s="280"/>
      <c r="Y2056" s="280"/>
      <c r="Z2056" s="280"/>
      <c r="AA2056" s="280"/>
      <c r="AB2056" s="280"/>
      <c r="AC2056" s="280"/>
      <c r="AD2056" s="280"/>
      <c r="AG2056" s="3"/>
      <c r="AH2056" s="3"/>
      <c r="AI2056" s="3"/>
      <c r="AJ2056" s="3"/>
      <c r="AK2056" s="3"/>
      <c r="AL2056" s="3"/>
      <c r="AM2056" s="3"/>
      <c r="AN2056" s="3"/>
      <c r="AO2056" s="3"/>
      <c r="AP2056" s="11"/>
      <c r="AQ2056" s="11"/>
      <c r="AR2056" s="3"/>
      <c r="AS2056" s="3"/>
      <c r="AT2056" s="3"/>
      <c r="AU2056" s="3"/>
      <c r="AV2056" s="3"/>
      <c r="AW2056" s="3"/>
      <c r="AX2056" s="11"/>
      <c r="AZ2056"/>
      <c r="BA2056"/>
      <c r="BB2056"/>
      <c r="BC2056"/>
    </row>
    <row r="2057" spans="1:55" s="282" customFormat="1" x14ac:dyDescent="0.25">
      <c r="A2057"/>
      <c r="B2057"/>
      <c r="C2057" s="3"/>
      <c r="D2057"/>
      <c r="E2057"/>
      <c r="F2057"/>
      <c r="G2057" s="3"/>
      <c r="H2057" s="3"/>
      <c r="I2057" s="3"/>
      <c r="J2057" s="288"/>
      <c r="L2057" s="288"/>
      <c r="M2057" s="288"/>
      <c r="N2057" s="288"/>
      <c r="O2057" s="288"/>
      <c r="P2057" s="288"/>
      <c r="Q2057" s="288"/>
      <c r="R2057" s="283"/>
      <c r="S2057" s="280"/>
      <c r="T2057" s="276"/>
      <c r="U2057" s="276"/>
      <c r="V2057" s="276"/>
      <c r="W2057" s="283"/>
      <c r="X2057" s="280"/>
      <c r="Y2057" s="280"/>
      <c r="Z2057" s="280"/>
      <c r="AA2057" s="280"/>
      <c r="AB2057" s="280"/>
      <c r="AC2057" s="280"/>
      <c r="AD2057" s="280"/>
      <c r="AG2057" s="3"/>
      <c r="AH2057" s="3"/>
      <c r="AI2057" s="3"/>
      <c r="AJ2057" s="3"/>
      <c r="AK2057" s="3"/>
      <c r="AL2057" s="3"/>
      <c r="AM2057" s="3"/>
      <c r="AN2057" s="3"/>
      <c r="AO2057" s="3"/>
      <c r="AP2057" s="11"/>
      <c r="AQ2057" s="11"/>
      <c r="AR2057" s="3"/>
      <c r="AS2057" s="3"/>
      <c r="AT2057" s="3"/>
      <c r="AU2057" s="3"/>
      <c r="AV2057" s="3"/>
      <c r="AW2057" s="3"/>
      <c r="AX2057" s="11"/>
      <c r="AZ2057"/>
      <c r="BA2057"/>
      <c r="BB2057"/>
      <c r="BC2057"/>
    </row>
    <row r="2058" spans="1:55" s="282" customFormat="1" x14ac:dyDescent="0.25">
      <c r="A2058"/>
      <c r="B2058"/>
      <c r="C2058" s="3"/>
      <c r="D2058"/>
      <c r="E2058"/>
      <c r="F2058"/>
      <c r="G2058" s="3"/>
      <c r="H2058" s="3"/>
      <c r="I2058" s="3"/>
      <c r="J2058" s="288"/>
      <c r="L2058" s="288"/>
      <c r="M2058" s="288"/>
      <c r="N2058" s="288"/>
      <c r="O2058" s="288"/>
      <c r="P2058" s="288"/>
      <c r="Q2058" s="288"/>
      <c r="R2058" s="283"/>
      <c r="S2058" s="280"/>
      <c r="T2058" s="276"/>
      <c r="U2058" s="276"/>
      <c r="V2058" s="276"/>
      <c r="W2058" s="283"/>
      <c r="X2058" s="280"/>
      <c r="Y2058" s="280"/>
      <c r="Z2058" s="280"/>
      <c r="AA2058" s="280"/>
      <c r="AB2058" s="280"/>
      <c r="AC2058" s="280"/>
      <c r="AD2058" s="280"/>
      <c r="AG2058" s="3"/>
      <c r="AH2058" s="3"/>
      <c r="AI2058" s="3"/>
      <c r="AJ2058" s="3"/>
      <c r="AK2058" s="3"/>
      <c r="AL2058" s="3"/>
      <c r="AM2058" s="3"/>
      <c r="AN2058" s="3"/>
      <c r="AO2058" s="3"/>
      <c r="AP2058" s="11"/>
      <c r="AQ2058" s="11"/>
      <c r="AR2058" s="3"/>
      <c r="AS2058" s="3"/>
      <c r="AT2058" s="3"/>
      <c r="AU2058" s="3"/>
      <c r="AV2058" s="3"/>
      <c r="AW2058" s="3"/>
      <c r="AX2058" s="11"/>
      <c r="AZ2058"/>
      <c r="BA2058"/>
      <c r="BB2058"/>
      <c r="BC2058"/>
    </row>
    <row r="2059" spans="1:55" s="282" customFormat="1" x14ac:dyDescent="0.25">
      <c r="A2059"/>
      <c r="B2059"/>
      <c r="C2059" s="3"/>
      <c r="D2059"/>
      <c r="E2059"/>
      <c r="F2059"/>
      <c r="G2059" s="3"/>
      <c r="H2059" s="3"/>
      <c r="I2059" s="3"/>
      <c r="J2059" s="288"/>
      <c r="L2059" s="288"/>
      <c r="M2059" s="288"/>
      <c r="N2059" s="288"/>
      <c r="O2059" s="288"/>
      <c r="P2059" s="288"/>
      <c r="Q2059" s="288"/>
      <c r="R2059" s="283"/>
      <c r="S2059" s="280"/>
      <c r="T2059" s="276"/>
      <c r="U2059" s="276"/>
      <c r="V2059" s="276"/>
      <c r="W2059" s="283"/>
      <c r="X2059" s="280"/>
      <c r="Y2059" s="280"/>
      <c r="Z2059" s="280"/>
      <c r="AA2059" s="280"/>
      <c r="AB2059" s="280"/>
      <c r="AC2059" s="280"/>
      <c r="AD2059" s="280"/>
      <c r="AG2059" s="3"/>
      <c r="AH2059" s="3"/>
      <c r="AI2059" s="3"/>
      <c r="AJ2059" s="3"/>
      <c r="AK2059" s="3"/>
      <c r="AL2059" s="3"/>
      <c r="AM2059" s="3"/>
      <c r="AN2059" s="3"/>
      <c r="AO2059" s="3"/>
      <c r="AP2059" s="11"/>
      <c r="AQ2059" s="11"/>
      <c r="AR2059" s="3"/>
      <c r="AS2059" s="3"/>
      <c r="AT2059" s="3"/>
      <c r="AU2059" s="3"/>
      <c r="AV2059" s="3"/>
      <c r="AW2059" s="3"/>
      <c r="AX2059" s="11"/>
      <c r="AZ2059"/>
      <c r="BA2059"/>
      <c r="BB2059"/>
      <c r="BC2059"/>
    </row>
    <row r="2060" spans="1:55" s="282" customFormat="1" x14ac:dyDescent="0.25">
      <c r="A2060"/>
      <c r="B2060"/>
      <c r="C2060" s="3"/>
      <c r="D2060"/>
      <c r="E2060"/>
      <c r="F2060"/>
      <c r="G2060" s="3"/>
      <c r="H2060" s="3"/>
      <c r="I2060" s="3"/>
      <c r="J2060" s="288"/>
      <c r="L2060" s="288"/>
      <c r="M2060" s="288"/>
      <c r="N2060" s="288"/>
      <c r="O2060" s="288"/>
      <c r="P2060" s="288"/>
      <c r="Q2060" s="288"/>
      <c r="R2060" s="283"/>
      <c r="S2060" s="280"/>
      <c r="T2060" s="276"/>
      <c r="U2060" s="276"/>
      <c r="V2060" s="276"/>
      <c r="W2060" s="283"/>
      <c r="X2060" s="280"/>
      <c r="Y2060" s="280"/>
      <c r="Z2060" s="280"/>
      <c r="AA2060" s="280"/>
      <c r="AB2060" s="280"/>
      <c r="AC2060" s="280"/>
      <c r="AD2060" s="280"/>
      <c r="AG2060" s="3"/>
      <c r="AH2060" s="3"/>
      <c r="AI2060" s="3"/>
      <c r="AJ2060" s="3"/>
      <c r="AK2060" s="3"/>
      <c r="AL2060" s="3"/>
      <c r="AM2060" s="3"/>
      <c r="AN2060" s="3"/>
      <c r="AO2060" s="3"/>
      <c r="AP2060" s="11"/>
      <c r="AQ2060" s="11"/>
      <c r="AR2060" s="3"/>
      <c r="AS2060" s="3"/>
      <c r="AT2060" s="3"/>
      <c r="AU2060" s="3"/>
      <c r="AV2060" s="3"/>
      <c r="AW2060" s="3"/>
      <c r="AX2060" s="11"/>
      <c r="AZ2060"/>
      <c r="BA2060"/>
      <c r="BB2060"/>
      <c r="BC2060"/>
    </row>
    <row r="2061" spans="1:55" s="282" customFormat="1" x14ac:dyDescent="0.25">
      <c r="A2061"/>
      <c r="B2061"/>
      <c r="C2061" s="3"/>
      <c r="D2061"/>
      <c r="E2061"/>
      <c r="F2061"/>
      <c r="G2061" s="3"/>
      <c r="H2061" s="3"/>
      <c r="I2061" s="3"/>
      <c r="J2061" s="288"/>
      <c r="L2061" s="288"/>
      <c r="M2061" s="288"/>
      <c r="N2061" s="288"/>
      <c r="O2061" s="288"/>
      <c r="P2061" s="288"/>
      <c r="Q2061" s="288"/>
      <c r="R2061" s="283"/>
      <c r="S2061" s="280"/>
      <c r="T2061" s="276"/>
      <c r="U2061" s="276"/>
      <c r="V2061" s="276"/>
      <c r="W2061" s="283"/>
      <c r="X2061" s="280"/>
      <c r="Y2061" s="280"/>
      <c r="Z2061" s="280"/>
      <c r="AA2061" s="280"/>
      <c r="AB2061" s="280"/>
      <c r="AC2061" s="280"/>
      <c r="AD2061" s="280"/>
      <c r="AG2061" s="3"/>
      <c r="AH2061" s="3"/>
      <c r="AI2061" s="3"/>
      <c r="AJ2061" s="3"/>
      <c r="AK2061" s="3"/>
      <c r="AL2061" s="3"/>
      <c r="AM2061" s="3"/>
      <c r="AN2061" s="3"/>
      <c r="AO2061" s="3"/>
      <c r="AP2061" s="11"/>
      <c r="AQ2061" s="11"/>
      <c r="AR2061" s="3"/>
      <c r="AS2061" s="3"/>
      <c r="AT2061" s="3"/>
      <c r="AU2061" s="3"/>
      <c r="AV2061" s="3"/>
      <c r="AW2061" s="3"/>
      <c r="AX2061" s="11"/>
      <c r="AZ2061"/>
      <c r="BA2061"/>
      <c r="BB2061"/>
      <c r="BC2061"/>
    </row>
    <row r="2062" spans="1:55" s="282" customFormat="1" x14ac:dyDescent="0.25">
      <c r="A2062"/>
      <c r="B2062"/>
      <c r="C2062" s="3"/>
      <c r="D2062"/>
      <c r="E2062"/>
      <c r="F2062"/>
      <c r="G2062" s="3"/>
      <c r="H2062" s="3"/>
      <c r="I2062" s="3"/>
      <c r="J2062" s="288"/>
      <c r="L2062" s="288"/>
      <c r="M2062" s="288"/>
      <c r="N2062" s="288"/>
      <c r="O2062" s="288"/>
      <c r="P2062" s="288"/>
      <c r="Q2062" s="288"/>
      <c r="R2062" s="283"/>
      <c r="S2062" s="280"/>
      <c r="T2062" s="276"/>
      <c r="U2062" s="276"/>
      <c r="V2062" s="276"/>
      <c r="W2062" s="283"/>
      <c r="X2062" s="280"/>
      <c r="Y2062" s="280"/>
      <c r="Z2062" s="280"/>
      <c r="AA2062" s="280"/>
      <c r="AB2062" s="280"/>
      <c r="AC2062" s="280"/>
      <c r="AD2062" s="280"/>
      <c r="AG2062" s="3"/>
      <c r="AH2062" s="3"/>
      <c r="AI2062" s="3"/>
      <c r="AJ2062" s="3"/>
      <c r="AK2062" s="3"/>
      <c r="AL2062" s="3"/>
      <c r="AM2062" s="3"/>
      <c r="AN2062" s="3"/>
      <c r="AO2062" s="3"/>
      <c r="AP2062" s="11"/>
      <c r="AQ2062" s="11"/>
      <c r="AR2062" s="3"/>
      <c r="AS2062" s="3"/>
      <c r="AT2062" s="3"/>
      <c r="AU2062" s="3"/>
      <c r="AV2062" s="3"/>
      <c r="AW2062" s="3"/>
      <c r="AX2062" s="11"/>
      <c r="AZ2062"/>
      <c r="BA2062"/>
      <c r="BB2062"/>
      <c r="BC2062"/>
    </row>
    <row r="2063" spans="1:55" s="282" customFormat="1" x14ac:dyDescent="0.25">
      <c r="A2063"/>
      <c r="B2063"/>
      <c r="C2063" s="3"/>
      <c r="D2063"/>
      <c r="E2063"/>
      <c r="F2063"/>
      <c r="G2063" s="3"/>
      <c r="H2063" s="3"/>
      <c r="I2063" s="3"/>
      <c r="J2063" s="288"/>
      <c r="L2063" s="288"/>
      <c r="M2063" s="288"/>
      <c r="N2063" s="288"/>
      <c r="O2063" s="288"/>
      <c r="P2063" s="288"/>
      <c r="Q2063" s="288"/>
      <c r="R2063" s="283"/>
      <c r="S2063" s="280"/>
      <c r="T2063" s="276"/>
      <c r="U2063" s="276"/>
      <c r="V2063" s="276"/>
      <c r="W2063" s="283"/>
      <c r="X2063" s="280"/>
      <c r="Y2063" s="280"/>
      <c r="Z2063" s="280"/>
      <c r="AA2063" s="280"/>
      <c r="AB2063" s="280"/>
      <c r="AC2063" s="280"/>
      <c r="AD2063" s="280"/>
      <c r="AG2063" s="3"/>
      <c r="AH2063" s="3"/>
      <c r="AI2063" s="3"/>
      <c r="AJ2063" s="3"/>
      <c r="AK2063" s="3"/>
      <c r="AL2063" s="3"/>
      <c r="AM2063" s="3"/>
      <c r="AN2063" s="3"/>
      <c r="AO2063" s="3"/>
      <c r="AP2063" s="11"/>
      <c r="AQ2063" s="11"/>
      <c r="AR2063" s="3"/>
      <c r="AS2063" s="3"/>
      <c r="AT2063" s="3"/>
      <c r="AU2063" s="3"/>
      <c r="AV2063" s="3"/>
      <c r="AW2063" s="3"/>
      <c r="AX2063" s="11"/>
      <c r="AZ2063"/>
      <c r="BA2063"/>
      <c r="BB2063"/>
      <c r="BC2063"/>
    </row>
    <row r="2064" spans="1:55" s="282" customFormat="1" x14ac:dyDescent="0.25">
      <c r="A2064"/>
      <c r="B2064"/>
      <c r="C2064" s="3"/>
      <c r="D2064"/>
      <c r="E2064"/>
      <c r="F2064"/>
      <c r="G2064" s="3"/>
      <c r="H2064" s="3"/>
      <c r="I2064" s="3"/>
      <c r="J2064" s="288"/>
      <c r="L2064" s="288"/>
      <c r="M2064" s="288"/>
      <c r="N2064" s="288"/>
      <c r="O2064" s="288"/>
      <c r="P2064" s="288"/>
      <c r="Q2064" s="288"/>
      <c r="R2064" s="283"/>
      <c r="S2064" s="280"/>
      <c r="T2064" s="276"/>
      <c r="U2064" s="276"/>
      <c r="V2064" s="276"/>
      <c r="W2064" s="283"/>
      <c r="X2064" s="280"/>
      <c r="Y2064" s="280"/>
      <c r="Z2064" s="280"/>
      <c r="AA2064" s="280"/>
      <c r="AB2064" s="280"/>
      <c r="AC2064" s="280"/>
      <c r="AD2064" s="280"/>
      <c r="AG2064" s="3"/>
      <c r="AH2064" s="3"/>
      <c r="AI2064" s="3"/>
      <c r="AJ2064" s="3"/>
      <c r="AK2064" s="3"/>
      <c r="AL2064" s="3"/>
      <c r="AM2064" s="3"/>
      <c r="AN2064" s="3"/>
      <c r="AO2064" s="3"/>
      <c r="AP2064" s="11"/>
      <c r="AQ2064" s="11"/>
      <c r="AR2064" s="3"/>
      <c r="AS2064" s="3"/>
      <c r="AT2064" s="3"/>
      <c r="AU2064" s="3"/>
      <c r="AV2064" s="3"/>
      <c r="AW2064" s="3"/>
      <c r="AX2064" s="11"/>
      <c r="AZ2064"/>
      <c r="BA2064"/>
      <c r="BB2064"/>
      <c r="BC2064"/>
    </row>
    <row r="2065" spans="1:55" s="282" customFormat="1" x14ac:dyDescent="0.25">
      <c r="A2065"/>
      <c r="B2065"/>
      <c r="C2065" s="3"/>
      <c r="D2065"/>
      <c r="E2065"/>
      <c r="F2065"/>
      <c r="G2065" s="3"/>
      <c r="H2065" s="3"/>
      <c r="I2065" s="3"/>
      <c r="J2065" s="288"/>
      <c r="L2065" s="288"/>
      <c r="M2065" s="288"/>
      <c r="N2065" s="288"/>
      <c r="O2065" s="288"/>
      <c r="P2065" s="288"/>
      <c r="Q2065" s="288"/>
      <c r="R2065" s="283"/>
      <c r="S2065" s="280"/>
      <c r="T2065" s="276"/>
      <c r="U2065" s="276"/>
      <c r="V2065" s="276"/>
      <c r="W2065" s="283"/>
      <c r="X2065" s="280"/>
      <c r="Y2065" s="280"/>
      <c r="Z2065" s="280"/>
      <c r="AA2065" s="280"/>
      <c r="AB2065" s="280"/>
      <c r="AC2065" s="280"/>
      <c r="AD2065" s="280"/>
      <c r="AG2065" s="3"/>
      <c r="AH2065" s="3"/>
      <c r="AI2065" s="3"/>
      <c r="AJ2065" s="3"/>
      <c r="AK2065" s="3"/>
      <c r="AL2065" s="3"/>
      <c r="AM2065" s="3"/>
      <c r="AN2065" s="3"/>
      <c r="AO2065" s="3"/>
      <c r="AP2065" s="11"/>
      <c r="AQ2065" s="11"/>
      <c r="AR2065" s="3"/>
      <c r="AS2065" s="3"/>
      <c r="AT2065" s="3"/>
      <c r="AU2065" s="3"/>
      <c r="AV2065" s="3"/>
      <c r="AW2065" s="3"/>
      <c r="AX2065" s="11"/>
      <c r="AZ2065"/>
      <c r="BA2065"/>
      <c r="BB2065"/>
      <c r="BC2065"/>
    </row>
    <row r="2066" spans="1:55" s="282" customFormat="1" x14ac:dyDescent="0.25">
      <c r="A2066"/>
      <c r="B2066"/>
      <c r="C2066" s="3"/>
      <c r="D2066"/>
      <c r="E2066"/>
      <c r="F2066"/>
      <c r="G2066" s="3"/>
      <c r="H2066" s="3"/>
      <c r="I2066" s="3"/>
      <c r="J2066" s="288"/>
      <c r="L2066" s="288"/>
      <c r="M2066" s="288"/>
      <c r="N2066" s="288"/>
      <c r="O2066" s="288"/>
      <c r="P2066" s="288"/>
      <c r="Q2066" s="288"/>
      <c r="R2066" s="283"/>
      <c r="S2066" s="280"/>
      <c r="T2066" s="276"/>
      <c r="U2066" s="276"/>
      <c r="V2066" s="276"/>
      <c r="W2066" s="283"/>
      <c r="X2066" s="280"/>
      <c r="Y2066" s="280"/>
      <c r="Z2066" s="280"/>
      <c r="AA2066" s="280"/>
      <c r="AB2066" s="280"/>
      <c r="AC2066" s="280"/>
      <c r="AD2066" s="280"/>
      <c r="AG2066" s="3"/>
      <c r="AH2066" s="3"/>
      <c r="AI2066" s="3"/>
      <c r="AJ2066" s="3"/>
      <c r="AK2066" s="3"/>
      <c r="AL2066" s="3"/>
      <c r="AM2066" s="3"/>
      <c r="AN2066" s="3"/>
      <c r="AO2066" s="3"/>
      <c r="AP2066" s="11"/>
      <c r="AQ2066" s="11"/>
      <c r="AR2066" s="3"/>
      <c r="AS2066" s="3"/>
      <c r="AT2066" s="3"/>
      <c r="AU2066" s="3"/>
      <c r="AV2066" s="3"/>
      <c r="AW2066" s="3"/>
      <c r="AX2066" s="11"/>
      <c r="AZ2066"/>
      <c r="BA2066"/>
      <c r="BB2066"/>
      <c r="BC2066"/>
    </row>
    <row r="2067" spans="1:55" s="282" customFormat="1" x14ac:dyDescent="0.25">
      <c r="A2067"/>
      <c r="B2067"/>
      <c r="C2067" s="3"/>
      <c r="D2067"/>
      <c r="E2067"/>
      <c r="F2067"/>
      <c r="G2067" s="3"/>
      <c r="H2067" s="3"/>
      <c r="I2067" s="3"/>
      <c r="J2067" s="288"/>
      <c r="L2067" s="288"/>
      <c r="M2067" s="288"/>
      <c r="N2067" s="288"/>
      <c r="O2067" s="288"/>
      <c r="P2067" s="288"/>
      <c r="Q2067" s="288"/>
      <c r="R2067" s="283"/>
      <c r="S2067" s="280"/>
      <c r="T2067" s="276"/>
      <c r="U2067" s="276"/>
      <c r="V2067" s="276"/>
      <c r="W2067" s="283"/>
      <c r="X2067" s="280"/>
      <c r="Y2067" s="280"/>
      <c r="Z2067" s="280"/>
      <c r="AA2067" s="280"/>
      <c r="AB2067" s="280"/>
      <c r="AC2067" s="280"/>
      <c r="AD2067" s="280"/>
      <c r="AG2067" s="3"/>
      <c r="AH2067" s="3"/>
      <c r="AI2067" s="3"/>
      <c r="AJ2067" s="3"/>
      <c r="AK2067" s="3"/>
      <c r="AL2067" s="3"/>
      <c r="AM2067" s="3"/>
      <c r="AN2067" s="3"/>
      <c r="AO2067" s="3"/>
      <c r="AP2067" s="11"/>
      <c r="AQ2067" s="11"/>
      <c r="AR2067" s="3"/>
      <c r="AS2067" s="3"/>
      <c r="AT2067" s="3"/>
      <c r="AU2067" s="3"/>
      <c r="AV2067" s="3"/>
      <c r="AW2067" s="3"/>
      <c r="AX2067" s="11"/>
      <c r="AZ2067"/>
      <c r="BA2067"/>
      <c r="BB2067"/>
      <c r="BC2067"/>
    </row>
    <row r="2068" spans="1:55" s="282" customFormat="1" x14ac:dyDescent="0.25">
      <c r="A2068"/>
      <c r="B2068"/>
      <c r="C2068" s="3"/>
      <c r="D2068"/>
      <c r="E2068"/>
      <c r="F2068"/>
      <c r="G2068" s="3"/>
      <c r="H2068" s="3"/>
      <c r="I2068" s="3"/>
      <c r="J2068" s="288"/>
      <c r="L2068" s="288"/>
      <c r="M2068" s="288"/>
      <c r="N2068" s="288"/>
      <c r="O2068" s="288"/>
      <c r="P2068" s="288"/>
      <c r="Q2068" s="288"/>
      <c r="R2068" s="283"/>
      <c r="S2068" s="280"/>
      <c r="T2068" s="276"/>
      <c r="U2068" s="276"/>
      <c r="V2068" s="276"/>
      <c r="W2068" s="283"/>
      <c r="X2068" s="280"/>
      <c r="Y2068" s="280"/>
      <c r="Z2068" s="280"/>
      <c r="AA2068" s="280"/>
      <c r="AB2068" s="280"/>
      <c r="AC2068" s="280"/>
      <c r="AD2068" s="280"/>
      <c r="AG2068" s="3"/>
      <c r="AH2068" s="3"/>
      <c r="AI2068" s="3"/>
      <c r="AJ2068" s="3"/>
      <c r="AK2068" s="3"/>
      <c r="AL2068" s="3"/>
      <c r="AM2068" s="3"/>
      <c r="AN2068" s="3"/>
      <c r="AO2068" s="3"/>
      <c r="AP2068" s="11"/>
      <c r="AQ2068" s="11"/>
      <c r="AR2068" s="3"/>
      <c r="AS2068" s="3"/>
      <c r="AT2068" s="3"/>
      <c r="AU2068" s="3"/>
      <c r="AV2068" s="3"/>
      <c r="AW2068" s="3"/>
      <c r="AX2068" s="11"/>
      <c r="AZ2068"/>
      <c r="BA2068"/>
      <c r="BB2068"/>
      <c r="BC2068"/>
    </row>
    <row r="2069" spans="1:55" s="282" customFormat="1" x14ac:dyDescent="0.25">
      <c r="A2069"/>
      <c r="B2069"/>
      <c r="C2069" s="3"/>
      <c r="D2069"/>
      <c r="E2069"/>
      <c r="F2069"/>
      <c r="G2069" s="3"/>
      <c r="H2069" s="3"/>
      <c r="I2069" s="3"/>
      <c r="J2069" s="288"/>
      <c r="L2069" s="288"/>
      <c r="M2069" s="288"/>
      <c r="N2069" s="288"/>
      <c r="O2069" s="288"/>
      <c r="P2069" s="288"/>
      <c r="Q2069" s="288"/>
      <c r="R2069" s="283"/>
      <c r="S2069" s="280"/>
      <c r="T2069" s="276"/>
      <c r="U2069" s="276"/>
      <c r="V2069" s="276"/>
      <c r="W2069" s="283"/>
      <c r="X2069" s="280"/>
      <c r="Y2069" s="280"/>
      <c r="Z2069" s="280"/>
      <c r="AA2069" s="280"/>
      <c r="AB2069" s="280"/>
      <c r="AC2069" s="280"/>
      <c r="AD2069" s="280"/>
      <c r="AG2069" s="3"/>
      <c r="AH2069" s="3"/>
      <c r="AI2069" s="3"/>
      <c r="AJ2069" s="3"/>
      <c r="AK2069" s="3"/>
      <c r="AL2069" s="3"/>
      <c r="AM2069" s="3"/>
      <c r="AN2069" s="3"/>
      <c r="AO2069" s="3"/>
      <c r="AP2069" s="11"/>
      <c r="AQ2069" s="11"/>
      <c r="AR2069" s="3"/>
      <c r="AS2069" s="3"/>
      <c r="AT2069" s="3"/>
      <c r="AU2069" s="3"/>
      <c r="AV2069" s="3"/>
      <c r="AW2069" s="3"/>
      <c r="AX2069" s="11"/>
      <c r="AZ2069"/>
      <c r="BA2069"/>
      <c r="BB2069"/>
      <c r="BC2069"/>
    </row>
    <row r="2070" spans="1:55" s="282" customFormat="1" x14ac:dyDescent="0.25">
      <c r="A2070"/>
      <c r="B2070"/>
      <c r="C2070" s="3"/>
      <c r="D2070"/>
      <c r="E2070"/>
      <c r="F2070"/>
      <c r="G2070" s="3"/>
      <c r="H2070" s="3"/>
      <c r="I2070" s="3"/>
      <c r="J2070" s="288"/>
      <c r="L2070" s="288"/>
      <c r="M2070" s="288"/>
      <c r="N2070" s="288"/>
      <c r="O2070" s="288"/>
      <c r="P2070" s="288"/>
      <c r="Q2070" s="288"/>
      <c r="R2070" s="283"/>
      <c r="S2070" s="280"/>
      <c r="T2070" s="276"/>
      <c r="U2070" s="276"/>
      <c r="V2070" s="276"/>
      <c r="W2070" s="283"/>
      <c r="X2070" s="280"/>
      <c r="Y2070" s="280"/>
      <c r="Z2070" s="280"/>
      <c r="AA2070" s="280"/>
      <c r="AB2070" s="280"/>
      <c r="AC2070" s="280"/>
      <c r="AD2070" s="280"/>
      <c r="AG2070" s="3"/>
      <c r="AH2070" s="3"/>
      <c r="AI2070" s="3"/>
      <c r="AJ2070" s="3"/>
      <c r="AK2070" s="3"/>
      <c r="AL2070" s="3"/>
      <c r="AM2070" s="3"/>
      <c r="AN2070" s="3"/>
      <c r="AO2070" s="3"/>
      <c r="AP2070" s="11"/>
      <c r="AQ2070" s="11"/>
      <c r="AR2070" s="3"/>
      <c r="AS2070" s="3"/>
      <c r="AT2070" s="3"/>
      <c r="AU2070" s="3"/>
      <c r="AV2070" s="3"/>
      <c r="AW2070" s="3"/>
      <c r="AX2070" s="11"/>
      <c r="AZ2070"/>
      <c r="BA2070"/>
      <c r="BB2070"/>
      <c r="BC2070"/>
    </row>
    <row r="2071" spans="1:55" s="282" customFormat="1" x14ac:dyDescent="0.25">
      <c r="A2071"/>
      <c r="B2071"/>
      <c r="C2071" s="3"/>
      <c r="D2071"/>
      <c r="E2071"/>
      <c r="F2071"/>
      <c r="G2071" s="3"/>
      <c r="H2071" s="3"/>
      <c r="I2071" s="3"/>
      <c r="J2071" s="288"/>
      <c r="L2071" s="288"/>
      <c r="M2071" s="288"/>
      <c r="N2071" s="288"/>
      <c r="O2071" s="288"/>
      <c r="P2071" s="288"/>
      <c r="Q2071" s="288"/>
      <c r="R2071" s="283"/>
      <c r="S2071" s="280"/>
      <c r="T2071" s="276"/>
      <c r="U2071" s="276"/>
      <c r="V2071" s="276"/>
      <c r="W2071" s="283"/>
      <c r="X2071" s="280"/>
      <c r="Y2071" s="280"/>
      <c r="Z2071" s="280"/>
      <c r="AA2071" s="280"/>
      <c r="AB2071" s="280"/>
      <c r="AC2071" s="280"/>
      <c r="AD2071" s="280"/>
      <c r="AG2071" s="3"/>
      <c r="AH2071" s="3"/>
      <c r="AI2071" s="3"/>
      <c r="AJ2071" s="3"/>
      <c r="AK2071" s="3"/>
      <c r="AL2071" s="3"/>
      <c r="AM2071" s="3"/>
      <c r="AN2071" s="3"/>
      <c r="AO2071" s="3"/>
      <c r="AP2071" s="11"/>
      <c r="AQ2071" s="11"/>
      <c r="AR2071" s="3"/>
      <c r="AS2071" s="3"/>
      <c r="AT2071" s="3"/>
      <c r="AU2071" s="3"/>
      <c r="AV2071" s="3"/>
      <c r="AW2071" s="3"/>
      <c r="AX2071" s="11"/>
      <c r="AZ2071"/>
      <c r="BA2071"/>
      <c r="BB2071"/>
      <c r="BC2071"/>
    </row>
    <row r="2072" spans="1:55" s="282" customFormat="1" x14ac:dyDescent="0.25">
      <c r="A2072"/>
      <c r="B2072"/>
      <c r="C2072" s="3"/>
      <c r="D2072"/>
      <c r="E2072"/>
      <c r="F2072"/>
      <c r="G2072" s="3"/>
      <c r="H2072" s="3"/>
      <c r="I2072" s="3"/>
      <c r="J2072" s="288"/>
      <c r="L2072" s="288"/>
      <c r="M2072" s="288"/>
      <c r="N2072" s="288"/>
      <c r="O2072" s="288"/>
      <c r="P2072" s="288"/>
      <c r="Q2072" s="288"/>
      <c r="R2072" s="283"/>
      <c r="S2072" s="280"/>
      <c r="T2072" s="276"/>
      <c r="U2072" s="276"/>
      <c r="V2072" s="276"/>
      <c r="W2072" s="283"/>
      <c r="X2072" s="280"/>
      <c r="Y2072" s="280"/>
      <c r="Z2072" s="280"/>
      <c r="AA2072" s="280"/>
      <c r="AB2072" s="280"/>
      <c r="AC2072" s="280"/>
      <c r="AD2072" s="280"/>
      <c r="AG2072" s="3"/>
      <c r="AH2072" s="3"/>
      <c r="AI2072" s="3"/>
      <c r="AJ2072" s="3"/>
      <c r="AK2072" s="3"/>
      <c r="AL2072" s="3"/>
      <c r="AM2072" s="3"/>
      <c r="AN2072" s="3"/>
      <c r="AO2072" s="3"/>
      <c r="AP2072" s="11"/>
      <c r="AQ2072" s="11"/>
      <c r="AR2072" s="3"/>
      <c r="AS2072" s="3"/>
      <c r="AT2072" s="3"/>
      <c r="AU2072" s="3"/>
      <c r="AV2072" s="3"/>
      <c r="AW2072" s="3"/>
      <c r="AX2072" s="11"/>
      <c r="AZ2072"/>
      <c r="BA2072"/>
      <c r="BB2072"/>
      <c r="BC2072"/>
    </row>
    <row r="2073" spans="1:55" s="282" customFormat="1" x14ac:dyDescent="0.25">
      <c r="A2073"/>
      <c r="B2073"/>
      <c r="C2073" s="3"/>
      <c r="D2073"/>
      <c r="E2073"/>
      <c r="F2073"/>
      <c r="G2073" s="3"/>
      <c r="H2073" s="3"/>
      <c r="I2073" s="3"/>
      <c r="J2073" s="288"/>
      <c r="L2073" s="288"/>
      <c r="M2073" s="288"/>
      <c r="N2073" s="288"/>
      <c r="O2073" s="288"/>
      <c r="P2073" s="288"/>
      <c r="Q2073" s="288"/>
      <c r="R2073" s="283"/>
      <c r="S2073" s="280"/>
      <c r="T2073" s="276"/>
      <c r="U2073" s="276"/>
      <c r="V2073" s="276"/>
      <c r="W2073" s="283"/>
      <c r="X2073" s="280"/>
      <c r="Y2073" s="280"/>
      <c r="Z2073" s="280"/>
      <c r="AA2073" s="280"/>
      <c r="AB2073" s="280"/>
      <c r="AC2073" s="280"/>
      <c r="AD2073" s="280"/>
      <c r="AG2073" s="3"/>
      <c r="AH2073" s="3"/>
      <c r="AI2073" s="3"/>
      <c r="AJ2073" s="3"/>
      <c r="AK2073" s="3"/>
      <c r="AL2073" s="3"/>
      <c r="AM2073" s="3"/>
      <c r="AN2073" s="3"/>
      <c r="AO2073" s="3"/>
      <c r="AP2073" s="11"/>
      <c r="AQ2073" s="11"/>
      <c r="AR2073" s="3"/>
      <c r="AS2073" s="3"/>
      <c r="AT2073" s="3"/>
      <c r="AU2073" s="3"/>
      <c r="AV2073" s="3"/>
      <c r="AW2073" s="3"/>
      <c r="AX2073" s="11"/>
      <c r="AZ2073"/>
      <c r="BA2073"/>
      <c r="BB2073"/>
      <c r="BC2073"/>
    </row>
    <row r="2074" spans="1:55" s="282" customFormat="1" x14ac:dyDescent="0.25">
      <c r="A2074"/>
      <c r="B2074"/>
      <c r="C2074" s="3"/>
      <c r="D2074"/>
      <c r="E2074"/>
      <c r="F2074"/>
      <c r="G2074" s="3"/>
      <c r="H2074" s="3"/>
      <c r="I2074" s="3"/>
      <c r="J2074" s="288"/>
      <c r="L2074" s="288"/>
      <c r="M2074" s="288"/>
      <c r="N2074" s="288"/>
      <c r="O2074" s="288"/>
      <c r="P2074" s="288"/>
      <c r="Q2074" s="288"/>
      <c r="R2074" s="283"/>
      <c r="S2074" s="280"/>
      <c r="T2074" s="276"/>
      <c r="U2074" s="276"/>
      <c r="V2074" s="276"/>
      <c r="W2074" s="283"/>
      <c r="X2074" s="280"/>
      <c r="Y2074" s="280"/>
      <c r="Z2074" s="280"/>
      <c r="AA2074" s="280"/>
      <c r="AB2074" s="280"/>
      <c r="AC2074" s="280"/>
      <c r="AD2074" s="280"/>
      <c r="AG2074" s="3"/>
      <c r="AH2074" s="3"/>
      <c r="AI2074" s="3"/>
      <c r="AJ2074" s="3"/>
      <c r="AK2074" s="3"/>
      <c r="AL2074" s="3"/>
      <c r="AM2074" s="3"/>
      <c r="AN2074" s="3"/>
      <c r="AO2074" s="3"/>
      <c r="AP2074" s="11"/>
      <c r="AQ2074" s="11"/>
      <c r="AR2074" s="3"/>
      <c r="AS2074" s="3"/>
      <c r="AT2074" s="3"/>
      <c r="AU2074" s="3"/>
      <c r="AV2074" s="3"/>
      <c r="AW2074" s="3"/>
      <c r="AX2074" s="11"/>
      <c r="AZ2074"/>
      <c r="BA2074"/>
      <c r="BB2074"/>
      <c r="BC2074"/>
    </row>
    <row r="2075" spans="1:55" s="282" customFormat="1" x14ac:dyDescent="0.25">
      <c r="A2075"/>
      <c r="B2075"/>
      <c r="C2075" s="3"/>
      <c r="D2075"/>
      <c r="E2075"/>
      <c r="F2075"/>
      <c r="G2075" s="3"/>
      <c r="H2075" s="3"/>
      <c r="I2075" s="3"/>
      <c r="J2075" s="288"/>
      <c r="L2075" s="288"/>
      <c r="M2075" s="288"/>
      <c r="N2075" s="288"/>
      <c r="O2075" s="288"/>
      <c r="P2075" s="288"/>
      <c r="Q2075" s="288"/>
      <c r="R2075" s="283"/>
      <c r="S2075" s="280"/>
      <c r="T2075" s="276"/>
      <c r="U2075" s="276"/>
      <c r="V2075" s="276"/>
      <c r="W2075" s="283"/>
      <c r="X2075" s="280"/>
      <c r="Y2075" s="280"/>
      <c r="Z2075" s="280"/>
      <c r="AA2075" s="280"/>
      <c r="AB2075" s="280"/>
      <c r="AC2075" s="280"/>
      <c r="AD2075" s="280"/>
      <c r="AG2075" s="3"/>
      <c r="AH2075" s="3"/>
      <c r="AI2075" s="3"/>
      <c r="AJ2075" s="3"/>
      <c r="AK2075" s="3"/>
      <c r="AL2075" s="3"/>
      <c r="AM2075" s="3"/>
      <c r="AN2075" s="3"/>
      <c r="AO2075" s="3"/>
      <c r="AP2075" s="11"/>
      <c r="AQ2075" s="11"/>
      <c r="AR2075" s="3"/>
      <c r="AS2075" s="3"/>
      <c r="AT2075" s="3"/>
      <c r="AU2075" s="3"/>
      <c r="AV2075" s="3"/>
      <c r="AW2075" s="3"/>
      <c r="AX2075" s="11"/>
      <c r="AZ2075"/>
      <c r="BA2075"/>
      <c r="BB2075"/>
      <c r="BC2075"/>
    </row>
    <row r="2076" spans="1:55" s="282" customFormat="1" x14ac:dyDescent="0.25">
      <c r="A2076"/>
      <c r="B2076"/>
      <c r="C2076" s="3"/>
      <c r="D2076"/>
      <c r="E2076"/>
      <c r="F2076"/>
      <c r="G2076" s="3"/>
      <c r="H2076" s="3"/>
      <c r="I2076" s="3"/>
      <c r="J2076" s="288"/>
      <c r="L2076" s="288"/>
      <c r="M2076" s="288"/>
      <c r="N2076" s="288"/>
      <c r="O2076" s="288"/>
      <c r="P2076" s="288"/>
      <c r="Q2076" s="288"/>
      <c r="R2076" s="283"/>
      <c r="S2076" s="280"/>
      <c r="T2076" s="276"/>
      <c r="U2076" s="276"/>
      <c r="V2076" s="276"/>
      <c r="W2076" s="283"/>
      <c r="X2076" s="280"/>
      <c r="Y2076" s="280"/>
      <c r="Z2076" s="280"/>
      <c r="AA2076" s="280"/>
      <c r="AB2076" s="280"/>
      <c r="AC2076" s="280"/>
      <c r="AD2076" s="280"/>
      <c r="AG2076" s="3"/>
      <c r="AH2076" s="3"/>
      <c r="AI2076" s="3"/>
      <c r="AJ2076" s="3"/>
      <c r="AK2076" s="3"/>
      <c r="AL2076" s="3"/>
      <c r="AM2076" s="3"/>
      <c r="AN2076" s="3"/>
      <c r="AO2076" s="3"/>
      <c r="AP2076" s="11"/>
      <c r="AQ2076" s="11"/>
      <c r="AR2076" s="3"/>
      <c r="AS2076" s="3"/>
      <c r="AT2076" s="3"/>
      <c r="AU2076" s="3"/>
      <c r="AV2076" s="3"/>
      <c r="AW2076" s="3"/>
      <c r="AX2076" s="11"/>
      <c r="AZ2076"/>
      <c r="BA2076"/>
      <c r="BB2076"/>
      <c r="BC2076"/>
    </row>
    <row r="2077" spans="1:55" s="282" customFormat="1" x14ac:dyDescent="0.25">
      <c r="A2077"/>
      <c r="B2077"/>
      <c r="C2077" s="3"/>
      <c r="D2077"/>
      <c r="E2077"/>
      <c r="F2077"/>
      <c r="G2077" s="3"/>
      <c r="H2077" s="3"/>
      <c r="I2077" s="3"/>
      <c r="J2077" s="288"/>
      <c r="L2077" s="288"/>
      <c r="M2077" s="288"/>
      <c r="N2077" s="288"/>
      <c r="O2077" s="288"/>
      <c r="P2077" s="288"/>
      <c r="Q2077" s="288"/>
      <c r="R2077" s="283"/>
      <c r="S2077" s="280"/>
      <c r="T2077" s="276"/>
      <c r="U2077" s="276"/>
      <c r="V2077" s="276"/>
      <c r="W2077" s="283"/>
      <c r="X2077" s="280"/>
      <c r="Y2077" s="280"/>
      <c r="Z2077" s="280"/>
      <c r="AA2077" s="280"/>
      <c r="AB2077" s="280"/>
      <c r="AC2077" s="280"/>
      <c r="AD2077" s="280"/>
      <c r="AG2077" s="3"/>
      <c r="AH2077" s="3"/>
      <c r="AI2077" s="3"/>
      <c r="AJ2077" s="3"/>
      <c r="AK2077" s="3"/>
      <c r="AL2077" s="3"/>
      <c r="AM2077" s="3"/>
      <c r="AN2077" s="3"/>
      <c r="AO2077" s="3"/>
      <c r="AP2077" s="11"/>
      <c r="AQ2077" s="11"/>
      <c r="AR2077" s="3"/>
      <c r="AS2077" s="3"/>
      <c r="AT2077" s="3"/>
      <c r="AU2077" s="3"/>
      <c r="AV2077" s="3"/>
      <c r="AW2077" s="3"/>
      <c r="AX2077" s="11"/>
      <c r="AZ2077"/>
      <c r="BA2077"/>
      <c r="BB2077"/>
      <c r="BC2077"/>
    </row>
    <row r="2078" spans="1:55" s="282" customFormat="1" x14ac:dyDescent="0.25">
      <c r="A2078"/>
      <c r="B2078"/>
      <c r="C2078" s="3"/>
      <c r="D2078"/>
      <c r="E2078"/>
      <c r="F2078"/>
      <c r="G2078" s="3"/>
      <c r="H2078" s="3"/>
      <c r="I2078" s="3"/>
      <c r="J2078" s="288"/>
      <c r="L2078" s="288"/>
      <c r="M2078" s="288"/>
      <c r="N2078" s="288"/>
      <c r="O2078" s="288"/>
      <c r="P2078" s="288"/>
      <c r="Q2078" s="288"/>
      <c r="R2078" s="283"/>
      <c r="S2078" s="280"/>
      <c r="T2078" s="276"/>
      <c r="U2078" s="276"/>
      <c r="V2078" s="276"/>
      <c r="W2078" s="283"/>
      <c r="X2078" s="280"/>
      <c r="Y2078" s="280"/>
      <c r="Z2078" s="280"/>
      <c r="AA2078" s="280"/>
      <c r="AB2078" s="280"/>
      <c r="AC2078" s="280"/>
      <c r="AD2078" s="280"/>
      <c r="AG2078" s="3"/>
      <c r="AH2078" s="3"/>
      <c r="AI2078" s="3"/>
      <c r="AJ2078" s="3"/>
      <c r="AK2078" s="3"/>
      <c r="AL2078" s="3"/>
      <c r="AM2078" s="3"/>
      <c r="AN2078" s="3"/>
      <c r="AO2078" s="3"/>
      <c r="AP2078" s="11"/>
      <c r="AQ2078" s="11"/>
      <c r="AR2078" s="3"/>
      <c r="AS2078" s="3"/>
      <c r="AT2078" s="3"/>
      <c r="AU2078" s="3"/>
      <c r="AV2078" s="3"/>
      <c r="AW2078" s="3"/>
      <c r="AX2078" s="11"/>
      <c r="AZ2078"/>
      <c r="BA2078"/>
      <c r="BB2078"/>
      <c r="BC2078"/>
    </row>
    <row r="2079" spans="1:55" s="282" customFormat="1" x14ac:dyDescent="0.25">
      <c r="A2079"/>
      <c r="B2079"/>
      <c r="C2079" s="3"/>
      <c r="D2079"/>
      <c r="E2079"/>
      <c r="F2079"/>
      <c r="G2079" s="3"/>
      <c r="H2079" s="3"/>
      <c r="I2079" s="3"/>
      <c r="J2079" s="288"/>
      <c r="L2079" s="288"/>
      <c r="M2079" s="288"/>
      <c r="N2079" s="288"/>
      <c r="O2079" s="288"/>
      <c r="P2079" s="288"/>
      <c r="Q2079" s="288"/>
      <c r="R2079" s="283"/>
      <c r="S2079" s="280"/>
      <c r="T2079" s="276"/>
      <c r="U2079" s="276"/>
      <c r="V2079" s="276"/>
      <c r="W2079" s="283"/>
      <c r="X2079" s="280"/>
      <c r="Y2079" s="280"/>
      <c r="Z2079" s="280"/>
      <c r="AA2079" s="280"/>
      <c r="AB2079" s="280"/>
      <c r="AC2079" s="280"/>
      <c r="AD2079" s="280"/>
      <c r="AG2079" s="3"/>
      <c r="AH2079" s="3"/>
      <c r="AI2079" s="3"/>
      <c r="AJ2079" s="3"/>
      <c r="AK2079" s="3"/>
      <c r="AL2079" s="3"/>
      <c r="AM2079" s="3"/>
      <c r="AN2079" s="3"/>
      <c r="AO2079" s="3"/>
      <c r="AP2079" s="11"/>
      <c r="AQ2079" s="11"/>
      <c r="AR2079" s="3"/>
      <c r="AS2079" s="3"/>
      <c r="AT2079" s="3"/>
      <c r="AU2079" s="3"/>
      <c r="AV2079" s="3"/>
      <c r="AW2079" s="3"/>
      <c r="AX2079" s="11"/>
      <c r="AZ2079"/>
      <c r="BA2079"/>
      <c r="BB2079"/>
      <c r="BC2079"/>
    </row>
    <row r="2080" spans="1:55" s="282" customFormat="1" x14ac:dyDescent="0.25">
      <c r="A2080"/>
      <c r="B2080"/>
      <c r="C2080" s="3"/>
      <c r="D2080"/>
      <c r="E2080"/>
      <c r="F2080"/>
      <c r="G2080" s="3"/>
      <c r="H2080" s="3"/>
      <c r="I2080" s="3"/>
      <c r="J2080" s="288"/>
      <c r="L2080" s="288"/>
      <c r="M2080" s="288"/>
      <c r="N2080" s="288"/>
      <c r="O2080" s="288"/>
      <c r="P2080" s="288"/>
      <c r="Q2080" s="288"/>
      <c r="R2080" s="283"/>
      <c r="S2080" s="280"/>
      <c r="T2080" s="276"/>
      <c r="U2080" s="276"/>
      <c r="V2080" s="276"/>
      <c r="W2080" s="283"/>
      <c r="X2080" s="280"/>
      <c r="Y2080" s="280"/>
      <c r="Z2080" s="280"/>
      <c r="AA2080" s="280"/>
      <c r="AB2080" s="280"/>
      <c r="AC2080" s="280"/>
      <c r="AD2080" s="280"/>
      <c r="AG2080" s="3"/>
      <c r="AH2080" s="3"/>
      <c r="AI2080" s="3"/>
      <c r="AJ2080" s="3"/>
      <c r="AK2080" s="3"/>
      <c r="AL2080" s="3"/>
      <c r="AM2080" s="3"/>
      <c r="AN2080" s="3"/>
      <c r="AO2080" s="3"/>
      <c r="AP2080" s="11"/>
      <c r="AQ2080" s="11"/>
      <c r="AR2080" s="3"/>
      <c r="AS2080" s="3"/>
      <c r="AT2080" s="3"/>
      <c r="AU2080" s="3"/>
      <c r="AV2080" s="3"/>
      <c r="AW2080" s="3"/>
      <c r="AX2080" s="11"/>
      <c r="AZ2080"/>
      <c r="BA2080"/>
      <c r="BB2080"/>
      <c r="BC2080"/>
    </row>
    <row r="2081" spans="1:55" s="282" customFormat="1" x14ac:dyDescent="0.25">
      <c r="A2081"/>
      <c r="B2081"/>
      <c r="C2081" s="3"/>
      <c r="D2081"/>
      <c r="E2081"/>
      <c r="F2081"/>
      <c r="G2081" s="3"/>
      <c r="H2081" s="3"/>
      <c r="I2081" s="3"/>
      <c r="J2081" s="288"/>
      <c r="L2081" s="288"/>
      <c r="M2081" s="288"/>
      <c r="N2081" s="288"/>
      <c r="O2081" s="288"/>
      <c r="P2081" s="288"/>
      <c r="Q2081" s="288"/>
      <c r="R2081" s="283"/>
      <c r="S2081" s="280"/>
      <c r="T2081" s="276"/>
      <c r="U2081" s="276"/>
      <c r="V2081" s="276"/>
      <c r="W2081" s="283"/>
      <c r="X2081" s="280"/>
      <c r="Y2081" s="280"/>
      <c r="Z2081" s="280"/>
      <c r="AA2081" s="280"/>
      <c r="AB2081" s="280"/>
      <c r="AC2081" s="280"/>
      <c r="AD2081" s="280"/>
      <c r="AG2081" s="3"/>
      <c r="AH2081" s="3"/>
      <c r="AI2081" s="3"/>
      <c r="AJ2081" s="3"/>
      <c r="AK2081" s="3"/>
      <c r="AL2081" s="3"/>
      <c r="AM2081" s="3"/>
      <c r="AN2081" s="3"/>
      <c r="AO2081" s="3"/>
      <c r="AP2081" s="11"/>
      <c r="AQ2081" s="11"/>
      <c r="AR2081" s="3"/>
      <c r="AS2081" s="3"/>
      <c r="AT2081" s="3"/>
      <c r="AU2081" s="3"/>
      <c r="AV2081" s="3"/>
      <c r="AW2081" s="3"/>
      <c r="AX2081" s="11"/>
      <c r="AZ2081"/>
      <c r="BA2081"/>
      <c r="BB2081"/>
      <c r="BC2081"/>
    </row>
    <row r="2082" spans="1:55" s="282" customFormat="1" x14ac:dyDescent="0.25">
      <c r="A2082"/>
      <c r="B2082"/>
      <c r="C2082" s="3"/>
      <c r="D2082"/>
      <c r="E2082"/>
      <c r="F2082"/>
      <c r="G2082" s="3"/>
      <c r="H2082" s="3"/>
      <c r="I2082" s="3"/>
      <c r="J2082" s="288"/>
      <c r="L2082" s="288"/>
      <c r="M2082" s="288"/>
      <c r="N2082" s="288"/>
      <c r="O2082" s="288"/>
      <c r="P2082" s="288"/>
      <c r="Q2082" s="288"/>
      <c r="R2082" s="283"/>
      <c r="S2082" s="280"/>
      <c r="T2082" s="276"/>
      <c r="U2082" s="276"/>
      <c r="V2082" s="276"/>
      <c r="W2082" s="283"/>
      <c r="X2082" s="280"/>
      <c r="Y2082" s="280"/>
      <c r="Z2082" s="280"/>
      <c r="AA2082" s="280"/>
      <c r="AB2082" s="280"/>
      <c r="AC2082" s="280"/>
      <c r="AD2082" s="280"/>
      <c r="AG2082" s="3"/>
      <c r="AH2082" s="3"/>
      <c r="AI2082" s="3"/>
      <c r="AJ2082" s="3"/>
      <c r="AK2082" s="3"/>
      <c r="AL2082" s="3"/>
      <c r="AM2082" s="3"/>
      <c r="AN2082" s="3"/>
      <c r="AO2082" s="3"/>
      <c r="AP2082" s="11"/>
      <c r="AQ2082" s="11"/>
      <c r="AR2082" s="3"/>
      <c r="AS2082" s="3"/>
      <c r="AT2082" s="3"/>
      <c r="AU2082" s="3"/>
      <c r="AV2082" s="3"/>
      <c r="AW2082" s="3"/>
      <c r="AX2082" s="11"/>
      <c r="AZ2082"/>
      <c r="BA2082"/>
      <c r="BB2082"/>
      <c r="BC2082"/>
    </row>
    <row r="2083" spans="1:55" s="282" customFormat="1" x14ac:dyDescent="0.25">
      <c r="A2083"/>
      <c r="B2083"/>
      <c r="C2083" s="3"/>
      <c r="D2083"/>
      <c r="E2083"/>
      <c r="F2083"/>
      <c r="G2083" s="3"/>
      <c r="H2083" s="3"/>
      <c r="I2083" s="3"/>
      <c r="J2083" s="288"/>
      <c r="L2083" s="288"/>
      <c r="M2083" s="288"/>
      <c r="N2083" s="288"/>
      <c r="O2083" s="288"/>
      <c r="P2083" s="288"/>
      <c r="Q2083" s="288"/>
      <c r="R2083" s="283"/>
      <c r="S2083" s="280"/>
      <c r="T2083" s="276"/>
      <c r="U2083" s="276"/>
      <c r="V2083" s="276"/>
      <c r="W2083" s="283"/>
      <c r="X2083" s="280"/>
      <c r="Y2083" s="280"/>
      <c r="Z2083" s="280"/>
      <c r="AA2083" s="280"/>
      <c r="AB2083" s="280"/>
      <c r="AC2083" s="280"/>
      <c r="AD2083" s="280"/>
      <c r="AG2083" s="3"/>
      <c r="AH2083" s="3"/>
      <c r="AI2083" s="3"/>
      <c r="AJ2083" s="3"/>
      <c r="AK2083" s="3"/>
      <c r="AL2083" s="3"/>
      <c r="AM2083" s="3"/>
      <c r="AN2083" s="3"/>
      <c r="AO2083" s="3"/>
      <c r="AP2083" s="11"/>
      <c r="AQ2083" s="11"/>
      <c r="AR2083" s="3"/>
      <c r="AS2083" s="3"/>
      <c r="AT2083" s="3"/>
      <c r="AU2083" s="3"/>
      <c r="AV2083" s="3"/>
      <c r="AW2083" s="3"/>
      <c r="AX2083" s="11"/>
      <c r="AZ2083"/>
      <c r="BA2083"/>
      <c r="BB2083"/>
      <c r="BC2083"/>
    </row>
    <row r="2084" spans="1:55" s="282" customFormat="1" x14ac:dyDescent="0.25">
      <c r="A2084"/>
      <c r="B2084"/>
      <c r="C2084" s="3"/>
      <c r="D2084"/>
      <c r="E2084"/>
      <c r="F2084"/>
      <c r="G2084" s="3"/>
      <c r="H2084" s="3"/>
      <c r="I2084" s="3"/>
      <c r="J2084" s="288"/>
      <c r="L2084" s="288"/>
      <c r="M2084" s="288"/>
      <c r="N2084" s="288"/>
      <c r="O2084" s="288"/>
      <c r="P2084" s="288"/>
      <c r="Q2084" s="288"/>
      <c r="R2084" s="283"/>
      <c r="S2084" s="280"/>
      <c r="T2084" s="276"/>
      <c r="U2084" s="276"/>
      <c r="V2084" s="276"/>
      <c r="W2084" s="283"/>
      <c r="X2084" s="280"/>
      <c r="Y2084" s="280"/>
      <c r="Z2084" s="280"/>
      <c r="AA2084" s="280"/>
      <c r="AB2084" s="280"/>
      <c r="AC2084" s="280"/>
      <c r="AD2084" s="280"/>
      <c r="AG2084" s="3"/>
      <c r="AH2084" s="3"/>
      <c r="AI2084" s="3"/>
      <c r="AJ2084" s="3"/>
      <c r="AK2084" s="3"/>
      <c r="AL2084" s="3"/>
      <c r="AM2084" s="3"/>
      <c r="AN2084" s="3"/>
      <c r="AO2084" s="3"/>
      <c r="AP2084" s="11"/>
      <c r="AQ2084" s="11"/>
      <c r="AR2084" s="3"/>
      <c r="AS2084" s="3"/>
      <c r="AT2084" s="3"/>
      <c r="AU2084" s="3"/>
      <c r="AV2084" s="3"/>
      <c r="AW2084" s="3"/>
      <c r="AX2084" s="11"/>
      <c r="AZ2084"/>
      <c r="BA2084"/>
      <c r="BB2084"/>
      <c r="BC2084"/>
    </row>
    <row r="2085" spans="1:55" s="282" customFormat="1" x14ac:dyDescent="0.25">
      <c r="A2085"/>
      <c r="B2085"/>
      <c r="C2085" s="3"/>
      <c r="D2085"/>
      <c r="E2085"/>
      <c r="F2085"/>
      <c r="G2085" s="3"/>
      <c r="H2085" s="3"/>
      <c r="I2085" s="3"/>
      <c r="J2085" s="288"/>
      <c r="L2085" s="288"/>
      <c r="M2085" s="288"/>
      <c r="N2085" s="288"/>
      <c r="O2085" s="288"/>
      <c r="P2085" s="288"/>
      <c r="Q2085" s="288"/>
      <c r="R2085" s="283"/>
      <c r="S2085" s="280"/>
      <c r="T2085" s="276"/>
      <c r="U2085" s="276"/>
      <c r="V2085" s="276"/>
      <c r="W2085" s="283"/>
      <c r="X2085" s="280"/>
      <c r="Y2085" s="280"/>
      <c r="Z2085" s="280"/>
      <c r="AA2085" s="280"/>
      <c r="AB2085" s="280"/>
      <c r="AC2085" s="280"/>
      <c r="AD2085" s="280"/>
      <c r="AG2085" s="3"/>
      <c r="AH2085" s="3"/>
      <c r="AI2085" s="3"/>
      <c r="AJ2085" s="3"/>
      <c r="AK2085" s="3"/>
      <c r="AL2085" s="3"/>
      <c r="AM2085" s="3"/>
      <c r="AN2085" s="3"/>
      <c r="AO2085" s="3"/>
      <c r="AP2085" s="11"/>
      <c r="AQ2085" s="11"/>
      <c r="AR2085" s="3"/>
      <c r="AS2085" s="3"/>
      <c r="AT2085" s="3"/>
      <c r="AU2085" s="3"/>
      <c r="AV2085" s="3"/>
      <c r="AW2085" s="3"/>
      <c r="AX2085" s="11"/>
      <c r="AZ2085"/>
      <c r="BA2085"/>
      <c r="BB2085"/>
      <c r="BC2085"/>
    </row>
    <row r="2086" spans="1:55" s="282" customFormat="1" x14ac:dyDescent="0.25">
      <c r="A2086"/>
      <c r="B2086"/>
      <c r="C2086" s="3"/>
      <c r="D2086"/>
      <c r="E2086"/>
      <c r="F2086"/>
      <c r="G2086" s="3"/>
      <c r="H2086" s="3"/>
      <c r="I2086" s="3"/>
      <c r="J2086" s="288"/>
      <c r="L2086" s="288"/>
      <c r="M2086" s="288"/>
      <c r="N2086" s="288"/>
      <c r="O2086" s="288"/>
      <c r="P2086" s="288"/>
      <c r="Q2086" s="288"/>
      <c r="R2086" s="283"/>
      <c r="S2086" s="280"/>
      <c r="T2086" s="276"/>
      <c r="U2086" s="276"/>
      <c r="V2086" s="276"/>
      <c r="W2086" s="283"/>
      <c r="X2086" s="280"/>
      <c r="Y2086" s="280"/>
      <c r="Z2086" s="280"/>
      <c r="AA2086" s="280"/>
      <c r="AB2086" s="280"/>
      <c r="AC2086" s="280"/>
      <c r="AD2086" s="280"/>
      <c r="AG2086" s="3"/>
      <c r="AH2086" s="3"/>
      <c r="AI2086" s="3"/>
      <c r="AJ2086" s="3"/>
      <c r="AK2086" s="3"/>
      <c r="AL2086" s="3"/>
      <c r="AM2086" s="3"/>
      <c r="AN2086" s="3"/>
      <c r="AO2086" s="3"/>
      <c r="AP2086" s="11"/>
      <c r="AQ2086" s="11"/>
      <c r="AR2086" s="3"/>
      <c r="AS2086" s="3"/>
      <c r="AT2086" s="3"/>
      <c r="AU2086" s="3"/>
      <c r="AV2086" s="3"/>
      <c r="AW2086" s="3"/>
      <c r="AX2086" s="11"/>
      <c r="AZ2086"/>
      <c r="BA2086"/>
      <c r="BB2086"/>
      <c r="BC2086"/>
    </row>
    <row r="2087" spans="1:55" s="282" customFormat="1" x14ac:dyDescent="0.25">
      <c r="A2087"/>
      <c r="B2087"/>
      <c r="C2087" s="3"/>
      <c r="D2087"/>
      <c r="E2087"/>
      <c r="F2087"/>
      <c r="G2087" s="3"/>
      <c r="H2087" s="3"/>
      <c r="I2087" s="3"/>
      <c r="J2087" s="288"/>
      <c r="L2087" s="288"/>
      <c r="M2087" s="288"/>
      <c r="N2087" s="288"/>
      <c r="O2087" s="288"/>
      <c r="P2087" s="288"/>
      <c r="Q2087" s="288"/>
      <c r="R2087" s="283"/>
      <c r="S2087" s="280"/>
      <c r="T2087" s="276"/>
      <c r="U2087" s="276"/>
      <c r="V2087" s="276"/>
      <c r="W2087" s="283"/>
      <c r="X2087" s="280"/>
      <c r="Y2087" s="280"/>
      <c r="Z2087" s="280"/>
      <c r="AA2087" s="280"/>
      <c r="AB2087" s="280"/>
      <c r="AC2087" s="280"/>
      <c r="AD2087" s="280"/>
      <c r="AG2087" s="3"/>
      <c r="AH2087" s="3"/>
      <c r="AI2087" s="3"/>
      <c r="AJ2087" s="3"/>
      <c r="AK2087" s="3"/>
      <c r="AL2087" s="3"/>
      <c r="AM2087" s="3"/>
      <c r="AN2087" s="3"/>
      <c r="AO2087" s="3"/>
      <c r="AP2087" s="11"/>
      <c r="AQ2087" s="11"/>
      <c r="AR2087" s="3"/>
      <c r="AS2087" s="3"/>
      <c r="AT2087" s="3"/>
      <c r="AU2087" s="3"/>
      <c r="AV2087" s="3"/>
      <c r="AW2087" s="3"/>
      <c r="AX2087" s="11"/>
      <c r="AZ2087"/>
      <c r="BA2087"/>
      <c r="BB2087"/>
      <c r="BC2087"/>
    </row>
    <row r="2088" spans="1:55" s="282" customFormat="1" x14ac:dyDescent="0.25">
      <c r="A2088"/>
      <c r="B2088"/>
      <c r="C2088" s="3"/>
      <c r="D2088"/>
      <c r="E2088"/>
      <c r="F2088"/>
      <c r="G2088" s="3"/>
      <c r="H2088" s="3"/>
      <c r="I2088" s="3"/>
      <c r="J2088" s="288"/>
      <c r="L2088" s="288"/>
      <c r="M2088" s="288"/>
      <c r="N2088" s="288"/>
      <c r="O2088" s="288"/>
      <c r="P2088" s="288"/>
      <c r="Q2088" s="288"/>
      <c r="R2088" s="283"/>
      <c r="S2088" s="280"/>
      <c r="T2088" s="276"/>
      <c r="U2088" s="276"/>
      <c r="V2088" s="276"/>
      <c r="W2088" s="283"/>
      <c r="X2088" s="280"/>
      <c r="Y2088" s="280"/>
      <c r="Z2088" s="280"/>
      <c r="AA2088" s="280"/>
      <c r="AB2088" s="280"/>
      <c r="AC2088" s="280"/>
      <c r="AD2088" s="280"/>
      <c r="AG2088" s="3"/>
      <c r="AH2088" s="3"/>
      <c r="AI2088" s="3"/>
      <c r="AJ2088" s="3"/>
      <c r="AK2088" s="3"/>
      <c r="AL2088" s="3"/>
      <c r="AM2088" s="3"/>
      <c r="AN2088" s="3"/>
      <c r="AO2088" s="3"/>
      <c r="AP2088" s="11"/>
      <c r="AQ2088" s="11"/>
      <c r="AR2088" s="3"/>
      <c r="AS2088" s="3"/>
      <c r="AT2088" s="3"/>
      <c r="AU2088" s="3"/>
      <c r="AV2088" s="3"/>
      <c r="AW2088" s="3"/>
      <c r="AX2088" s="11"/>
      <c r="AZ2088"/>
      <c r="BA2088"/>
      <c r="BB2088"/>
      <c r="BC2088"/>
    </row>
    <row r="2089" spans="1:55" s="282" customFormat="1" x14ac:dyDescent="0.25">
      <c r="A2089"/>
      <c r="B2089"/>
      <c r="C2089" s="3"/>
      <c r="D2089"/>
      <c r="E2089"/>
      <c r="F2089"/>
      <c r="G2089" s="3"/>
      <c r="H2089" s="3"/>
      <c r="I2089" s="3"/>
      <c r="J2089" s="288"/>
      <c r="L2089" s="288"/>
      <c r="M2089" s="288"/>
      <c r="N2089" s="288"/>
      <c r="O2089" s="288"/>
      <c r="P2089" s="288"/>
      <c r="Q2089" s="288"/>
      <c r="R2089" s="283"/>
      <c r="S2089" s="280"/>
      <c r="T2089" s="276"/>
      <c r="U2089" s="276"/>
      <c r="V2089" s="276"/>
      <c r="W2089" s="283"/>
      <c r="X2089" s="280"/>
      <c r="Y2089" s="280"/>
      <c r="Z2089" s="280"/>
      <c r="AA2089" s="280"/>
      <c r="AB2089" s="280"/>
      <c r="AC2089" s="280"/>
      <c r="AD2089" s="280"/>
      <c r="AG2089" s="3"/>
      <c r="AH2089" s="3"/>
      <c r="AI2089" s="3"/>
      <c r="AJ2089" s="3"/>
      <c r="AK2089" s="3"/>
      <c r="AL2089" s="3"/>
      <c r="AM2089" s="3"/>
      <c r="AN2089" s="3"/>
      <c r="AO2089" s="3"/>
      <c r="AP2089" s="11"/>
      <c r="AQ2089" s="11"/>
      <c r="AR2089" s="3"/>
      <c r="AS2089" s="3"/>
      <c r="AT2089" s="3"/>
      <c r="AU2089" s="3"/>
      <c r="AV2089" s="3"/>
      <c r="AW2089" s="3"/>
      <c r="AX2089" s="11"/>
      <c r="AZ2089"/>
      <c r="BA2089"/>
      <c r="BB2089"/>
      <c r="BC2089"/>
    </row>
    <row r="2090" spans="1:55" s="282" customFormat="1" x14ac:dyDescent="0.25">
      <c r="A2090"/>
      <c r="B2090"/>
      <c r="C2090" s="3"/>
      <c r="D2090"/>
      <c r="E2090"/>
      <c r="F2090"/>
      <c r="G2090" s="3"/>
      <c r="H2090" s="3"/>
      <c r="I2090" s="3"/>
      <c r="J2090" s="288"/>
      <c r="L2090" s="288"/>
      <c r="M2090" s="288"/>
      <c r="N2090" s="288"/>
      <c r="O2090" s="288"/>
      <c r="P2090" s="288"/>
      <c r="Q2090" s="288"/>
      <c r="R2090" s="283"/>
      <c r="S2090" s="280"/>
      <c r="T2090" s="276"/>
      <c r="U2090" s="276"/>
      <c r="V2090" s="276"/>
      <c r="W2090" s="283"/>
      <c r="X2090" s="280"/>
      <c r="Y2090" s="280"/>
      <c r="Z2090" s="280"/>
      <c r="AA2090" s="280"/>
      <c r="AB2090" s="280"/>
      <c r="AC2090" s="280"/>
      <c r="AD2090" s="280"/>
      <c r="AG2090" s="3"/>
      <c r="AH2090" s="3"/>
      <c r="AI2090" s="3"/>
      <c r="AJ2090" s="3"/>
      <c r="AK2090" s="3"/>
      <c r="AL2090" s="3"/>
      <c r="AM2090" s="3"/>
      <c r="AN2090" s="3"/>
      <c r="AO2090" s="3"/>
      <c r="AP2090" s="11"/>
      <c r="AQ2090" s="11"/>
      <c r="AR2090" s="3"/>
      <c r="AS2090" s="3"/>
      <c r="AT2090" s="3"/>
      <c r="AU2090" s="3"/>
      <c r="AV2090" s="3"/>
      <c r="AW2090" s="3"/>
      <c r="AX2090" s="11"/>
      <c r="AZ2090"/>
      <c r="BA2090"/>
      <c r="BB2090"/>
      <c r="BC2090"/>
    </row>
    <row r="2091" spans="1:55" s="282" customFormat="1" x14ac:dyDescent="0.25">
      <c r="A2091"/>
      <c r="B2091"/>
      <c r="C2091" s="3"/>
      <c r="D2091"/>
      <c r="E2091"/>
      <c r="F2091"/>
      <c r="G2091" s="3"/>
      <c r="H2091" s="3"/>
      <c r="I2091" s="3"/>
      <c r="J2091" s="288"/>
      <c r="L2091" s="288"/>
      <c r="M2091" s="288"/>
      <c r="N2091" s="288"/>
      <c r="O2091" s="288"/>
      <c r="P2091" s="288"/>
      <c r="Q2091" s="288"/>
      <c r="R2091" s="283"/>
      <c r="S2091" s="280"/>
      <c r="T2091" s="276"/>
      <c r="U2091" s="276"/>
      <c r="V2091" s="276"/>
      <c r="W2091" s="283"/>
      <c r="X2091" s="280"/>
      <c r="Y2091" s="280"/>
      <c r="Z2091" s="280"/>
      <c r="AA2091" s="280"/>
      <c r="AB2091" s="280"/>
      <c r="AC2091" s="280"/>
      <c r="AD2091" s="280"/>
      <c r="AG2091" s="3"/>
      <c r="AH2091" s="3"/>
      <c r="AI2091" s="3"/>
      <c r="AJ2091" s="3"/>
      <c r="AK2091" s="3"/>
      <c r="AL2091" s="3"/>
      <c r="AM2091" s="3"/>
      <c r="AN2091" s="3"/>
      <c r="AO2091" s="3"/>
      <c r="AP2091" s="11"/>
      <c r="AQ2091" s="11"/>
      <c r="AR2091" s="3"/>
      <c r="AS2091" s="3"/>
      <c r="AT2091" s="3"/>
      <c r="AU2091" s="3"/>
      <c r="AV2091" s="3"/>
      <c r="AW2091" s="3"/>
      <c r="AX2091" s="11"/>
      <c r="AZ2091"/>
      <c r="BA2091"/>
      <c r="BB2091"/>
      <c r="BC2091"/>
    </row>
    <row r="2092" spans="1:55" s="282" customFormat="1" x14ac:dyDescent="0.25">
      <c r="A2092"/>
      <c r="B2092"/>
      <c r="C2092" s="3"/>
      <c r="D2092"/>
      <c r="E2092"/>
      <c r="F2092"/>
      <c r="G2092" s="3"/>
      <c r="H2092" s="3"/>
      <c r="I2092" s="3"/>
      <c r="J2092" s="288"/>
      <c r="L2092" s="288"/>
      <c r="M2092" s="288"/>
      <c r="N2092" s="288"/>
      <c r="O2092" s="288"/>
      <c r="P2092" s="288"/>
      <c r="Q2092" s="288"/>
      <c r="R2092" s="283"/>
      <c r="S2092" s="280"/>
      <c r="T2092" s="276"/>
      <c r="U2092" s="276"/>
      <c r="V2092" s="276"/>
      <c r="W2092" s="283"/>
      <c r="X2092" s="280"/>
      <c r="Y2092" s="280"/>
      <c r="Z2092" s="280"/>
      <c r="AA2092" s="280"/>
      <c r="AB2092" s="280"/>
      <c r="AC2092" s="280"/>
      <c r="AD2092" s="280"/>
      <c r="AG2092" s="3"/>
      <c r="AH2092" s="3"/>
      <c r="AI2092" s="3"/>
      <c r="AJ2092" s="3"/>
      <c r="AK2092" s="3"/>
      <c r="AL2092" s="3"/>
      <c r="AM2092" s="3"/>
      <c r="AN2092" s="3"/>
      <c r="AO2092" s="3"/>
      <c r="AP2092" s="11"/>
      <c r="AQ2092" s="11"/>
      <c r="AR2092" s="3"/>
      <c r="AS2092" s="3"/>
      <c r="AT2092" s="3"/>
      <c r="AU2092" s="3"/>
      <c r="AV2092" s="3"/>
      <c r="AW2092" s="3"/>
      <c r="AX2092" s="11"/>
      <c r="AZ2092"/>
      <c r="BA2092"/>
      <c r="BB2092"/>
      <c r="BC2092"/>
    </row>
    <row r="2093" spans="1:55" s="282" customFormat="1" x14ac:dyDescent="0.25">
      <c r="A2093"/>
      <c r="B2093"/>
      <c r="C2093" s="3"/>
      <c r="D2093"/>
      <c r="E2093"/>
      <c r="F2093"/>
      <c r="G2093" s="3"/>
      <c r="H2093" s="3"/>
      <c r="I2093" s="3"/>
      <c r="J2093" s="288"/>
      <c r="L2093" s="288"/>
      <c r="M2093" s="288"/>
      <c r="N2093" s="288"/>
      <c r="O2093" s="288"/>
      <c r="P2093" s="288"/>
      <c r="Q2093" s="288"/>
      <c r="R2093" s="283"/>
      <c r="S2093" s="280"/>
      <c r="T2093" s="276"/>
      <c r="U2093" s="276"/>
      <c r="V2093" s="276"/>
      <c r="W2093" s="283"/>
      <c r="X2093" s="280"/>
      <c r="Y2093" s="280"/>
      <c r="Z2093" s="280"/>
      <c r="AA2093" s="280"/>
      <c r="AB2093" s="280"/>
      <c r="AC2093" s="280"/>
      <c r="AD2093" s="280"/>
      <c r="AG2093" s="3"/>
      <c r="AH2093" s="3"/>
      <c r="AI2093" s="3"/>
      <c r="AJ2093" s="3"/>
      <c r="AK2093" s="3"/>
      <c r="AL2093" s="3"/>
      <c r="AM2093" s="3"/>
      <c r="AN2093" s="3"/>
      <c r="AO2093" s="3"/>
      <c r="AP2093" s="11"/>
      <c r="AQ2093" s="11"/>
      <c r="AR2093" s="3"/>
      <c r="AS2093" s="3"/>
      <c r="AT2093" s="3"/>
      <c r="AU2093" s="3"/>
      <c r="AV2093" s="3"/>
      <c r="AW2093" s="3"/>
      <c r="AX2093" s="11"/>
      <c r="AZ2093"/>
      <c r="BA2093"/>
      <c r="BB2093"/>
      <c r="BC2093"/>
    </row>
    <row r="2094" spans="1:55" s="282" customFormat="1" x14ac:dyDescent="0.25">
      <c r="A2094"/>
      <c r="B2094"/>
      <c r="C2094" s="3"/>
      <c r="D2094"/>
      <c r="E2094"/>
      <c r="F2094"/>
      <c r="G2094" s="3"/>
      <c r="H2094" s="3"/>
      <c r="I2094" s="3"/>
      <c r="J2094" s="288"/>
      <c r="L2094" s="288"/>
      <c r="M2094" s="288"/>
      <c r="N2094" s="288"/>
      <c r="O2094" s="288"/>
      <c r="P2094" s="288"/>
      <c r="Q2094" s="288"/>
      <c r="R2094" s="283"/>
      <c r="S2094" s="280"/>
      <c r="T2094" s="276"/>
      <c r="U2094" s="276"/>
      <c r="V2094" s="276"/>
      <c r="W2094" s="283"/>
      <c r="X2094" s="280"/>
      <c r="Y2094" s="280"/>
      <c r="Z2094" s="280"/>
      <c r="AA2094" s="280"/>
      <c r="AB2094" s="280"/>
      <c r="AC2094" s="280"/>
      <c r="AD2094" s="280"/>
      <c r="AG2094" s="3"/>
      <c r="AH2094" s="3"/>
      <c r="AI2094" s="3"/>
      <c r="AJ2094" s="3"/>
      <c r="AK2094" s="3"/>
      <c r="AL2094" s="3"/>
      <c r="AM2094" s="3"/>
      <c r="AN2094" s="3"/>
      <c r="AO2094" s="3"/>
      <c r="AP2094" s="11"/>
      <c r="AQ2094" s="11"/>
      <c r="AR2094" s="3"/>
      <c r="AS2094" s="3"/>
      <c r="AT2094" s="3"/>
      <c r="AU2094" s="3"/>
      <c r="AV2094" s="3"/>
      <c r="AW2094" s="3"/>
      <c r="AX2094" s="11"/>
      <c r="AZ2094"/>
      <c r="BA2094"/>
      <c r="BB2094"/>
      <c r="BC2094"/>
    </row>
    <row r="2095" spans="1:55" s="282" customFormat="1" x14ac:dyDescent="0.25">
      <c r="A2095"/>
      <c r="B2095"/>
      <c r="C2095" s="3"/>
      <c r="D2095"/>
      <c r="E2095"/>
      <c r="F2095"/>
      <c r="G2095" s="3"/>
      <c r="H2095" s="3"/>
      <c r="I2095" s="3"/>
      <c r="J2095" s="288"/>
      <c r="L2095" s="288"/>
      <c r="M2095" s="288"/>
      <c r="N2095" s="288"/>
      <c r="O2095" s="288"/>
      <c r="P2095" s="288"/>
      <c r="Q2095" s="288"/>
      <c r="R2095" s="283"/>
      <c r="S2095" s="280"/>
      <c r="T2095" s="276"/>
      <c r="U2095" s="276"/>
      <c r="V2095" s="276"/>
      <c r="W2095" s="283"/>
      <c r="X2095" s="280"/>
      <c r="Y2095" s="280"/>
      <c r="Z2095" s="280"/>
      <c r="AA2095" s="280"/>
      <c r="AB2095" s="280"/>
      <c r="AC2095" s="280"/>
      <c r="AD2095" s="280"/>
      <c r="AG2095" s="3"/>
      <c r="AH2095" s="3"/>
      <c r="AI2095" s="3"/>
      <c r="AJ2095" s="3"/>
      <c r="AK2095" s="3"/>
      <c r="AL2095" s="3"/>
      <c r="AM2095" s="3"/>
      <c r="AN2095" s="3"/>
      <c r="AO2095" s="3"/>
      <c r="AP2095" s="11"/>
      <c r="AQ2095" s="11"/>
      <c r="AR2095" s="3"/>
      <c r="AS2095" s="3"/>
      <c r="AT2095" s="3"/>
      <c r="AU2095" s="3"/>
      <c r="AV2095" s="3"/>
      <c r="AW2095" s="3"/>
      <c r="AX2095" s="11"/>
      <c r="AZ2095"/>
      <c r="BA2095"/>
      <c r="BB2095"/>
      <c r="BC2095"/>
    </row>
    <row r="2096" spans="1:55" s="282" customFormat="1" x14ac:dyDescent="0.25">
      <c r="A2096"/>
      <c r="B2096"/>
      <c r="C2096" s="3"/>
      <c r="D2096"/>
      <c r="E2096"/>
      <c r="F2096"/>
      <c r="G2096" s="3"/>
      <c r="H2096" s="3"/>
      <c r="I2096" s="3"/>
      <c r="J2096" s="288"/>
      <c r="L2096" s="288"/>
      <c r="M2096" s="288"/>
      <c r="N2096" s="288"/>
      <c r="O2096" s="288"/>
      <c r="P2096" s="288"/>
      <c r="Q2096" s="288"/>
      <c r="R2096" s="283"/>
      <c r="S2096" s="280"/>
      <c r="T2096" s="276"/>
      <c r="U2096" s="276"/>
      <c r="V2096" s="276"/>
      <c r="W2096" s="283"/>
      <c r="X2096" s="280"/>
      <c r="Y2096" s="280"/>
      <c r="Z2096" s="280"/>
      <c r="AA2096" s="280"/>
      <c r="AB2096" s="280"/>
      <c r="AC2096" s="280"/>
      <c r="AD2096" s="280"/>
      <c r="AG2096" s="3"/>
      <c r="AH2096" s="3"/>
      <c r="AI2096" s="3"/>
      <c r="AJ2096" s="3"/>
      <c r="AK2096" s="3"/>
      <c r="AL2096" s="3"/>
      <c r="AM2096" s="3"/>
      <c r="AN2096" s="3"/>
      <c r="AO2096" s="3"/>
      <c r="AP2096" s="11"/>
      <c r="AQ2096" s="11"/>
      <c r="AR2096" s="3"/>
      <c r="AS2096" s="3"/>
      <c r="AT2096" s="3"/>
      <c r="AU2096" s="3"/>
      <c r="AV2096" s="3"/>
      <c r="AW2096" s="3"/>
      <c r="AX2096" s="11"/>
      <c r="AZ2096"/>
      <c r="BA2096"/>
      <c r="BB2096"/>
      <c r="BC2096"/>
    </row>
    <row r="2097" spans="1:55" s="282" customFormat="1" x14ac:dyDescent="0.25">
      <c r="A2097"/>
      <c r="B2097"/>
      <c r="C2097" s="3"/>
      <c r="D2097"/>
      <c r="E2097"/>
      <c r="F2097"/>
      <c r="G2097" s="3"/>
      <c r="H2097" s="3"/>
      <c r="I2097" s="3"/>
      <c r="J2097" s="288"/>
      <c r="L2097" s="288"/>
      <c r="M2097" s="288"/>
      <c r="N2097" s="288"/>
      <c r="O2097" s="288"/>
      <c r="P2097" s="288"/>
      <c r="Q2097" s="288"/>
      <c r="R2097" s="283"/>
      <c r="S2097" s="280"/>
      <c r="T2097" s="276"/>
      <c r="U2097" s="276"/>
      <c r="V2097" s="276"/>
      <c r="W2097" s="283"/>
      <c r="X2097" s="280"/>
      <c r="Y2097" s="280"/>
      <c r="Z2097" s="280"/>
      <c r="AA2097" s="280"/>
      <c r="AB2097" s="280"/>
      <c r="AC2097" s="280"/>
      <c r="AD2097" s="280"/>
      <c r="AG2097" s="3"/>
      <c r="AH2097" s="3"/>
      <c r="AI2097" s="3"/>
      <c r="AJ2097" s="3"/>
      <c r="AK2097" s="3"/>
      <c r="AL2097" s="3"/>
      <c r="AM2097" s="3"/>
      <c r="AN2097" s="3"/>
      <c r="AO2097" s="3"/>
      <c r="AP2097" s="11"/>
      <c r="AQ2097" s="11"/>
      <c r="AR2097" s="3"/>
      <c r="AS2097" s="3"/>
      <c r="AT2097" s="3"/>
      <c r="AU2097" s="3"/>
      <c r="AV2097" s="3"/>
      <c r="AW2097" s="3"/>
      <c r="AX2097" s="11"/>
      <c r="AZ2097"/>
      <c r="BA2097"/>
      <c r="BB2097"/>
      <c r="BC2097"/>
    </row>
    <row r="2098" spans="1:55" s="282" customFormat="1" x14ac:dyDescent="0.25">
      <c r="A2098"/>
      <c r="B2098"/>
      <c r="C2098" s="3"/>
      <c r="D2098"/>
      <c r="E2098"/>
      <c r="F2098"/>
      <c r="G2098" s="3"/>
      <c r="H2098" s="3"/>
      <c r="I2098" s="3"/>
      <c r="J2098" s="288"/>
      <c r="L2098" s="288"/>
      <c r="M2098" s="288"/>
      <c r="N2098" s="288"/>
      <c r="O2098" s="288"/>
      <c r="P2098" s="288"/>
      <c r="Q2098" s="288"/>
      <c r="R2098" s="283"/>
      <c r="S2098" s="280"/>
      <c r="T2098" s="276"/>
      <c r="U2098" s="276"/>
      <c r="V2098" s="276"/>
      <c r="W2098" s="283"/>
      <c r="X2098" s="280"/>
      <c r="Y2098" s="280"/>
      <c r="Z2098" s="280"/>
      <c r="AA2098" s="280"/>
      <c r="AB2098" s="280"/>
      <c r="AC2098" s="280"/>
      <c r="AD2098" s="280"/>
      <c r="AG2098" s="3"/>
      <c r="AH2098" s="3"/>
      <c r="AI2098" s="3"/>
      <c r="AJ2098" s="3"/>
      <c r="AK2098" s="3"/>
      <c r="AL2098" s="3"/>
      <c r="AM2098" s="3"/>
      <c r="AN2098" s="3"/>
      <c r="AO2098" s="3"/>
      <c r="AP2098" s="11"/>
      <c r="AQ2098" s="11"/>
      <c r="AR2098" s="3"/>
      <c r="AS2098" s="3"/>
      <c r="AT2098" s="3"/>
      <c r="AU2098" s="3"/>
      <c r="AV2098" s="3"/>
      <c r="AW2098" s="3"/>
      <c r="AX2098" s="11"/>
      <c r="AZ2098"/>
      <c r="BA2098"/>
      <c r="BB2098"/>
      <c r="BC2098"/>
    </row>
    <row r="2099" spans="1:55" s="282" customFormat="1" x14ac:dyDescent="0.25">
      <c r="A2099"/>
      <c r="B2099"/>
      <c r="C2099" s="3"/>
      <c r="D2099"/>
      <c r="E2099"/>
      <c r="F2099"/>
      <c r="G2099" s="3"/>
      <c r="H2099" s="3"/>
      <c r="I2099" s="3"/>
      <c r="J2099" s="288"/>
      <c r="L2099" s="288"/>
      <c r="M2099" s="288"/>
      <c r="N2099" s="288"/>
      <c r="O2099" s="288"/>
      <c r="P2099" s="288"/>
      <c r="Q2099" s="288"/>
      <c r="R2099" s="283"/>
      <c r="S2099" s="280"/>
      <c r="T2099" s="276"/>
      <c r="U2099" s="276"/>
      <c r="V2099" s="276"/>
      <c r="W2099" s="283"/>
      <c r="X2099" s="280"/>
      <c r="Y2099" s="280"/>
      <c r="Z2099" s="280"/>
      <c r="AA2099" s="280"/>
      <c r="AB2099" s="280"/>
      <c r="AC2099" s="280"/>
      <c r="AD2099" s="280"/>
      <c r="AG2099" s="3"/>
      <c r="AH2099" s="3"/>
      <c r="AI2099" s="3"/>
      <c r="AJ2099" s="3"/>
      <c r="AK2099" s="3"/>
      <c r="AL2099" s="3"/>
      <c r="AM2099" s="3"/>
      <c r="AN2099" s="3"/>
      <c r="AO2099" s="3"/>
      <c r="AP2099" s="11"/>
      <c r="AQ2099" s="11"/>
      <c r="AR2099" s="3"/>
      <c r="AS2099" s="3"/>
      <c r="AT2099" s="3"/>
      <c r="AU2099" s="3"/>
      <c r="AV2099" s="3"/>
      <c r="AW2099" s="3"/>
      <c r="AX2099" s="11"/>
      <c r="AZ2099"/>
      <c r="BA2099"/>
      <c r="BB2099"/>
      <c r="BC2099"/>
    </row>
    <row r="2100" spans="1:55" s="282" customFormat="1" x14ac:dyDescent="0.25">
      <c r="A2100"/>
      <c r="B2100"/>
      <c r="C2100" s="3"/>
      <c r="D2100"/>
      <c r="E2100"/>
      <c r="F2100"/>
      <c r="G2100" s="3"/>
      <c r="H2100" s="3"/>
      <c r="I2100" s="3"/>
      <c r="J2100" s="288"/>
      <c r="L2100" s="288"/>
      <c r="M2100" s="288"/>
      <c r="N2100" s="288"/>
      <c r="O2100" s="288"/>
      <c r="P2100" s="288"/>
      <c r="Q2100" s="288"/>
      <c r="R2100" s="283"/>
      <c r="S2100" s="280"/>
      <c r="T2100" s="276"/>
      <c r="U2100" s="276"/>
      <c r="V2100" s="276"/>
      <c r="W2100" s="283"/>
      <c r="X2100" s="280"/>
      <c r="Y2100" s="280"/>
      <c r="Z2100" s="280"/>
      <c r="AA2100" s="280"/>
      <c r="AB2100" s="280"/>
      <c r="AC2100" s="280"/>
      <c r="AD2100" s="280"/>
      <c r="AG2100" s="3"/>
      <c r="AH2100" s="3"/>
      <c r="AI2100" s="3"/>
      <c r="AJ2100" s="3"/>
      <c r="AK2100" s="3"/>
      <c r="AL2100" s="3"/>
      <c r="AM2100" s="3"/>
      <c r="AN2100" s="3"/>
      <c r="AO2100" s="3"/>
      <c r="AP2100" s="11"/>
      <c r="AQ2100" s="11"/>
      <c r="AR2100" s="3"/>
      <c r="AS2100" s="3"/>
      <c r="AT2100" s="3"/>
      <c r="AU2100" s="3"/>
      <c r="AV2100" s="3"/>
      <c r="AW2100" s="3"/>
      <c r="AX2100" s="11"/>
      <c r="AZ2100"/>
      <c r="BA2100"/>
      <c r="BB2100"/>
      <c r="BC2100"/>
    </row>
    <row r="2101" spans="1:55" s="282" customFormat="1" x14ac:dyDescent="0.25">
      <c r="A2101"/>
      <c r="B2101"/>
      <c r="C2101" s="3"/>
      <c r="D2101"/>
      <c r="E2101"/>
      <c r="F2101"/>
      <c r="G2101" s="3"/>
      <c r="H2101" s="3"/>
      <c r="I2101" s="3"/>
      <c r="J2101" s="288"/>
      <c r="L2101" s="288"/>
      <c r="M2101" s="288"/>
      <c r="N2101" s="288"/>
      <c r="O2101" s="288"/>
      <c r="P2101" s="288"/>
      <c r="Q2101" s="288"/>
      <c r="R2101" s="283"/>
      <c r="S2101" s="280"/>
      <c r="T2101" s="276"/>
      <c r="U2101" s="276"/>
      <c r="V2101" s="276"/>
      <c r="W2101" s="283"/>
      <c r="X2101" s="280"/>
      <c r="Y2101" s="280"/>
      <c r="Z2101" s="280"/>
      <c r="AA2101" s="280"/>
      <c r="AB2101" s="280"/>
      <c r="AC2101" s="280"/>
      <c r="AD2101" s="280"/>
      <c r="AG2101" s="3"/>
      <c r="AH2101" s="3"/>
      <c r="AI2101" s="3"/>
      <c r="AJ2101" s="3"/>
      <c r="AK2101" s="3"/>
      <c r="AL2101" s="3"/>
      <c r="AM2101" s="3"/>
      <c r="AN2101" s="3"/>
      <c r="AO2101" s="3"/>
      <c r="AP2101" s="11"/>
      <c r="AQ2101" s="11"/>
      <c r="AR2101" s="3"/>
      <c r="AS2101" s="3"/>
      <c r="AT2101" s="3"/>
      <c r="AU2101" s="3"/>
      <c r="AV2101" s="3"/>
      <c r="AW2101" s="3"/>
      <c r="AX2101" s="11"/>
      <c r="AZ2101"/>
      <c r="BA2101"/>
      <c r="BB2101"/>
      <c r="BC2101"/>
    </row>
    <row r="2102" spans="1:55" s="282" customFormat="1" x14ac:dyDescent="0.25">
      <c r="A2102"/>
      <c r="B2102"/>
      <c r="C2102" s="3"/>
      <c r="D2102"/>
      <c r="E2102"/>
      <c r="F2102"/>
      <c r="G2102" s="3"/>
      <c r="H2102" s="3"/>
      <c r="I2102" s="3"/>
      <c r="J2102" s="288"/>
      <c r="L2102" s="288"/>
      <c r="M2102" s="288"/>
      <c r="N2102" s="288"/>
      <c r="O2102" s="288"/>
      <c r="P2102" s="288"/>
      <c r="Q2102" s="288"/>
      <c r="R2102" s="283"/>
      <c r="S2102" s="280"/>
      <c r="T2102" s="276"/>
      <c r="U2102" s="276"/>
      <c r="V2102" s="276"/>
      <c r="W2102" s="283"/>
      <c r="X2102" s="280"/>
      <c r="Y2102" s="280"/>
      <c r="Z2102" s="280"/>
      <c r="AA2102" s="280"/>
      <c r="AB2102" s="280"/>
      <c r="AC2102" s="280"/>
      <c r="AD2102" s="280"/>
      <c r="AG2102" s="3"/>
      <c r="AH2102" s="3"/>
      <c r="AI2102" s="3"/>
      <c r="AJ2102" s="3"/>
      <c r="AK2102" s="3"/>
      <c r="AL2102" s="3"/>
      <c r="AM2102" s="3"/>
      <c r="AN2102" s="3"/>
      <c r="AO2102" s="3"/>
      <c r="AP2102" s="11"/>
      <c r="AQ2102" s="11"/>
      <c r="AR2102" s="3"/>
      <c r="AS2102" s="3"/>
      <c r="AT2102" s="3"/>
      <c r="AU2102" s="3"/>
      <c r="AV2102" s="3"/>
      <c r="AW2102" s="3"/>
      <c r="AX2102" s="11"/>
      <c r="AZ2102"/>
      <c r="BA2102"/>
      <c r="BB2102"/>
      <c r="BC2102"/>
    </row>
    <row r="2103" spans="1:55" s="282" customFormat="1" x14ac:dyDescent="0.25">
      <c r="A2103"/>
      <c r="B2103"/>
      <c r="C2103" s="3"/>
      <c r="D2103"/>
      <c r="E2103"/>
      <c r="F2103"/>
      <c r="G2103" s="3"/>
      <c r="H2103" s="3"/>
      <c r="I2103" s="3"/>
      <c r="J2103" s="288"/>
      <c r="L2103" s="288"/>
      <c r="M2103" s="288"/>
      <c r="N2103" s="288"/>
      <c r="O2103" s="288"/>
      <c r="P2103" s="288"/>
      <c r="Q2103" s="288"/>
      <c r="R2103" s="283"/>
      <c r="S2103" s="280"/>
      <c r="T2103" s="276"/>
      <c r="U2103" s="276"/>
      <c r="V2103" s="276"/>
      <c r="W2103" s="283"/>
      <c r="X2103" s="280"/>
      <c r="Y2103" s="280"/>
      <c r="Z2103" s="280"/>
      <c r="AA2103" s="280"/>
      <c r="AB2103" s="280"/>
      <c r="AC2103" s="280"/>
      <c r="AD2103" s="280"/>
      <c r="AG2103" s="3"/>
      <c r="AH2103" s="3"/>
      <c r="AI2103" s="3"/>
      <c r="AJ2103" s="3"/>
      <c r="AK2103" s="3"/>
      <c r="AL2103" s="3"/>
      <c r="AM2103" s="3"/>
      <c r="AN2103" s="3"/>
      <c r="AO2103" s="3"/>
      <c r="AP2103" s="11"/>
      <c r="AQ2103" s="11"/>
      <c r="AR2103" s="3"/>
      <c r="AS2103" s="3"/>
      <c r="AT2103" s="3"/>
      <c r="AU2103" s="3"/>
      <c r="AV2103" s="3"/>
      <c r="AW2103" s="3"/>
      <c r="AX2103" s="11"/>
      <c r="AZ2103"/>
      <c r="BA2103"/>
      <c r="BB2103"/>
      <c r="BC2103"/>
    </row>
    <row r="2104" spans="1:55" s="282" customFormat="1" x14ac:dyDescent="0.25">
      <c r="A2104"/>
      <c r="B2104"/>
      <c r="C2104" s="3"/>
      <c r="D2104"/>
      <c r="E2104"/>
      <c r="F2104"/>
      <c r="G2104" s="3"/>
      <c r="H2104" s="3"/>
      <c r="I2104" s="3"/>
      <c r="J2104" s="288"/>
      <c r="L2104" s="288"/>
      <c r="M2104" s="288"/>
      <c r="N2104" s="288"/>
      <c r="O2104" s="288"/>
      <c r="P2104" s="288"/>
      <c r="Q2104" s="288"/>
      <c r="R2104" s="283"/>
      <c r="S2104" s="280"/>
      <c r="T2104" s="276"/>
      <c r="U2104" s="276"/>
      <c r="V2104" s="276"/>
      <c r="W2104" s="283"/>
      <c r="X2104" s="280"/>
      <c r="Y2104" s="280"/>
      <c r="Z2104" s="280"/>
      <c r="AA2104" s="280"/>
      <c r="AB2104" s="280"/>
      <c r="AC2104" s="280"/>
      <c r="AD2104" s="280"/>
      <c r="AG2104" s="3"/>
      <c r="AH2104" s="3"/>
      <c r="AI2104" s="3"/>
      <c r="AJ2104" s="3"/>
      <c r="AK2104" s="3"/>
      <c r="AL2104" s="3"/>
      <c r="AM2104" s="3"/>
      <c r="AN2104" s="3"/>
      <c r="AO2104" s="3"/>
      <c r="AP2104" s="11"/>
      <c r="AQ2104" s="11"/>
      <c r="AR2104" s="3"/>
      <c r="AS2104" s="3"/>
      <c r="AT2104" s="3"/>
      <c r="AU2104" s="3"/>
      <c r="AV2104" s="3"/>
      <c r="AW2104" s="3"/>
      <c r="AX2104" s="11"/>
      <c r="AZ2104"/>
      <c r="BA2104"/>
      <c r="BB2104"/>
      <c r="BC2104"/>
    </row>
    <row r="2105" spans="1:55" s="282" customFormat="1" x14ac:dyDescent="0.25">
      <c r="A2105"/>
      <c r="B2105"/>
      <c r="C2105" s="3"/>
      <c r="D2105"/>
      <c r="E2105"/>
      <c r="F2105"/>
      <c r="G2105" s="3"/>
      <c r="H2105" s="3"/>
      <c r="I2105" s="3"/>
      <c r="J2105" s="288"/>
      <c r="L2105" s="288"/>
      <c r="M2105" s="288"/>
      <c r="N2105" s="288"/>
      <c r="O2105" s="288"/>
      <c r="P2105" s="288"/>
      <c r="Q2105" s="288"/>
      <c r="R2105" s="283"/>
      <c r="S2105" s="280"/>
      <c r="T2105" s="276"/>
      <c r="U2105" s="276"/>
      <c r="V2105" s="276"/>
      <c r="W2105" s="283"/>
      <c r="X2105" s="280"/>
      <c r="Y2105" s="280"/>
      <c r="Z2105" s="280"/>
      <c r="AA2105" s="280"/>
      <c r="AB2105" s="280"/>
      <c r="AC2105" s="280"/>
      <c r="AD2105" s="280"/>
      <c r="AG2105" s="3"/>
      <c r="AH2105" s="3"/>
      <c r="AI2105" s="3"/>
      <c r="AJ2105" s="3"/>
      <c r="AK2105" s="3"/>
      <c r="AL2105" s="3"/>
      <c r="AM2105" s="3"/>
      <c r="AN2105" s="3"/>
      <c r="AO2105" s="3"/>
      <c r="AP2105" s="11"/>
      <c r="AQ2105" s="11"/>
      <c r="AR2105" s="3"/>
      <c r="AS2105" s="3"/>
      <c r="AT2105" s="3"/>
      <c r="AU2105" s="3"/>
      <c r="AV2105" s="3"/>
      <c r="AW2105" s="3"/>
      <c r="AX2105" s="11"/>
      <c r="AZ2105"/>
      <c r="BA2105"/>
      <c r="BB2105"/>
      <c r="BC2105"/>
    </row>
    <row r="2106" spans="1:55" s="282" customFormat="1" x14ac:dyDescent="0.25">
      <c r="A2106"/>
      <c r="B2106"/>
      <c r="C2106" s="3"/>
      <c r="D2106"/>
      <c r="E2106"/>
      <c r="F2106"/>
      <c r="G2106" s="3"/>
      <c r="H2106" s="3"/>
      <c r="I2106" s="3"/>
      <c r="J2106" s="288"/>
      <c r="L2106" s="288"/>
      <c r="M2106" s="288"/>
      <c r="N2106" s="288"/>
      <c r="O2106" s="288"/>
      <c r="P2106" s="288"/>
      <c r="Q2106" s="288"/>
      <c r="R2106" s="283"/>
      <c r="S2106" s="280"/>
      <c r="T2106" s="276"/>
      <c r="U2106" s="276"/>
      <c r="V2106" s="276"/>
      <c r="W2106" s="283"/>
      <c r="X2106" s="280"/>
      <c r="Y2106" s="280"/>
      <c r="Z2106" s="280"/>
      <c r="AA2106" s="280"/>
      <c r="AB2106" s="280"/>
      <c r="AC2106" s="280"/>
      <c r="AD2106" s="280"/>
      <c r="AG2106" s="3"/>
      <c r="AH2106" s="3"/>
      <c r="AI2106" s="3"/>
      <c r="AJ2106" s="3"/>
      <c r="AK2106" s="3"/>
      <c r="AL2106" s="3"/>
      <c r="AM2106" s="3"/>
      <c r="AN2106" s="3"/>
      <c r="AO2106" s="3"/>
      <c r="AP2106" s="11"/>
      <c r="AQ2106" s="11"/>
      <c r="AR2106" s="3"/>
      <c r="AS2106" s="3"/>
      <c r="AT2106" s="3"/>
      <c r="AU2106" s="3"/>
      <c r="AV2106" s="3"/>
      <c r="AW2106" s="3"/>
      <c r="AX2106" s="11"/>
      <c r="AZ2106"/>
      <c r="BA2106"/>
      <c r="BB2106"/>
      <c r="BC2106"/>
    </row>
    <row r="2107" spans="1:55" s="282" customFormat="1" x14ac:dyDescent="0.25">
      <c r="A2107"/>
      <c r="B2107"/>
      <c r="C2107" s="3"/>
      <c r="D2107"/>
      <c r="E2107"/>
      <c r="F2107"/>
      <c r="G2107" s="3"/>
      <c r="H2107" s="3"/>
      <c r="I2107" s="3"/>
      <c r="J2107" s="288"/>
      <c r="L2107" s="288"/>
      <c r="M2107" s="288"/>
      <c r="N2107" s="288"/>
      <c r="O2107" s="288"/>
      <c r="P2107" s="288"/>
      <c r="Q2107" s="288"/>
      <c r="R2107" s="283"/>
      <c r="S2107" s="280"/>
      <c r="T2107" s="276"/>
      <c r="U2107" s="276"/>
      <c r="V2107" s="276"/>
      <c r="W2107" s="283"/>
      <c r="X2107" s="280"/>
      <c r="Y2107" s="280"/>
      <c r="Z2107" s="280"/>
      <c r="AA2107" s="280"/>
      <c r="AB2107" s="280"/>
      <c r="AC2107" s="280"/>
      <c r="AD2107" s="280"/>
      <c r="AG2107" s="3"/>
      <c r="AH2107" s="3"/>
      <c r="AI2107" s="3"/>
      <c r="AJ2107" s="3"/>
      <c r="AK2107" s="3"/>
      <c r="AL2107" s="3"/>
      <c r="AM2107" s="3"/>
      <c r="AN2107" s="3"/>
      <c r="AO2107" s="3"/>
      <c r="AP2107" s="11"/>
      <c r="AQ2107" s="11"/>
      <c r="AR2107" s="3"/>
      <c r="AS2107" s="3"/>
      <c r="AT2107" s="3"/>
      <c r="AU2107" s="3"/>
      <c r="AV2107" s="3"/>
      <c r="AW2107" s="3"/>
      <c r="AX2107" s="11"/>
      <c r="AZ2107"/>
      <c r="BA2107"/>
      <c r="BB2107"/>
      <c r="BC2107"/>
    </row>
    <row r="2108" spans="1:55" s="282" customFormat="1" x14ac:dyDescent="0.25">
      <c r="A2108"/>
      <c r="B2108"/>
      <c r="C2108" s="3"/>
      <c r="D2108"/>
      <c r="E2108"/>
      <c r="F2108"/>
      <c r="G2108" s="3"/>
      <c r="H2108" s="3"/>
      <c r="I2108" s="3"/>
      <c r="J2108" s="288"/>
      <c r="L2108" s="288"/>
      <c r="M2108" s="288"/>
      <c r="N2108" s="288"/>
      <c r="O2108" s="288"/>
      <c r="P2108" s="288"/>
      <c r="Q2108" s="288"/>
      <c r="R2108" s="283"/>
      <c r="S2108" s="280"/>
      <c r="T2108" s="276"/>
      <c r="U2108" s="276"/>
      <c r="V2108" s="276"/>
      <c r="W2108" s="283"/>
      <c r="X2108" s="280"/>
      <c r="Y2108" s="280"/>
      <c r="Z2108" s="280"/>
      <c r="AA2108" s="280"/>
      <c r="AB2108" s="280"/>
      <c r="AC2108" s="280"/>
      <c r="AD2108" s="280"/>
      <c r="AG2108" s="3"/>
      <c r="AH2108" s="3"/>
      <c r="AI2108" s="3"/>
      <c r="AJ2108" s="3"/>
      <c r="AK2108" s="3"/>
      <c r="AL2108" s="3"/>
      <c r="AM2108" s="3"/>
      <c r="AN2108" s="3"/>
      <c r="AO2108" s="3"/>
      <c r="AP2108" s="11"/>
      <c r="AQ2108" s="11"/>
      <c r="AR2108" s="3"/>
      <c r="AS2108" s="3"/>
      <c r="AT2108" s="3"/>
      <c r="AU2108" s="3"/>
      <c r="AV2108" s="3"/>
      <c r="AW2108" s="3"/>
      <c r="AX2108" s="11"/>
      <c r="AZ2108"/>
      <c r="BA2108"/>
      <c r="BB2108"/>
      <c r="BC2108"/>
    </row>
    <row r="2109" spans="1:55" s="282" customFormat="1" x14ac:dyDescent="0.25">
      <c r="A2109"/>
      <c r="B2109"/>
      <c r="C2109" s="3"/>
      <c r="D2109"/>
      <c r="E2109"/>
      <c r="F2109"/>
      <c r="G2109" s="3"/>
      <c r="H2109" s="3"/>
      <c r="I2109" s="3"/>
      <c r="J2109" s="288"/>
      <c r="L2109" s="288"/>
      <c r="M2109" s="288"/>
      <c r="N2109" s="288"/>
      <c r="O2109" s="288"/>
      <c r="P2109" s="288"/>
      <c r="Q2109" s="288"/>
      <c r="R2109" s="283"/>
      <c r="S2109" s="280"/>
      <c r="T2109" s="276"/>
      <c r="U2109" s="276"/>
      <c r="V2109" s="276"/>
      <c r="W2109" s="283"/>
      <c r="X2109" s="280"/>
      <c r="Y2109" s="280"/>
      <c r="Z2109" s="280"/>
      <c r="AA2109" s="280"/>
      <c r="AB2109" s="280"/>
      <c r="AC2109" s="280"/>
      <c r="AD2109" s="280"/>
      <c r="AG2109" s="3"/>
      <c r="AH2109" s="3"/>
      <c r="AI2109" s="3"/>
      <c r="AJ2109" s="3"/>
      <c r="AK2109" s="3"/>
      <c r="AL2109" s="3"/>
      <c r="AM2109" s="3"/>
      <c r="AN2109" s="3"/>
      <c r="AO2109" s="3"/>
      <c r="AP2109" s="11"/>
      <c r="AQ2109" s="11"/>
      <c r="AR2109" s="3"/>
      <c r="AS2109" s="3"/>
      <c r="AT2109" s="3"/>
      <c r="AU2109" s="3"/>
      <c r="AV2109" s="3"/>
      <c r="AW2109" s="3"/>
      <c r="AX2109" s="11"/>
      <c r="AZ2109"/>
      <c r="BA2109"/>
      <c r="BB2109"/>
      <c r="BC2109"/>
    </row>
    <row r="2110" spans="1:55" s="282" customFormat="1" x14ac:dyDescent="0.25">
      <c r="A2110"/>
      <c r="B2110"/>
      <c r="C2110" s="3"/>
      <c r="D2110"/>
      <c r="E2110"/>
      <c r="F2110"/>
      <c r="G2110" s="3"/>
      <c r="H2110" s="3"/>
      <c r="I2110" s="3"/>
      <c r="J2110" s="288"/>
      <c r="L2110" s="288"/>
      <c r="M2110" s="288"/>
      <c r="N2110" s="288"/>
      <c r="O2110" s="288"/>
      <c r="P2110" s="288"/>
      <c r="Q2110" s="288"/>
      <c r="R2110" s="283"/>
      <c r="S2110" s="280"/>
      <c r="T2110" s="276"/>
      <c r="U2110" s="276"/>
      <c r="V2110" s="276"/>
      <c r="W2110" s="283"/>
      <c r="X2110" s="280"/>
      <c r="Y2110" s="280"/>
      <c r="Z2110" s="280"/>
      <c r="AA2110" s="280"/>
      <c r="AB2110" s="280"/>
      <c r="AC2110" s="280"/>
      <c r="AD2110" s="280"/>
      <c r="AG2110" s="3"/>
      <c r="AH2110" s="3"/>
      <c r="AI2110" s="3"/>
      <c r="AJ2110" s="3"/>
      <c r="AK2110" s="3"/>
      <c r="AL2110" s="3"/>
      <c r="AM2110" s="3"/>
      <c r="AN2110" s="3"/>
      <c r="AO2110" s="3"/>
      <c r="AP2110" s="11"/>
      <c r="AQ2110" s="11"/>
      <c r="AR2110" s="3"/>
      <c r="AS2110" s="3"/>
      <c r="AT2110" s="3"/>
      <c r="AU2110" s="3"/>
      <c r="AV2110" s="3"/>
      <c r="AW2110" s="3"/>
      <c r="AX2110" s="11"/>
      <c r="AZ2110"/>
      <c r="BA2110"/>
      <c r="BB2110"/>
      <c r="BC2110"/>
    </row>
    <row r="2111" spans="1:55" s="282" customFormat="1" x14ac:dyDescent="0.25">
      <c r="A2111"/>
      <c r="B2111"/>
      <c r="C2111" s="3"/>
      <c r="D2111"/>
      <c r="E2111"/>
      <c r="F2111"/>
      <c r="G2111" s="3"/>
      <c r="H2111" s="3"/>
      <c r="I2111" s="3"/>
      <c r="J2111" s="288"/>
      <c r="L2111" s="288"/>
      <c r="M2111" s="288"/>
      <c r="N2111" s="288"/>
      <c r="O2111" s="288"/>
      <c r="P2111" s="288"/>
      <c r="Q2111" s="288"/>
      <c r="R2111" s="283"/>
      <c r="S2111" s="280"/>
      <c r="T2111" s="276"/>
      <c r="U2111" s="276"/>
      <c r="V2111" s="276"/>
      <c r="W2111" s="283"/>
      <c r="X2111" s="280"/>
      <c r="Y2111" s="280"/>
      <c r="Z2111" s="280"/>
      <c r="AA2111" s="280"/>
      <c r="AB2111" s="280"/>
      <c r="AC2111" s="280"/>
      <c r="AD2111" s="280"/>
      <c r="AG2111" s="3"/>
      <c r="AH2111" s="3"/>
      <c r="AI2111" s="3"/>
      <c r="AJ2111" s="3"/>
      <c r="AK2111" s="3"/>
      <c r="AL2111" s="3"/>
      <c r="AM2111" s="3"/>
      <c r="AN2111" s="3"/>
      <c r="AO2111" s="3"/>
      <c r="AP2111" s="11"/>
      <c r="AQ2111" s="11"/>
      <c r="AR2111" s="3"/>
      <c r="AS2111" s="3"/>
      <c r="AT2111" s="3"/>
      <c r="AU2111" s="3"/>
      <c r="AV2111" s="3"/>
      <c r="AW2111" s="3"/>
      <c r="AX2111" s="11"/>
      <c r="AZ2111"/>
      <c r="BA2111"/>
      <c r="BB2111"/>
      <c r="BC2111"/>
    </row>
    <row r="2112" spans="1:55" s="282" customFormat="1" x14ac:dyDescent="0.25">
      <c r="A2112"/>
      <c r="B2112"/>
      <c r="C2112" s="3"/>
      <c r="D2112"/>
      <c r="E2112"/>
      <c r="F2112"/>
      <c r="G2112" s="3"/>
      <c r="H2112" s="3"/>
      <c r="I2112" s="3"/>
      <c r="J2112" s="288"/>
      <c r="L2112" s="288"/>
      <c r="M2112" s="288"/>
      <c r="N2112" s="288"/>
      <c r="O2112" s="288"/>
      <c r="P2112" s="288"/>
      <c r="Q2112" s="288"/>
      <c r="R2112" s="283"/>
      <c r="S2112" s="280"/>
      <c r="T2112" s="276"/>
      <c r="U2112" s="276"/>
      <c r="V2112" s="276"/>
      <c r="W2112" s="283"/>
      <c r="X2112" s="280"/>
      <c r="Y2112" s="280"/>
      <c r="Z2112" s="280"/>
      <c r="AA2112" s="280"/>
      <c r="AB2112" s="280"/>
      <c r="AC2112" s="280"/>
      <c r="AD2112" s="280"/>
      <c r="AG2112" s="3"/>
      <c r="AH2112" s="3"/>
      <c r="AI2112" s="3"/>
      <c r="AJ2112" s="3"/>
      <c r="AK2112" s="3"/>
      <c r="AL2112" s="3"/>
      <c r="AM2112" s="3"/>
      <c r="AN2112" s="3"/>
      <c r="AO2112" s="3"/>
      <c r="AP2112" s="11"/>
      <c r="AQ2112" s="11"/>
      <c r="AR2112" s="3"/>
      <c r="AS2112" s="3"/>
      <c r="AT2112" s="3"/>
      <c r="AU2112" s="3"/>
      <c r="AV2112" s="3"/>
      <c r="AW2112" s="3"/>
      <c r="AX2112" s="11"/>
      <c r="AZ2112"/>
      <c r="BA2112"/>
      <c r="BB2112"/>
      <c r="BC2112"/>
    </row>
    <row r="2113" spans="1:55" s="282" customFormat="1" x14ac:dyDescent="0.25">
      <c r="A2113"/>
      <c r="B2113"/>
      <c r="C2113" s="3"/>
      <c r="D2113"/>
      <c r="E2113"/>
      <c r="F2113"/>
      <c r="G2113" s="3"/>
      <c r="H2113" s="3"/>
      <c r="I2113" s="3"/>
      <c r="J2113" s="288"/>
      <c r="L2113" s="288"/>
      <c r="M2113" s="288"/>
      <c r="N2113" s="288"/>
      <c r="O2113" s="288"/>
      <c r="P2113" s="288"/>
      <c r="Q2113" s="288"/>
      <c r="R2113" s="283"/>
      <c r="S2113" s="280"/>
      <c r="T2113" s="276"/>
      <c r="U2113" s="276"/>
      <c r="V2113" s="276"/>
      <c r="W2113" s="283"/>
      <c r="X2113" s="280"/>
      <c r="Y2113" s="280"/>
      <c r="Z2113" s="280"/>
      <c r="AA2113" s="280"/>
      <c r="AB2113" s="280"/>
      <c r="AC2113" s="280"/>
      <c r="AD2113" s="280"/>
      <c r="AG2113" s="3"/>
      <c r="AH2113" s="3"/>
      <c r="AI2113" s="3"/>
      <c r="AJ2113" s="3"/>
      <c r="AK2113" s="3"/>
      <c r="AL2113" s="3"/>
      <c r="AM2113" s="3"/>
      <c r="AN2113" s="3"/>
      <c r="AO2113" s="3"/>
      <c r="AP2113" s="11"/>
      <c r="AQ2113" s="11"/>
      <c r="AR2113" s="3"/>
      <c r="AS2113" s="3"/>
      <c r="AT2113" s="3"/>
      <c r="AU2113" s="3"/>
      <c r="AV2113" s="3"/>
      <c r="AW2113" s="3"/>
      <c r="AX2113" s="11"/>
      <c r="AZ2113"/>
      <c r="BA2113"/>
      <c r="BB2113"/>
      <c r="BC2113"/>
    </row>
    <row r="2114" spans="1:55" s="282" customFormat="1" x14ac:dyDescent="0.25">
      <c r="A2114"/>
      <c r="B2114"/>
      <c r="C2114" s="3"/>
      <c r="D2114"/>
      <c r="E2114"/>
      <c r="F2114"/>
      <c r="G2114" s="3"/>
      <c r="H2114" s="3"/>
      <c r="I2114" s="3"/>
      <c r="J2114" s="288"/>
      <c r="L2114" s="288"/>
      <c r="M2114" s="288"/>
      <c r="N2114" s="288"/>
      <c r="O2114" s="288"/>
      <c r="P2114" s="288"/>
      <c r="Q2114" s="288"/>
      <c r="R2114" s="283"/>
      <c r="S2114" s="280"/>
      <c r="T2114" s="276"/>
      <c r="U2114" s="276"/>
      <c r="V2114" s="276"/>
      <c r="W2114" s="283"/>
      <c r="X2114" s="280"/>
      <c r="Y2114" s="280"/>
      <c r="Z2114" s="280"/>
      <c r="AA2114" s="280"/>
      <c r="AB2114" s="280"/>
      <c r="AC2114" s="280"/>
      <c r="AD2114" s="280"/>
      <c r="AG2114" s="3"/>
      <c r="AH2114" s="3"/>
      <c r="AI2114" s="3"/>
      <c r="AJ2114" s="3"/>
      <c r="AK2114" s="3"/>
      <c r="AL2114" s="3"/>
      <c r="AM2114" s="3"/>
      <c r="AN2114" s="3"/>
      <c r="AO2114" s="3"/>
      <c r="AP2114" s="11"/>
      <c r="AQ2114" s="11"/>
      <c r="AR2114" s="3"/>
      <c r="AS2114" s="3"/>
      <c r="AT2114" s="3"/>
      <c r="AU2114" s="3"/>
      <c r="AV2114" s="3"/>
      <c r="AW2114" s="3"/>
      <c r="AX2114" s="11"/>
      <c r="AZ2114"/>
      <c r="BA2114"/>
      <c r="BB2114"/>
      <c r="BC2114"/>
    </row>
    <row r="2115" spans="1:55" s="282" customFormat="1" x14ac:dyDescent="0.25">
      <c r="A2115"/>
      <c r="B2115"/>
      <c r="C2115" s="3"/>
      <c r="D2115"/>
      <c r="E2115"/>
      <c r="F2115"/>
      <c r="G2115" s="3"/>
      <c r="H2115" s="3"/>
      <c r="I2115" s="3"/>
      <c r="J2115" s="288"/>
      <c r="L2115" s="288"/>
      <c r="M2115" s="288"/>
      <c r="N2115" s="288"/>
      <c r="O2115" s="288"/>
      <c r="P2115" s="288"/>
      <c r="Q2115" s="288"/>
      <c r="R2115" s="283"/>
      <c r="S2115" s="280"/>
      <c r="T2115" s="276"/>
      <c r="U2115" s="276"/>
      <c r="V2115" s="276"/>
      <c r="W2115" s="283"/>
      <c r="X2115" s="280"/>
      <c r="Y2115" s="280"/>
      <c r="Z2115" s="280"/>
      <c r="AA2115" s="280"/>
      <c r="AB2115" s="280"/>
      <c r="AC2115" s="280"/>
      <c r="AD2115" s="280"/>
      <c r="AG2115" s="3"/>
      <c r="AH2115" s="3"/>
      <c r="AI2115" s="3"/>
      <c r="AJ2115" s="3"/>
      <c r="AK2115" s="3"/>
      <c r="AL2115" s="3"/>
      <c r="AM2115" s="3"/>
      <c r="AN2115" s="3"/>
      <c r="AO2115" s="3"/>
      <c r="AP2115" s="11"/>
      <c r="AQ2115" s="11"/>
      <c r="AR2115" s="3"/>
      <c r="AS2115" s="3"/>
      <c r="AT2115" s="3"/>
      <c r="AU2115" s="3"/>
      <c r="AV2115" s="3"/>
      <c r="AW2115" s="3"/>
      <c r="AX2115" s="11"/>
      <c r="AZ2115"/>
      <c r="BA2115"/>
      <c r="BB2115"/>
      <c r="BC2115"/>
    </row>
    <row r="2116" spans="1:55" s="282" customFormat="1" x14ac:dyDescent="0.25">
      <c r="A2116"/>
      <c r="B2116"/>
      <c r="C2116" s="3"/>
      <c r="D2116"/>
      <c r="E2116"/>
      <c r="F2116"/>
      <c r="G2116" s="3"/>
      <c r="H2116" s="3"/>
      <c r="I2116" s="3"/>
      <c r="J2116" s="288"/>
      <c r="L2116" s="288"/>
      <c r="M2116" s="288"/>
      <c r="N2116" s="288"/>
      <c r="O2116" s="288"/>
      <c r="P2116" s="288"/>
      <c r="Q2116" s="288"/>
      <c r="R2116" s="283"/>
      <c r="S2116" s="280"/>
      <c r="T2116" s="276"/>
      <c r="U2116" s="276"/>
      <c r="V2116" s="276"/>
      <c r="W2116" s="283"/>
      <c r="X2116" s="280"/>
      <c r="Y2116" s="280"/>
      <c r="Z2116" s="280"/>
      <c r="AA2116" s="280"/>
      <c r="AB2116" s="280"/>
      <c r="AC2116" s="280"/>
      <c r="AD2116" s="280"/>
      <c r="AG2116" s="3"/>
      <c r="AH2116" s="3"/>
      <c r="AI2116" s="3"/>
      <c r="AJ2116" s="3"/>
      <c r="AK2116" s="3"/>
      <c r="AL2116" s="3"/>
      <c r="AM2116" s="3"/>
      <c r="AN2116" s="3"/>
      <c r="AO2116" s="3"/>
      <c r="AP2116" s="11"/>
      <c r="AQ2116" s="11"/>
      <c r="AR2116" s="3"/>
      <c r="AS2116" s="3"/>
      <c r="AT2116" s="3"/>
      <c r="AU2116" s="3"/>
      <c r="AV2116" s="3"/>
      <c r="AW2116" s="3"/>
      <c r="AX2116" s="11"/>
      <c r="AZ2116"/>
      <c r="BA2116"/>
      <c r="BB2116"/>
      <c r="BC2116"/>
    </row>
    <row r="2117" spans="1:55" s="282" customFormat="1" x14ac:dyDescent="0.25">
      <c r="A2117"/>
      <c r="B2117"/>
      <c r="C2117" s="3"/>
      <c r="D2117"/>
      <c r="E2117"/>
      <c r="F2117"/>
      <c r="G2117" s="3"/>
      <c r="H2117" s="3"/>
      <c r="I2117" s="3"/>
      <c r="J2117" s="288"/>
      <c r="L2117" s="288"/>
      <c r="M2117" s="288"/>
      <c r="N2117" s="288"/>
      <c r="O2117" s="288"/>
      <c r="P2117" s="288"/>
      <c r="Q2117" s="288"/>
      <c r="R2117" s="283"/>
      <c r="S2117" s="280"/>
      <c r="T2117" s="276"/>
      <c r="U2117" s="276"/>
      <c r="V2117" s="276"/>
      <c r="W2117" s="283"/>
      <c r="X2117" s="280"/>
      <c r="Y2117" s="280"/>
      <c r="Z2117" s="280"/>
      <c r="AA2117" s="280"/>
      <c r="AB2117" s="280"/>
      <c r="AC2117" s="280"/>
      <c r="AD2117" s="280"/>
      <c r="AG2117" s="3"/>
      <c r="AH2117" s="3"/>
      <c r="AI2117" s="3"/>
      <c r="AJ2117" s="3"/>
      <c r="AK2117" s="3"/>
      <c r="AL2117" s="3"/>
      <c r="AM2117" s="3"/>
      <c r="AN2117" s="3"/>
      <c r="AO2117" s="3"/>
      <c r="AP2117" s="11"/>
      <c r="AQ2117" s="11"/>
      <c r="AR2117" s="3"/>
      <c r="AS2117" s="3"/>
      <c r="AT2117" s="3"/>
      <c r="AU2117" s="3"/>
      <c r="AV2117" s="3"/>
      <c r="AW2117" s="3"/>
      <c r="AX2117" s="11"/>
      <c r="AZ2117"/>
      <c r="BA2117"/>
      <c r="BB2117"/>
      <c r="BC2117"/>
    </row>
    <row r="2118" spans="1:55" s="282" customFormat="1" x14ac:dyDescent="0.25">
      <c r="A2118"/>
      <c r="B2118"/>
      <c r="C2118" s="3"/>
      <c r="D2118"/>
      <c r="E2118"/>
      <c r="F2118"/>
      <c r="G2118" s="3"/>
      <c r="H2118" s="3"/>
      <c r="I2118" s="3"/>
      <c r="J2118" s="288"/>
      <c r="L2118" s="288"/>
      <c r="M2118" s="288"/>
      <c r="N2118" s="288"/>
      <c r="O2118" s="288"/>
      <c r="P2118" s="288"/>
      <c r="Q2118" s="288"/>
      <c r="R2118" s="283"/>
      <c r="S2118" s="280"/>
      <c r="T2118" s="276"/>
      <c r="U2118" s="276"/>
      <c r="V2118" s="276"/>
      <c r="W2118" s="283"/>
      <c r="X2118" s="280"/>
      <c r="Y2118" s="280"/>
      <c r="Z2118" s="280"/>
      <c r="AA2118" s="280"/>
      <c r="AB2118" s="280"/>
      <c r="AC2118" s="280"/>
      <c r="AD2118" s="280"/>
      <c r="AG2118" s="3"/>
      <c r="AH2118" s="3"/>
      <c r="AI2118" s="3"/>
      <c r="AJ2118" s="3"/>
      <c r="AK2118" s="3"/>
      <c r="AL2118" s="3"/>
      <c r="AM2118" s="3"/>
      <c r="AN2118" s="3"/>
      <c r="AO2118" s="3"/>
      <c r="AP2118" s="11"/>
      <c r="AQ2118" s="11"/>
      <c r="AR2118" s="3"/>
      <c r="AS2118" s="3"/>
      <c r="AT2118" s="3"/>
      <c r="AU2118" s="3"/>
      <c r="AV2118" s="3"/>
      <c r="AW2118" s="3"/>
      <c r="AX2118" s="11"/>
      <c r="AZ2118"/>
      <c r="BA2118"/>
      <c r="BB2118"/>
      <c r="BC2118"/>
    </row>
    <row r="2119" spans="1:55" s="282" customFormat="1" x14ac:dyDescent="0.25">
      <c r="A2119"/>
      <c r="B2119"/>
      <c r="C2119" s="3"/>
      <c r="D2119"/>
      <c r="E2119"/>
      <c r="F2119"/>
      <c r="G2119" s="3"/>
      <c r="H2119" s="3"/>
      <c r="I2119" s="3"/>
      <c r="J2119" s="288"/>
      <c r="L2119" s="288"/>
      <c r="M2119" s="288"/>
      <c r="N2119" s="288"/>
      <c r="O2119" s="288"/>
      <c r="P2119" s="288"/>
      <c r="Q2119" s="288"/>
      <c r="R2119" s="283"/>
      <c r="S2119" s="280"/>
      <c r="T2119" s="276"/>
      <c r="U2119" s="276"/>
      <c r="V2119" s="276"/>
      <c r="W2119" s="283"/>
      <c r="X2119" s="280"/>
      <c r="Y2119" s="280"/>
      <c r="Z2119" s="280"/>
      <c r="AA2119" s="280"/>
      <c r="AB2119" s="280"/>
      <c r="AC2119" s="280"/>
      <c r="AD2119" s="280"/>
      <c r="AG2119" s="3"/>
      <c r="AH2119" s="3"/>
      <c r="AI2119" s="3"/>
      <c r="AJ2119" s="3"/>
      <c r="AK2119" s="3"/>
      <c r="AL2119" s="3"/>
      <c r="AM2119" s="3"/>
      <c r="AN2119" s="3"/>
      <c r="AO2119" s="3"/>
      <c r="AP2119" s="11"/>
      <c r="AQ2119" s="11"/>
      <c r="AR2119" s="3"/>
      <c r="AS2119" s="3"/>
      <c r="AT2119" s="3"/>
      <c r="AU2119" s="3"/>
      <c r="AV2119" s="3"/>
      <c r="AW2119" s="3"/>
      <c r="AX2119" s="11"/>
      <c r="AZ2119"/>
      <c r="BA2119"/>
      <c r="BB2119"/>
      <c r="BC2119"/>
    </row>
    <row r="2120" spans="1:55" s="282" customFormat="1" x14ac:dyDescent="0.25">
      <c r="A2120"/>
      <c r="B2120"/>
      <c r="C2120" s="3"/>
      <c r="D2120"/>
      <c r="E2120"/>
      <c r="F2120"/>
      <c r="G2120" s="3"/>
      <c r="H2120" s="3"/>
      <c r="I2120" s="3"/>
      <c r="J2120" s="288"/>
      <c r="L2120" s="288"/>
      <c r="M2120" s="288"/>
      <c r="N2120" s="288"/>
      <c r="O2120" s="288"/>
      <c r="P2120" s="288"/>
      <c r="Q2120" s="288"/>
      <c r="R2120" s="283"/>
      <c r="S2120" s="280"/>
      <c r="T2120" s="276"/>
      <c r="U2120" s="276"/>
      <c r="V2120" s="276"/>
      <c r="W2120" s="283"/>
      <c r="X2120" s="280"/>
      <c r="Y2120" s="280"/>
      <c r="Z2120" s="280"/>
      <c r="AA2120" s="280"/>
      <c r="AB2120" s="280"/>
      <c r="AC2120" s="280"/>
      <c r="AD2120" s="280"/>
      <c r="AG2120" s="3"/>
      <c r="AH2120" s="3"/>
      <c r="AI2120" s="3"/>
      <c r="AJ2120" s="3"/>
      <c r="AK2120" s="3"/>
      <c r="AL2120" s="3"/>
      <c r="AM2120" s="3"/>
      <c r="AN2120" s="3"/>
      <c r="AO2120" s="3"/>
      <c r="AP2120" s="11"/>
      <c r="AQ2120" s="11"/>
      <c r="AR2120" s="3"/>
      <c r="AS2120" s="3"/>
      <c r="AT2120" s="3"/>
      <c r="AU2120" s="3"/>
      <c r="AV2120" s="3"/>
      <c r="AW2120" s="3"/>
      <c r="AX2120" s="11"/>
      <c r="AZ2120"/>
      <c r="BA2120"/>
      <c r="BB2120"/>
      <c r="BC2120"/>
    </row>
    <row r="2121" spans="1:55" s="282" customFormat="1" x14ac:dyDescent="0.25">
      <c r="A2121"/>
      <c r="B2121"/>
      <c r="C2121" s="3"/>
      <c r="D2121"/>
      <c r="E2121"/>
      <c r="F2121"/>
      <c r="G2121" s="3"/>
      <c r="H2121" s="3"/>
      <c r="I2121" s="3"/>
      <c r="J2121" s="288"/>
      <c r="L2121" s="288"/>
      <c r="M2121" s="288"/>
      <c r="N2121" s="288"/>
      <c r="O2121" s="288"/>
      <c r="P2121" s="288"/>
      <c r="Q2121" s="288"/>
      <c r="R2121" s="283"/>
      <c r="S2121" s="280"/>
      <c r="T2121" s="276"/>
      <c r="U2121" s="276"/>
      <c r="V2121" s="276"/>
      <c r="W2121" s="283"/>
      <c r="X2121" s="280"/>
      <c r="Y2121" s="280"/>
      <c r="Z2121" s="280"/>
      <c r="AA2121" s="280"/>
      <c r="AB2121" s="280"/>
      <c r="AC2121" s="280"/>
      <c r="AD2121" s="280"/>
      <c r="AG2121" s="3"/>
      <c r="AH2121" s="3"/>
      <c r="AI2121" s="3"/>
      <c r="AJ2121" s="3"/>
      <c r="AK2121" s="3"/>
      <c r="AL2121" s="3"/>
      <c r="AM2121" s="3"/>
      <c r="AN2121" s="3"/>
      <c r="AO2121" s="3"/>
      <c r="AP2121" s="11"/>
      <c r="AQ2121" s="11"/>
      <c r="AR2121" s="3"/>
      <c r="AS2121" s="3"/>
      <c r="AT2121" s="3"/>
      <c r="AU2121" s="3"/>
      <c r="AV2121" s="3"/>
      <c r="AW2121" s="3"/>
      <c r="AX2121" s="11"/>
      <c r="AZ2121"/>
      <c r="BA2121"/>
      <c r="BB2121"/>
      <c r="BC2121"/>
    </row>
    <row r="2122" spans="1:55" s="282" customFormat="1" x14ac:dyDescent="0.25">
      <c r="A2122"/>
      <c r="B2122"/>
      <c r="C2122" s="3"/>
      <c r="D2122"/>
      <c r="E2122"/>
      <c r="F2122"/>
      <c r="G2122" s="3"/>
      <c r="H2122" s="3"/>
      <c r="I2122" s="3"/>
      <c r="J2122" s="288"/>
      <c r="L2122" s="288"/>
      <c r="M2122" s="288"/>
      <c r="N2122" s="288"/>
      <c r="O2122" s="288"/>
      <c r="P2122" s="288"/>
      <c r="Q2122" s="288"/>
      <c r="R2122" s="283"/>
      <c r="S2122" s="280"/>
      <c r="T2122" s="276"/>
      <c r="U2122" s="276"/>
      <c r="V2122" s="276"/>
      <c r="W2122" s="283"/>
      <c r="X2122" s="280"/>
      <c r="Y2122" s="280"/>
      <c r="Z2122" s="280"/>
      <c r="AA2122" s="280"/>
      <c r="AB2122" s="280"/>
      <c r="AC2122" s="280"/>
      <c r="AD2122" s="280"/>
      <c r="AG2122" s="3"/>
      <c r="AH2122" s="3"/>
      <c r="AI2122" s="3"/>
      <c r="AJ2122" s="3"/>
      <c r="AK2122" s="3"/>
      <c r="AL2122" s="3"/>
      <c r="AM2122" s="3"/>
      <c r="AN2122" s="3"/>
      <c r="AO2122" s="3"/>
      <c r="AP2122" s="11"/>
      <c r="AQ2122" s="11"/>
      <c r="AR2122" s="3"/>
      <c r="AS2122" s="3"/>
      <c r="AT2122" s="3"/>
      <c r="AU2122" s="3"/>
      <c r="AV2122" s="3"/>
      <c r="AW2122" s="3"/>
      <c r="AX2122" s="11"/>
      <c r="AZ2122"/>
      <c r="BA2122"/>
      <c r="BB2122"/>
      <c r="BC2122"/>
    </row>
    <row r="2123" spans="1:55" s="282" customFormat="1" x14ac:dyDescent="0.25">
      <c r="A2123"/>
      <c r="B2123"/>
      <c r="C2123" s="3"/>
      <c r="D2123"/>
      <c r="E2123"/>
      <c r="F2123"/>
      <c r="G2123" s="3"/>
      <c r="H2123" s="3"/>
      <c r="I2123" s="3"/>
      <c r="J2123" s="288"/>
      <c r="L2123" s="288"/>
      <c r="M2123" s="288"/>
      <c r="N2123" s="288"/>
      <c r="O2123" s="288"/>
      <c r="P2123" s="288"/>
      <c r="Q2123" s="288"/>
      <c r="R2123" s="283"/>
      <c r="S2123" s="280"/>
      <c r="T2123" s="276"/>
      <c r="U2123" s="276"/>
      <c r="V2123" s="276"/>
      <c r="W2123" s="283"/>
      <c r="X2123" s="280"/>
      <c r="Y2123" s="280"/>
      <c r="Z2123" s="280"/>
      <c r="AA2123" s="280"/>
      <c r="AB2123" s="280"/>
      <c r="AC2123" s="280"/>
      <c r="AD2123" s="280"/>
      <c r="AG2123" s="3"/>
      <c r="AH2123" s="3"/>
      <c r="AI2123" s="3"/>
      <c r="AJ2123" s="3"/>
      <c r="AK2123" s="3"/>
      <c r="AL2123" s="3"/>
      <c r="AM2123" s="3"/>
      <c r="AN2123" s="3"/>
      <c r="AO2123" s="3"/>
      <c r="AP2123" s="11"/>
      <c r="AQ2123" s="11"/>
      <c r="AR2123" s="3"/>
      <c r="AS2123" s="3"/>
      <c r="AT2123" s="3"/>
      <c r="AU2123" s="3"/>
      <c r="AV2123" s="3"/>
      <c r="AW2123" s="3"/>
      <c r="AX2123" s="11"/>
      <c r="AZ2123"/>
      <c r="BA2123"/>
      <c r="BB2123"/>
      <c r="BC2123"/>
    </row>
    <row r="2124" spans="1:55" s="282" customFormat="1" x14ac:dyDescent="0.25">
      <c r="A2124"/>
      <c r="B2124"/>
      <c r="C2124" s="3"/>
      <c r="D2124"/>
      <c r="E2124"/>
      <c r="F2124"/>
      <c r="G2124" s="3"/>
      <c r="H2124" s="3"/>
      <c r="I2124" s="3"/>
      <c r="J2124" s="288"/>
      <c r="L2124" s="288"/>
      <c r="M2124" s="288"/>
      <c r="N2124" s="288"/>
      <c r="O2124" s="288"/>
      <c r="P2124" s="288"/>
      <c r="Q2124" s="288"/>
      <c r="R2124" s="283"/>
      <c r="S2124" s="280"/>
      <c r="T2124" s="276"/>
      <c r="U2124" s="276"/>
      <c r="V2124" s="276"/>
      <c r="W2124" s="283"/>
      <c r="X2124" s="280"/>
      <c r="Y2124" s="280"/>
      <c r="Z2124" s="280"/>
      <c r="AA2124" s="280"/>
      <c r="AB2124" s="280"/>
      <c r="AC2124" s="280"/>
      <c r="AD2124" s="280"/>
      <c r="AG2124" s="3"/>
      <c r="AH2124" s="3"/>
      <c r="AI2124" s="3"/>
      <c r="AJ2124" s="3"/>
      <c r="AK2124" s="3"/>
      <c r="AL2124" s="3"/>
      <c r="AM2124" s="3"/>
      <c r="AN2124" s="3"/>
      <c r="AO2124" s="3"/>
      <c r="AP2124" s="11"/>
      <c r="AQ2124" s="11"/>
      <c r="AR2124" s="3"/>
      <c r="AS2124" s="3"/>
      <c r="AT2124" s="3"/>
      <c r="AU2124" s="3"/>
      <c r="AV2124" s="3"/>
      <c r="AW2124" s="3"/>
      <c r="AX2124" s="11"/>
      <c r="AZ2124"/>
      <c r="BA2124"/>
      <c r="BB2124"/>
      <c r="BC2124"/>
    </row>
    <row r="2125" spans="1:55" s="282" customFormat="1" x14ac:dyDescent="0.25">
      <c r="A2125"/>
      <c r="B2125"/>
      <c r="C2125" s="3"/>
      <c r="D2125"/>
      <c r="E2125"/>
      <c r="F2125"/>
      <c r="G2125" s="3"/>
      <c r="H2125" s="3"/>
      <c r="I2125" s="3"/>
      <c r="J2125" s="288"/>
      <c r="L2125" s="288"/>
      <c r="M2125" s="288"/>
      <c r="N2125" s="288"/>
      <c r="O2125" s="288"/>
      <c r="P2125" s="288"/>
      <c r="Q2125" s="288"/>
      <c r="R2125" s="283"/>
      <c r="S2125" s="280"/>
      <c r="T2125" s="276"/>
      <c r="U2125" s="276"/>
      <c r="V2125" s="276"/>
      <c r="W2125" s="283"/>
      <c r="X2125" s="280"/>
      <c r="Y2125" s="280"/>
      <c r="Z2125" s="280"/>
      <c r="AA2125" s="280"/>
      <c r="AB2125" s="280"/>
      <c r="AC2125" s="280"/>
      <c r="AD2125" s="280"/>
      <c r="AG2125" s="3"/>
      <c r="AH2125" s="3"/>
      <c r="AI2125" s="3"/>
      <c r="AJ2125" s="3"/>
      <c r="AK2125" s="3"/>
      <c r="AL2125" s="3"/>
      <c r="AM2125" s="3"/>
      <c r="AN2125" s="3"/>
      <c r="AO2125" s="3"/>
      <c r="AP2125" s="11"/>
      <c r="AQ2125" s="11"/>
      <c r="AR2125" s="3"/>
      <c r="AS2125" s="3"/>
      <c r="AT2125" s="3"/>
      <c r="AU2125" s="3"/>
      <c r="AV2125" s="3"/>
      <c r="AW2125" s="3"/>
      <c r="AX2125" s="11"/>
      <c r="AZ2125"/>
      <c r="BA2125"/>
      <c r="BB2125"/>
      <c r="BC2125"/>
    </row>
    <row r="2126" spans="1:55" s="282" customFormat="1" x14ac:dyDescent="0.25">
      <c r="A2126"/>
      <c r="B2126"/>
      <c r="C2126" s="3"/>
      <c r="D2126"/>
      <c r="E2126"/>
      <c r="F2126"/>
      <c r="G2126" s="3"/>
      <c r="H2126" s="3"/>
      <c r="I2126" s="3"/>
      <c r="J2126" s="288"/>
      <c r="L2126" s="288"/>
      <c r="M2126" s="288"/>
      <c r="N2126" s="288"/>
      <c r="O2126" s="288"/>
      <c r="P2126" s="288"/>
      <c r="Q2126" s="288"/>
      <c r="R2126" s="283"/>
      <c r="S2126" s="280"/>
      <c r="T2126" s="276"/>
      <c r="U2126" s="276"/>
      <c r="V2126" s="276"/>
      <c r="W2126" s="283"/>
      <c r="X2126" s="280"/>
      <c r="Y2126" s="280"/>
      <c r="Z2126" s="280"/>
      <c r="AA2126" s="280"/>
      <c r="AB2126" s="280"/>
      <c r="AC2126" s="280"/>
      <c r="AD2126" s="280"/>
      <c r="AG2126" s="3"/>
      <c r="AH2126" s="3"/>
      <c r="AI2126" s="3"/>
      <c r="AJ2126" s="3"/>
      <c r="AK2126" s="3"/>
      <c r="AL2126" s="3"/>
      <c r="AM2126" s="3"/>
      <c r="AN2126" s="3"/>
      <c r="AO2126" s="3"/>
      <c r="AP2126" s="11"/>
      <c r="AQ2126" s="11"/>
      <c r="AR2126" s="3"/>
      <c r="AS2126" s="3"/>
      <c r="AT2126" s="3"/>
      <c r="AU2126" s="3"/>
      <c r="AV2126" s="3"/>
      <c r="AW2126" s="3"/>
      <c r="AX2126" s="11"/>
      <c r="AZ2126"/>
      <c r="BA2126"/>
      <c r="BB2126"/>
      <c r="BC2126"/>
    </row>
    <row r="2127" spans="1:55" s="282" customFormat="1" x14ac:dyDescent="0.25">
      <c r="A2127"/>
      <c r="B2127"/>
      <c r="C2127" s="3"/>
      <c r="D2127"/>
      <c r="E2127"/>
      <c r="F2127"/>
      <c r="G2127" s="3"/>
      <c r="H2127" s="3"/>
      <c r="I2127" s="3"/>
      <c r="J2127" s="288"/>
      <c r="L2127" s="288"/>
      <c r="M2127" s="288"/>
      <c r="N2127" s="288"/>
      <c r="O2127" s="288"/>
      <c r="P2127" s="288"/>
      <c r="Q2127" s="288"/>
      <c r="R2127" s="283"/>
      <c r="S2127" s="280"/>
      <c r="T2127" s="276"/>
      <c r="U2127" s="276"/>
      <c r="V2127" s="276"/>
      <c r="W2127" s="283"/>
      <c r="X2127" s="280"/>
      <c r="Y2127" s="280"/>
      <c r="Z2127" s="280"/>
      <c r="AA2127" s="280"/>
      <c r="AB2127" s="280"/>
      <c r="AC2127" s="280"/>
      <c r="AD2127" s="280"/>
      <c r="AG2127" s="3"/>
      <c r="AH2127" s="3"/>
      <c r="AI2127" s="3"/>
      <c r="AJ2127" s="3"/>
      <c r="AK2127" s="3"/>
      <c r="AL2127" s="3"/>
      <c r="AM2127" s="3"/>
      <c r="AN2127" s="3"/>
      <c r="AO2127" s="3"/>
      <c r="AP2127" s="11"/>
      <c r="AQ2127" s="11"/>
      <c r="AR2127" s="3"/>
      <c r="AS2127" s="3"/>
      <c r="AT2127" s="3"/>
      <c r="AU2127" s="3"/>
      <c r="AV2127" s="3"/>
      <c r="AW2127" s="3"/>
      <c r="AX2127" s="11"/>
      <c r="AZ2127"/>
      <c r="BA2127"/>
      <c r="BB2127"/>
      <c r="BC2127"/>
    </row>
    <row r="2128" spans="1:55" s="282" customFormat="1" x14ac:dyDescent="0.25">
      <c r="A2128"/>
      <c r="B2128"/>
      <c r="C2128" s="3"/>
      <c r="D2128"/>
      <c r="E2128"/>
      <c r="F2128"/>
      <c r="G2128" s="3"/>
      <c r="H2128" s="3"/>
      <c r="I2128" s="3"/>
      <c r="J2128" s="288"/>
      <c r="L2128" s="288"/>
      <c r="M2128" s="288"/>
      <c r="N2128" s="288"/>
      <c r="O2128" s="288"/>
      <c r="P2128" s="288"/>
      <c r="Q2128" s="288"/>
      <c r="R2128" s="283"/>
      <c r="S2128" s="280"/>
      <c r="T2128" s="276"/>
      <c r="U2128" s="276"/>
      <c r="V2128" s="276"/>
      <c r="W2128" s="283"/>
      <c r="X2128" s="280"/>
      <c r="Y2128" s="280"/>
      <c r="Z2128" s="280"/>
      <c r="AA2128" s="280"/>
      <c r="AB2128" s="280"/>
      <c r="AC2128" s="280"/>
      <c r="AD2128" s="280"/>
      <c r="AG2128" s="3"/>
      <c r="AH2128" s="3"/>
      <c r="AI2128" s="3"/>
      <c r="AJ2128" s="3"/>
      <c r="AK2128" s="3"/>
      <c r="AL2128" s="3"/>
      <c r="AM2128" s="3"/>
      <c r="AN2128" s="3"/>
      <c r="AO2128" s="3"/>
      <c r="AP2128" s="11"/>
      <c r="AQ2128" s="11"/>
      <c r="AR2128" s="3"/>
      <c r="AS2128" s="3"/>
      <c r="AT2128" s="3"/>
      <c r="AU2128" s="3"/>
      <c r="AV2128" s="3"/>
      <c r="AW2128" s="3"/>
      <c r="AX2128" s="11"/>
      <c r="AZ2128"/>
      <c r="BA2128"/>
      <c r="BB2128"/>
      <c r="BC2128"/>
    </row>
    <row r="2129" spans="1:55" s="282" customFormat="1" x14ac:dyDescent="0.25">
      <c r="A2129"/>
      <c r="B2129"/>
      <c r="C2129" s="3"/>
      <c r="D2129"/>
      <c r="E2129"/>
      <c r="F2129"/>
      <c r="G2129" s="3"/>
      <c r="H2129" s="3"/>
      <c r="I2129" s="3"/>
      <c r="J2129" s="288"/>
      <c r="L2129" s="288"/>
      <c r="M2129" s="288"/>
      <c r="N2129" s="288"/>
      <c r="O2129" s="288"/>
      <c r="P2129" s="288"/>
      <c r="Q2129" s="288"/>
      <c r="R2129" s="283"/>
      <c r="S2129" s="280"/>
      <c r="T2129" s="276"/>
      <c r="U2129" s="276"/>
      <c r="V2129" s="276"/>
      <c r="W2129" s="283"/>
      <c r="X2129" s="280"/>
      <c r="Y2129" s="280"/>
      <c r="Z2129" s="280"/>
      <c r="AA2129" s="280"/>
      <c r="AB2129" s="280"/>
      <c r="AC2129" s="280"/>
      <c r="AD2129" s="280"/>
      <c r="AG2129" s="3"/>
      <c r="AH2129" s="3"/>
      <c r="AI2129" s="3"/>
      <c r="AJ2129" s="3"/>
      <c r="AK2129" s="3"/>
      <c r="AL2129" s="3"/>
      <c r="AM2129" s="3"/>
      <c r="AN2129" s="3"/>
      <c r="AO2129" s="3"/>
      <c r="AP2129" s="11"/>
      <c r="AQ2129" s="11"/>
      <c r="AR2129" s="3"/>
      <c r="AS2129" s="3"/>
      <c r="AT2129" s="3"/>
      <c r="AU2129" s="3"/>
      <c r="AV2129" s="3"/>
      <c r="AW2129" s="3"/>
      <c r="AX2129" s="11"/>
      <c r="AZ2129"/>
      <c r="BA2129"/>
      <c r="BB2129"/>
      <c r="BC2129"/>
    </row>
    <row r="2130" spans="1:55" s="282" customFormat="1" x14ac:dyDescent="0.25">
      <c r="A2130"/>
      <c r="B2130"/>
      <c r="C2130" s="3"/>
      <c r="D2130"/>
      <c r="E2130"/>
      <c r="F2130"/>
      <c r="G2130" s="3"/>
      <c r="H2130" s="3"/>
      <c r="I2130" s="3"/>
      <c r="J2130" s="288"/>
      <c r="L2130" s="288"/>
      <c r="M2130" s="288"/>
      <c r="N2130" s="288"/>
      <c r="O2130" s="288"/>
      <c r="P2130" s="288"/>
      <c r="Q2130" s="288"/>
      <c r="R2130" s="283"/>
      <c r="S2130" s="280"/>
      <c r="T2130" s="276"/>
      <c r="U2130" s="276"/>
      <c r="V2130" s="276"/>
      <c r="W2130" s="283"/>
      <c r="X2130" s="280"/>
      <c r="Y2130" s="280"/>
      <c r="Z2130" s="280"/>
      <c r="AA2130" s="280"/>
      <c r="AB2130" s="280"/>
      <c r="AC2130" s="280"/>
      <c r="AD2130" s="280"/>
      <c r="AG2130" s="3"/>
      <c r="AH2130" s="3"/>
      <c r="AI2130" s="3"/>
      <c r="AJ2130" s="3"/>
      <c r="AK2130" s="3"/>
      <c r="AL2130" s="3"/>
      <c r="AM2130" s="3"/>
      <c r="AN2130" s="3"/>
      <c r="AO2130" s="3"/>
      <c r="AP2130" s="11"/>
      <c r="AQ2130" s="11"/>
      <c r="AR2130" s="3"/>
      <c r="AS2130" s="3"/>
      <c r="AT2130" s="3"/>
      <c r="AU2130" s="3"/>
      <c r="AV2130" s="3"/>
      <c r="AW2130" s="3"/>
      <c r="AX2130" s="11"/>
      <c r="AZ2130"/>
      <c r="BA2130"/>
      <c r="BB2130"/>
      <c r="BC2130"/>
    </row>
    <row r="2131" spans="1:55" s="282" customFormat="1" x14ac:dyDescent="0.25">
      <c r="A2131"/>
      <c r="B2131"/>
      <c r="C2131" s="3"/>
      <c r="D2131"/>
      <c r="E2131"/>
      <c r="F2131"/>
      <c r="G2131" s="3"/>
      <c r="H2131" s="3"/>
      <c r="I2131" s="3"/>
      <c r="J2131" s="288"/>
      <c r="L2131" s="288"/>
      <c r="M2131" s="288"/>
      <c r="N2131" s="288"/>
      <c r="O2131" s="288"/>
      <c r="P2131" s="288"/>
      <c r="Q2131" s="288"/>
      <c r="R2131" s="283"/>
      <c r="S2131" s="280"/>
      <c r="T2131" s="276"/>
      <c r="U2131" s="276"/>
      <c r="V2131" s="276"/>
      <c r="W2131" s="283"/>
      <c r="X2131" s="280"/>
      <c r="Y2131" s="280"/>
      <c r="Z2131" s="280"/>
      <c r="AA2131" s="280"/>
      <c r="AB2131" s="280"/>
      <c r="AC2131" s="280"/>
      <c r="AD2131" s="280"/>
      <c r="AG2131" s="3"/>
      <c r="AH2131" s="3"/>
      <c r="AI2131" s="3"/>
      <c r="AJ2131" s="3"/>
      <c r="AK2131" s="3"/>
      <c r="AL2131" s="3"/>
      <c r="AM2131" s="3"/>
      <c r="AN2131" s="3"/>
      <c r="AO2131" s="3"/>
      <c r="AP2131" s="11"/>
      <c r="AQ2131" s="11"/>
      <c r="AR2131" s="3"/>
      <c r="AS2131" s="3"/>
      <c r="AT2131" s="3"/>
      <c r="AU2131" s="3"/>
      <c r="AV2131" s="3"/>
      <c r="AW2131" s="3"/>
      <c r="AX2131" s="11"/>
      <c r="AZ2131"/>
      <c r="BA2131"/>
      <c r="BB2131"/>
      <c r="BC2131"/>
    </row>
    <row r="2132" spans="1:55" s="282" customFormat="1" x14ac:dyDescent="0.25">
      <c r="A2132"/>
      <c r="B2132"/>
      <c r="C2132" s="3"/>
      <c r="D2132"/>
      <c r="E2132"/>
      <c r="F2132"/>
      <c r="G2132" s="3"/>
      <c r="H2132" s="3"/>
      <c r="I2132" s="3"/>
      <c r="J2132" s="288"/>
      <c r="L2132" s="288"/>
      <c r="M2132" s="288"/>
      <c r="N2132" s="288"/>
      <c r="O2132" s="288"/>
      <c r="P2132" s="288"/>
      <c r="Q2132" s="288"/>
      <c r="R2132" s="283"/>
      <c r="S2132" s="280"/>
      <c r="T2132" s="276"/>
      <c r="U2132" s="276"/>
      <c r="V2132" s="276"/>
      <c r="W2132" s="283"/>
      <c r="X2132" s="280"/>
      <c r="Y2132" s="280"/>
      <c r="Z2132" s="280"/>
      <c r="AA2132" s="280"/>
      <c r="AB2132" s="280"/>
      <c r="AC2132" s="280"/>
      <c r="AD2132" s="280"/>
      <c r="AG2132" s="3"/>
      <c r="AH2132" s="3"/>
      <c r="AI2132" s="3"/>
      <c r="AJ2132" s="3"/>
      <c r="AK2132" s="3"/>
      <c r="AL2132" s="3"/>
      <c r="AM2132" s="3"/>
      <c r="AN2132" s="3"/>
      <c r="AO2132" s="3"/>
      <c r="AP2132" s="11"/>
      <c r="AQ2132" s="11"/>
      <c r="AR2132" s="3"/>
      <c r="AS2132" s="3"/>
      <c r="AT2132" s="3"/>
      <c r="AU2132" s="3"/>
      <c r="AV2132" s="3"/>
      <c r="AW2132" s="3"/>
      <c r="AX2132" s="11"/>
      <c r="AZ2132"/>
      <c r="BA2132"/>
      <c r="BB2132"/>
      <c r="BC2132"/>
    </row>
    <row r="2133" spans="1:55" s="282" customFormat="1" x14ac:dyDescent="0.25">
      <c r="A2133"/>
      <c r="B2133"/>
      <c r="C2133" s="3"/>
      <c r="D2133"/>
      <c r="E2133"/>
      <c r="F2133"/>
      <c r="G2133" s="3"/>
      <c r="H2133" s="3"/>
      <c r="I2133" s="3"/>
      <c r="J2133" s="288"/>
      <c r="L2133" s="288"/>
      <c r="M2133" s="288"/>
      <c r="N2133" s="288"/>
      <c r="O2133" s="288"/>
      <c r="P2133" s="288"/>
      <c r="Q2133" s="288"/>
      <c r="R2133" s="283"/>
      <c r="S2133" s="280"/>
      <c r="T2133" s="276"/>
      <c r="U2133" s="276"/>
      <c r="V2133" s="276"/>
      <c r="W2133" s="283"/>
      <c r="X2133" s="280"/>
      <c r="Y2133" s="280"/>
      <c r="Z2133" s="280"/>
      <c r="AA2133" s="280"/>
      <c r="AB2133" s="280"/>
      <c r="AC2133" s="280"/>
      <c r="AD2133" s="280"/>
      <c r="AG2133" s="3"/>
      <c r="AH2133" s="3"/>
      <c r="AI2133" s="3"/>
      <c r="AJ2133" s="3"/>
      <c r="AK2133" s="3"/>
      <c r="AL2133" s="3"/>
      <c r="AM2133" s="3"/>
      <c r="AN2133" s="3"/>
      <c r="AO2133" s="3"/>
      <c r="AP2133" s="11"/>
      <c r="AQ2133" s="11"/>
      <c r="AR2133" s="3"/>
      <c r="AS2133" s="3"/>
      <c r="AT2133" s="3"/>
      <c r="AU2133" s="3"/>
      <c r="AV2133" s="3"/>
      <c r="AW2133" s="3"/>
      <c r="AX2133" s="11"/>
      <c r="AZ2133"/>
      <c r="BA2133"/>
      <c r="BB2133"/>
      <c r="BC2133"/>
    </row>
    <row r="2134" spans="1:55" s="282" customFormat="1" x14ac:dyDescent="0.25">
      <c r="A2134"/>
      <c r="B2134"/>
      <c r="C2134" s="3"/>
      <c r="D2134"/>
      <c r="E2134"/>
      <c r="F2134"/>
      <c r="G2134" s="3"/>
      <c r="H2134" s="3"/>
      <c r="I2134" s="3"/>
      <c r="J2134" s="288"/>
      <c r="L2134" s="288"/>
      <c r="M2134" s="288"/>
      <c r="N2134" s="288"/>
      <c r="O2134" s="288"/>
      <c r="P2134" s="288"/>
      <c r="Q2134" s="288"/>
      <c r="R2134" s="283"/>
      <c r="S2134" s="280"/>
      <c r="T2134" s="276"/>
      <c r="U2134" s="276"/>
      <c r="V2134" s="276"/>
      <c r="W2134" s="283"/>
      <c r="X2134" s="280"/>
      <c r="Y2134" s="280"/>
      <c r="Z2134" s="280"/>
      <c r="AA2134" s="280"/>
      <c r="AB2134" s="280"/>
      <c r="AC2134" s="280"/>
      <c r="AD2134" s="280"/>
      <c r="AG2134" s="3"/>
      <c r="AH2134" s="3"/>
      <c r="AI2134" s="3"/>
      <c r="AJ2134" s="3"/>
      <c r="AK2134" s="3"/>
      <c r="AL2134" s="3"/>
      <c r="AM2134" s="3"/>
      <c r="AN2134" s="3"/>
      <c r="AO2134" s="3"/>
      <c r="AP2134" s="11"/>
      <c r="AQ2134" s="11"/>
      <c r="AR2134" s="3"/>
      <c r="AS2134" s="3"/>
      <c r="AT2134" s="3"/>
      <c r="AU2134" s="3"/>
      <c r="AV2134" s="3"/>
      <c r="AW2134" s="3"/>
      <c r="AX2134" s="11"/>
      <c r="AZ2134"/>
      <c r="BA2134"/>
      <c r="BB2134"/>
      <c r="BC2134"/>
    </row>
    <row r="2135" spans="1:55" s="282" customFormat="1" x14ac:dyDescent="0.25">
      <c r="A2135"/>
      <c r="B2135"/>
      <c r="C2135" s="3"/>
      <c r="D2135"/>
      <c r="E2135"/>
      <c r="F2135"/>
      <c r="G2135" s="3"/>
      <c r="H2135" s="3"/>
      <c r="I2135" s="3"/>
      <c r="J2135" s="288"/>
      <c r="L2135" s="288"/>
      <c r="M2135" s="288"/>
      <c r="N2135" s="288"/>
      <c r="O2135" s="288"/>
      <c r="P2135" s="288"/>
      <c r="Q2135" s="288"/>
      <c r="R2135" s="283"/>
      <c r="S2135" s="280"/>
      <c r="T2135" s="276"/>
      <c r="U2135" s="276"/>
      <c r="V2135" s="276"/>
      <c r="W2135" s="283"/>
      <c r="X2135" s="280"/>
      <c r="Y2135" s="280"/>
      <c r="Z2135" s="280"/>
      <c r="AA2135" s="280"/>
      <c r="AB2135" s="280"/>
      <c r="AC2135" s="280"/>
      <c r="AD2135" s="280"/>
      <c r="AG2135" s="3"/>
      <c r="AH2135" s="3"/>
      <c r="AI2135" s="3"/>
      <c r="AJ2135" s="3"/>
      <c r="AK2135" s="3"/>
      <c r="AL2135" s="3"/>
      <c r="AM2135" s="3"/>
      <c r="AN2135" s="3"/>
      <c r="AO2135" s="3"/>
      <c r="AP2135" s="11"/>
      <c r="AQ2135" s="11"/>
      <c r="AR2135" s="3"/>
      <c r="AS2135" s="3"/>
      <c r="AT2135" s="3"/>
      <c r="AU2135" s="3"/>
      <c r="AV2135" s="3"/>
      <c r="AW2135" s="3"/>
      <c r="AX2135" s="11"/>
      <c r="AZ2135"/>
      <c r="BA2135"/>
      <c r="BB2135"/>
      <c r="BC2135"/>
    </row>
    <row r="2136" spans="1:55" s="282" customFormat="1" x14ac:dyDescent="0.25">
      <c r="A2136"/>
      <c r="B2136"/>
      <c r="C2136" s="3"/>
      <c r="D2136"/>
      <c r="E2136"/>
      <c r="F2136"/>
      <c r="G2136" s="3"/>
      <c r="H2136" s="3"/>
      <c r="I2136" s="3"/>
      <c r="J2136" s="288"/>
      <c r="L2136" s="288"/>
      <c r="M2136" s="288"/>
      <c r="N2136" s="288"/>
      <c r="O2136" s="288"/>
      <c r="P2136" s="288"/>
      <c r="Q2136" s="288"/>
      <c r="R2136" s="283"/>
      <c r="S2136" s="280"/>
      <c r="T2136" s="276"/>
      <c r="U2136" s="276"/>
      <c r="V2136" s="276"/>
      <c r="W2136" s="283"/>
      <c r="X2136" s="280"/>
      <c r="Y2136" s="280"/>
      <c r="Z2136" s="280"/>
      <c r="AA2136" s="280"/>
      <c r="AB2136" s="280"/>
      <c r="AC2136" s="280"/>
      <c r="AD2136" s="280"/>
      <c r="AG2136" s="3"/>
      <c r="AH2136" s="3"/>
      <c r="AI2136" s="3"/>
      <c r="AJ2136" s="3"/>
      <c r="AK2136" s="3"/>
      <c r="AL2136" s="3"/>
      <c r="AM2136" s="3"/>
      <c r="AN2136" s="3"/>
      <c r="AO2136" s="3"/>
      <c r="AP2136" s="11"/>
      <c r="AQ2136" s="11"/>
      <c r="AR2136" s="3"/>
      <c r="AS2136" s="3"/>
      <c r="AT2136" s="3"/>
      <c r="AU2136" s="3"/>
      <c r="AV2136" s="3"/>
      <c r="AW2136" s="3"/>
      <c r="AX2136" s="11"/>
      <c r="AZ2136"/>
      <c r="BA2136"/>
      <c r="BB2136"/>
      <c r="BC2136"/>
    </row>
    <row r="2137" spans="1:55" s="282" customFormat="1" x14ac:dyDescent="0.25">
      <c r="A2137"/>
      <c r="B2137"/>
      <c r="C2137" s="3"/>
      <c r="D2137"/>
      <c r="E2137"/>
      <c r="F2137"/>
      <c r="G2137" s="3"/>
      <c r="H2137" s="3"/>
      <c r="I2137" s="3"/>
      <c r="J2137" s="288"/>
      <c r="L2137" s="288"/>
      <c r="M2137" s="288"/>
      <c r="N2137" s="288"/>
      <c r="O2137" s="288"/>
      <c r="P2137" s="288"/>
      <c r="Q2137" s="288"/>
      <c r="R2137" s="283"/>
      <c r="S2137" s="280"/>
      <c r="T2137" s="276"/>
      <c r="U2137" s="276"/>
      <c r="V2137" s="276"/>
      <c r="W2137" s="283"/>
      <c r="X2137" s="280"/>
      <c r="Y2137" s="280"/>
      <c r="Z2137" s="280"/>
      <c r="AA2137" s="280"/>
      <c r="AB2137" s="280"/>
      <c r="AC2137" s="280"/>
      <c r="AD2137" s="280"/>
      <c r="AG2137" s="3"/>
      <c r="AH2137" s="3"/>
      <c r="AI2137" s="3"/>
      <c r="AJ2137" s="3"/>
      <c r="AK2137" s="3"/>
      <c r="AL2137" s="3"/>
      <c r="AM2137" s="3"/>
      <c r="AN2137" s="3"/>
      <c r="AO2137" s="3"/>
      <c r="AP2137" s="11"/>
      <c r="AQ2137" s="11"/>
      <c r="AR2137" s="3"/>
      <c r="AS2137" s="3"/>
      <c r="AT2137" s="3"/>
      <c r="AU2137" s="3"/>
      <c r="AV2137" s="3"/>
      <c r="AW2137" s="3"/>
      <c r="AX2137" s="11"/>
      <c r="AZ2137"/>
      <c r="BA2137"/>
      <c r="BB2137"/>
      <c r="BC2137"/>
    </row>
    <row r="2138" spans="1:55" s="282" customFormat="1" x14ac:dyDescent="0.25">
      <c r="A2138"/>
      <c r="B2138"/>
      <c r="C2138" s="3"/>
      <c r="D2138"/>
      <c r="E2138"/>
      <c r="F2138"/>
      <c r="G2138" s="3"/>
      <c r="H2138" s="3"/>
      <c r="I2138" s="3"/>
      <c r="J2138" s="288"/>
      <c r="L2138" s="288"/>
      <c r="M2138" s="288"/>
      <c r="N2138" s="288"/>
      <c r="O2138" s="288"/>
      <c r="P2138" s="288"/>
      <c r="Q2138" s="288"/>
      <c r="R2138" s="283"/>
      <c r="S2138" s="280"/>
      <c r="T2138" s="276"/>
      <c r="U2138" s="276"/>
      <c r="V2138" s="276"/>
      <c r="W2138" s="283"/>
      <c r="X2138" s="280"/>
      <c r="Y2138" s="280"/>
      <c r="Z2138" s="280"/>
      <c r="AA2138" s="280"/>
      <c r="AB2138" s="280"/>
      <c r="AC2138" s="280"/>
      <c r="AD2138" s="280"/>
      <c r="AG2138" s="3"/>
      <c r="AH2138" s="3"/>
      <c r="AI2138" s="3"/>
      <c r="AJ2138" s="3"/>
      <c r="AK2138" s="3"/>
      <c r="AL2138" s="3"/>
      <c r="AM2138" s="3"/>
      <c r="AN2138" s="3"/>
      <c r="AO2138" s="3"/>
      <c r="AP2138" s="11"/>
      <c r="AQ2138" s="11"/>
      <c r="AR2138" s="3"/>
      <c r="AS2138" s="3"/>
      <c r="AT2138" s="3"/>
      <c r="AU2138" s="3"/>
      <c r="AV2138" s="3"/>
      <c r="AW2138" s="3"/>
      <c r="AX2138" s="11"/>
      <c r="AZ2138"/>
      <c r="BA2138"/>
      <c r="BB2138"/>
      <c r="BC2138"/>
    </row>
    <row r="2139" spans="1:55" s="282" customFormat="1" x14ac:dyDescent="0.25">
      <c r="A2139"/>
      <c r="B2139"/>
      <c r="C2139" s="3"/>
      <c r="D2139"/>
      <c r="E2139"/>
      <c r="F2139"/>
      <c r="G2139" s="3"/>
      <c r="H2139" s="3"/>
      <c r="I2139" s="3"/>
      <c r="J2139" s="288"/>
      <c r="L2139" s="288"/>
      <c r="M2139" s="288"/>
      <c r="N2139" s="288"/>
      <c r="O2139" s="288"/>
      <c r="P2139" s="288"/>
      <c r="Q2139" s="288"/>
      <c r="R2139" s="283"/>
      <c r="S2139" s="280"/>
      <c r="T2139" s="276"/>
      <c r="U2139" s="276"/>
      <c r="V2139" s="276"/>
      <c r="W2139" s="283"/>
      <c r="X2139" s="280"/>
      <c r="Y2139" s="280"/>
      <c r="Z2139" s="280"/>
      <c r="AA2139" s="280"/>
      <c r="AB2139" s="280"/>
      <c r="AC2139" s="280"/>
      <c r="AD2139" s="280"/>
      <c r="AG2139" s="3"/>
      <c r="AH2139" s="3"/>
      <c r="AI2139" s="3"/>
      <c r="AJ2139" s="3"/>
      <c r="AK2139" s="3"/>
      <c r="AL2139" s="3"/>
      <c r="AM2139" s="3"/>
      <c r="AN2139" s="3"/>
      <c r="AO2139" s="3"/>
      <c r="AP2139" s="11"/>
      <c r="AQ2139" s="11"/>
      <c r="AR2139" s="3"/>
      <c r="AS2139" s="3"/>
      <c r="AT2139" s="3"/>
      <c r="AU2139" s="3"/>
      <c r="AV2139" s="3"/>
      <c r="AW2139" s="3"/>
      <c r="AX2139" s="11"/>
      <c r="AZ2139"/>
      <c r="BA2139"/>
      <c r="BB2139"/>
      <c r="BC2139"/>
    </row>
    <row r="2140" spans="1:55" s="282" customFormat="1" x14ac:dyDescent="0.25">
      <c r="A2140"/>
      <c r="B2140"/>
      <c r="C2140" s="3"/>
      <c r="D2140"/>
      <c r="E2140"/>
      <c r="F2140"/>
      <c r="G2140" s="3"/>
      <c r="H2140" s="3"/>
      <c r="I2140" s="3"/>
      <c r="J2140" s="288"/>
      <c r="L2140" s="288"/>
      <c r="M2140" s="288"/>
      <c r="N2140" s="288"/>
      <c r="O2140" s="288"/>
      <c r="P2140" s="288"/>
      <c r="Q2140" s="288"/>
      <c r="R2140" s="283"/>
      <c r="S2140" s="280"/>
      <c r="T2140" s="276"/>
      <c r="U2140" s="276"/>
      <c r="V2140" s="276"/>
      <c r="W2140" s="283"/>
      <c r="X2140" s="280"/>
      <c r="Y2140" s="280"/>
      <c r="Z2140" s="280"/>
      <c r="AA2140" s="280"/>
      <c r="AB2140" s="280"/>
      <c r="AC2140" s="280"/>
      <c r="AD2140" s="280"/>
      <c r="AG2140" s="3"/>
      <c r="AH2140" s="3"/>
      <c r="AI2140" s="3"/>
      <c r="AJ2140" s="3"/>
      <c r="AK2140" s="3"/>
      <c r="AL2140" s="3"/>
      <c r="AM2140" s="3"/>
      <c r="AN2140" s="3"/>
      <c r="AO2140" s="3"/>
      <c r="AP2140" s="11"/>
      <c r="AQ2140" s="11"/>
      <c r="AR2140" s="3"/>
      <c r="AS2140" s="3"/>
      <c r="AT2140" s="3"/>
      <c r="AU2140" s="3"/>
      <c r="AV2140" s="3"/>
      <c r="AW2140" s="3"/>
      <c r="AX2140" s="11"/>
      <c r="AZ2140"/>
      <c r="BA2140"/>
      <c r="BB2140"/>
      <c r="BC2140"/>
    </row>
    <row r="2141" spans="1:55" s="282" customFormat="1" x14ac:dyDescent="0.25">
      <c r="A2141"/>
      <c r="B2141"/>
      <c r="C2141" s="3"/>
      <c r="D2141"/>
      <c r="E2141"/>
      <c r="F2141"/>
      <c r="G2141" s="3"/>
      <c r="H2141" s="3"/>
      <c r="I2141" s="3"/>
      <c r="J2141" s="288"/>
      <c r="L2141" s="288"/>
      <c r="M2141" s="288"/>
      <c r="N2141" s="288"/>
      <c r="O2141" s="288"/>
      <c r="P2141" s="288"/>
      <c r="Q2141" s="288"/>
      <c r="R2141" s="283"/>
      <c r="S2141" s="280"/>
      <c r="T2141" s="276"/>
      <c r="U2141" s="276"/>
      <c r="V2141" s="276"/>
      <c r="W2141" s="283"/>
      <c r="X2141" s="280"/>
      <c r="Y2141" s="280"/>
      <c r="Z2141" s="280"/>
      <c r="AA2141" s="280"/>
      <c r="AB2141" s="280"/>
      <c r="AC2141" s="280"/>
      <c r="AD2141" s="280"/>
      <c r="AG2141" s="3"/>
      <c r="AH2141" s="3"/>
      <c r="AI2141" s="3"/>
      <c r="AJ2141" s="3"/>
      <c r="AK2141" s="3"/>
      <c r="AL2141" s="3"/>
      <c r="AM2141" s="3"/>
      <c r="AN2141" s="3"/>
      <c r="AO2141" s="3"/>
      <c r="AP2141" s="11"/>
      <c r="AQ2141" s="11"/>
      <c r="AR2141" s="3"/>
      <c r="AS2141" s="3"/>
      <c r="AT2141" s="3"/>
      <c r="AU2141" s="3"/>
      <c r="AV2141" s="3"/>
      <c r="AW2141" s="3"/>
      <c r="AX2141" s="11"/>
      <c r="AZ2141"/>
      <c r="BA2141"/>
      <c r="BB2141"/>
      <c r="BC2141"/>
    </row>
    <row r="2142" spans="1:55" s="282" customFormat="1" x14ac:dyDescent="0.25">
      <c r="A2142"/>
      <c r="B2142"/>
      <c r="C2142" s="3"/>
      <c r="D2142"/>
      <c r="E2142"/>
      <c r="F2142"/>
      <c r="G2142" s="3"/>
      <c r="H2142" s="3"/>
      <c r="I2142" s="3"/>
      <c r="J2142" s="288"/>
      <c r="L2142" s="288"/>
      <c r="M2142" s="288"/>
      <c r="N2142" s="288"/>
      <c r="O2142" s="288"/>
      <c r="P2142" s="288"/>
      <c r="Q2142" s="288"/>
      <c r="R2142" s="283"/>
      <c r="S2142" s="280"/>
      <c r="T2142" s="276"/>
      <c r="U2142" s="276"/>
      <c r="V2142" s="276"/>
      <c r="W2142" s="283"/>
      <c r="X2142" s="280"/>
      <c r="Y2142" s="280"/>
      <c r="Z2142" s="280"/>
      <c r="AA2142" s="280"/>
      <c r="AB2142" s="280"/>
      <c r="AC2142" s="280"/>
      <c r="AD2142" s="280"/>
      <c r="AG2142" s="3"/>
      <c r="AH2142" s="3"/>
      <c r="AI2142" s="3"/>
      <c r="AJ2142" s="3"/>
      <c r="AK2142" s="3"/>
      <c r="AL2142" s="3"/>
      <c r="AM2142" s="3"/>
      <c r="AN2142" s="3"/>
      <c r="AO2142" s="3"/>
      <c r="AP2142" s="11"/>
      <c r="AQ2142" s="11"/>
      <c r="AR2142" s="3"/>
      <c r="AS2142" s="3"/>
      <c r="AT2142" s="3"/>
      <c r="AU2142" s="3"/>
      <c r="AV2142" s="3"/>
      <c r="AW2142" s="3"/>
      <c r="AX2142" s="11"/>
      <c r="AZ2142"/>
      <c r="BA2142"/>
      <c r="BB2142"/>
      <c r="BC2142"/>
    </row>
    <row r="2143" spans="1:55" s="282" customFormat="1" x14ac:dyDescent="0.25">
      <c r="A2143"/>
      <c r="B2143"/>
      <c r="C2143" s="3"/>
      <c r="D2143"/>
      <c r="E2143"/>
      <c r="F2143"/>
      <c r="G2143" s="3"/>
      <c r="H2143" s="3"/>
      <c r="I2143" s="3"/>
      <c r="J2143" s="288"/>
      <c r="L2143" s="288"/>
      <c r="M2143" s="288"/>
      <c r="N2143" s="288"/>
      <c r="O2143" s="288"/>
      <c r="P2143" s="288"/>
      <c r="Q2143" s="288"/>
      <c r="R2143" s="283"/>
      <c r="S2143" s="280"/>
      <c r="T2143" s="276"/>
      <c r="U2143" s="276"/>
      <c r="V2143" s="276"/>
      <c r="W2143" s="283"/>
      <c r="X2143" s="280"/>
      <c r="Y2143" s="280"/>
      <c r="Z2143" s="280"/>
      <c r="AA2143" s="280"/>
      <c r="AB2143" s="280"/>
      <c r="AC2143" s="280"/>
      <c r="AD2143" s="280"/>
      <c r="AG2143" s="3"/>
      <c r="AH2143" s="3"/>
      <c r="AI2143" s="3"/>
      <c r="AJ2143" s="3"/>
      <c r="AK2143" s="3"/>
      <c r="AL2143" s="3"/>
      <c r="AM2143" s="3"/>
      <c r="AN2143" s="3"/>
      <c r="AO2143" s="3"/>
      <c r="AP2143" s="11"/>
      <c r="AQ2143" s="11"/>
      <c r="AR2143" s="3"/>
      <c r="AS2143" s="3"/>
      <c r="AT2143" s="3"/>
      <c r="AU2143" s="3"/>
      <c r="AV2143" s="3"/>
      <c r="AW2143" s="3"/>
      <c r="AX2143" s="11"/>
      <c r="AZ2143"/>
      <c r="BA2143"/>
      <c r="BB2143"/>
      <c r="BC2143"/>
    </row>
    <row r="2144" spans="1:55" s="282" customFormat="1" x14ac:dyDescent="0.25">
      <c r="A2144"/>
      <c r="B2144"/>
      <c r="C2144" s="3"/>
      <c r="D2144"/>
      <c r="E2144"/>
      <c r="F2144"/>
      <c r="G2144" s="3"/>
      <c r="H2144" s="3"/>
      <c r="I2144" s="3"/>
      <c r="J2144" s="288"/>
      <c r="L2144" s="288"/>
      <c r="M2144" s="288"/>
      <c r="N2144" s="288"/>
      <c r="O2144" s="288"/>
      <c r="P2144" s="288"/>
      <c r="Q2144" s="288"/>
      <c r="R2144" s="283"/>
      <c r="S2144" s="280"/>
      <c r="T2144" s="276"/>
      <c r="U2144" s="276"/>
      <c r="V2144" s="276"/>
      <c r="W2144" s="283"/>
      <c r="X2144" s="280"/>
      <c r="Y2144" s="280"/>
      <c r="Z2144" s="280"/>
      <c r="AA2144" s="280"/>
      <c r="AB2144" s="280"/>
      <c r="AC2144" s="280"/>
      <c r="AD2144" s="280"/>
      <c r="AG2144" s="3"/>
      <c r="AH2144" s="3"/>
      <c r="AI2144" s="3"/>
      <c r="AJ2144" s="3"/>
      <c r="AK2144" s="3"/>
      <c r="AL2144" s="3"/>
      <c r="AM2144" s="3"/>
      <c r="AN2144" s="3"/>
      <c r="AO2144" s="3"/>
      <c r="AP2144" s="11"/>
      <c r="AQ2144" s="11"/>
      <c r="AR2144" s="3"/>
      <c r="AS2144" s="3"/>
      <c r="AT2144" s="3"/>
      <c r="AU2144" s="3"/>
      <c r="AV2144" s="3"/>
      <c r="AW2144" s="3"/>
      <c r="AX2144" s="11"/>
      <c r="AZ2144"/>
      <c r="BA2144"/>
      <c r="BB2144"/>
      <c r="BC2144"/>
    </row>
    <row r="2145" spans="1:55" s="282" customFormat="1" x14ac:dyDescent="0.25">
      <c r="A2145"/>
      <c r="B2145"/>
      <c r="C2145" s="3"/>
      <c r="D2145"/>
      <c r="E2145"/>
      <c r="F2145"/>
      <c r="G2145" s="3"/>
      <c r="H2145" s="3"/>
      <c r="I2145" s="3"/>
      <c r="J2145" s="288"/>
      <c r="L2145" s="288"/>
      <c r="M2145" s="288"/>
      <c r="N2145" s="288"/>
      <c r="O2145" s="288"/>
      <c r="P2145" s="288"/>
      <c r="Q2145" s="288"/>
      <c r="R2145" s="283"/>
      <c r="S2145" s="280"/>
      <c r="T2145" s="276"/>
      <c r="U2145" s="276"/>
      <c r="V2145" s="276"/>
      <c r="W2145" s="283"/>
      <c r="X2145" s="280"/>
      <c r="Y2145" s="280"/>
      <c r="Z2145" s="280"/>
      <c r="AA2145" s="280"/>
      <c r="AB2145" s="280"/>
      <c r="AC2145" s="280"/>
      <c r="AD2145" s="280"/>
      <c r="AG2145" s="3"/>
      <c r="AH2145" s="3"/>
      <c r="AI2145" s="3"/>
      <c r="AJ2145" s="3"/>
      <c r="AK2145" s="3"/>
      <c r="AL2145" s="3"/>
      <c r="AM2145" s="3"/>
      <c r="AN2145" s="3"/>
      <c r="AO2145" s="3"/>
      <c r="AP2145" s="11"/>
      <c r="AQ2145" s="11"/>
      <c r="AR2145" s="3"/>
      <c r="AS2145" s="3"/>
      <c r="AT2145" s="3"/>
      <c r="AU2145" s="3"/>
      <c r="AV2145" s="3"/>
      <c r="AW2145" s="3"/>
      <c r="AX2145" s="11"/>
      <c r="AZ2145"/>
      <c r="BA2145"/>
      <c r="BB2145"/>
      <c r="BC2145"/>
    </row>
    <row r="2146" spans="1:55" s="282" customFormat="1" x14ac:dyDescent="0.25">
      <c r="A2146"/>
      <c r="B2146"/>
      <c r="C2146" s="3"/>
      <c r="D2146"/>
      <c r="E2146"/>
      <c r="F2146"/>
      <c r="G2146" s="3"/>
      <c r="H2146" s="3"/>
      <c r="I2146" s="3"/>
      <c r="J2146" s="288"/>
      <c r="L2146" s="288"/>
      <c r="M2146" s="288"/>
      <c r="N2146" s="288"/>
      <c r="O2146" s="288"/>
      <c r="P2146" s="288"/>
      <c r="Q2146" s="288"/>
      <c r="R2146" s="283"/>
      <c r="S2146" s="280"/>
      <c r="T2146" s="276"/>
      <c r="U2146" s="276"/>
      <c r="V2146" s="276"/>
      <c r="W2146" s="283"/>
      <c r="X2146" s="280"/>
      <c r="Y2146" s="280"/>
      <c r="Z2146" s="280"/>
      <c r="AA2146" s="280"/>
      <c r="AB2146" s="280"/>
      <c r="AC2146" s="280"/>
      <c r="AD2146" s="280"/>
      <c r="AG2146" s="3"/>
      <c r="AH2146" s="3"/>
      <c r="AI2146" s="3"/>
      <c r="AJ2146" s="3"/>
      <c r="AK2146" s="3"/>
      <c r="AL2146" s="3"/>
      <c r="AM2146" s="3"/>
      <c r="AN2146" s="3"/>
      <c r="AO2146" s="3"/>
      <c r="AP2146" s="11"/>
      <c r="AQ2146" s="11"/>
      <c r="AR2146" s="3"/>
      <c r="AS2146" s="3"/>
      <c r="AT2146" s="3"/>
      <c r="AU2146" s="3"/>
      <c r="AV2146" s="3"/>
      <c r="AW2146" s="3"/>
      <c r="AX2146" s="11"/>
      <c r="AZ2146"/>
      <c r="BA2146"/>
      <c r="BB2146"/>
      <c r="BC2146"/>
    </row>
    <row r="2147" spans="1:55" s="282" customFormat="1" x14ac:dyDescent="0.25">
      <c r="A2147"/>
      <c r="B2147"/>
      <c r="C2147" s="3"/>
      <c r="D2147"/>
      <c r="E2147"/>
      <c r="F2147"/>
      <c r="G2147" s="3"/>
      <c r="H2147" s="3"/>
      <c r="I2147" s="3"/>
      <c r="J2147" s="288"/>
      <c r="L2147" s="288"/>
      <c r="M2147" s="288"/>
      <c r="N2147" s="288"/>
      <c r="O2147" s="288"/>
      <c r="P2147" s="288"/>
      <c r="Q2147" s="288"/>
      <c r="R2147" s="283"/>
      <c r="S2147" s="280"/>
      <c r="T2147" s="276"/>
      <c r="U2147" s="276"/>
      <c r="V2147" s="276"/>
      <c r="W2147" s="283"/>
      <c r="X2147" s="280"/>
      <c r="Y2147" s="280"/>
      <c r="Z2147" s="280"/>
      <c r="AA2147" s="280"/>
      <c r="AB2147" s="280"/>
      <c r="AC2147" s="280"/>
      <c r="AD2147" s="280"/>
      <c r="AG2147" s="3"/>
      <c r="AH2147" s="3"/>
      <c r="AI2147" s="3"/>
      <c r="AJ2147" s="3"/>
      <c r="AK2147" s="3"/>
      <c r="AL2147" s="3"/>
      <c r="AM2147" s="3"/>
      <c r="AN2147" s="3"/>
      <c r="AO2147" s="3"/>
      <c r="AP2147" s="11"/>
      <c r="AQ2147" s="11"/>
      <c r="AR2147" s="3"/>
      <c r="AS2147" s="3"/>
      <c r="AT2147" s="3"/>
      <c r="AU2147" s="3"/>
      <c r="AV2147" s="3"/>
      <c r="AW2147" s="3"/>
      <c r="AX2147" s="11"/>
      <c r="AZ2147"/>
      <c r="BA2147"/>
      <c r="BB2147"/>
      <c r="BC2147"/>
    </row>
    <row r="2148" spans="1:55" s="282" customFormat="1" x14ac:dyDescent="0.25">
      <c r="A2148"/>
      <c r="B2148"/>
      <c r="C2148" s="3"/>
      <c r="D2148"/>
      <c r="E2148"/>
      <c r="F2148"/>
      <c r="G2148" s="3"/>
      <c r="H2148" s="3"/>
      <c r="I2148" s="3"/>
      <c r="J2148" s="288"/>
      <c r="L2148" s="288"/>
      <c r="M2148" s="288"/>
      <c r="N2148" s="288"/>
      <c r="O2148" s="288"/>
      <c r="P2148" s="288"/>
      <c r="Q2148" s="288"/>
      <c r="R2148" s="283"/>
      <c r="S2148" s="280"/>
      <c r="T2148" s="276"/>
      <c r="U2148" s="276"/>
      <c r="V2148" s="276"/>
      <c r="W2148" s="283"/>
      <c r="X2148" s="280"/>
      <c r="Y2148" s="280"/>
      <c r="Z2148" s="280"/>
      <c r="AA2148" s="280"/>
      <c r="AB2148" s="280"/>
      <c r="AC2148" s="280"/>
      <c r="AD2148" s="280"/>
      <c r="AG2148" s="3"/>
      <c r="AH2148" s="3"/>
      <c r="AI2148" s="3"/>
      <c r="AJ2148" s="3"/>
      <c r="AK2148" s="3"/>
      <c r="AL2148" s="3"/>
      <c r="AM2148" s="3"/>
      <c r="AN2148" s="3"/>
      <c r="AO2148" s="3"/>
      <c r="AP2148" s="11"/>
      <c r="AQ2148" s="11"/>
      <c r="AR2148" s="3"/>
      <c r="AS2148" s="3"/>
      <c r="AT2148" s="3"/>
      <c r="AU2148" s="3"/>
      <c r="AV2148" s="3"/>
      <c r="AW2148" s="3"/>
      <c r="AX2148" s="11"/>
      <c r="AZ2148"/>
      <c r="BA2148"/>
      <c r="BB2148"/>
      <c r="BC2148"/>
    </row>
    <row r="2149" spans="1:55" s="282" customFormat="1" x14ac:dyDescent="0.25">
      <c r="A2149"/>
      <c r="B2149"/>
      <c r="C2149" s="3"/>
      <c r="D2149"/>
      <c r="E2149"/>
      <c r="F2149"/>
      <c r="G2149" s="3"/>
      <c r="H2149" s="3"/>
      <c r="I2149" s="3"/>
      <c r="J2149" s="288"/>
      <c r="L2149" s="288"/>
      <c r="M2149" s="288"/>
      <c r="N2149" s="288"/>
      <c r="O2149" s="288"/>
      <c r="P2149" s="288"/>
      <c r="Q2149" s="288"/>
      <c r="R2149" s="283"/>
      <c r="S2149" s="280"/>
      <c r="T2149" s="276"/>
      <c r="U2149" s="276"/>
      <c r="V2149" s="276"/>
      <c r="W2149" s="283"/>
      <c r="X2149" s="280"/>
      <c r="Y2149" s="280"/>
      <c r="Z2149" s="280"/>
      <c r="AA2149" s="280"/>
      <c r="AB2149" s="280"/>
      <c r="AC2149" s="280"/>
      <c r="AD2149" s="280"/>
      <c r="AG2149" s="3"/>
      <c r="AH2149" s="3"/>
      <c r="AI2149" s="3"/>
      <c r="AJ2149" s="3"/>
      <c r="AK2149" s="3"/>
      <c r="AL2149" s="3"/>
      <c r="AM2149" s="3"/>
      <c r="AN2149" s="3"/>
      <c r="AO2149" s="3"/>
      <c r="AP2149" s="11"/>
      <c r="AQ2149" s="11"/>
      <c r="AR2149" s="3"/>
      <c r="AS2149" s="3"/>
      <c r="AT2149" s="3"/>
      <c r="AU2149" s="3"/>
      <c r="AV2149" s="3"/>
      <c r="AW2149" s="3"/>
      <c r="AX2149" s="11"/>
      <c r="AZ2149"/>
      <c r="BA2149"/>
      <c r="BB2149"/>
      <c r="BC2149"/>
    </row>
    <row r="2150" spans="1:55" s="282" customFormat="1" x14ac:dyDescent="0.25">
      <c r="A2150"/>
      <c r="B2150"/>
      <c r="C2150" s="3"/>
      <c r="D2150"/>
      <c r="E2150"/>
      <c r="F2150"/>
      <c r="G2150" s="3"/>
      <c r="H2150" s="3"/>
      <c r="I2150" s="3"/>
      <c r="J2150" s="288"/>
      <c r="L2150" s="288"/>
      <c r="M2150" s="288"/>
      <c r="N2150" s="288"/>
      <c r="O2150" s="288"/>
      <c r="P2150" s="288"/>
      <c r="Q2150" s="288"/>
      <c r="R2150" s="283"/>
      <c r="S2150" s="280"/>
      <c r="T2150" s="276"/>
      <c r="U2150" s="276"/>
      <c r="V2150" s="276"/>
      <c r="W2150" s="283"/>
      <c r="X2150" s="280"/>
      <c r="Y2150" s="280"/>
      <c r="Z2150" s="280"/>
      <c r="AA2150" s="280"/>
      <c r="AB2150" s="280"/>
      <c r="AC2150" s="280"/>
      <c r="AD2150" s="280"/>
      <c r="AG2150" s="3"/>
      <c r="AH2150" s="3"/>
      <c r="AI2150" s="3"/>
      <c r="AJ2150" s="3"/>
      <c r="AK2150" s="3"/>
      <c r="AL2150" s="3"/>
      <c r="AM2150" s="3"/>
      <c r="AN2150" s="3"/>
      <c r="AO2150" s="3"/>
      <c r="AP2150" s="11"/>
      <c r="AQ2150" s="11"/>
      <c r="AR2150" s="3"/>
      <c r="AS2150" s="3"/>
      <c r="AT2150" s="3"/>
      <c r="AU2150" s="3"/>
      <c r="AV2150" s="3"/>
      <c r="AW2150" s="3"/>
      <c r="AX2150" s="11"/>
      <c r="AZ2150"/>
      <c r="BA2150"/>
      <c r="BB2150"/>
      <c r="BC2150"/>
    </row>
    <row r="2151" spans="1:55" s="282" customFormat="1" x14ac:dyDescent="0.25">
      <c r="A2151"/>
      <c r="B2151"/>
      <c r="C2151" s="3"/>
      <c r="D2151"/>
      <c r="E2151"/>
      <c r="F2151"/>
      <c r="G2151" s="3"/>
      <c r="H2151" s="3"/>
      <c r="I2151" s="3"/>
      <c r="J2151" s="288"/>
      <c r="L2151" s="288"/>
      <c r="M2151" s="288"/>
      <c r="N2151" s="288"/>
      <c r="O2151" s="288"/>
      <c r="P2151" s="288"/>
      <c r="Q2151" s="288"/>
      <c r="R2151" s="283"/>
      <c r="S2151" s="280"/>
      <c r="T2151" s="276"/>
      <c r="U2151" s="276"/>
      <c r="V2151" s="276"/>
      <c r="W2151" s="283"/>
      <c r="X2151" s="280"/>
      <c r="Y2151" s="280"/>
      <c r="Z2151" s="280"/>
      <c r="AA2151" s="280"/>
      <c r="AB2151" s="280"/>
      <c r="AC2151" s="280"/>
      <c r="AD2151" s="280"/>
      <c r="AG2151" s="3"/>
      <c r="AH2151" s="3"/>
      <c r="AI2151" s="3"/>
      <c r="AJ2151" s="3"/>
      <c r="AK2151" s="3"/>
      <c r="AL2151" s="3"/>
      <c r="AM2151" s="3"/>
      <c r="AN2151" s="3"/>
      <c r="AO2151" s="3"/>
      <c r="AP2151" s="11"/>
      <c r="AQ2151" s="11"/>
      <c r="AR2151" s="3"/>
      <c r="AS2151" s="3"/>
      <c r="AT2151" s="3"/>
      <c r="AU2151" s="3"/>
      <c r="AV2151" s="3"/>
      <c r="AW2151" s="3"/>
      <c r="AX2151" s="11"/>
      <c r="AZ2151"/>
      <c r="BA2151"/>
      <c r="BB2151"/>
      <c r="BC2151"/>
    </row>
    <row r="2152" spans="1:55" s="282" customFormat="1" x14ac:dyDescent="0.25">
      <c r="A2152"/>
      <c r="B2152"/>
      <c r="C2152" s="3"/>
      <c r="D2152"/>
      <c r="E2152"/>
      <c r="F2152"/>
      <c r="G2152" s="3"/>
      <c r="H2152" s="3"/>
      <c r="I2152" s="3"/>
      <c r="J2152" s="288"/>
      <c r="L2152" s="288"/>
      <c r="M2152" s="288"/>
      <c r="N2152" s="288"/>
      <c r="O2152" s="288"/>
      <c r="P2152" s="288"/>
      <c r="Q2152" s="288"/>
      <c r="R2152" s="283"/>
      <c r="S2152" s="280"/>
      <c r="T2152" s="276"/>
      <c r="U2152" s="276"/>
      <c r="V2152" s="276"/>
      <c r="W2152" s="283"/>
      <c r="X2152" s="280"/>
      <c r="Y2152" s="280"/>
      <c r="Z2152" s="280"/>
      <c r="AA2152" s="280"/>
      <c r="AB2152" s="280"/>
      <c r="AC2152" s="280"/>
      <c r="AD2152" s="280"/>
      <c r="AG2152" s="3"/>
      <c r="AH2152" s="3"/>
      <c r="AI2152" s="3"/>
      <c r="AJ2152" s="3"/>
      <c r="AK2152" s="3"/>
      <c r="AL2152" s="3"/>
      <c r="AM2152" s="3"/>
      <c r="AN2152" s="3"/>
      <c r="AO2152" s="3"/>
      <c r="AP2152" s="11"/>
      <c r="AQ2152" s="11"/>
      <c r="AR2152" s="3"/>
      <c r="AS2152" s="3"/>
      <c r="AT2152" s="3"/>
      <c r="AU2152" s="3"/>
      <c r="AV2152" s="3"/>
      <c r="AW2152" s="3"/>
      <c r="AX2152" s="11"/>
      <c r="AZ2152"/>
      <c r="BA2152"/>
      <c r="BB2152"/>
      <c r="BC2152"/>
    </row>
    <row r="2153" spans="1:55" s="282" customFormat="1" x14ac:dyDescent="0.25">
      <c r="A2153"/>
      <c r="B2153"/>
      <c r="C2153" s="3"/>
      <c r="D2153"/>
      <c r="E2153"/>
      <c r="F2153"/>
      <c r="G2153" s="3"/>
      <c r="H2153" s="3"/>
      <c r="I2153" s="3"/>
      <c r="J2153" s="288"/>
      <c r="L2153" s="288"/>
      <c r="M2153" s="288"/>
      <c r="N2153" s="288"/>
      <c r="O2153" s="288"/>
      <c r="P2153" s="288"/>
      <c r="Q2153" s="288"/>
      <c r="R2153" s="283"/>
      <c r="S2153" s="280"/>
      <c r="T2153" s="276"/>
      <c r="U2153" s="276"/>
      <c r="V2153" s="276"/>
      <c r="W2153" s="283"/>
      <c r="X2153" s="280"/>
      <c r="Y2153" s="280"/>
      <c r="Z2153" s="280"/>
      <c r="AA2153" s="280"/>
      <c r="AB2153" s="280"/>
      <c r="AC2153" s="280"/>
      <c r="AD2153" s="280"/>
      <c r="AG2153" s="3"/>
      <c r="AH2153" s="3"/>
      <c r="AI2153" s="3"/>
      <c r="AJ2153" s="3"/>
      <c r="AK2153" s="3"/>
      <c r="AL2153" s="3"/>
      <c r="AM2153" s="3"/>
      <c r="AN2153" s="3"/>
      <c r="AO2153" s="3"/>
      <c r="AP2153" s="11"/>
      <c r="AQ2153" s="11"/>
      <c r="AR2153" s="3"/>
      <c r="AS2153" s="3"/>
      <c r="AT2153" s="3"/>
      <c r="AU2153" s="3"/>
      <c r="AV2153" s="3"/>
      <c r="AW2153" s="3"/>
      <c r="AX2153" s="11"/>
      <c r="AZ2153"/>
      <c r="BA2153"/>
      <c r="BB2153"/>
      <c r="BC2153"/>
    </row>
    <row r="2154" spans="1:55" s="282" customFormat="1" x14ac:dyDescent="0.25">
      <c r="A2154"/>
      <c r="B2154"/>
      <c r="C2154" s="3"/>
      <c r="D2154"/>
      <c r="E2154"/>
      <c r="F2154"/>
      <c r="G2154" s="3"/>
      <c r="H2154" s="3"/>
      <c r="I2154" s="3"/>
      <c r="J2154" s="288"/>
      <c r="L2154" s="288"/>
      <c r="M2154" s="288"/>
      <c r="N2154" s="288"/>
      <c r="O2154" s="288"/>
      <c r="P2154" s="288"/>
      <c r="Q2154" s="288"/>
      <c r="R2154" s="283"/>
      <c r="S2154" s="280"/>
      <c r="T2154" s="276"/>
      <c r="U2154" s="276"/>
      <c r="V2154" s="276"/>
      <c r="W2154" s="283"/>
      <c r="X2154" s="280"/>
      <c r="Y2154" s="280"/>
      <c r="Z2154" s="280"/>
      <c r="AA2154" s="280"/>
      <c r="AB2154" s="280"/>
      <c r="AC2154" s="280"/>
      <c r="AD2154" s="280"/>
      <c r="AG2154" s="3"/>
      <c r="AH2154" s="3"/>
      <c r="AI2154" s="3"/>
      <c r="AJ2154" s="3"/>
      <c r="AK2154" s="3"/>
      <c r="AL2154" s="3"/>
      <c r="AM2154" s="3"/>
      <c r="AN2154" s="3"/>
      <c r="AO2154" s="3"/>
      <c r="AP2154" s="11"/>
      <c r="AQ2154" s="11"/>
      <c r="AR2154" s="3"/>
      <c r="AS2154" s="3"/>
      <c r="AT2154" s="3"/>
      <c r="AU2154" s="3"/>
      <c r="AV2154" s="3"/>
      <c r="AW2154" s="3"/>
      <c r="AX2154" s="11"/>
      <c r="AZ2154"/>
      <c r="BA2154"/>
      <c r="BB2154"/>
      <c r="BC2154"/>
    </row>
    <row r="2155" spans="1:55" s="282" customFormat="1" x14ac:dyDescent="0.25">
      <c r="A2155"/>
      <c r="B2155"/>
      <c r="C2155" s="3"/>
      <c r="D2155"/>
      <c r="E2155"/>
      <c r="F2155"/>
      <c r="G2155" s="3"/>
      <c r="H2155" s="3"/>
      <c r="I2155" s="3"/>
      <c r="J2155" s="288"/>
      <c r="L2155" s="288"/>
      <c r="M2155" s="288"/>
      <c r="N2155" s="288"/>
      <c r="O2155" s="288"/>
      <c r="P2155" s="288"/>
      <c r="Q2155" s="288"/>
      <c r="R2155" s="283"/>
      <c r="S2155" s="280"/>
      <c r="T2155" s="276"/>
      <c r="U2155" s="276"/>
      <c r="V2155" s="276"/>
      <c r="W2155" s="283"/>
      <c r="X2155" s="280"/>
      <c r="Y2155" s="280"/>
      <c r="Z2155" s="280"/>
      <c r="AA2155" s="280"/>
      <c r="AB2155" s="280"/>
      <c r="AC2155" s="280"/>
      <c r="AD2155" s="280"/>
      <c r="AG2155" s="3"/>
      <c r="AH2155" s="3"/>
      <c r="AI2155" s="3"/>
      <c r="AJ2155" s="3"/>
      <c r="AK2155" s="3"/>
      <c r="AL2155" s="3"/>
      <c r="AM2155" s="3"/>
      <c r="AN2155" s="3"/>
      <c r="AO2155" s="3"/>
      <c r="AP2155" s="11"/>
      <c r="AQ2155" s="11"/>
      <c r="AR2155" s="3"/>
      <c r="AS2155" s="3"/>
      <c r="AT2155" s="3"/>
      <c r="AU2155" s="3"/>
      <c r="AV2155" s="3"/>
      <c r="AW2155" s="3"/>
      <c r="AX2155" s="11"/>
      <c r="AZ2155"/>
      <c r="BA2155"/>
      <c r="BB2155"/>
      <c r="BC2155"/>
    </row>
    <row r="2156" spans="1:55" s="282" customFormat="1" x14ac:dyDescent="0.25">
      <c r="A2156"/>
      <c r="B2156"/>
      <c r="C2156" s="3"/>
      <c r="D2156"/>
      <c r="E2156"/>
      <c r="F2156"/>
      <c r="G2156" s="3"/>
      <c r="H2156" s="3"/>
      <c r="I2156" s="3"/>
      <c r="J2156" s="288"/>
      <c r="L2156" s="288"/>
      <c r="M2156" s="288"/>
      <c r="N2156" s="288"/>
      <c r="O2156" s="288"/>
      <c r="P2156" s="288"/>
      <c r="Q2156" s="288"/>
      <c r="R2156" s="283"/>
      <c r="S2156" s="280"/>
      <c r="T2156" s="276"/>
      <c r="U2156" s="276"/>
      <c r="V2156" s="276"/>
      <c r="W2156" s="283"/>
      <c r="X2156" s="280"/>
      <c r="Y2156" s="280"/>
      <c r="Z2156" s="280"/>
      <c r="AA2156" s="280"/>
      <c r="AB2156" s="280"/>
      <c r="AC2156" s="280"/>
      <c r="AD2156" s="280"/>
      <c r="AG2156" s="3"/>
      <c r="AH2156" s="3"/>
      <c r="AI2156" s="3"/>
      <c r="AJ2156" s="3"/>
      <c r="AK2156" s="3"/>
      <c r="AL2156" s="3"/>
      <c r="AM2156" s="3"/>
      <c r="AN2156" s="3"/>
      <c r="AO2156" s="3"/>
      <c r="AP2156" s="11"/>
      <c r="AQ2156" s="11"/>
      <c r="AR2156" s="3"/>
      <c r="AS2156" s="3"/>
      <c r="AT2156" s="3"/>
      <c r="AU2156" s="3"/>
      <c r="AV2156" s="3"/>
      <c r="AW2156" s="3"/>
      <c r="AX2156" s="11"/>
      <c r="AZ2156"/>
      <c r="BA2156"/>
      <c r="BB2156"/>
      <c r="BC2156"/>
    </row>
    <row r="2157" spans="1:55" s="282" customFormat="1" x14ac:dyDescent="0.25">
      <c r="A2157"/>
      <c r="B2157"/>
      <c r="C2157" s="3"/>
      <c r="D2157"/>
      <c r="E2157"/>
      <c r="F2157"/>
      <c r="G2157" s="3"/>
      <c r="H2157" s="3"/>
      <c r="I2157" s="3"/>
      <c r="J2157" s="288"/>
      <c r="L2157" s="288"/>
      <c r="M2157" s="288"/>
      <c r="N2157" s="288"/>
      <c r="O2157" s="288"/>
      <c r="P2157" s="288"/>
      <c r="Q2157" s="288"/>
      <c r="R2157" s="283"/>
      <c r="S2157" s="280"/>
      <c r="T2157" s="276"/>
      <c r="U2157" s="276"/>
      <c r="V2157" s="276"/>
      <c r="W2157" s="283"/>
      <c r="X2157" s="280"/>
      <c r="Y2157" s="280"/>
      <c r="Z2157" s="280"/>
      <c r="AA2157" s="280"/>
      <c r="AB2157" s="280"/>
      <c r="AC2157" s="280"/>
      <c r="AD2157" s="280"/>
      <c r="AG2157" s="3"/>
      <c r="AH2157" s="3"/>
      <c r="AI2157" s="3"/>
      <c r="AJ2157" s="3"/>
      <c r="AK2157" s="3"/>
      <c r="AL2157" s="3"/>
      <c r="AM2157" s="3"/>
      <c r="AN2157" s="3"/>
      <c r="AO2157" s="3"/>
      <c r="AP2157" s="11"/>
      <c r="AQ2157" s="11"/>
      <c r="AR2157" s="3"/>
      <c r="AS2157" s="3"/>
      <c r="AT2157" s="3"/>
      <c r="AU2157" s="3"/>
      <c r="AV2157" s="3"/>
      <c r="AW2157" s="3"/>
      <c r="AX2157" s="11"/>
      <c r="AZ2157"/>
      <c r="BA2157"/>
      <c r="BB2157"/>
      <c r="BC2157"/>
    </row>
    <row r="2158" spans="1:55" s="282" customFormat="1" x14ac:dyDescent="0.25">
      <c r="A2158"/>
      <c r="B2158"/>
      <c r="C2158" s="3"/>
      <c r="D2158"/>
      <c r="E2158"/>
      <c r="F2158"/>
      <c r="G2158" s="3"/>
      <c r="H2158" s="3"/>
      <c r="I2158" s="3"/>
      <c r="J2158" s="288"/>
      <c r="L2158" s="288"/>
      <c r="M2158" s="288"/>
      <c r="N2158" s="288"/>
      <c r="O2158" s="288"/>
      <c r="P2158" s="288"/>
      <c r="Q2158" s="288"/>
      <c r="R2158" s="283"/>
      <c r="S2158" s="280"/>
      <c r="T2158" s="276"/>
      <c r="U2158" s="276"/>
      <c r="V2158" s="276"/>
      <c r="W2158" s="283"/>
      <c r="X2158" s="280"/>
      <c r="Y2158" s="280"/>
      <c r="Z2158" s="280"/>
      <c r="AA2158" s="280"/>
      <c r="AB2158" s="280"/>
      <c r="AC2158" s="280"/>
      <c r="AD2158" s="280"/>
      <c r="AG2158" s="3"/>
      <c r="AH2158" s="3"/>
      <c r="AI2158" s="3"/>
      <c r="AJ2158" s="3"/>
      <c r="AK2158" s="3"/>
      <c r="AL2158" s="3"/>
      <c r="AM2158" s="3"/>
      <c r="AN2158" s="3"/>
      <c r="AO2158" s="3"/>
      <c r="AP2158" s="11"/>
      <c r="AQ2158" s="11"/>
      <c r="AR2158" s="3"/>
      <c r="AS2158" s="3"/>
      <c r="AT2158" s="3"/>
      <c r="AU2158" s="3"/>
      <c r="AV2158" s="3"/>
      <c r="AW2158" s="3"/>
      <c r="AX2158" s="11"/>
      <c r="AZ2158"/>
      <c r="BA2158"/>
      <c r="BB2158"/>
      <c r="BC2158"/>
    </row>
    <row r="2159" spans="1:55" s="282" customFormat="1" x14ac:dyDescent="0.25">
      <c r="A2159"/>
      <c r="B2159"/>
      <c r="C2159" s="3"/>
      <c r="D2159"/>
      <c r="E2159"/>
      <c r="F2159"/>
      <c r="G2159" s="3"/>
      <c r="H2159" s="3"/>
      <c r="I2159" s="3"/>
      <c r="J2159" s="288"/>
      <c r="L2159" s="288"/>
      <c r="M2159" s="288"/>
      <c r="N2159" s="288"/>
      <c r="O2159" s="288"/>
      <c r="P2159" s="288"/>
      <c r="Q2159" s="288"/>
      <c r="R2159" s="283"/>
      <c r="S2159" s="280"/>
      <c r="T2159" s="276"/>
      <c r="U2159" s="276"/>
      <c r="V2159" s="276"/>
      <c r="W2159" s="283"/>
      <c r="X2159" s="280"/>
      <c r="Y2159" s="280"/>
      <c r="Z2159" s="280"/>
      <c r="AA2159" s="280"/>
      <c r="AB2159" s="280"/>
      <c r="AC2159" s="280"/>
      <c r="AD2159" s="280"/>
      <c r="AG2159" s="3"/>
      <c r="AH2159" s="3"/>
      <c r="AI2159" s="3"/>
      <c r="AJ2159" s="3"/>
      <c r="AK2159" s="3"/>
      <c r="AL2159" s="3"/>
      <c r="AM2159" s="3"/>
      <c r="AN2159" s="3"/>
      <c r="AO2159" s="3"/>
      <c r="AP2159" s="11"/>
      <c r="AQ2159" s="11"/>
      <c r="AR2159" s="3"/>
      <c r="AS2159" s="3"/>
      <c r="AT2159" s="3"/>
      <c r="AU2159" s="3"/>
      <c r="AV2159" s="3"/>
      <c r="AW2159" s="3"/>
      <c r="AX2159" s="11"/>
      <c r="AZ2159"/>
      <c r="BA2159"/>
      <c r="BB2159"/>
      <c r="BC2159"/>
    </row>
    <row r="2160" spans="1:55" s="282" customFormat="1" x14ac:dyDescent="0.25">
      <c r="A2160"/>
      <c r="B2160"/>
      <c r="C2160" s="3"/>
      <c r="D2160"/>
      <c r="E2160"/>
      <c r="F2160"/>
      <c r="G2160" s="3"/>
      <c r="H2160" s="3"/>
      <c r="I2160" s="3"/>
      <c r="J2160" s="288"/>
      <c r="L2160" s="288"/>
      <c r="M2160" s="288"/>
      <c r="N2160" s="288"/>
      <c r="O2160" s="288"/>
      <c r="P2160" s="288"/>
      <c r="Q2160" s="288"/>
      <c r="R2160" s="283"/>
      <c r="S2160" s="280"/>
      <c r="T2160" s="276"/>
      <c r="U2160" s="276"/>
      <c r="V2160" s="276"/>
      <c r="W2160" s="283"/>
      <c r="X2160" s="280"/>
      <c r="Y2160" s="280"/>
      <c r="Z2160" s="280"/>
      <c r="AA2160" s="280"/>
      <c r="AB2160" s="280"/>
      <c r="AC2160" s="280"/>
      <c r="AD2160" s="280"/>
      <c r="AG2160" s="3"/>
      <c r="AH2160" s="3"/>
      <c r="AI2160" s="3"/>
      <c r="AJ2160" s="3"/>
      <c r="AK2160" s="3"/>
      <c r="AL2160" s="3"/>
      <c r="AM2160" s="3"/>
      <c r="AN2160" s="3"/>
      <c r="AO2160" s="3"/>
      <c r="AP2160" s="11"/>
      <c r="AQ2160" s="11"/>
      <c r="AR2160" s="3"/>
      <c r="AS2160" s="3"/>
      <c r="AT2160" s="3"/>
      <c r="AU2160" s="3"/>
      <c r="AV2160" s="3"/>
      <c r="AW2160" s="3"/>
      <c r="AX2160" s="11"/>
      <c r="AZ2160"/>
      <c r="BA2160"/>
      <c r="BB2160"/>
      <c r="BC2160"/>
    </row>
    <row r="2161" spans="1:55" s="282" customFormat="1" x14ac:dyDescent="0.25">
      <c r="A2161"/>
      <c r="B2161"/>
      <c r="C2161" s="3"/>
      <c r="D2161"/>
      <c r="E2161"/>
      <c r="F2161"/>
      <c r="G2161" s="3"/>
      <c r="H2161" s="3"/>
      <c r="I2161" s="3"/>
      <c r="J2161" s="288"/>
      <c r="L2161" s="288"/>
      <c r="M2161" s="288"/>
      <c r="N2161" s="288"/>
      <c r="O2161" s="288"/>
      <c r="P2161" s="288"/>
      <c r="Q2161" s="288"/>
      <c r="R2161" s="283"/>
      <c r="S2161" s="280"/>
      <c r="T2161" s="276"/>
      <c r="U2161" s="276"/>
      <c r="V2161" s="276"/>
      <c r="W2161" s="283"/>
      <c r="X2161" s="280"/>
      <c r="Y2161" s="280"/>
      <c r="Z2161" s="280"/>
      <c r="AA2161" s="280"/>
      <c r="AB2161" s="280"/>
      <c r="AC2161" s="280"/>
      <c r="AD2161" s="280"/>
      <c r="AG2161" s="3"/>
      <c r="AH2161" s="3"/>
      <c r="AI2161" s="3"/>
      <c r="AJ2161" s="3"/>
      <c r="AK2161" s="3"/>
      <c r="AL2161" s="3"/>
      <c r="AM2161" s="3"/>
      <c r="AN2161" s="3"/>
      <c r="AO2161" s="3"/>
      <c r="AP2161" s="11"/>
      <c r="AQ2161" s="11"/>
      <c r="AR2161" s="3"/>
      <c r="AS2161" s="3"/>
      <c r="AT2161" s="3"/>
      <c r="AU2161" s="3"/>
      <c r="AV2161" s="3"/>
      <c r="AW2161" s="3"/>
      <c r="AX2161" s="11"/>
      <c r="AZ2161"/>
      <c r="BA2161"/>
      <c r="BB2161"/>
      <c r="BC2161"/>
    </row>
    <row r="2162" spans="1:55" s="282" customFormat="1" x14ac:dyDescent="0.25">
      <c r="A2162"/>
      <c r="B2162"/>
      <c r="C2162" s="3"/>
      <c r="D2162"/>
      <c r="E2162"/>
      <c r="F2162"/>
      <c r="G2162" s="3"/>
      <c r="H2162" s="3"/>
      <c r="I2162" s="3"/>
      <c r="J2162" s="288"/>
      <c r="L2162" s="288"/>
      <c r="M2162" s="288"/>
      <c r="N2162" s="288"/>
      <c r="O2162" s="288"/>
      <c r="P2162" s="288"/>
      <c r="Q2162" s="288"/>
      <c r="R2162" s="283"/>
      <c r="S2162" s="280"/>
      <c r="T2162" s="276"/>
      <c r="U2162" s="276"/>
      <c r="V2162" s="276"/>
      <c r="W2162" s="283"/>
      <c r="X2162" s="280"/>
      <c r="Y2162" s="280"/>
      <c r="Z2162" s="280"/>
      <c r="AA2162" s="280"/>
      <c r="AB2162" s="280"/>
      <c r="AC2162" s="280"/>
      <c r="AD2162" s="280"/>
      <c r="AG2162" s="3"/>
      <c r="AH2162" s="3"/>
      <c r="AI2162" s="3"/>
      <c r="AJ2162" s="3"/>
      <c r="AK2162" s="3"/>
      <c r="AL2162" s="3"/>
      <c r="AM2162" s="3"/>
      <c r="AN2162" s="3"/>
      <c r="AO2162" s="3"/>
      <c r="AP2162" s="11"/>
      <c r="AQ2162" s="11"/>
      <c r="AR2162" s="3"/>
      <c r="AS2162" s="3"/>
      <c r="AT2162" s="3"/>
      <c r="AU2162" s="3"/>
      <c r="AV2162" s="3"/>
      <c r="AW2162" s="3"/>
      <c r="AX2162" s="11"/>
      <c r="AZ2162"/>
      <c r="BA2162"/>
      <c r="BB2162"/>
      <c r="BC2162"/>
    </row>
    <row r="2163" spans="1:55" s="282" customFormat="1" x14ac:dyDescent="0.25">
      <c r="A2163"/>
      <c r="B2163"/>
      <c r="C2163" s="3"/>
      <c r="D2163"/>
      <c r="E2163"/>
      <c r="F2163"/>
      <c r="G2163" s="3"/>
      <c r="H2163" s="3"/>
      <c r="I2163" s="3"/>
      <c r="J2163" s="288"/>
      <c r="L2163" s="288"/>
      <c r="M2163" s="288"/>
      <c r="N2163" s="288"/>
      <c r="O2163" s="288"/>
      <c r="P2163" s="288"/>
      <c r="Q2163" s="288"/>
      <c r="R2163" s="283"/>
      <c r="S2163" s="280"/>
      <c r="T2163" s="276"/>
      <c r="U2163" s="276"/>
      <c r="V2163" s="276"/>
      <c r="W2163" s="283"/>
      <c r="X2163" s="280"/>
      <c r="Y2163" s="280"/>
      <c r="Z2163" s="280"/>
      <c r="AA2163" s="280"/>
      <c r="AB2163" s="280"/>
      <c r="AC2163" s="280"/>
      <c r="AD2163" s="280"/>
      <c r="AG2163" s="3"/>
      <c r="AH2163" s="3"/>
      <c r="AI2163" s="3"/>
      <c r="AJ2163" s="3"/>
      <c r="AK2163" s="3"/>
      <c r="AL2163" s="3"/>
      <c r="AM2163" s="3"/>
      <c r="AN2163" s="3"/>
      <c r="AO2163" s="3"/>
      <c r="AP2163" s="11"/>
      <c r="AQ2163" s="11"/>
      <c r="AR2163" s="3"/>
      <c r="AS2163" s="3"/>
      <c r="AT2163" s="3"/>
      <c r="AU2163" s="3"/>
      <c r="AV2163" s="3"/>
      <c r="AW2163" s="3"/>
      <c r="AX2163" s="11"/>
      <c r="AZ2163"/>
      <c r="BA2163"/>
      <c r="BB2163"/>
      <c r="BC2163"/>
    </row>
    <row r="2164" spans="1:55" s="282" customFormat="1" x14ac:dyDescent="0.25">
      <c r="A2164"/>
      <c r="B2164"/>
      <c r="C2164" s="3"/>
      <c r="D2164"/>
      <c r="E2164"/>
      <c r="F2164"/>
      <c r="G2164" s="3"/>
      <c r="H2164" s="3"/>
      <c r="I2164" s="3"/>
      <c r="J2164" s="288"/>
      <c r="L2164" s="288"/>
      <c r="M2164" s="288"/>
      <c r="N2164" s="288"/>
      <c r="O2164" s="288"/>
      <c r="P2164" s="288"/>
      <c r="Q2164" s="288"/>
      <c r="R2164" s="283"/>
      <c r="S2164" s="280"/>
      <c r="T2164" s="276"/>
      <c r="U2164" s="276"/>
      <c r="V2164" s="276"/>
      <c r="W2164" s="283"/>
      <c r="X2164" s="280"/>
      <c r="Y2164" s="280"/>
      <c r="Z2164" s="280"/>
      <c r="AA2164" s="280"/>
      <c r="AB2164" s="280"/>
      <c r="AC2164" s="280"/>
      <c r="AD2164" s="280"/>
      <c r="AG2164" s="3"/>
      <c r="AH2164" s="3"/>
      <c r="AI2164" s="3"/>
      <c r="AJ2164" s="3"/>
      <c r="AK2164" s="3"/>
      <c r="AL2164" s="3"/>
      <c r="AM2164" s="3"/>
      <c r="AN2164" s="3"/>
      <c r="AO2164" s="3"/>
      <c r="AP2164" s="11"/>
      <c r="AQ2164" s="11"/>
      <c r="AR2164" s="3"/>
      <c r="AS2164" s="3"/>
      <c r="AT2164" s="3"/>
      <c r="AU2164" s="3"/>
      <c r="AV2164" s="3"/>
      <c r="AW2164" s="3"/>
      <c r="AX2164" s="11"/>
      <c r="AZ2164"/>
      <c r="BA2164"/>
      <c r="BB2164"/>
      <c r="BC2164"/>
    </row>
    <row r="2165" spans="1:55" s="282" customFormat="1" x14ac:dyDescent="0.25">
      <c r="A2165"/>
      <c r="B2165"/>
      <c r="C2165" s="3"/>
      <c r="D2165"/>
      <c r="E2165"/>
      <c r="F2165"/>
      <c r="G2165" s="3"/>
      <c r="H2165" s="3"/>
      <c r="I2165" s="3"/>
      <c r="J2165" s="288"/>
      <c r="L2165" s="288"/>
      <c r="M2165" s="288"/>
      <c r="N2165" s="288"/>
      <c r="O2165" s="288"/>
      <c r="P2165" s="288"/>
      <c r="Q2165" s="288"/>
      <c r="R2165" s="283"/>
      <c r="S2165" s="280"/>
      <c r="T2165" s="276"/>
      <c r="U2165" s="276"/>
      <c r="V2165" s="276"/>
      <c r="W2165" s="283"/>
      <c r="X2165" s="280"/>
      <c r="Y2165" s="280"/>
      <c r="Z2165" s="280"/>
      <c r="AA2165" s="280"/>
      <c r="AB2165" s="280"/>
      <c r="AC2165" s="280"/>
      <c r="AD2165" s="280"/>
      <c r="AG2165" s="3"/>
      <c r="AH2165" s="3"/>
      <c r="AI2165" s="3"/>
      <c r="AJ2165" s="3"/>
      <c r="AK2165" s="3"/>
      <c r="AL2165" s="3"/>
      <c r="AM2165" s="3"/>
      <c r="AN2165" s="3"/>
      <c r="AO2165" s="3"/>
      <c r="AP2165" s="11"/>
      <c r="AQ2165" s="11"/>
      <c r="AR2165" s="3"/>
      <c r="AS2165" s="3"/>
      <c r="AT2165" s="3"/>
      <c r="AU2165" s="3"/>
      <c r="AV2165" s="3"/>
      <c r="AW2165" s="3"/>
      <c r="AX2165" s="11"/>
      <c r="AZ2165"/>
      <c r="BA2165"/>
      <c r="BB2165"/>
      <c r="BC2165"/>
    </row>
    <row r="2166" spans="1:55" s="282" customFormat="1" x14ac:dyDescent="0.25">
      <c r="A2166"/>
      <c r="B2166"/>
      <c r="C2166" s="3"/>
      <c r="D2166"/>
      <c r="E2166"/>
      <c r="F2166"/>
      <c r="G2166" s="3"/>
      <c r="H2166" s="3"/>
      <c r="I2166" s="3"/>
      <c r="J2166" s="288"/>
      <c r="L2166" s="288"/>
      <c r="M2166" s="288"/>
      <c r="N2166" s="288"/>
      <c r="O2166" s="288"/>
      <c r="P2166" s="288"/>
      <c r="Q2166" s="288"/>
      <c r="R2166" s="283"/>
      <c r="S2166" s="280"/>
      <c r="T2166" s="276"/>
      <c r="U2166" s="276"/>
      <c r="V2166" s="276"/>
      <c r="W2166" s="283"/>
      <c r="X2166" s="280"/>
      <c r="Y2166" s="280"/>
      <c r="Z2166" s="280"/>
      <c r="AA2166" s="280"/>
      <c r="AB2166" s="280"/>
      <c r="AC2166" s="280"/>
      <c r="AD2166" s="280"/>
      <c r="AG2166" s="3"/>
      <c r="AH2166" s="3"/>
      <c r="AI2166" s="3"/>
      <c r="AJ2166" s="3"/>
      <c r="AK2166" s="3"/>
      <c r="AL2166" s="3"/>
      <c r="AM2166" s="3"/>
      <c r="AN2166" s="3"/>
      <c r="AO2166" s="3"/>
      <c r="AP2166" s="11"/>
      <c r="AQ2166" s="11"/>
      <c r="AR2166" s="3"/>
      <c r="AS2166" s="3"/>
      <c r="AT2166" s="3"/>
      <c r="AU2166" s="3"/>
      <c r="AV2166" s="3"/>
      <c r="AW2166" s="3"/>
      <c r="AX2166" s="11"/>
      <c r="AZ2166"/>
      <c r="BA2166"/>
      <c r="BB2166"/>
      <c r="BC2166"/>
    </row>
    <row r="2167" spans="1:55" s="282" customFormat="1" x14ac:dyDescent="0.25">
      <c r="A2167"/>
      <c r="B2167"/>
      <c r="C2167" s="3"/>
      <c r="D2167"/>
      <c r="E2167"/>
      <c r="F2167"/>
      <c r="G2167" s="3"/>
      <c r="H2167" s="3"/>
      <c r="I2167" s="3"/>
      <c r="J2167" s="288"/>
      <c r="L2167" s="288"/>
      <c r="M2167" s="288"/>
      <c r="N2167" s="288"/>
      <c r="O2167" s="288"/>
      <c r="P2167" s="288"/>
      <c r="Q2167" s="288"/>
      <c r="R2167" s="283"/>
      <c r="S2167" s="280"/>
      <c r="T2167" s="276"/>
      <c r="U2167" s="276"/>
      <c r="V2167" s="276"/>
      <c r="W2167" s="283"/>
      <c r="X2167" s="280"/>
      <c r="Y2167" s="280"/>
      <c r="Z2167" s="280"/>
      <c r="AA2167" s="280"/>
      <c r="AB2167" s="280"/>
      <c r="AC2167" s="280"/>
      <c r="AD2167" s="280"/>
      <c r="AG2167" s="3"/>
      <c r="AH2167" s="3"/>
      <c r="AI2167" s="3"/>
      <c r="AJ2167" s="3"/>
      <c r="AK2167" s="3"/>
      <c r="AL2167" s="3"/>
      <c r="AM2167" s="3"/>
      <c r="AN2167" s="3"/>
      <c r="AO2167" s="3"/>
      <c r="AP2167" s="11"/>
      <c r="AQ2167" s="11"/>
      <c r="AR2167" s="3"/>
      <c r="AS2167" s="3"/>
      <c r="AT2167" s="3"/>
      <c r="AU2167" s="3"/>
      <c r="AV2167" s="3"/>
      <c r="AW2167" s="3"/>
      <c r="AX2167" s="11"/>
      <c r="AZ2167"/>
      <c r="BA2167"/>
      <c r="BB2167"/>
      <c r="BC2167"/>
    </row>
    <row r="2168" spans="1:55" s="282" customFormat="1" x14ac:dyDescent="0.25">
      <c r="A2168"/>
      <c r="B2168"/>
      <c r="C2168" s="3"/>
      <c r="D2168"/>
      <c r="E2168"/>
      <c r="F2168"/>
      <c r="G2168" s="3"/>
      <c r="H2168" s="3"/>
      <c r="I2168" s="3"/>
      <c r="J2168" s="288"/>
      <c r="L2168" s="288"/>
      <c r="M2168" s="288"/>
      <c r="N2168" s="288"/>
      <c r="O2168" s="288"/>
      <c r="P2168" s="288"/>
      <c r="Q2168" s="288"/>
      <c r="R2168" s="283"/>
      <c r="S2168" s="280"/>
      <c r="T2168" s="276"/>
      <c r="U2168" s="276"/>
      <c r="V2168" s="276"/>
      <c r="W2168" s="283"/>
      <c r="X2168" s="280"/>
      <c r="Y2168" s="280"/>
      <c r="Z2168" s="280"/>
      <c r="AA2168" s="280"/>
      <c r="AB2168" s="280"/>
      <c r="AC2168" s="280"/>
      <c r="AD2168" s="280"/>
      <c r="AG2168" s="3"/>
      <c r="AH2168" s="3"/>
      <c r="AI2168" s="3"/>
      <c r="AJ2168" s="3"/>
      <c r="AK2168" s="3"/>
      <c r="AL2168" s="3"/>
      <c r="AM2168" s="3"/>
      <c r="AN2168" s="3"/>
      <c r="AO2168" s="3"/>
      <c r="AP2168" s="11"/>
      <c r="AQ2168" s="11"/>
      <c r="AR2168" s="3"/>
      <c r="AS2168" s="3"/>
      <c r="AT2168" s="3"/>
      <c r="AU2168" s="3"/>
      <c r="AV2168" s="3"/>
      <c r="AW2168" s="3"/>
      <c r="AX2168" s="11"/>
      <c r="AZ2168"/>
      <c r="BA2168"/>
      <c r="BB2168"/>
      <c r="BC2168"/>
    </row>
    <row r="2169" spans="1:55" s="282" customFormat="1" x14ac:dyDescent="0.25">
      <c r="A2169"/>
      <c r="B2169"/>
      <c r="C2169" s="3"/>
      <c r="D2169"/>
      <c r="E2169"/>
      <c r="F2169"/>
      <c r="G2169" s="3"/>
      <c r="H2169" s="3"/>
      <c r="I2169" s="3"/>
      <c r="J2169" s="288"/>
      <c r="L2169" s="288"/>
      <c r="M2169" s="288"/>
      <c r="N2169" s="288"/>
      <c r="O2169" s="288"/>
      <c r="P2169" s="288"/>
      <c r="Q2169" s="288"/>
      <c r="R2169" s="283"/>
      <c r="S2169" s="280"/>
      <c r="T2169" s="276"/>
      <c r="U2169" s="276"/>
      <c r="V2169" s="276"/>
      <c r="W2169" s="283"/>
      <c r="X2169" s="280"/>
      <c r="Y2169" s="280"/>
      <c r="Z2169" s="280"/>
      <c r="AA2169" s="280"/>
      <c r="AB2169" s="280"/>
      <c r="AC2169" s="280"/>
      <c r="AD2169" s="280"/>
      <c r="AG2169" s="3"/>
      <c r="AH2169" s="3"/>
      <c r="AI2169" s="3"/>
      <c r="AJ2169" s="3"/>
      <c r="AK2169" s="3"/>
      <c r="AL2169" s="3"/>
      <c r="AM2169" s="3"/>
      <c r="AN2169" s="3"/>
      <c r="AO2169" s="3"/>
      <c r="AP2169" s="11"/>
      <c r="AQ2169" s="11"/>
      <c r="AR2169" s="3"/>
      <c r="AS2169" s="3"/>
      <c r="AT2169" s="3"/>
      <c r="AU2169" s="3"/>
      <c r="AV2169" s="3"/>
      <c r="AW2169" s="3"/>
      <c r="AX2169" s="11"/>
      <c r="AZ2169"/>
      <c r="BA2169"/>
      <c r="BB2169"/>
      <c r="BC2169"/>
    </row>
    <row r="2170" spans="1:55" s="282" customFormat="1" x14ac:dyDescent="0.25">
      <c r="A2170"/>
      <c r="B2170"/>
      <c r="C2170" s="3"/>
      <c r="D2170"/>
      <c r="E2170"/>
      <c r="F2170"/>
      <c r="G2170" s="3"/>
      <c r="H2170" s="3"/>
      <c r="I2170" s="3"/>
      <c r="J2170" s="288"/>
      <c r="L2170" s="288"/>
      <c r="M2170" s="288"/>
      <c r="N2170" s="288"/>
      <c r="O2170" s="288"/>
      <c r="P2170" s="288"/>
      <c r="Q2170" s="288"/>
      <c r="R2170" s="283"/>
      <c r="S2170" s="280"/>
      <c r="T2170" s="276"/>
      <c r="U2170" s="276"/>
      <c r="V2170" s="276"/>
      <c r="W2170" s="283"/>
      <c r="X2170" s="280"/>
      <c r="Y2170" s="280"/>
      <c r="Z2170" s="280"/>
      <c r="AA2170" s="280"/>
      <c r="AB2170" s="280"/>
      <c r="AC2170" s="280"/>
      <c r="AD2170" s="280"/>
      <c r="AG2170" s="3"/>
      <c r="AH2170" s="3"/>
      <c r="AI2170" s="3"/>
      <c r="AJ2170" s="3"/>
      <c r="AK2170" s="3"/>
      <c r="AL2170" s="3"/>
      <c r="AM2170" s="3"/>
      <c r="AN2170" s="3"/>
      <c r="AO2170" s="3"/>
      <c r="AP2170" s="11"/>
      <c r="AQ2170" s="11"/>
      <c r="AR2170" s="3"/>
      <c r="AS2170" s="3"/>
      <c r="AT2170" s="3"/>
      <c r="AU2170" s="3"/>
      <c r="AV2170" s="3"/>
      <c r="AW2170" s="3"/>
      <c r="AX2170" s="11"/>
      <c r="AZ2170"/>
      <c r="BA2170"/>
      <c r="BB2170"/>
      <c r="BC2170"/>
    </row>
    <row r="2171" spans="1:55" s="282" customFormat="1" x14ac:dyDescent="0.25">
      <c r="A2171"/>
      <c r="B2171"/>
      <c r="C2171" s="3"/>
      <c r="D2171"/>
      <c r="E2171"/>
      <c r="F2171"/>
      <c r="G2171" s="3"/>
      <c r="H2171" s="3"/>
      <c r="I2171" s="3"/>
      <c r="J2171" s="288"/>
      <c r="L2171" s="288"/>
      <c r="M2171" s="288"/>
      <c r="N2171" s="288"/>
      <c r="O2171" s="288"/>
      <c r="P2171" s="288"/>
      <c r="Q2171" s="288"/>
      <c r="R2171" s="283"/>
      <c r="S2171" s="280"/>
      <c r="T2171" s="276"/>
      <c r="U2171" s="276"/>
      <c r="V2171" s="276"/>
      <c r="W2171" s="283"/>
      <c r="X2171" s="280"/>
      <c r="Y2171" s="280"/>
      <c r="Z2171" s="280"/>
      <c r="AA2171" s="280"/>
      <c r="AB2171" s="280"/>
      <c r="AC2171" s="280"/>
      <c r="AD2171" s="280"/>
      <c r="AG2171" s="3"/>
      <c r="AH2171" s="3"/>
      <c r="AI2171" s="3"/>
      <c r="AJ2171" s="3"/>
      <c r="AK2171" s="3"/>
      <c r="AL2171" s="3"/>
      <c r="AM2171" s="3"/>
      <c r="AN2171" s="3"/>
      <c r="AO2171" s="3"/>
      <c r="AP2171" s="11"/>
      <c r="AQ2171" s="11"/>
      <c r="AR2171" s="3"/>
      <c r="AS2171" s="3"/>
      <c r="AT2171" s="3"/>
      <c r="AU2171" s="3"/>
      <c r="AV2171" s="3"/>
      <c r="AW2171" s="3"/>
      <c r="AX2171" s="11"/>
      <c r="AZ2171"/>
      <c r="BA2171"/>
      <c r="BB2171"/>
      <c r="BC2171"/>
    </row>
    <row r="2172" spans="1:55" s="282" customFormat="1" x14ac:dyDescent="0.25">
      <c r="A2172"/>
      <c r="B2172"/>
      <c r="C2172" s="3"/>
      <c r="D2172"/>
      <c r="E2172"/>
      <c r="F2172"/>
      <c r="G2172" s="3"/>
      <c r="H2172" s="3"/>
      <c r="I2172" s="3"/>
      <c r="J2172" s="288"/>
      <c r="L2172" s="288"/>
      <c r="M2172" s="288"/>
      <c r="N2172" s="288"/>
      <c r="O2172" s="288"/>
      <c r="P2172" s="288"/>
      <c r="Q2172" s="288"/>
      <c r="R2172" s="283"/>
      <c r="S2172" s="280"/>
      <c r="T2172" s="276"/>
      <c r="U2172" s="276"/>
      <c r="V2172" s="276"/>
      <c r="W2172" s="283"/>
      <c r="X2172" s="280"/>
      <c r="Y2172" s="280"/>
      <c r="Z2172" s="280"/>
      <c r="AA2172" s="280"/>
      <c r="AB2172" s="280"/>
      <c r="AC2172" s="280"/>
      <c r="AD2172" s="280"/>
      <c r="AG2172" s="3"/>
      <c r="AH2172" s="3"/>
      <c r="AI2172" s="3"/>
      <c r="AJ2172" s="3"/>
      <c r="AK2172" s="3"/>
      <c r="AL2172" s="3"/>
      <c r="AM2172" s="3"/>
      <c r="AN2172" s="3"/>
      <c r="AO2172" s="3"/>
      <c r="AP2172" s="11"/>
      <c r="AQ2172" s="11"/>
      <c r="AR2172" s="3"/>
      <c r="AS2172" s="3"/>
      <c r="AT2172" s="3"/>
      <c r="AU2172" s="3"/>
      <c r="AV2172" s="3"/>
      <c r="AW2172" s="3"/>
      <c r="AX2172" s="11"/>
      <c r="AZ2172"/>
      <c r="BA2172"/>
      <c r="BB2172"/>
      <c r="BC2172"/>
    </row>
    <row r="2173" spans="1:55" s="282" customFormat="1" x14ac:dyDescent="0.25">
      <c r="A2173"/>
      <c r="B2173"/>
      <c r="C2173" s="3"/>
      <c r="D2173"/>
      <c r="E2173"/>
      <c r="F2173"/>
      <c r="G2173" s="3"/>
      <c r="H2173" s="3"/>
      <c r="I2173" s="3"/>
      <c r="J2173" s="288"/>
      <c r="L2173" s="288"/>
      <c r="M2173" s="288"/>
      <c r="N2173" s="288"/>
      <c r="O2173" s="288"/>
      <c r="P2173" s="288"/>
      <c r="Q2173" s="288"/>
      <c r="R2173" s="283"/>
      <c r="S2173" s="280"/>
      <c r="T2173" s="276"/>
      <c r="U2173" s="276"/>
      <c r="V2173" s="276"/>
      <c r="W2173" s="283"/>
      <c r="X2173" s="280"/>
      <c r="Y2173" s="280"/>
      <c r="Z2173" s="280"/>
      <c r="AA2173" s="280"/>
      <c r="AB2173" s="280"/>
      <c r="AC2173" s="280"/>
      <c r="AD2173" s="280"/>
      <c r="AG2173" s="3"/>
      <c r="AH2173" s="3"/>
      <c r="AI2173" s="3"/>
      <c r="AJ2173" s="3"/>
      <c r="AK2173" s="3"/>
      <c r="AL2173" s="3"/>
      <c r="AM2173" s="3"/>
      <c r="AN2173" s="3"/>
      <c r="AO2173" s="3"/>
      <c r="AP2173" s="11"/>
      <c r="AQ2173" s="11"/>
      <c r="AR2173" s="3"/>
      <c r="AS2173" s="3"/>
      <c r="AT2173" s="3"/>
      <c r="AU2173" s="3"/>
      <c r="AV2173" s="3"/>
      <c r="AW2173" s="3"/>
      <c r="AX2173" s="11"/>
      <c r="AZ2173"/>
      <c r="BA2173"/>
      <c r="BB2173"/>
      <c r="BC2173"/>
    </row>
    <row r="2174" spans="1:55" s="282" customFormat="1" x14ac:dyDescent="0.25">
      <c r="A2174"/>
      <c r="B2174"/>
      <c r="C2174" s="3"/>
      <c r="D2174"/>
      <c r="E2174"/>
      <c r="F2174"/>
      <c r="G2174" s="3"/>
      <c r="H2174" s="3"/>
      <c r="I2174" s="3"/>
      <c r="J2174" s="288"/>
      <c r="L2174" s="288"/>
      <c r="M2174" s="288"/>
      <c r="N2174" s="288"/>
      <c r="O2174" s="288"/>
      <c r="P2174" s="288"/>
      <c r="Q2174" s="288"/>
      <c r="R2174" s="283"/>
      <c r="S2174" s="280"/>
      <c r="T2174" s="276"/>
      <c r="U2174" s="276"/>
      <c r="V2174" s="276"/>
      <c r="W2174" s="283"/>
      <c r="X2174" s="280"/>
      <c r="Y2174" s="280"/>
      <c r="Z2174" s="280"/>
      <c r="AA2174" s="280"/>
      <c r="AB2174" s="280"/>
      <c r="AC2174" s="280"/>
      <c r="AD2174" s="280"/>
      <c r="AG2174" s="3"/>
      <c r="AH2174" s="3"/>
      <c r="AI2174" s="3"/>
      <c r="AJ2174" s="3"/>
      <c r="AK2174" s="3"/>
      <c r="AL2174" s="3"/>
      <c r="AM2174" s="3"/>
      <c r="AN2174" s="3"/>
      <c r="AO2174" s="3"/>
      <c r="AP2174" s="11"/>
      <c r="AQ2174" s="11"/>
      <c r="AR2174" s="3"/>
      <c r="AS2174" s="3"/>
      <c r="AT2174" s="3"/>
      <c r="AU2174" s="3"/>
      <c r="AV2174" s="3"/>
      <c r="AW2174" s="3"/>
      <c r="AX2174" s="11"/>
      <c r="AZ2174"/>
      <c r="BA2174"/>
      <c r="BB2174"/>
      <c r="BC2174"/>
    </row>
    <row r="2175" spans="1:55" s="282" customFormat="1" x14ac:dyDescent="0.25">
      <c r="A2175"/>
      <c r="B2175"/>
      <c r="C2175" s="3"/>
      <c r="D2175"/>
      <c r="E2175"/>
      <c r="F2175"/>
      <c r="G2175" s="3"/>
      <c r="H2175" s="3"/>
      <c r="I2175" s="3"/>
      <c r="J2175" s="288"/>
      <c r="L2175" s="288"/>
      <c r="M2175" s="288"/>
      <c r="N2175" s="288"/>
      <c r="O2175" s="288"/>
      <c r="P2175" s="288"/>
      <c r="Q2175" s="288"/>
      <c r="R2175" s="283"/>
      <c r="S2175" s="280"/>
      <c r="T2175" s="276"/>
      <c r="U2175" s="276"/>
      <c r="V2175" s="276"/>
      <c r="W2175" s="283"/>
      <c r="X2175" s="280"/>
      <c r="Y2175" s="280"/>
      <c r="Z2175" s="280"/>
      <c r="AA2175" s="280"/>
      <c r="AB2175" s="280"/>
      <c r="AC2175" s="280"/>
      <c r="AD2175" s="280"/>
      <c r="AG2175" s="3"/>
      <c r="AH2175" s="3"/>
      <c r="AI2175" s="3"/>
      <c r="AJ2175" s="3"/>
      <c r="AK2175" s="3"/>
      <c r="AL2175" s="3"/>
      <c r="AM2175" s="3"/>
      <c r="AN2175" s="3"/>
      <c r="AO2175" s="3"/>
      <c r="AP2175" s="11"/>
      <c r="AQ2175" s="11"/>
      <c r="AR2175" s="3"/>
      <c r="AS2175" s="3"/>
      <c r="AT2175" s="3"/>
      <c r="AU2175" s="3"/>
      <c r="AV2175" s="3"/>
      <c r="AW2175" s="3"/>
      <c r="AX2175" s="11"/>
      <c r="AZ2175"/>
      <c r="BA2175"/>
      <c r="BB2175"/>
      <c r="BC2175"/>
    </row>
    <row r="2176" spans="1:55" s="282" customFormat="1" x14ac:dyDescent="0.25">
      <c r="A2176"/>
      <c r="B2176"/>
      <c r="C2176" s="3"/>
      <c r="D2176"/>
      <c r="E2176"/>
      <c r="F2176"/>
      <c r="G2176" s="3"/>
      <c r="H2176" s="3"/>
      <c r="I2176" s="3"/>
      <c r="J2176" s="288"/>
      <c r="L2176" s="288"/>
      <c r="M2176" s="288"/>
      <c r="N2176" s="288"/>
      <c r="O2176" s="288"/>
      <c r="P2176" s="288"/>
      <c r="Q2176" s="288"/>
      <c r="R2176" s="283"/>
      <c r="S2176" s="280"/>
      <c r="T2176" s="276"/>
      <c r="U2176" s="276"/>
      <c r="V2176" s="276"/>
      <c r="W2176" s="283"/>
      <c r="X2176" s="280"/>
      <c r="Y2176" s="280"/>
      <c r="Z2176" s="280"/>
      <c r="AA2176" s="280"/>
      <c r="AB2176" s="280"/>
      <c r="AC2176" s="280"/>
      <c r="AD2176" s="280"/>
      <c r="AG2176" s="3"/>
      <c r="AH2176" s="3"/>
      <c r="AI2176" s="3"/>
      <c r="AJ2176" s="3"/>
      <c r="AK2176" s="3"/>
      <c r="AL2176" s="3"/>
      <c r="AM2176" s="3"/>
      <c r="AN2176" s="3"/>
      <c r="AO2176" s="3"/>
      <c r="AP2176" s="11"/>
      <c r="AQ2176" s="11"/>
      <c r="AR2176" s="3"/>
      <c r="AS2176" s="3"/>
      <c r="AT2176" s="3"/>
      <c r="AU2176" s="3"/>
      <c r="AV2176" s="3"/>
      <c r="AW2176" s="3"/>
      <c r="AX2176" s="11"/>
      <c r="AZ2176"/>
      <c r="BA2176"/>
      <c r="BB2176"/>
      <c r="BC2176"/>
    </row>
    <row r="2177" spans="1:55" s="282" customFormat="1" x14ac:dyDescent="0.25">
      <c r="A2177"/>
      <c r="B2177"/>
      <c r="C2177" s="3"/>
      <c r="D2177"/>
      <c r="E2177"/>
      <c r="F2177"/>
      <c r="G2177" s="3"/>
      <c r="H2177" s="3"/>
      <c r="I2177" s="3"/>
      <c r="J2177" s="288"/>
      <c r="L2177" s="288"/>
      <c r="M2177" s="288"/>
      <c r="N2177" s="288"/>
      <c r="O2177" s="288"/>
      <c r="P2177" s="288"/>
      <c r="Q2177" s="288"/>
      <c r="R2177" s="283"/>
      <c r="S2177" s="280"/>
      <c r="T2177" s="276"/>
      <c r="U2177" s="276"/>
      <c r="V2177" s="276"/>
      <c r="W2177" s="283"/>
      <c r="X2177" s="280"/>
      <c r="Y2177" s="280"/>
      <c r="Z2177" s="280"/>
      <c r="AA2177" s="280"/>
      <c r="AB2177" s="280"/>
      <c r="AC2177" s="280"/>
      <c r="AD2177" s="280"/>
      <c r="AG2177" s="3"/>
      <c r="AH2177" s="3"/>
      <c r="AI2177" s="3"/>
      <c r="AJ2177" s="3"/>
      <c r="AK2177" s="3"/>
      <c r="AL2177" s="3"/>
      <c r="AM2177" s="3"/>
      <c r="AN2177" s="3"/>
      <c r="AO2177" s="3"/>
      <c r="AP2177" s="11"/>
      <c r="AQ2177" s="11"/>
      <c r="AR2177" s="3"/>
      <c r="AS2177" s="3"/>
      <c r="AT2177" s="3"/>
      <c r="AU2177" s="3"/>
      <c r="AV2177" s="3"/>
      <c r="AW2177" s="3"/>
      <c r="AX2177" s="11"/>
      <c r="AZ2177"/>
      <c r="BA2177"/>
      <c r="BB2177"/>
      <c r="BC2177"/>
    </row>
    <row r="2178" spans="1:55" s="282" customFormat="1" x14ac:dyDescent="0.25">
      <c r="A2178"/>
      <c r="B2178"/>
      <c r="C2178" s="3"/>
      <c r="D2178"/>
      <c r="E2178"/>
      <c r="F2178"/>
      <c r="G2178" s="3"/>
      <c r="H2178" s="3"/>
      <c r="I2178" s="3"/>
      <c r="J2178" s="288"/>
      <c r="L2178" s="288"/>
      <c r="M2178" s="288"/>
      <c r="N2178" s="288"/>
      <c r="O2178" s="288"/>
      <c r="P2178" s="288"/>
      <c r="Q2178" s="288"/>
      <c r="R2178" s="283"/>
      <c r="S2178" s="280"/>
      <c r="T2178" s="276"/>
      <c r="U2178" s="276"/>
      <c r="V2178" s="276"/>
      <c r="W2178" s="283"/>
      <c r="X2178" s="280"/>
      <c r="Y2178" s="280"/>
      <c r="Z2178" s="280"/>
      <c r="AA2178" s="280"/>
      <c r="AB2178" s="280"/>
      <c r="AC2178" s="280"/>
      <c r="AD2178" s="280"/>
      <c r="AG2178" s="3"/>
      <c r="AH2178" s="3"/>
      <c r="AI2178" s="3"/>
      <c r="AJ2178" s="3"/>
      <c r="AK2178" s="3"/>
      <c r="AL2178" s="3"/>
      <c r="AM2178" s="3"/>
      <c r="AN2178" s="3"/>
      <c r="AO2178" s="3"/>
      <c r="AP2178" s="11"/>
      <c r="AQ2178" s="11"/>
      <c r="AR2178" s="3"/>
      <c r="AS2178" s="3"/>
      <c r="AT2178" s="3"/>
      <c r="AU2178" s="3"/>
      <c r="AV2178" s="3"/>
      <c r="AW2178" s="3"/>
      <c r="AX2178" s="11"/>
      <c r="AZ2178"/>
      <c r="BA2178"/>
      <c r="BB2178"/>
      <c r="BC2178"/>
    </row>
    <row r="2179" spans="1:55" s="282" customFormat="1" x14ac:dyDescent="0.25">
      <c r="A2179"/>
      <c r="B2179"/>
      <c r="C2179" s="3"/>
      <c r="D2179"/>
      <c r="E2179"/>
      <c r="F2179"/>
      <c r="G2179" s="3"/>
      <c r="H2179" s="3"/>
      <c r="I2179" s="3"/>
      <c r="J2179" s="288"/>
      <c r="L2179" s="288"/>
      <c r="M2179" s="288"/>
      <c r="N2179" s="288"/>
      <c r="O2179" s="288"/>
      <c r="P2179" s="288"/>
      <c r="Q2179" s="288"/>
      <c r="R2179" s="283"/>
      <c r="S2179" s="280"/>
      <c r="T2179" s="276"/>
      <c r="U2179" s="276"/>
      <c r="V2179" s="276"/>
      <c r="W2179" s="283"/>
      <c r="X2179" s="280"/>
      <c r="Y2179" s="280"/>
      <c r="Z2179" s="280"/>
      <c r="AA2179" s="280"/>
      <c r="AB2179" s="280"/>
      <c r="AC2179" s="280"/>
      <c r="AD2179" s="280"/>
      <c r="AG2179" s="3"/>
      <c r="AH2179" s="3"/>
      <c r="AI2179" s="3"/>
      <c r="AJ2179" s="3"/>
      <c r="AK2179" s="3"/>
      <c r="AL2179" s="3"/>
      <c r="AM2179" s="3"/>
      <c r="AN2179" s="3"/>
      <c r="AO2179" s="3"/>
      <c r="AP2179" s="11"/>
      <c r="AQ2179" s="11"/>
      <c r="AR2179" s="3"/>
      <c r="AS2179" s="3"/>
      <c r="AT2179" s="3"/>
      <c r="AU2179" s="3"/>
      <c r="AV2179" s="3"/>
      <c r="AW2179" s="3"/>
      <c r="AX2179" s="11"/>
      <c r="AZ2179"/>
      <c r="BA2179"/>
      <c r="BB2179"/>
      <c r="BC2179"/>
    </row>
    <row r="2180" spans="1:55" s="282" customFormat="1" x14ac:dyDescent="0.25">
      <c r="A2180"/>
      <c r="B2180"/>
      <c r="C2180" s="3"/>
      <c r="D2180"/>
      <c r="E2180"/>
      <c r="F2180"/>
      <c r="G2180" s="3"/>
      <c r="H2180" s="3"/>
      <c r="I2180" s="3"/>
      <c r="J2180" s="288"/>
      <c r="L2180" s="288"/>
      <c r="M2180" s="288"/>
      <c r="N2180" s="288"/>
      <c r="O2180" s="288"/>
      <c r="P2180" s="288"/>
      <c r="Q2180" s="288"/>
      <c r="R2180" s="283"/>
      <c r="S2180" s="280"/>
      <c r="T2180" s="276"/>
      <c r="U2180" s="276"/>
      <c r="V2180" s="276"/>
      <c r="W2180" s="283"/>
      <c r="X2180" s="280"/>
      <c r="Y2180" s="280"/>
      <c r="Z2180" s="280"/>
      <c r="AA2180" s="280"/>
      <c r="AB2180" s="280"/>
      <c r="AC2180" s="280"/>
      <c r="AD2180" s="280"/>
      <c r="AG2180" s="3"/>
      <c r="AH2180" s="3"/>
      <c r="AI2180" s="3"/>
      <c r="AJ2180" s="3"/>
      <c r="AK2180" s="3"/>
      <c r="AL2180" s="3"/>
      <c r="AM2180" s="3"/>
      <c r="AN2180" s="3"/>
      <c r="AO2180" s="3"/>
      <c r="AP2180" s="11"/>
      <c r="AQ2180" s="11"/>
      <c r="AR2180" s="3"/>
      <c r="AS2180" s="3"/>
      <c r="AT2180" s="3"/>
      <c r="AU2180" s="3"/>
      <c r="AV2180" s="3"/>
      <c r="AW2180" s="3"/>
      <c r="AX2180" s="11"/>
      <c r="AZ2180"/>
      <c r="BA2180"/>
      <c r="BB2180"/>
      <c r="BC2180"/>
    </row>
    <row r="2181" spans="1:55" s="282" customFormat="1" x14ac:dyDescent="0.25">
      <c r="A2181"/>
      <c r="B2181"/>
      <c r="C2181" s="3"/>
      <c r="D2181"/>
      <c r="E2181"/>
      <c r="F2181"/>
      <c r="G2181" s="3"/>
      <c r="H2181" s="3"/>
      <c r="I2181" s="3"/>
      <c r="J2181" s="288"/>
      <c r="L2181" s="288"/>
      <c r="M2181" s="288"/>
      <c r="N2181" s="288"/>
      <c r="O2181" s="288"/>
      <c r="P2181" s="288"/>
      <c r="Q2181" s="288"/>
      <c r="R2181" s="283"/>
      <c r="S2181" s="280"/>
      <c r="T2181" s="276"/>
      <c r="U2181" s="276"/>
      <c r="V2181" s="276"/>
      <c r="W2181" s="283"/>
      <c r="X2181" s="280"/>
      <c r="Y2181" s="280"/>
      <c r="Z2181" s="280"/>
      <c r="AA2181" s="280"/>
      <c r="AB2181" s="280"/>
      <c r="AC2181" s="280"/>
      <c r="AD2181" s="280"/>
      <c r="AG2181" s="3"/>
      <c r="AH2181" s="3"/>
      <c r="AI2181" s="3"/>
      <c r="AJ2181" s="3"/>
      <c r="AK2181" s="3"/>
      <c r="AL2181" s="3"/>
      <c r="AM2181" s="3"/>
      <c r="AN2181" s="3"/>
      <c r="AO2181" s="3"/>
      <c r="AP2181" s="11"/>
      <c r="AQ2181" s="11"/>
      <c r="AR2181" s="3"/>
      <c r="AS2181" s="3"/>
      <c r="AT2181" s="3"/>
      <c r="AU2181" s="3"/>
      <c r="AV2181" s="3"/>
      <c r="AW2181" s="3"/>
      <c r="AX2181" s="11"/>
      <c r="AZ2181"/>
      <c r="BA2181"/>
      <c r="BB2181"/>
      <c r="BC2181"/>
    </row>
    <row r="2182" spans="1:55" s="282" customFormat="1" x14ac:dyDescent="0.25">
      <c r="A2182"/>
      <c r="B2182"/>
      <c r="C2182" s="3"/>
      <c r="D2182"/>
      <c r="E2182"/>
      <c r="F2182"/>
      <c r="G2182" s="3"/>
      <c r="H2182" s="3"/>
      <c r="I2182" s="3"/>
      <c r="J2182" s="288"/>
      <c r="L2182" s="288"/>
      <c r="M2182" s="288"/>
      <c r="N2182" s="288"/>
      <c r="O2182" s="288"/>
      <c r="P2182" s="288"/>
      <c r="Q2182" s="288"/>
      <c r="R2182" s="283"/>
      <c r="S2182" s="280"/>
      <c r="T2182" s="276"/>
      <c r="U2182" s="276"/>
      <c r="V2182" s="276"/>
      <c r="W2182" s="283"/>
      <c r="X2182" s="280"/>
      <c r="Y2182" s="280"/>
      <c r="Z2182" s="280"/>
      <c r="AA2182" s="280"/>
      <c r="AB2182" s="280"/>
      <c r="AC2182" s="280"/>
      <c r="AD2182" s="280"/>
      <c r="AG2182" s="3"/>
      <c r="AH2182" s="3"/>
      <c r="AI2182" s="3"/>
      <c r="AJ2182" s="3"/>
      <c r="AK2182" s="3"/>
      <c r="AL2182" s="3"/>
      <c r="AM2182" s="3"/>
      <c r="AN2182" s="3"/>
      <c r="AO2182" s="3"/>
      <c r="AP2182" s="11"/>
      <c r="AQ2182" s="11"/>
      <c r="AR2182" s="3"/>
      <c r="AS2182" s="3"/>
      <c r="AT2182" s="3"/>
      <c r="AU2182" s="3"/>
      <c r="AV2182" s="3"/>
      <c r="AW2182" s="3"/>
      <c r="AX2182" s="11"/>
      <c r="AZ2182"/>
      <c r="BA2182"/>
      <c r="BB2182"/>
      <c r="BC2182"/>
    </row>
    <row r="2183" spans="1:55" s="282" customFormat="1" x14ac:dyDescent="0.25">
      <c r="A2183"/>
      <c r="B2183"/>
      <c r="C2183" s="3"/>
      <c r="D2183"/>
      <c r="E2183"/>
      <c r="F2183"/>
      <c r="G2183" s="3"/>
      <c r="H2183" s="3"/>
      <c r="I2183" s="3"/>
      <c r="J2183" s="288"/>
      <c r="L2183" s="288"/>
      <c r="M2183" s="288"/>
      <c r="N2183" s="288"/>
      <c r="O2183" s="288"/>
      <c r="P2183" s="288"/>
      <c r="Q2183" s="288"/>
      <c r="R2183" s="283"/>
      <c r="S2183" s="280"/>
      <c r="T2183" s="276"/>
      <c r="U2183" s="276"/>
      <c r="V2183" s="276"/>
      <c r="W2183" s="283"/>
      <c r="X2183" s="280"/>
      <c r="Y2183" s="280"/>
      <c r="Z2183" s="280"/>
      <c r="AA2183" s="280"/>
      <c r="AB2183" s="280"/>
      <c r="AC2183" s="280"/>
      <c r="AD2183" s="280"/>
      <c r="AG2183" s="3"/>
      <c r="AH2183" s="3"/>
      <c r="AI2183" s="3"/>
      <c r="AJ2183" s="3"/>
      <c r="AK2183" s="3"/>
      <c r="AL2183" s="3"/>
      <c r="AM2183" s="3"/>
      <c r="AN2183" s="3"/>
      <c r="AO2183" s="3"/>
      <c r="AP2183" s="11"/>
      <c r="AQ2183" s="11"/>
      <c r="AR2183" s="3"/>
      <c r="AS2183" s="3"/>
      <c r="AT2183" s="3"/>
      <c r="AU2183" s="3"/>
      <c r="AV2183" s="3"/>
      <c r="AW2183" s="3"/>
      <c r="AX2183" s="11"/>
      <c r="AZ2183"/>
      <c r="BA2183"/>
      <c r="BB2183"/>
      <c r="BC2183"/>
    </row>
    <row r="2184" spans="1:55" s="282" customFormat="1" x14ac:dyDescent="0.25">
      <c r="A2184"/>
      <c r="B2184"/>
      <c r="C2184" s="3"/>
      <c r="D2184"/>
      <c r="E2184"/>
      <c r="F2184"/>
      <c r="G2184" s="3"/>
      <c r="H2184" s="3"/>
      <c r="I2184" s="3"/>
      <c r="J2184" s="288"/>
      <c r="L2184" s="288"/>
      <c r="M2184" s="288"/>
      <c r="N2184" s="288"/>
      <c r="O2184" s="288"/>
      <c r="P2184" s="288"/>
      <c r="Q2184" s="288"/>
      <c r="R2184" s="283"/>
      <c r="S2184" s="280"/>
      <c r="T2184" s="276"/>
      <c r="U2184" s="276"/>
      <c r="V2184" s="276"/>
      <c r="W2184" s="283"/>
      <c r="X2184" s="280"/>
      <c r="Y2184" s="280"/>
      <c r="Z2184" s="280"/>
      <c r="AA2184" s="280"/>
      <c r="AB2184" s="280"/>
      <c r="AC2184" s="280"/>
      <c r="AD2184" s="280"/>
      <c r="AG2184" s="3"/>
      <c r="AH2184" s="3"/>
      <c r="AI2184" s="3"/>
      <c r="AJ2184" s="3"/>
      <c r="AK2184" s="3"/>
      <c r="AL2184" s="3"/>
      <c r="AM2184" s="3"/>
      <c r="AN2184" s="3"/>
      <c r="AO2184" s="3"/>
      <c r="AP2184" s="11"/>
      <c r="AQ2184" s="11"/>
      <c r="AR2184" s="3"/>
      <c r="AS2184" s="3"/>
      <c r="AT2184" s="3"/>
      <c r="AU2184" s="3"/>
      <c r="AV2184" s="3"/>
      <c r="AW2184" s="3"/>
      <c r="AX2184" s="11"/>
      <c r="AZ2184"/>
      <c r="BA2184"/>
      <c r="BB2184"/>
      <c r="BC2184"/>
    </row>
    <row r="2185" spans="1:55" s="282" customFormat="1" x14ac:dyDescent="0.25">
      <c r="A2185"/>
      <c r="B2185"/>
      <c r="C2185" s="3"/>
      <c r="D2185"/>
      <c r="E2185"/>
      <c r="F2185"/>
      <c r="G2185" s="3"/>
      <c r="H2185" s="3"/>
      <c r="I2185" s="3"/>
      <c r="J2185" s="288"/>
      <c r="L2185" s="288"/>
      <c r="M2185" s="288"/>
      <c r="N2185" s="288"/>
      <c r="O2185" s="288"/>
      <c r="P2185" s="288"/>
      <c r="Q2185" s="288"/>
      <c r="R2185" s="283"/>
      <c r="S2185" s="280"/>
      <c r="T2185" s="276"/>
      <c r="U2185" s="276"/>
      <c r="V2185" s="276"/>
      <c r="W2185" s="283"/>
      <c r="X2185" s="280"/>
      <c r="Y2185" s="280"/>
      <c r="Z2185" s="280"/>
      <c r="AA2185" s="280"/>
      <c r="AB2185" s="280"/>
      <c r="AC2185" s="280"/>
      <c r="AD2185" s="280"/>
      <c r="AG2185" s="3"/>
      <c r="AH2185" s="3"/>
      <c r="AI2185" s="3"/>
      <c r="AJ2185" s="3"/>
      <c r="AK2185" s="3"/>
      <c r="AL2185" s="3"/>
      <c r="AM2185" s="3"/>
      <c r="AN2185" s="3"/>
      <c r="AO2185" s="3"/>
      <c r="AP2185" s="11"/>
      <c r="AQ2185" s="11"/>
      <c r="AR2185" s="3"/>
      <c r="AS2185" s="3"/>
      <c r="AT2185" s="3"/>
      <c r="AU2185" s="3"/>
      <c r="AV2185" s="3"/>
      <c r="AW2185" s="3"/>
      <c r="AX2185" s="11"/>
      <c r="AZ2185"/>
      <c r="BA2185"/>
      <c r="BB2185"/>
      <c r="BC2185"/>
    </row>
    <row r="2186" spans="1:55" s="282" customFormat="1" x14ac:dyDescent="0.25">
      <c r="A2186"/>
      <c r="B2186"/>
      <c r="C2186" s="3"/>
      <c r="D2186"/>
      <c r="E2186"/>
      <c r="F2186"/>
      <c r="G2186" s="3"/>
      <c r="H2186" s="3"/>
      <c r="I2186" s="3"/>
      <c r="J2186" s="288"/>
      <c r="L2186" s="288"/>
      <c r="M2186" s="288"/>
      <c r="N2186" s="288"/>
      <c r="O2186" s="288"/>
      <c r="P2186" s="288"/>
      <c r="Q2186" s="288"/>
      <c r="R2186" s="283"/>
      <c r="S2186" s="280"/>
      <c r="T2186" s="276"/>
      <c r="U2186" s="276"/>
      <c r="V2186" s="276"/>
      <c r="W2186" s="283"/>
      <c r="X2186" s="280"/>
      <c r="Y2186" s="280"/>
      <c r="Z2186" s="280"/>
      <c r="AA2186" s="280"/>
      <c r="AB2186" s="280"/>
      <c r="AC2186" s="280"/>
      <c r="AD2186" s="280"/>
      <c r="AG2186" s="3"/>
      <c r="AH2186" s="3"/>
      <c r="AI2186" s="3"/>
      <c r="AJ2186" s="3"/>
      <c r="AK2186" s="3"/>
      <c r="AL2186" s="3"/>
      <c r="AM2186" s="3"/>
      <c r="AN2186" s="3"/>
      <c r="AO2186" s="3"/>
      <c r="AP2186" s="11"/>
      <c r="AQ2186" s="11"/>
      <c r="AR2186" s="3"/>
      <c r="AS2186" s="3"/>
      <c r="AT2186" s="3"/>
      <c r="AU2186" s="3"/>
      <c r="AV2186" s="3"/>
      <c r="AW2186" s="3"/>
      <c r="AX2186" s="11"/>
      <c r="AZ2186"/>
      <c r="BA2186"/>
      <c r="BB2186"/>
      <c r="BC2186"/>
    </row>
    <row r="2187" spans="1:55" s="282" customFormat="1" x14ac:dyDescent="0.25">
      <c r="A2187"/>
      <c r="B2187"/>
      <c r="C2187" s="3"/>
      <c r="D2187"/>
      <c r="E2187"/>
      <c r="F2187"/>
      <c r="G2187" s="3"/>
      <c r="H2187" s="3"/>
      <c r="I2187" s="3"/>
      <c r="J2187" s="288"/>
      <c r="L2187" s="288"/>
      <c r="M2187" s="288"/>
      <c r="N2187" s="288"/>
      <c r="O2187" s="288"/>
      <c r="P2187" s="288"/>
      <c r="Q2187" s="288"/>
      <c r="R2187" s="283"/>
      <c r="S2187" s="280"/>
      <c r="T2187" s="276"/>
      <c r="U2187" s="276"/>
      <c r="V2187" s="276"/>
      <c r="W2187" s="283"/>
      <c r="X2187" s="280"/>
      <c r="Y2187" s="280"/>
      <c r="Z2187" s="280"/>
      <c r="AA2187" s="280"/>
      <c r="AB2187" s="280"/>
      <c r="AC2187" s="280"/>
      <c r="AD2187" s="280"/>
      <c r="AG2187" s="3"/>
      <c r="AH2187" s="3"/>
      <c r="AI2187" s="3"/>
      <c r="AJ2187" s="3"/>
      <c r="AK2187" s="3"/>
      <c r="AL2187" s="3"/>
      <c r="AM2187" s="3"/>
      <c r="AN2187" s="3"/>
      <c r="AO2187" s="3"/>
      <c r="AP2187" s="11"/>
      <c r="AQ2187" s="11"/>
      <c r="AR2187" s="3"/>
      <c r="AS2187" s="3"/>
      <c r="AT2187" s="3"/>
      <c r="AU2187" s="3"/>
      <c r="AV2187" s="3"/>
      <c r="AW2187" s="3"/>
      <c r="AX2187" s="11"/>
      <c r="AZ2187"/>
      <c r="BA2187"/>
      <c r="BB2187"/>
      <c r="BC2187"/>
    </row>
    <row r="2188" spans="1:55" s="282" customFormat="1" x14ac:dyDescent="0.25">
      <c r="A2188"/>
      <c r="B2188"/>
      <c r="C2188" s="3"/>
      <c r="D2188"/>
      <c r="E2188"/>
      <c r="F2188"/>
      <c r="G2188" s="3"/>
      <c r="H2188" s="3"/>
      <c r="I2188" s="3"/>
      <c r="J2188" s="288"/>
      <c r="L2188" s="288"/>
      <c r="M2188" s="288"/>
      <c r="N2188" s="288"/>
      <c r="O2188" s="288"/>
      <c r="P2188" s="288"/>
      <c r="Q2188" s="288"/>
      <c r="R2188" s="283"/>
      <c r="S2188" s="280"/>
      <c r="T2188" s="276"/>
      <c r="U2188" s="276"/>
      <c r="V2188" s="276"/>
      <c r="W2188" s="283"/>
      <c r="X2188" s="280"/>
      <c r="Y2188" s="280"/>
      <c r="Z2188" s="280"/>
      <c r="AA2188" s="280"/>
      <c r="AB2188" s="280"/>
      <c r="AC2188" s="280"/>
      <c r="AD2188" s="280"/>
      <c r="AG2188" s="3"/>
      <c r="AH2188" s="3"/>
      <c r="AI2188" s="3"/>
      <c r="AJ2188" s="3"/>
      <c r="AK2188" s="3"/>
      <c r="AL2188" s="3"/>
      <c r="AM2188" s="3"/>
      <c r="AN2188" s="3"/>
      <c r="AO2188" s="3"/>
      <c r="AP2188" s="11"/>
      <c r="AQ2188" s="11"/>
      <c r="AR2188" s="3"/>
      <c r="AS2188" s="3"/>
      <c r="AT2188" s="3"/>
      <c r="AU2188" s="3"/>
      <c r="AV2188" s="3"/>
      <c r="AW2188" s="3"/>
      <c r="AX2188" s="11"/>
      <c r="AZ2188"/>
      <c r="BA2188"/>
      <c r="BB2188"/>
      <c r="BC2188"/>
    </row>
    <row r="2189" spans="1:55" s="282" customFormat="1" x14ac:dyDescent="0.25">
      <c r="A2189"/>
      <c r="B2189"/>
      <c r="C2189" s="3"/>
      <c r="D2189"/>
      <c r="E2189"/>
      <c r="F2189"/>
      <c r="G2189" s="3"/>
      <c r="H2189" s="3"/>
      <c r="I2189" s="3"/>
      <c r="J2189" s="288"/>
      <c r="L2189" s="288"/>
      <c r="M2189" s="288"/>
      <c r="N2189" s="288"/>
      <c r="O2189" s="288"/>
      <c r="P2189" s="288"/>
      <c r="Q2189" s="288"/>
      <c r="R2189" s="283"/>
      <c r="S2189" s="280"/>
      <c r="T2189" s="276"/>
      <c r="U2189" s="276"/>
      <c r="V2189" s="276"/>
      <c r="W2189" s="283"/>
      <c r="X2189" s="280"/>
      <c r="Y2189" s="280"/>
      <c r="Z2189" s="280"/>
      <c r="AA2189" s="280"/>
      <c r="AB2189" s="280"/>
      <c r="AC2189" s="280"/>
      <c r="AD2189" s="280"/>
      <c r="AG2189" s="3"/>
      <c r="AH2189" s="3"/>
      <c r="AI2189" s="3"/>
      <c r="AJ2189" s="3"/>
      <c r="AK2189" s="3"/>
      <c r="AL2189" s="3"/>
      <c r="AM2189" s="3"/>
      <c r="AN2189" s="3"/>
      <c r="AO2189" s="3"/>
      <c r="AP2189" s="11"/>
      <c r="AQ2189" s="11"/>
      <c r="AR2189" s="3"/>
      <c r="AS2189" s="3"/>
      <c r="AT2189" s="3"/>
      <c r="AU2189" s="3"/>
      <c r="AV2189" s="3"/>
      <c r="AW2189" s="3"/>
      <c r="AX2189" s="11"/>
      <c r="AZ2189"/>
      <c r="BA2189"/>
      <c r="BB2189"/>
      <c r="BC2189"/>
    </row>
    <row r="2190" spans="1:55" s="282" customFormat="1" x14ac:dyDescent="0.25">
      <c r="A2190"/>
      <c r="B2190"/>
      <c r="C2190" s="3"/>
      <c r="D2190"/>
      <c r="E2190"/>
      <c r="F2190"/>
      <c r="G2190" s="3"/>
      <c r="H2190" s="3"/>
      <c r="I2190" s="3"/>
      <c r="J2190" s="288"/>
      <c r="L2190" s="288"/>
      <c r="M2190" s="288"/>
      <c r="N2190" s="288"/>
      <c r="O2190" s="288"/>
      <c r="P2190" s="288"/>
      <c r="Q2190" s="288"/>
      <c r="R2190" s="283"/>
      <c r="S2190" s="280"/>
      <c r="T2190" s="276"/>
      <c r="U2190" s="276"/>
      <c r="V2190" s="276"/>
      <c r="W2190" s="283"/>
      <c r="X2190" s="280"/>
      <c r="Y2190" s="280"/>
      <c r="Z2190" s="280"/>
      <c r="AA2190" s="280"/>
      <c r="AB2190" s="280"/>
      <c r="AC2190" s="280"/>
      <c r="AD2190" s="280"/>
      <c r="AG2190" s="3"/>
      <c r="AH2190" s="3"/>
      <c r="AI2190" s="3"/>
      <c r="AJ2190" s="3"/>
      <c r="AK2190" s="3"/>
      <c r="AL2190" s="3"/>
      <c r="AM2190" s="3"/>
      <c r="AN2190" s="3"/>
      <c r="AO2190" s="3"/>
      <c r="AP2190" s="11"/>
      <c r="AQ2190" s="11"/>
      <c r="AR2190" s="3"/>
      <c r="AS2190" s="3"/>
      <c r="AT2190" s="3"/>
      <c r="AU2190" s="3"/>
      <c r="AV2190" s="3"/>
      <c r="AW2190" s="3"/>
      <c r="AX2190" s="11"/>
      <c r="AZ2190"/>
      <c r="BA2190"/>
      <c r="BB2190"/>
      <c r="BC2190"/>
    </row>
    <row r="2191" spans="1:55" s="282" customFormat="1" x14ac:dyDescent="0.25">
      <c r="A2191"/>
      <c r="B2191"/>
      <c r="C2191" s="3"/>
      <c r="D2191"/>
      <c r="E2191"/>
      <c r="F2191"/>
      <c r="G2191" s="3"/>
      <c r="H2191" s="3"/>
      <c r="I2191" s="3"/>
      <c r="J2191" s="288"/>
      <c r="L2191" s="288"/>
      <c r="M2191" s="288"/>
      <c r="N2191" s="288"/>
      <c r="O2191" s="288"/>
      <c r="P2191" s="288"/>
      <c r="Q2191" s="288"/>
      <c r="R2191" s="283"/>
      <c r="S2191" s="280"/>
      <c r="T2191" s="276"/>
      <c r="U2191" s="276"/>
      <c r="V2191" s="276"/>
      <c r="W2191" s="283"/>
      <c r="X2191" s="280"/>
      <c r="Y2191" s="280"/>
      <c r="Z2191" s="280"/>
      <c r="AA2191" s="280"/>
      <c r="AB2191" s="280"/>
      <c r="AC2191" s="280"/>
      <c r="AD2191" s="280"/>
      <c r="AG2191" s="3"/>
      <c r="AH2191" s="3"/>
      <c r="AI2191" s="3"/>
      <c r="AJ2191" s="3"/>
      <c r="AK2191" s="3"/>
      <c r="AL2191" s="3"/>
      <c r="AM2191" s="3"/>
      <c r="AN2191" s="3"/>
      <c r="AO2191" s="3"/>
      <c r="AP2191" s="11"/>
      <c r="AQ2191" s="11"/>
      <c r="AR2191" s="3"/>
      <c r="AS2191" s="3"/>
      <c r="AT2191" s="3"/>
      <c r="AU2191" s="3"/>
      <c r="AV2191" s="3"/>
      <c r="AW2191" s="3"/>
      <c r="AX2191" s="11"/>
      <c r="AZ2191"/>
      <c r="BA2191"/>
      <c r="BB2191"/>
      <c r="BC2191"/>
    </row>
    <row r="2192" spans="1:55" s="282" customFormat="1" x14ac:dyDescent="0.25">
      <c r="A2192"/>
      <c r="B2192"/>
      <c r="C2192" s="3"/>
      <c r="D2192"/>
      <c r="E2192"/>
      <c r="F2192"/>
      <c r="G2192" s="3"/>
      <c r="H2192" s="3"/>
      <c r="I2192" s="3"/>
      <c r="J2192" s="288"/>
      <c r="L2192" s="288"/>
      <c r="M2192" s="288"/>
      <c r="N2192" s="288"/>
      <c r="O2192" s="288"/>
      <c r="P2192" s="288"/>
      <c r="Q2192" s="288"/>
      <c r="R2192" s="283"/>
      <c r="S2192" s="280"/>
      <c r="T2192" s="276"/>
      <c r="U2192" s="276"/>
      <c r="V2192" s="276"/>
      <c r="W2192" s="283"/>
      <c r="X2192" s="280"/>
      <c r="Y2192" s="280"/>
      <c r="Z2192" s="280"/>
      <c r="AA2192" s="280"/>
      <c r="AB2192" s="280"/>
      <c r="AC2192" s="280"/>
      <c r="AD2192" s="280"/>
      <c r="AG2192" s="3"/>
      <c r="AH2192" s="3"/>
      <c r="AI2192" s="3"/>
      <c r="AJ2192" s="3"/>
      <c r="AK2192" s="3"/>
      <c r="AL2192" s="3"/>
      <c r="AM2192" s="3"/>
      <c r="AN2192" s="3"/>
      <c r="AO2192" s="3"/>
      <c r="AP2192" s="11"/>
      <c r="AQ2192" s="11"/>
      <c r="AR2192" s="3"/>
      <c r="AS2192" s="3"/>
      <c r="AT2192" s="3"/>
      <c r="AU2192" s="3"/>
      <c r="AV2192" s="3"/>
      <c r="AW2192" s="3"/>
      <c r="AX2192" s="11"/>
      <c r="AZ2192"/>
      <c r="BA2192"/>
      <c r="BB2192"/>
      <c r="BC2192"/>
    </row>
    <row r="2193" spans="1:55" s="282" customFormat="1" x14ac:dyDescent="0.25">
      <c r="A2193"/>
      <c r="B2193"/>
      <c r="C2193" s="3"/>
      <c r="D2193"/>
      <c r="E2193"/>
      <c r="F2193"/>
      <c r="G2193" s="3"/>
      <c r="H2193" s="3"/>
      <c r="I2193" s="3"/>
      <c r="J2193" s="288"/>
      <c r="L2193" s="288"/>
      <c r="M2193" s="288"/>
      <c r="N2193" s="288"/>
      <c r="O2193" s="288"/>
      <c r="P2193" s="288"/>
      <c r="Q2193" s="288"/>
      <c r="R2193" s="283"/>
      <c r="S2193" s="280"/>
      <c r="T2193" s="276"/>
      <c r="U2193" s="276"/>
      <c r="V2193" s="276"/>
      <c r="W2193" s="283"/>
      <c r="X2193" s="280"/>
      <c r="Y2193" s="280"/>
      <c r="Z2193" s="280"/>
      <c r="AA2193" s="280"/>
      <c r="AB2193" s="280"/>
      <c r="AC2193" s="280"/>
      <c r="AD2193" s="280"/>
      <c r="AG2193" s="3"/>
      <c r="AH2193" s="3"/>
      <c r="AI2193" s="3"/>
      <c r="AJ2193" s="3"/>
      <c r="AK2193" s="3"/>
      <c r="AL2193" s="3"/>
      <c r="AM2193" s="3"/>
      <c r="AN2193" s="3"/>
      <c r="AO2193" s="3"/>
      <c r="AP2193" s="11"/>
      <c r="AQ2193" s="11"/>
      <c r="AR2193" s="3"/>
      <c r="AS2193" s="3"/>
      <c r="AT2193" s="3"/>
      <c r="AU2193" s="3"/>
      <c r="AV2193" s="3"/>
      <c r="AW2193" s="3"/>
      <c r="AX2193" s="11"/>
      <c r="AZ2193"/>
      <c r="BA2193"/>
      <c r="BB2193"/>
      <c r="BC2193"/>
    </row>
    <row r="2194" spans="1:55" s="282" customFormat="1" x14ac:dyDescent="0.25">
      <c r="A2194"/>
      <c r="B2194"/>
      <c r="C2194" s="3"/>
      <c r="D2194"/>
      <c r="E2194"/>
      <c r="F2194"/>
      <c r="G2194" s="3"/>
      <c r="H2194" s="3"/>
      <c r="I2194" s="3"/>
      <c r="J2194" s="288"/>
      <c r="L2194" s="288"/>
      <c r="M2194" s="288"/>
      <c r="N2194" s="288"/>
      <c r="O2194" s="288"/>
      <c r="P2194" s="288"/>
      <c r="Q2194" s="288"/>
      <c r="R2194" s="283"/>
      <c r="S2194" s="280"/>
      <c r="T2194" s="276"/>
      <c r="U2194" s="276"/>
      <c r="V2194" s="276"/>
      <c r="W2194" s="283"/>
      <c r="X2194" s="280"/>
      <c r="Y2194" s="280"/>
      <c r="Z2194" s="280"/>
      <c r="AA2194" s="280"/>
      <c r="AB2194" s="280"/>
      <c r="AC2194" s="280"/>
      <c r="AD2194" s="280"/>
      <c r="AG2194" s="3"/>
      <c r="AH2194" s="3"/>
      <c r="AI2194" s="3"/>
      <c r="AJ2194" s="3"/>
      <c r="AK2194" s="3"/>
      <c r="AL2194" s="3"/>
      <c r="AM2194" s="3"/>
      <c r="AN2194" s="3"/>
      <c r="AO2194" s="3"/>
      <c r="AP2194" s="11"/>
      <c r="AQ2194" s="11"/>
      <c r="AR2194" s="3"/>
      <c r="AS2194" s="3"/>
      <c r="AT2194" s="3"/>
      <c r="AU2194" s="3"/>
      <c r="AV2194" s="3"/>
      <c r="AW2194" s="3"/>
      <c r="AX2194" s="11"/>
      <c r="AZ2194"/>
      <c r="BA2194"/>
      <c r="BB2194"/>
      <c r="BC2194"/>
    </row>
    <row r="2195" spans="1:55" s="282" customFormat="1" x14ac:dyDescent="0.25">
      <c r="A2195"/>
      <c r="B2195"/>
      <c r="C2195" s="3"/>
      <c r="D2195"/>
      <c r="E2195"/>
      <c r="F2195"/>
      <c r="G2195" s="3"/>
      <c r="H2195" s="3"/>
      <c r="I2195" s="3"/>
      <c r="J2195" s="288"/>
      <c r="L2195" s="288"/>
      <c r="M2195" s="288"/>
      <c r="N2195" s="288"/>
      <c r="O2195" s="288"/>
      <c r="P2195" s="288"/>
      <c r="Q2195" s="288"/>
      <c r="R2195" s="283"/>
      <c r="S2195" s="280"/>
      <c r="T2195" s="276"/>
      <c r="U2195" s="276"/>
      <c r="V2195" s="276"/>
      <c r="W2195" s="283"/>
      <c r="X2195" s="280"/>
      <c r="Y2195" s="280"/>
      <c r="Z2195" s="280"/>
      <c r="AA2195" s="280"/>
      <c r="AB2195" s="280"/>
      <c r="AC2195" s="280"/>
      <c r="AD2195" s="280"/>
      <c r="AG2195" s="3"/>
      <c r="AH2195" s="3"/>
      <c r="AI2195" s="3"/>
      <c r="AJ2195" s="3"/>
      <c r="AK2195" s="3"/>
      <c r="AL2195" s="3"/>
      <c r="AM2195" s="3"/>
      <c r="AN2195" s="3"/>
      <c r="AO2195" s="3"/>
      <c r="AP2195" s="11"/>
      <c r="AQ2195" s="11"/>
      <c r="AR2195" s="3"/>
      <c r="AS2195" s="3"/>
      <c r="AT2195" s="3"/>
      <c r="AU2195" s="3"/>
      <c r="AV2195" s="3"/>
      <c r="AW2195" s="3"/>
      <c r="AX2195" s="11"/>
      <c r="AZ2195"/>
      <c r="BA2195"/>
      <c r="BB2195"/>
      <c r="BC2195"/>
    </row>
    <row r="2196" spans="1:55" s="282" customFormat="1" x14ac:dyDescent="0.25">
      <c r="A2196"/>
      <c r="B2196"/>
      <c r="C2196" s="3"/>
      <c r="D2196"/>
      <c r="E2196"/>
      <c r="F2196"/>
      <c r="G2196" s="3"/>
      <c r="H2196" s="3"/>
      <c r="I2196" s="3"/>
      <c r="J2196" s="288"/>
      <c r="L2196" s="288"/>
      <c r="M2196" s="288"/>
      <c r="N2196" s="288"/>
      <c r="O2196" s="288"/>
      <c r="P2196" s="288"/>
      <c r="Q2196" s="288"/>
      <c r="R2196" s="283"/>
      <c r="S2196" s="280"/>
      <c r="T2196" s="276"/>
      <c r="U2196" s="276"/>
      <c r="V2196" s="276"/>
      <c r="W2196" s="283"/>
      <c r="X2196" s="280"/>
      <c r="Y2196" s="280"/>
      <c r="Z2196" s="280"/>
      <c r="AA2196" s="280"/>
      <c r="AB2196" s="280"/>
      <c r="AC2196" s="280"/>
      <c r="AD2196" s="280"/>
      <c r="AG2196" s="3"/>
      <c r="AH2196" s="3"/>
      <c r="AI2196" s="3"/>
      <c r="AJ2196" s="3"/>
      <c r="AK2196" s="3"/>
      <c r="AL2196" s="3"/>
      <c r="AM2196" s="3"/>
      <c r="AN2196" s="3"/>
      <c r="AO2196" s="3"/>
      <c r="AP2196" s="11"/>
      <c r="AQ2196" s="11"/>
      <c r="AR2196" s="3"/>
      <c r="AS2196" s="3"/>
      <c r="AT2196" s="3"/>
      <c r="AU2196" s="3"/>
      <c r="AV2196" s="3"/>
      <c r="AW2196" s="3"/>
      <c r="AX2196" s="11"/>
      <c r="AZ2196"/>
      <c r="BA2196"/>
      <c r="BB2196"/>
      <c r="BC2196"/>
    </row>
    <row r="2197" spans="1:55" s="282" customFormat="1" x14ac:dyDescent="0.25">
      <c r="A2197"/>
      <c r="B2197"/>
      <c r="C2197" s="3"/>
      <c r="D2197"/>
      <c r="E2197"/>
      <c r="F2197"/>
      <c r="G2197" s="3"/>
      <c r="H2197" s="3"/>
      <c r="I2197" s="3"/>
      <c r="J2197" s="288"/>
      <c r="L2197" s="288"/>
      <c r="M2197" s="288"/>
      <c r="N2197" s="288"/>
      <c r="O2197" s="288"/>
      <c r="P2197" s="288"/>
      <c r="Q2197" s="288"/>
      <c r="R2197" s="283"/>
      <c r="S2197" s="280"/>
      <c r="T2197" s="276"/>
      <c r="U2197" s="276"/>
      <c r="V2197" s="276"/>
      <c r="W2197" s="283"/>
      <c r="X2197" s="280"/>
      <c r="Y2197" s="280"/>
      <c r="Z2197" s="280"/>
      <c r="AA2197" s="280"/>
      <c r="AB2197" s="280"/>
      <c r="AC2197" s="280"/>
      <c r="AD2197" s="280"/>
      <c r="AG2197" s="3"/>
      <c r="AH2197" s="3"/>
      <c r="AI2197" s="3"/>
      <c r="AJ2197" s="3"/>
      <c r="AK2197" s="3"/>
      <c r="AL2197" s="3"/>
      <c r="AM2197" s="3"/>
      <c r="AN2197" s="3"/>
      <c r="AO2197" s="3"/>
      <c r="AP2197" s="11"/>
      <c r="AQ2197" s="11"/>
      <c r="AR2197" s="3"/>
      <c r="AS2197" s="3"/>
      <c r="AT2197" s="3"/>
      <c r="AU2197" s="3"/>
      <c r="AV2197" s="3"/>
      <c r="AW2197" s="3"/>
      <c r="AX2197" s="11"/>
      <c r="AZ2197"/>
      <c r="BA2197"/>
      <c r="BB2197"/>
      <c r="BC2197"/>
    </row>
    <row r="2198" spans="1:55" s="282" customFormat="1" x14ac:dyDescent="0.25">
      <c r="A2198"/>
      <c r="B2198"/>
      <c r="C2198" s="3"/>
      <c r="D2198"/>
      <c r="E2198"/>
      <c r="F2198"/>
      <c r="G2198" s="3"/>
      <c r="H2198" s="3"/>
      <c r="I2198" s="3"/>
      <c r="J2198" s="288"/>
      <c r="L2198" s="288"/>
      <c r="M2198" s="288"/>
      <c r="N2198" s="288"/>
      <c r="O2198" s="288"/>
      <c r="P2198" s="288"/>
      <c r="Q2198" s="288"/>
      <c r="R2198" s="283"/>
      <c r="S2198" s="280"/>
      <c r="T2198" s="276"/>
      <c r="U2198" s="276"/>
      <c r="V2198" s="276"/>
      <c r="W2198" s="283"/>
      <c r="X2198" s="280"/>
      <c r="Y2198" s="280"/>
      <c r="Z2198" s="280"/>
      <c r="AA2198" s="280"/>
      <c r="AB2198" s="280"/>
      <c r="AC2198" s="280"/>
      <c r="AD2198" s="280"/>
      <c r="AG2198" s="3"/>
      <c r="AH2198" s="3"/>
      <c r="AI2198" s="3"/>
      <c r="AJ2198" s="3"/>
      <c r="AK2198" s="3"/>
      <c r="AL2198" s="3"/>
      <c r="AM2198" s="3"/>
      <c r="AN2198" s="3"/>
      <c r="AO2198" s="3"/>
      <c r="AP2198" s="11"/>
      <c r="AQ2198" s="11"/>
      <c r="AR2198" s="3"/>
      <c r="AS2198" s="3"/>
      <c r="AT2198" s="3"/>
      <c r="AU2198" s="3"/>
      <c r="AV2198" s="3"/>
      <c r="AW2198" s="3"/>
      <c r="AX2198" s="11"/>
      <c r="AZ2198"/>
      <c r="BA2198"/>
      <c r="BB2198"/>
      <c r="BC2198"/>
    </row>
    <row r="2199" spans="1:55" s="282" customFormat="1" x14ac:dyDescent="0.25">
      <c r="A2199"/>
      <c r="B2199"/>
      <c r="C2199" s="3"/>
      <c r="D2199"/>
      <c r="E2199"/>
      <c r="F2199"/>
      <c r="G2199" s="3"/>
      <c r="H2199" s="3"/>
      <c r="I2199" s="3"/>
      <c r="J2199" s="288"/>
      <c r="L2199" s="288"/>
      <c r="M2199" s="288"/>
      <c r="N2199" s="288"/>
      <c r="O2199" s="288"/>
      <c r="P2199" s="288"/>
      <c r="Q2199" s="288"/>
      <c r="R2199" s="283"/>
      <c r="S2199" s="280"/>
      <c r="T2199" s="276"/>
      <c r="U2199" s="276"/>
      <c r="V2199" s="276"/>
      <c r="W2199" s="283"/>
      <c r="X2199" s="280"/>
      <c r="Y2199" s="280"/>
      <c r="Z2199" s="280"/>
      <c r="AA2199" s="280"/>
      <c r="AB2199" s="280"/>
      <c r="AC2199" s="280"/>
      <c r="AD2199" s="280"/>
      <c r="AG2199" s="3"/>
      <c r="AH2199" s="3"/>
      <c r="AI2199" s="3"/>
      <c r="AJ2199" s="3"/>
      <c r="AK2199" s="3"/>
      <c r="AL2199" s="3"/>
      <c r="AM2199" s="3"/>
      <c r="AN2199" s="3"/>
      <c r="AO2199" s="3"/>
      <c r="AP2199" s="11"/>
      <c r="AQ2199" s="11"/>
      <c r="AR2199" s="3"/>
      <c r="AS2199" s="3"/>
      <c r="AT2199" s="3"/>
      <c r="AU2199" s="3"/>
      <c r="AV2199" s="3"/>
      <c r="AW2199" s="3"/>
      <c r="AX2199" s="11"/>
      <c r="AZ2199"/>
      <c r="BA2199"/>
      <c r="BB2199"/>
      <c r="BC2199"/>
    </row>
    <row r="2200" spans="1:55" s="282" customFormat="1" x14ac:dyDescent="0.25">
      <c r="A2200"/>
      <c r="B2200"/>
      <c r="C2200" s="3"/>
      <c r="D2200"/>
      <c r="E2200"/>
      <c r="F2200"/>
      <c r="G2200" s="3"/>
      <c r="H2200" s="3"/>
      <c r="I2200" s="3"/>
      <c r="J2200" s="288"/>
      <c r="L2200" s="288"/>
      <c r="M2200" s="288"/>
      <c r="N2200" s="288"/>
      <c r="O2200" s="288"/>
      <c r="P2200" s="288"/>
      <c r="Q2200" s="288"/>
      <c r="R2200" s="283"/>
      <c r="S2200" s="280"/>
      <c r="T2200" s="276"/>
      <c r="U2200" s="276"/>
      <c r="V2200" s="276"/>
      <c r="W2200" s="283"/>
      <c r="X2200" s="280"/>
      <c r="Y2200" s="280"/>
      <c r="Z2200" s="280"/>
      <c r="AA2200" s="280"/>
      <c r="AB2200" s="280"/>
      <c r="AC2200" s="280"/>
      <c r="AD2200" s="280"/>
      <c r="AG2200" s="3"/>
      <c r="AH2200" s="3"/>
      <c r="AI2200" s="3"/>
      <c r="AJ2200" s="3"/>
      <c r="AK2200" s="3"/>
      <c r="AL2200" s="3"/>
      <c r="AM2200" s="3"/>
      <c r="AN2200" s="3"/>
      <c r="AO2200" s="3"/>
      <c r="AP2200" s="11"/>
      <c r="AQ2200" s="11"/>
      <c r="AR2200" s="3"/>
      <c r="AS2200" s="3"/>
      <c r="AT2200" s="3"/>
      <c r="AU2200" s="3"/>
      <c r="AV2200" s="3"/>
      <c r="AW2200" s="3"/>
      <c r="AX2200" s="11"/>
      <c r="AZ2200"/>
      <c r="BA2200"/>
      <c r="BB2200"/>
      <c r="BC2200"/>
    </row>
    <row r="2201" spans="1:55" s="282" customFormat="1" x14ac:dyDescent="0.25">
      <c r="A2201"/>
      <c r="B2201"/>
      <c r="C2201" s="3"/>
      <c r="D2201"/>
      <c r="E2201"/>
      <c r="F2201"/>
      <c r="G2201" s="3"/>
      <c r="H2201" s="3"/>
      <c r="I2201" s="3"/>
      <c r="J2201" s="288"/>
      <c r="L2201" s="288"/>
      <c r="M2201" s="288"/>
      <c r="N2201" s="288"/>
      <c r="O2201" s="288"/>
      <c r="P2201" s="288"/>
      <c r="Q2201" s="288"/>
      <c r="R2201" s="283"/>
      <c r="S2201" s="280"/>
      <c r="T2201" s="276"/>
      <c r="U2201" s="276"/>
      <c r="V2201" s="276"/>
      <c r="W2201" s="283"/>
      <c r="X2201" s="280"/>
      <c r="Y2201" s="280"/>
      <c r="Z2201" s="280"/>
      <c r="AA2201" s="280"/>
      <c r="AB2201" s="280"/>
      <c r="AC2201" s="280"/>
      <c r="AD2201" s="280"/>
      <c r="AG2201" s="3"/>
      <c r="AH2201" s="3"/>
      <c r="AI2201" s="3"/>
      <c r="AJ2201" s="3"/>
      <c r="AK2201" s="3"/>
      <c r="AL2201" s="3"/>
      <c r="AM2201" s="3"/>
      <c r="AN2201" s="3"/>
      <c r="AO2201" s="3"/>
      <c r="AP2201" s="11"/>
      <c r="AQ2201" s="11"/>
      <c r="AR2201" s="3"/>
      <c r="AS2201" s="3"/>
      <c r="AT2201" s="3"/>
      <c r="AU2201" s="3"/>
      <c r="AV2201" s="3"/>
      <c r="AW2201" s="3"/>
      <c r="AX2201" s="11"/>
      <c r="AZ2201"/>
      <c r="BA2201"/>
      <c r="BB2201"/>
      <c r="BC2201"/>
    </row>
    <row r="2202" spans="1:55" s="282" customFormat="1" x14ac:dyDescent="0.25">
      <c r="A2202"/>
      <c r="B2202"/>
      <c r="C2202" s="3"/>
      <c r="D2202"/>
      <c r="E2202"/>
      <c r="F2202"/>
      <c r="G2202" s="3"/>
      <c r="H2202" s="3"/>
      <c r="I2202" s="3"/>
      <c r="J2202" s="288"/>
      <c r="L2202" s="288"/>
      <c r="M2202" s="288"/>
      <c r="N2202" s="288"/>
      <c r="O2202" s="288"/>
      <c r="P2202" s="288"/>
      <c r="Q2202" s="288"/>
      <c r="R2202" s="283"/>
      <c r="S2202" s="280"/>
      <c r="T2202" s="276"/>
      <c r="U2202" s="276"/>
      <c r="V2202" s="276"/>
      <c r="W2202" s="283"/>
      <c r="X2202" s="280"/>
      <c r="Y2202" s="280"/>
      <c r="Z2202" s="280"/>
      <c r="AA2202" s="280"/>
      <c r="AB2202" s="280"/>
      <c r="AC2202" s="280"/>
      <c r="AD2202" s="280"/>
      <c r="AG2202" s="3"/>
      <c r="AH2202" s="3"/>
      <c r="AI2202" s="3"/>
      <c r="AJ2202" s="3"/>
      <c r="AK2202" s="3"/>
      <c r="AL2202" s="3"/>
      <c r="AM2202" s="3"/>
      <c r="AN2202" s="3"/>
      <c r="AO2202" s="3"/>
      <c r="AP2202" s="11"/>
      <c r="AQ2202" s="11"/>
      <c r="AR2202" s="3"/>
      <c r="AS2202" s="3"/>
      <c r="AT2202" s="3"/>
      <c r="AU2202" s="3"/>
      <c r="AV2202" s="3"/>
      <c r="AW2202" s="3"/>
      <c r="AX2202" s="11"/>
      <c r="AZ2202"/>
      <c r="BA2202"/>
      <c r="BB2202"/>
      <c r="BC2202"/>
    </row>
    <row r="2203" spans="1:55" s="282" customFormat="1" x14ac:dyDescent="0.25">
      <c r="A2203"/>
      <c r="B2203"/>
      <c r="C2203" s="3"/>
      <c r="D2203"/>
      <c r="E2203"/>
      <c r="F2203"/>
      <c r="G2203" s="3"/>
      <c r="H2203" s="3"/>
      <c r="I2203" s="3"/>
      <c r="J2203" s="288"/>
      <c r="L2203" s="288"/>
      <c r="M2203" s="288"/>
      <c r="N2203" s="288"/>
      <c r="O2203" s="288"/>
      <c r="P2203" s="288"/>
      <c r="Q2203" s="288"/>
      <c r="R2203" s="283"/>
      <c r="S2203" s="280"/>
      <c r="T2203" s="276"/>
      <c r="U2203" s="276"/>
      <c r="V2203" s="276"/>
      <c r="W2203" s="283"/>
      <c r="X2203" s="280"/>
      <c r="Y2203" s="280"/>
      <c r="Z2203" s="280"/>
      <c r="AA2203" s="280"/>
      <c r="AB2203" s="280"/>
      <c r="AC2203" s="280"/>
      <c r="AD2203" s="280"/>
      <c r="AG2203" s="3"/>
      <c r="AH2203" s="3"/>
      <c r="AI2203" s="3"/>
      <c r="AJ2203" s="3"/>
      <c r="AK2203" s="3"/>
      <c r="AL2203" s="3"/>
      <c r="AM2203" s="3"/>
      <c r="AN2203" s="3"/>
      <c r="AO2203" s="3"/>
      <c r="AP2203" s="11"/>
      <c r="AQ2203" s="11"/>
      <c r="AR2203" s="3"/>
      <c r="AS2203" s="3"/>
      <c r="AT2203" s="3"/>
      <c r="AU2203" s="3"/>
      <c r="AV2203" s="3"/>
      <c r="AW2203" s="3"/>
      <c r="AX2203" s="11"/>
      <c r="AZ2203"/>
      <c r="BA2203"/>
      <c r="BB2203"/>
      <c r="BC2203"/>
    </row>
    <row r="2204" spans="1:55" s="282" customFormat="1" x14ac:dyDescent="0.25">
      <c r="A2204"/>
      <c r="B2204"/>
      <c r="C2204" s="3"/>
      <c r="D2204"/>
      <c r="E2204"/>
      <c r="F2204"/>
      <c r="G2204" s="3"/>
      <c r="H2204" s="3"/>
      <c r="I2204" s="3"/>
      <c r="J2204" s="288"/>
      <c r="L2204" s="288"/>
      <c r="M2204" s="288"/>
      <c r="N2204" s="288"/>
      <c r="O2204" s="288"/>
      <c r="P2204" s="288"/>
      <c r="Q2204" s="288"/>
      <c r="R2204" s="283"/>
      <c r="S2204" s="280"/>
      <c r="T2204" s="276"/>
      <c r="U2204" s="276"/>
      <c r="V2204" s="276"/>
      <c r="W2204" s="283"/>
      <c r="X2204" s="280"/>
      <c r="Y2204" s="280"/>
      <c r="Z2204" s="280"/>
      <c r="AA2204" s="280"/>
      <c r="AB2204" s="280"/>
      <c r="AC2204" s="280"/>
      <c r="AD2204" s="280"/>
      <c r="AG2204" s="3"/>
      <c r="AH2204" s="3"/>
      <c r="AI2204" s="3"/>
      <c r="AJ2204" s="3"/>
      <c r="AK2204" s="3"/>
      <c r="AL2204" s="3"/>
      <c r="AM2204" s="3"/>
      <c r="AN2204" s="3"/>
      <c r="AO2204" s="3"/>
      <c r="AP2204" s="11"/>
      <c r="AQ2204" s="11"/>
      <c r="AR2204" s="3"/>
      <c r="AS2204" s="3"/>
      <c r="AT2204" s="3"/>
      <c r="AU2204" s="3"/>
      <c r="AV2204" s="3"/>
      <c r="AW2204" s="3"/>
      <c r="AX2204" s="11"/>
      <c r="AZ2204"/>
      <c r="BA2204"/>
      <c r="BB2204"/>
      <c r="BC2204"/>
    </row>
    <row r="2205" spans="1:55" s="282" customFormat="1" x14ac:dyDescent="0.25">
      <c r="A2205"/>
      <c r="B2205"/>
      <c r="C2205" s="3"/>
      <c r="D2205"/>
      <c r="E2205"/>
      <c r="F2205"/>
      <c r="G2205" s="3"/>
      <c r="H2205" s="3"/>
      <c r="I2205" s="3"/>
      <c r="J2205" s="288"/>
      <c r="L2205" s="288"/>
      <c r="M2205" s="288"/>
      <c r="N2205" s="288"/>
      <c r="O2205" s="288"/>
      <c r="P2205" s="288"/>
      <c r="Q2205" s="288"/>
      <c r="R2205" s="283"/>
      <c r="S2205" s="280"/>
      <c r="T2205" s="276"/>
      <c r="U2205" s="276"/>
      <c r="V2205" s="276"/>
      <c r="W2205" s="283"/>
      <c r="X2205" s="280"/>
      <c r="Y2205" s="280"/>
      <c r="Z2205" s="280"/>
      <c r="AA2205" s="280"/>
      <c r="AB2205" s="280"/>
      <c r="AC2205" s="280"/>
      <c r="AD2205" s="280"/>
      <c r="AG2205" s="3"/>
      <c r="AH2205" s="3"/>
      <c r="AI2205" s="3"/>
      <c r="AJ2205" s="3"/>
      <c r="AK2205" s="3"/>
      <c r="AL2205" s="3"/>
      <c r="AM2205" s="3"/>
      <c r="AN2205" s="3"/>
      <c r="AO2205" s="3"/>
      <c r="AP2205" s="11"/>
      <c r="AQ2205" s="11"/>
      <c r="AR2205" s="3"/>
      <c r="AS2205" s="3"/>
      <c r="AT2205" s="3"/>
      <c r="AU2205" s="3"/>
      <c r="AV2205" s="3"/>
      <c r="AW2205" s="3"/>
      <c r="AX2205" s="11"/>
      <c r="AZ2205"/>
      <c r="BA2205"/>
      <c r="BB2205"/>
      <c r="BC2205"/>
    </row>
    <row r="2206" spans="1:55" s="282" customFormat="1" x14ac:dyDescent="0.25">
      <c r="A2206"/>
      <c r="B2206"/>
      <c r="C2206" s="3"/>
      <c r="D2206"/>
      <c r="E2206"/>
      <c r="F2206"/>
      <c r="G2206" s="3"/>
      <c r="H2206" s="3"/>
      <c r="I2206" s="3"/>
      <c r="J2206" s="288"/>
      <c r="L2206" s="288"/>
      <c r="M2206" s="288"/>
      <c r="N2206" s="288"/>
      <c r="O2206" s="288"/>
      <c r="P2206" s="288"/>
      <c r="Q2206" s="288"/>
      <c r="R2206" s="283"/>
      <c r="S2206" s="280"/>
      <c r="T2206" s="276"/>
      <c r="U2206" s="276"/>
      <c r="V2206" s="276"/>
      <c r="W2206" s="283"/>
      <c r="X2206" s="280"/>
      <c r="Y2206" s="280"/>
      <c r="Z2206" s="280"/>
      <c r="AA2206" s="280"/>
      <c r="AB2206" s="280"/>
      <c r="AC2206" s="280"/>
      <c r="AD2206" s="280"/>
      <c r="AG2206" s="3"/>
      <c r="AH2206" s="3"/>
      <c r="AI2206" s="3"/>
      <c r="AJ2206" s="3"/>
      <c r="AK2206" s="3"/>
      <c r="AL2206" s="3"/>
      <c r="AM2206" s="3"/>
      <c r="AN2206" s="3"/>
      <c r="AO2206" s="3"/>
      <c r="AP2206" s="11"/>
      <c r="AQ2206" s="11"/>
      <c r="AR2206" s="3"/>
      <c r="AS2206" s="3"/>
      <c r="AT2206" s="3"/>
      <c r="AU2206" s="3"/>
      <c r="AV2206" s="3"/>
      <c r="AW2206" s="3"/>
      <c r="AX2206" s="11"/>
      <c r="AZ2206"/>
      <c r="BA2206"/>
      <c r="BB2206"/>
      <c r="BC2206"/>
    </row>
    <row r="2207" spans="1:55" s="282" customFormat="1" x14ac:dyDescent="0.25">
      <c r="A2207"/>
      <c r="B2207"/>
      <c r="C2207" s="3"/>
      <c r="D2207"/>
      <c r="E2207"/>
      <c r="F2207"/>
      <c r="G2207" s="3"/>
      <c r="H2207" s="3"/>
      <c r="I2207" s="3"/>
      <c r="J2207" s="288"/>
      <c r="L2207" s="288"/>
      <c r="M2207" s="288"/>
      <c r="N2207" s="288"/>
      <c r="O2207" s="288"/>
      <c r="P2207" s="288"/>
      <c r="Q2207" s="288"/>
      <c r="R2207" s="283"/>
      <c r="S2207" s="280"/>
      <c r="T2207" s="276"/>
      <c r="U2207" s="276"/>
      <c r="V2207" s="276"/>
      <c r="W2207" s="283"/>
      <c r="X2207" s="280"/>
      <c r="Y2207" s="280"/>
      <c r="Z2207" s="280"/>
      <c r="AA2207" s="280"/>
      <c r="AB2207" s="280"/>
      <c r="AC2207" s="280"/>
      <c r="AD2207" s="280"/>
      <c r="AG2207" s="3"/>
      <c r="AH2207" s="3"/>
      <c r="AI2207" s="3"/>
      <c r="AJ2207" s="3"/>
      <c r="AK2207" s="3"/>
      <c r="AL2207" s="3"/>
      <c r="AM2207" s="3"/>
      <c r="AN2207" s="3"/>
      <c r="AO2207" s="3"/>
      <c r="AP2207" s="11"/>
      <c r="AQ2207" s="11"/>
      <c r="AR2207" s="3"/>
      <c r="AS2207" s="3"/>
      <c r="AT2207" s="3"/>
      <c r="AU2207" s="3"/>
      <c r="AV2207" s="3"/>
      <c r="AW2207" s="3"/>
      <c r="AX2207" s="11"/>
      <c r="AZ2207"/>
      <c r="BA2207"/>
      <c r="BB2207"/>
      <c r="BC2207"/>
    </row>
    <row r="2208" spans="1:55" s="282" customFormat="1" x14ac:dyDescent="0.25">
      <c r="A2208"/>
      <c r="B2208"/>
      <c r="C2208" s="3"/>
      <c r="D2208"/>
      <c r="E2208"/>
      <c r="F2208"/>
      <c r="G2208" s="3"/>
      <c r="H2208" s="3"/>
      <c r="I2208" s="3"/>
      <c r="J2208" s="288"/>
      <c r="L2208" s="288"/>
      <c r="M2208" s="288"/>
      <c r="N2208" s="288"/>
      <c r="O2208" s="288"/>
      <c r="P2208" s="288"/>
      <c r="Q2208" s="288"/>
      <c r="R2208" s="283"/>
      <c r="S2208" s="280"/>
      <c r="T2208" s="276"/>
      <c r="U2208" s="276"/>
      <c r="V2208" s="276"/>
      <c r="W2208" s="283"/>
      <c r="X2208" s="280"/>
      <c r="Y2208" s="280"/>
      <c r="Z2208" s="280"/>
      <c r="AA2208" s="280"/>
      <c r="AB2208" s="280"/>
      <c r="AC2208" s="280"/>
      <c r="AD2208" s="280"/>
      <c r="AG2208" s="3"/>
      <c r="AH2208" s="3"/>
      <c r="AI2208" s="3"/>
      <c r="AJ2208" s="3"/>
      <c r="AK2208" s="3"/>
      <c r="AL2208" s="3"/>
      <c r="AM2208" s="3"/>
      <c r="AN2208" s="3"/>
      <c r="AO2208" s="3"/>
      <c r="AP2208" s="11"/>
      <c r="AQ2208" s="11"/>
      <c r="AR2208" s="3"/>
      <c r="AS2208" s="3"/>
      <c r="AT2208" s="3"/>
      <c r="AU2208" s="3"/>
      <c r="AV2208" s="3"/>
      <c r="AW2208" s="3"/>
      <c r="AX2208" s="11"/>
      <c r="AZ2208"/>
      <c r="BA2208"/>
      <c r="BB2208"/>
      <c r="BC2208"/>
    </row>
    <row r="2209" spans="1:55" s="282" customFormat="1" x14ac:dyDescent="0.25">
      <c r="A2209"/>
      <c r="B2209"/>
      <c r="C2209" s="3"/>
      <c r="D2209"/>
      <c r="E2209"/>
      <c r="F2209"/>
      <c r="G2209" s="3"/>
      <c r="H2209" s="3"/>
      <c r="I2209" s="3"/>
      <c r="J2209" s="288"/>
      <c r="L2209" s="288"/>
      <c r="M2209" s="288"/>
      <c r="N2209" s="288"/>
      <c r="O2209" s="288"/>
      <c r="P2209" s="288"/>
      <c r="Q2209" s="288"/>
      <c r="R2209" s="283"/>
      <c r="S2209" s="280"/>
      <c r="T2209" s="276"/>
      <c r="U2209" s="276"/>
      <c r="V2209" s="276"/>
      <c r="W2209" s="283"/>
      <c r="X2209" s="280"/>
      <c r="Y2209" s="280"/>
      <c r="Z2209" s="280"/>
      <c r="AA2209" s="280"/>
      <c r="AB2209" s="280"/>
      <c r="AC2209" s="280"/>
      <c r="AD2209" s="280"/>
      <c r="AG2209" s="3"/>
      <c r="AH2209" s="3"/>
      <c r="AI2209" s="3"/>
      <c r="AJ2209" s="3"/>
      <c r="AK2209" s="3"/>
      <c r="AL2209" s="3"/>
      <c r="AM2209" s="3"/>
      <c r="AN2209" s="3"/>
      <c r="AO2209" s="3"/>
      <c r="AP2209" s="11"/>
      <c r="AQ2209" s="11"/>
      <c r="AR2209" s="3"/>
      <c r="AS2209" s="3"/>
      <c r="AT2209" s="3"/>
      <c r="AU2209" s="3"/>
      <c r="AV2209" s="3"/>
      <c r="AW2209" s="3"/>
      <c r="AX2209" s="11"/>
      <c r="AZ2209"/>
      <c r="BA2209"/>
      <c r="BB2209"/>
      <c r="BC2209"/>
    </row>
    <row r="2210" spans="1:55" s="282" customFormat="1" x14ac:dyDescent="0.25">
      <c r="A2210"/>
      <c r="B2210"/>
      <c r="C2210" s="3"/>
      <c r="D2210"/>
      <c r="E2210"/>
      <c r="F2210"/>
      <c r="G2210" s="3"/>
      <c r="H2210" s="3"/>
      <c r="I2210" s="3"/>
      <c r="J2210" s="288"/>
      <c r="L2210" s="288"/>
      <c r="M2210" s="288"/>
      <c r="N2210" s="288"/>
      <c r="O2210" s="288"/>
      <c r="P2210" s="288"/>
      <c r="Q2210" s="288"/>
      <c r="R2210" s="283"/>
      <c r="S2210" s="280"/>
      <c r="T2210" s="276"/>
      <c r="U2210" s="276"/>
      <c r="V2210" s="276"/>
      <c r="W2210" s="283"/>
      <c r="X2210" s="280"/>
      <c r="Y2210" s="280"/>
      <c r="Z2210" s="280"/>
      <c r="AA2210" s="280"/>
      <c r="AB2210" s="280"/>
      <c r="AC2210" s="280"/>
      <c r="AD2210" s="280"/>
      <c r="AG2210" s="3"/>
      <c r="AH2210" s="3"/>
      <c r="AI2210" s="3"/>
      <c r="AJ2210" s="3"/>
      <c r="AK2210" s="3"/>
      <c r="AL2210" s="3"/>
      <c r="AM2210" s="3"/>
      <c r="AN2210" s="3"/>
      <c r="AO2210" s="3"/>
      <c r="AP2210" s="11"/>
      <c r="AQ2210" s="11"/>
      <c r="AR2210" s="3"/>
      <c r="AS2210" s="3"/>
      <c r="AT2210" s="3"/>
      <c r="AU2210" s="3"/>
      <c r="AV2210" s="3"/>
      <c r="AW2210" s="3"/>
      <c r="AX2210" s="11"/>
      <c r="AZ2210"/>
      <c r="BA2210"/>
      <c r="BB2210"/>
      <c r="BC2210"/>
    </row>
    <row r="2211" spans="1:55" s="282" customFormat="1" x14ac:dyDescent="0.25">
      <c r="A2211"/>
      <c r="B2211"/>
      <c r="C2211" s="3"/>
      <c r="D2211"/>
      <c r="E2211"/>
      <c r="F2211"/>
      <c r="G2211" s="3"/>
      <c r="H2211" s="3"/>
      <c r="I2211" s="3"/>
      <c r="J2211" s="288"/>
      <c r="L2211" s="288"/>
      <c r="M2211" s="288"/>
      <c r="N2211" s="288"/>
      <c r="O2211" s="288"/>
      <c r="P2211" s="288"/>
      <c r="Q2211" s="288"/>
      <c r="R2211" s="283"/>
      <c r="S2211" s="280"/>
      <c r="T2211" s="276"/>
      <c r="U2211" s="276"/>
      <c r="V2211" s="276"/>
      <c r="W2211" s="283"/>
      <c r="X2211" s="280"/>
      <c r="Y2211" s="280"/>
      <c r="Z2211" s="280"/>
      <c r="AA2211" s="280"/>
      <c r="AB2211" s="280"/>
      <c r="AC2211" s="280"/>
      <c r="AD2211" s="280"/>
      <c r="AG2211" s="3"/>
      <c r="AH2211" s="3"/>
      <c r="AI2211" s="3"/>
      <c r="AJ2211" s="3"/>
      <c r="AK2211" s="3"/>
      <c r="AL2211" s="3"/>
      <c r="AM2211" s="3"/>
      <c r="AN2211" s="3"/>
      <c r="AO2211" s="3"/>
      <c r="AP2211" s="11"/>
      <c r="AQ2211" s="11"/>
      <c r="AR2211" s="3"/>
      <c r="AS2211" s="3"/>
      <c r="AT2211" s="3"/>
      <c r="AU2211" s="3"/>
      <c r="AV2211" s="3"/>
      <c r="AW2211" s="3"/>
      <c r="AX2211" s="11"/>
      <c r="AZ2211"/>
      <c r="BA2211"/>
      <c r="BB2211"/>
      <c r="BC2211"/>
    </row>
    <row r="2212" spans="1:55" s="282" customFormat="1" x14ac:dyDescent="0.25">
      <c r="A2212"/>
      <c r="B2212"/>
      <c r="C2212" s="3"/>
      <c r="D2212"/>
      <c r="E2212"/>
      <c r="F2212"/>
      <c r="G2212" s="3"/>
      <c r="H2212" s="3"/>
      <c r="I2212" s="3"/>
      <c r="J2212" s="288"/>
      <c r="L2212" s="288"/>
      <c r="M2212" s="288"/>
      <c r="N2212" s="288"/>
      <c r="O2212" s="288"/>
      <c r="P2212" s="288"/>
      <c r="Q2212" s="288"/>
      <c r="R2212" s="283"/>
      <c r="S2212" s="280"/>
      <c r="T2212" s="276"/>
      <c r="U2212" s="276"/>
      <c r="V2212" s="276"/>
      <c r="W2212" s="283"/>
      <c r="X2212" s="280"/>
      <c r="Y2212" s="280"/>
      <c r="Z2212" s="280"/>
      <c r="AA2212" s="280"/>
      <c r="AB2212" s="280"/>
      <c r="AC2212" s="280"/>
      <c r="AD2212" s="280"/>
      <c r="AG2212" s="3"/>
      <c r="AH2212" s="3"/>
      <c r="AI2212" s="3"/>
      <c r="AJ2212" s="3"/>
      <c r="AK2212" s="3"/>
      <c r="AL2212" s="3"/>
      <c r="AM2212" s="3"/>
      <c r="AN2212" s="3"/>
      <c r="AO2212" s="3"/>
      <c r="AP2212" s="11"/>
      <c r="AQ2212" s="11"/>
      <c r="AR2212" s="3"/>
      <c r="AS2212" s="3"/>
      <c r="AT2212" s="3"/>
      <c r="AU2212" s="3"/>
      <c r="AV2212" s="3"/>
      <c r="AW2212" s="3"/>
      <c r="AX2212" s="11"/>
      <c r="AZ2212"/>
      <c r="BA2212"/>
      <c r="BB2212"/>
      <c r="BC2212"/>
    </row>
    <row r="2213" spans="1:55" s="282" customFormat="1" x14ac:dyDescent="0.25">
      <c r="A2213"/>
      <c r="B2213"/>
      <c r="C2213" s="3"/>
      <c r="D2213"/>
      <c r="E2213"/>
      <c r="F2213"/>
      <c r="G2213" s="3"/>
      <c r="H2213" s="3"/>
      <c r="I2213" s="3"/>
      <c r="J2213" s="288"/>
      <c r="L2213" s="288"/>
      <c r="M2213" s="288"/>
      <c r="N2213" s="288"/>
      <c r="O2213" s="288"/>
      <c r="P2213" s="288"/>
      <c r="Q2213" s="288"/>
      <c r="R2213" s="283"/>
      <c r="S2213" s="280"/>
      <c r="T2213" s="276"/>
      <c r="U2213" s="276"/>
      <c r="V2213" s="276"/>
      <c r="W2213" s="283"/>
      <c r="X2213" s="280"/>
      <c r="Y2213" s="280"/>
      <c r="Z2213" s="280"/>
      <c r="AA2213" s="280"/>
      <c r="AB2213" s="280"/>
      <c r="AC2213" s="280"/>
      <c r="AD2213" s="280"/>
      <c r="AG2213" s="3"/>
      <c r="AH2213" s="3"/>
      <c r="AI2213" s="3"/>
      <c r="AJ2213" s="3"/>
      <c r="AK2213" s="3"/>
      <c r="AL2213" s="3"/>
      <c r="AM2213" s="3"/>
      <c r="AN2213" s="3"/>
      <c r="AO2213" s="3"/>
      <c r="AP2213" s="11"/>
      <c r="AQ2213" s="11"/>
      <c r="AR2213" s="3"/>
      <c r="AS2213" s="3"/>
      <c r="AT2213" s="3"/>
      <c r="AU2213" s="3"/>
      <c r="AV2213" s="3"/>
      <c r="AW2213" s="3"/>
      <c r="AX2213" s="11"/>
      <c r="AZ2213"/>
      <c r="BA2213"/>
      <c r="BB2213"/>
      <c r="BC2213"/>
    </row>
    <row r="2214" spans="1:55" s="282" customFormat="1" x14ac:dyDescent="0.25">
      <c r="A2214"/>
      <c r="B2214"/>
      <c r="C2214" s="3"/>
      <c r="D2214"/>
      <c r="E2214"/>
      <c r="F2214"/>
      <c r="G2214" s="3"/>
      <c r="H2214" s="3"/>
      <c r="I2214" s="3"/>
      <c r="J2214" s="288"/>
      <c r="L2214" s="288"/>
      <c r="M2214" s="288"/>
      <c r="N2214" s="288"/>
      <c r="O2214" s="288"/>
      <c r="P2214" s="288"/>
      <c r="Q2214" s="288"/>
      <c r="R2214" s="283"/>
      <c r="S2214" s="280"/>
      <c r="T2214" s="276"/>
      <c r="U2214" s="276"/>
      <c r="V2214" s="276"/>
      <c r="W2214" s="283"/>
      <c r="X2214" s="280"/>
      <c r="Y2214" s="280"/>
      <c r="Z2214" s="280"/>
      <c r="AA2214" s="280"/>
      <c r="AB2214" s="280"/>
      <c r="AC2214" s="280"/>
      <c r="AD2214" s="280"/>
      <c r="AG2214" s="3"/>
      <c r="AH2214" s="3"/>
      <c r="AI2214" s="3"/>
      <c r="AJ2214" s="3"/>
      <c r="AK2214" s="3"/>
      <c r="AL2214" s="3"/>
      <c r="AM2214" s="3"/>
      <c r="AN2214" s="3"/>
      <c r="AO2214" s="3"/>
      <c r="AP2214" s="11"/>
      <c r="AQ2214" s="11"/>
      <c r="AR2214" s="3"/>
      <c r="AS2214" s="3"/>
      <c r="AT2214" s="3"/>
      <c r="AU2214" s="3"/>
      <c r="AV2214" s="3"/>
      <c r="AW2214" s="3"/>
      <c r="AX2214" s="11"/>
      <c r="AZ2214"/>
      <c r="BA2214"/>
      <c r="BB2214"/>
      <c r="BC2214"/>
    </row>
    <row r="2215" spans="1:55" s="282" customFormat="1" x14ac:dyDescent="0.25">
      <c r="A2215"/>
      <c r="B2215"/>
      <c r="C2215" s="3"/>
      <c r="D2215"/>
      <c r="E2215"/>
      <c r="F2215"/>
      <c r="G2215" s="3"/>
      <c r="H2215" s="3"/>
      <c r="I2215" s="3"/>
      <c r="J2215" s="288"/>
      <c r="L2215" s="288"/>
      <c r="M2215" s="288"/>
      <c r="N2215" s="288"/>
      <c r="O2215" s="288"/>
      <c r="P2215" s="288"/>
      <c r="Q2215" s="288"/>
      <c r="R2215" s="283"/>
      <c r="S2215" s="280"/>
      <c r="T2215" s="276"/>
      <c r="U2215" s="276"/>
      <c r="V2215" s="276"/>
      <c r="W2215" s="283"/>
      <c r="X2215" s="280"/>
      <c r="Y2215" s="280"/>
      <c r="Z2215" s="280"/>
      <c r="AA2215" s="280"/>
      <c r="AB2215" s="280"/>
      <c r="AC2215" s="280"/>
      <c r="AD2215" s="280"/>
      <c r="AG2215" s="3"/>
      <c r="AH2215" s="3"/>
      <c r="AI2215" s="3"/>
      <c r="AJ2215" s="3"/>
      <c r="AK2215" s="3"/>
      <c r="AL2215" s="3"/>
      <c r="AM2215" s="3"/>
      <c r="AN2215" s="3"/>
      <c r="AO2215" s="3"/>
      <c r="AP2215" s="11"/>
      <c r="AQ2215" s="11"/>
      <c r="AR2215" s="3"/>
      <c r="AS2215" s="3"/>
      <c r="AT2215" s="3"/>
      <c r="AU2215" s="3"/>
      <c r="AV2215" s="3"/>
      <c r="AW2215" s="3"/>
      <c r="AX2215" s="11"/>
      <c r="AZ2215"/>
      <c r="BA2215"/>
      <c r="BB2215"/>
      <c r="BC2215"/>
    </row>
    <row r="2216" spans="1:55" s="282" customFormat="1" x14ac:dyDescent="0.25">
      <c r="A2216"/>
      <c r="B2216"/>
      <c r="C2216" s="3"/>
      <c r="D2216"/>
      <c r="E2216"/>
      <c r="F2216"/>
      <c r="G2216" s="3"/>
      <c r="H2216" s="3"/>
      <c r="I2216" s="3"/>
      <c r="J2216" s="288"/>
      <c r="L2216" s="288"/>
      <c r="M2216" s="288"/>
      <c r="N2216" s="288"/>
      <c r="O2216" s="288"/>
      <c r="P2216" s="288"/>
      <c r="Q2216" s="288"/>
      <c r="R2216" s="283"/>
      <c r="S2216" s="280"/>
      <c r="T2216" s="276"/>
      <c r="U2216" s="276"/>
      <c r="V2216" s="276"/>
      <c r="W2216" s="283"/>
      <c r="X2216" s="280"/>
      <c r="Y2216" s="280"/>
      <c r="Z2216" s="280"/>
      <c r="AA2216" s="280"/>
      <c r="AB2216" s="280"/>
      <c r="AC2216" s="280"/>
      <c r="AD2216" s="280"/>
      <c r="AG2216" s="3"/>
      <c r="AH2216" s="3"/>
      <c r="AI2216" s="3"/>
      <c r="AJ2216" s="3"/>
      <c r="AK2216" s="3"/>
      <c r="AL2216" s="3"/>
      <c r="AM2216" s="3"/>
      <c r="AN2216" s="3"/>
      <c r="AO2216" s="3"/>
      <c r="AP2216" s="11"/>
      <c r="AQ2216" s="11"/>
      <c r="AR2216" s="3"/>
      <c r="AS2216" s="3"/>
      <c r="AT2216" s="3"/>
      <c r="AU2216" s="3"/>
      <c r="AV2216" s="3"/>
      <c r="AW2216" s="3"/>
      <c r="AX2216" s="11"/>
      <c r="AZ2216"/>
      <c r="BA2216"/>
      <c r="BB2216"/>
      <c r="BC2216"/>
    </row>
    <row r="2217" spans="1:55" s="282" customFormat="1" x14ac:dyDescent="0.25">
      <c r="A2217"/>
      <c r="B2217"/>
      <c r="C2217" s="3"/>
      <c r="D2217"/>
      <c r="E2217"/>
      <c r="F2217"/>
      <c r="G2217" s="3"/>
      <c r="H2217" s="3"/>
      <c r="I2217" s="3"/>
      <c r="J2217" s="288"/>
      <c r="L2217" s="288"/>
      <c r="M2217" s="288"/>
      <c r="N2217" s="288"/>
      <c r="O2217" s="288"/>
      <c r="P2217" s="288"/>
      <c r="Q2217" s="288"/>
      <c r="R2217" s="283"/>
      <c r="S2217" s="280"/>
      <c r="T2217" s="276"/>
      <c r="U2217" s="276"/>
      <c r="V2217" s="276"/>
      <c r="W2217" s="283"/>
      <c r="X2217" s="280"/>
      <c r="Y2217" s="280"/>
      <c r="Z2217" s="280"/>
      <c r="AA2217" s="280"/>
      <c r="AB2217" s="280"/>
      <c r="AC2217" s="280"/>
      <c r="AD2217" s="280"/>
      <c r="AG2217" s="3"/>
      <c r="AH2217" s="3"/>
      <c r="AI2217" s="3"/>
      <c r="AJ2217" s="3"/>
      <c r="AK2217" s="3"/>
      <c r="AL2217" s="3"/>
      <c r="AM2217" s="3"/>
      <c r="AN2217" s="3"/>
      <c r="AO2217" s="3"/>
      <c r="AP2217" s="11"/>
      <c r="AQ2217" s="11"/>
      <c r="AR2217" s="3"/>
      <c r="AS2217" s="3"/>
      <c r="AT2217" s="3"/>
      <c r="AU2217" s="3"/>
      <c r="AV2217" s="3"/>
      <c r="AW2217" s="3"/>
      <c r="AX2217" s="11"/>
      <c r="AZ2217"/>
      <c r="BA2217"/>
      <c r="BB2217"/>
      <c r="BC2217"/>
    </row>
    <row r="2218" spans="1:55" s="282" customFormat="1" x14ac:dyDescent="0.25">
      <c r="A2218"/>
      <c r="B2218"/>
      <c r="C2218" s="3"/>
      <c r="D2218"/>
      <c r="E2218"/>
      <c r="F2218"/>
      <c r="G2218" s="3"/>
      <c r="H2218" s="3"/>
      <c r="I2218" s="3"/>
      <c r="J2218" s="288"/>
      <c r="L2218" s="288"/>
      <c r="M2218" s="288"/>
      <c r="N2218" s="288"/>
      <c r="O2218" s="288"/>
      <c r="P2218" s="288"/>
      <c r="Q2218" s="288"/>
      <c r="R2218" s="283"/>
      <c r="S2218" s="280"/>
      <c r="T2218" s="276"/>
      <c r="U2218" s="276"/>
      <c r="V2218" s="276"/>
      <c r="W2218" s="283"/>
      <c r="X2218" s="280"/>
      <c r="Y2218" s="280"/>
      <c r="Z2218" s="280"/>
      <c r="AA2218" s="280"/>
      <c r="AB2218" s="280"/>
      <c r="AC2218" s="280"/>
      <c r="AD2218" s="280"/>
      <c r="AG2218" s="3"/>
      <c r="AH2218" s="3"/>
      <c r="AI2218" s="3"/>
      <c r="AJ2218" s="3"/>
      <c r="AK2218" s="3"/>
      <c r="AL2218" s="3"/>
      <c r="AM2218" s="3"/>
      <c r="AN2218" s="3"/>
      <c r="AO2218" s="3"/>
      <c r="AP2218" s="11"/>
      <c r="AQ2218" s="11"/>
      <c r="AR2218" s="3"/>
      <c r="AS2218" s="3"/>
      <c r="AT2218" s="3"/>
      <c r="AU2218" s="3"/>
      <c r="AV2218" s="3"/>
      <c r="AW2218" s="3"/>
      <c r="AX2218" s="11"/>
      <c r="AZ2218"/>
      <c r="BA2218"/>
      <c r="BB2218"/>
      <c r="BC2218"/>
    </row>
    <row r="2219" spans="1:55" s="282" customFormat="1" x14ac:dyDescent="0.25">
      <c r="A2219"/>
      <c r="B2219"/>
      <c r="C2219" s="3"/>
      <c r="D2219"/>
      <c r="E2219"/>
      <c r="F2219"/>
      <c r="G2219" s="3"/>
      <c r="H2219" s="3"/>
      <c r="I2219" s="3"/>
      <c r="J2219" s="288"/>
      <c r="L2219" s="288"/>
      <c r="M2219" s="288"/>
      <c r="N2219" s="288"/>
      <c r="O2219" s="288"/>
      <c r="P2219" s="288"/>
      <c r="Q2219" s="288"/>
      <c r="R2219" s="283"/>
      <c r="S2219" s="280"/>
      <c r="T2219" s="276"/>
      <c r="U2219" s="276"/>
      <c r="V2219" s="276"/>
      <c r="W2219" s="283"/>
      <c r="X2219" s="280"/>
      <c r="Y2219" s="280"/>
      <c r="Z2219" s="280"/>
      <c r="AA2219" s="280"/>
      <c r="AB2219" s="280"/>
      <c r="AC2219" s="280"/>
      <c r="AD2219" s="280"/>
      <c r="AG2219" s="3"/>
      <c r="AH2219" s="3"/>
      <c r="AI2219" s="3"/>
      <c r="AJ2219" s="3"/>
      <c r="AK2219" s="3"/>
      <c r="AL2219" s="3"/>
      <c r="AM2219" s="3"/>
      <c r="AN2219" s="3"/>
      <c r="AO2219" s="3"/>
      <c r="AP2219" s="11"/>
      <c r="AQ2219" s="11"/>
      <c r="AR2219" s="3"/>
      <c r="AS2219" s="3"/>
      <c r="AT2219" s="3"/>
      <c r="AU2219" s="3"/>
      <c r="AV2219" s="3"/>
      <c r="AW2219" s="3"/>
      <c r="AX2219" s="11"/>
      <c r="AZ2219"/>
      <c r="BA2219"/>
      <c r="BB2219"/>
      <c r="BC2219"/>
    </row>
    <row r="2220" spans="1:55" s="282" customFormat="1" x14ac:dyDescent="0.25">
      <c r="A2220"/>
      <c r="B2220"/>
      <c r="C2220" s="3"/>
      <c r="D2220"/>
      <c r="E2220"/>
      <c r="F2220"/>
      <c r="G2220" s="3"/>
      <c r="H2220" s="3"/>
      <c r="I2220" s="3"/>
      <c r="J2220" s="288"/>
      <c r="L2220" s="288"/>
      <c r="M2220" s="288"/>
      <c r="N2220" s="288"/>
      <c r="O2220" s="288"/>
      <c r="P2220" s="288"/>
      <c r="Q2220" s="288"/>
      <c r="R2220" s="283"/>
      <c r="S2220" s="280"/>
      <c r="T2220" s="276"/>
      <c r="U2220" s="276"/>
      <c r="V2220" s="276"/>
      <c r="W2220" s="283"/>
      <c r="X2220" s="280"/>
      <c r="Y2220" s="280"/>
      <c r="Z2220" s="280"/>
      <c r="AA2220" s="280"/>
      <c r="AB2220" s="280"/>
      <c r="AC2220" s="280"/>
      <c r="AD2220" s="280"/>
      <c r="AG2220" s="3"/>
      <c r="AH2220" s="3"/>
      <c r="AI2220" s="3"/>
      <c r="AJ2220" s="3"/>
      <c r="AK2220" s="3"/>
      <c r="AL2220" s="3"/>
      <c r="AM2220" s="3"/>
      <c r="AN2220" s="3"/>
      <c r="AO2220" s="3"/>
      <c r="AP2220" s="11"/>
      <c r="AQ2220" s="11"/>
      <c r="AR2220" s="3"/>
      <c r="AS2220" s="3"/>
      <c r="AT2220" s="3"/>
      <c r="AU2220" s="3"/>
      <c r="AV2220" s="3"/>
      <c r="AW2220" s="3"/>
      <c r="AX2220" s="11"/>
      <c r="AZ2220"/>
      <c r="BA2220"/>
      <c r="BB2220"/>
      <c r="BC2220"/>
    </row>
    <row r="2221" spans="1:55" s="282" customFormat="1" x14ac:dyDescent="0.25">
      <c r="A2221"/>
      <c r="B2221"/>
      <c r="C2221" s="3"/>
      <c r="D2221"/>
      <c r="E2221"/>
      <c r="F2221"/>
      <c r="G2221" s="3"/>
      <c r="H2221" s="3"/>
      <c r="I2221" s="3"/>
      <c r="J2221" s="288"/>
      <c r="L2221" s="288"/>
      <c r="M2221" s="288"/>
      <c r="N2221" s="288"/>
      <c r="O2221" s="288"/>
      <c r="P2221" s="288"/>
      <c r="Q2221" s="288"/>
      <c r="R2221" s="283"/>
      <c r="S2221" s="280"/>
      <c r="T2221" s="276"/>
      <c r="U2221" s="276"/>
      <c r="V2221" s="276"/>
      <c r="W2221" s="283"/>
      <c r="X2221" s="280"/>
      <c r="Y2221" s="280"/>
      <c r="Z2221" s="280"/>
      <c r="AA2221" s="280"/>
      <c r="AB2221" s="280"/>
      <c r="AC2221" s="280"/>
      <c r="AD2221" s="280"/>
      <c r="AG2221" s="3"/>
      <c r="AH2221" s="3"/>
      <c r="AI2221" s="3"/>
      <c r="AJ2221" s="3"/>
      <c r="AK2221" s="3"/>
      <c r="AL2221" s="3"/>
      <c r="AM2221" s="3"/>
      <c r="AN2221" s="3"/>
      <c r="AO2221" s="3"/>
      <c r="AP2221" s="11"/>
      <c r="AQ2221" s="11"/>
      <c r="AR2221" s="3"/>
      <c r="AS2221" s="3"/>
      <c r="AT2221" s="3"/>
      <c r="AU2221" s="3"/>
      <c r="AV2221" s="3"/>
      <c r="AW2221" s="3"/>
      <c r="AX2221" s="11"/>
      <c r="AZ2221"/>
      <c r="BA2221"/>
      <c r="BB2221"/>
      <c r="BC2221"/>
    </row>
    <row r="2222" spans="1:55" s="282" customFormat="1" x14ac:dyDescent="0.25">
      <c r="A2222"/>
      <c r="B2222"/>
      <c r="C2222" s="3"/>
      <c r="D2222"/>
      <c r="E2222"/>
      <c r="F2222"/>
      <c r="G2222" s="3"/>
      <c r="H2222" s="3"/>
      <c r="I2222" s="3"/>
      <c r="J2222" s="288"/>
      <c r="L2222" s="288"/>
      <c r="M2222" s="288"/>
      <c r="N2222" s="288"/>
      <c r="O2222" s="288"/>
      <c r="P2222" s="288"/>
      <c r="Q2222" s="288"/>
      <c r="R2222" s="283"/>
      <c r="S2222" s="280"/>
      <c r="T2222" s="276"/>
      <c r="U2222" s="276"/>
      <c r="V2222" s="276"/>
      <c r="W2222" s="283"/>
      <c r="X2222" s="280"/>
      <c r="Y2222" s="280"/>
      <c r="Z2222" s="280"/>
      <c r="AA2222" s="280"/>
      <c r="AB2222" s="280"/>
      <c r="AC2222" s="280"/>
      <c r="AD2222" s="280"/>
      <c r="AG2222" s="3"/>
      <c r="AH2222" s="3"/>
      <c r="AI2222" s="3"/>
      <c r="AJ2222" s="3"/>
      <c r="AK2222" s="3"/>
      <c r="AL2222" s="3"/>
      <c r="AM2222" s="3"/>
      <c r="AN2222" s="3"/>
      <c r="AO2222" s="3"/>
      <c r="AP2222" s="11"/>
      <c r="AQ2222" s="11"/>
      <c r="AR2222" s="3"/>
      <c r="AS2222" s="3"/>
      <c r="AT2222" s="3"/>
      <c r="AU2222" s="3"/>
      <c r="AV2222" s="3"/>
      <c r="AW2222" s="3"/>
      <c r="AX2222" s="11"/>
      <c r="AZ2222"/>
      <c r="BA2222"/>
      <c r="BB2222"/>
      <c r="BC2222"/>
    </row>
    <row r="2223" spans="1:55" s="282" customFormat="1" x14ac:dyDescent="0.25">
      <c r="A2223"/>
      <c r="B2223"/>
      <c r="C2223" s="3"/>
      <c r="D2223"/>
      <c r="E2223"/>
      <c r="F2223"/>
      <c r="G2223" s="3"/>
      <c r="H2223" s="3"/>
      <c r="I2223" s="3"/>
      <c r="J2223" s="288"/>
      <c r="L2223" s="288"/>
      <c r="M2223" s="288"/>
      <c r="N2223" s="288"/>
      <c r="O2223" s="288"/>
      <c r="P2223" s="288"/>
      <c r="Q2223" s="288"/>
      <c r="R2223" s="283"/>
      <c r="S2223" s="280"/>
      <c r="T2223" s="276"/>
      <c r="U2223" s="276"/>
      <c r="V2223" s="276"/>
      <c r="W2223" s="283"/>
      <c r="X2223" s="280"/>
      <c r="Y2223" s="280"/>
      <c r="Z2223" s="280"/>
      <c r="AA2223" s="280"/>
      <c r="AB2223" s="280"/>
      <c r="AC2223" s="280"/>
      <c r="AD2223" s="280"/>
      <c r="AG2223" s="3"/>
      <c r="AH2223" s="3"/>
      <c r="AI2223" s="3"/>
      <c r="AJ2223" s="3"/>
      <c r="AK2223" s="3"/>
      <c r="AL2223" s="3"/>
      <c r="AM2223" s="3"/>
      <c r="AN2223" s="3"/>
      <c r="AO2223" s="3"/>
      <c r="AP2223" s="11"/>
      <c r="AQ2223" s="11"/>
      <c r="AR2223" s="3"/>
      <c r="AS2223" s="3"/>
      <c r="AT2223" s="3"/>
      <c r="AU2223" s="3"/>
      <c r="AV2223" s="3"/>
      <c r="AW2223" s="3"/>
      <c r="AX2223" s="11"/>
      <c r="AZ2223"/>
      <c r="BA2223"/>
      <c r="BB2223"/>
      <c r="BC2223"/>
    </row>
    <row r="2224" spans="1:55" s="282" customFormat="1" x14ac:dyDescent="0.25">
      <c r="A2224"/>
      <c r="B2224"/>
      <c r="C2224" s="3"/>
      <c r="D2224"/>
      <c r="E2224"/>
      <c r="F2224"/>
      <c r="G2224" s="3"/>
      <c r="H2224" s="3"/>
      <c r="I2224" s="3"/>
      <c r="J2224" s="288"/>
      <c r="L2224" s="288"/>
      <c r="M2224" s="288"/>
      <c r="N2224" s="288"/>
      <c r="O2224" s="288"/>
      <c r="P2224" s="288"/>
      <c r="Q2224" s="288"/>
      <c r="R2224" s="283"/>
      <c r="S2224" s="280"/>
      <c r="T2224" s="276"/>
      <c r="U2224" s="276"/>
      <c r="V2224" s="276"/>
      <c r="W2224" s="283"/>
      <c r="X2224" s="280"/>
      <c r="Y2224" s="280"/>
      <c r="Z2224" s="280"/>
      <c r="AA2224" s="280"/>
      <c r="AB2224" s="280"/>
      <c r="AC2224" s="280"/>
      <c r="AD2224" s="280"/>
      <c r="AG2224" s="3"/>
      <c r="AH2224" s="3"/>
      <c r="AI2224" s="3"/>
      <c r="AJ2224" s="3"/>
      <c r="AK2224" s="3"/>
      <c r="AL2224" s="3"/>
      <c r="AM2224" s="3"/>
      <c r="AN2224" s="3"/>
      <c r="AO2224" s="3"/>
      <c r="AP2224" s="11"/>
      <c r="AQ2224" s="11"/>
      <c r="AR2224" s="3"/>
      <c r="AS2224" s="3"/>
      <c r="AT2224" s="3"/>
      <c r="AU2224" s="3"/>
      <c r="AV2224" s="3"/>
      <c r="AW2224" s="3"/>
      <c r="AX2224" s="11"/>
      <c r="AZ2224"/>
      <c r="BA2224"/>
      <c r="BB2224"/>
      <c r="BC2224"/>
    </row>
    <row r="2225" spans="1:55" s="282" customFormat="1" x14ac:dyDescent="0.25">
      <c r="A2225"/>
      <c r="B2225"/>
      <c r="C2225" s="3"/>
      <c r="D2225"/>
      <c r="E2225"/>
      <c r="F2225"/>
      <c r="G2225" s="3"/>
      <c r="H2225" s="3"/>
      <c r="I2225" s="3"/>
      <c r="J2225" s="288"/>
      <c r="L2225" s="288"/>
      <c r="M2225" s="288"/>
      <c r="N2225" s="288"/>
      <c r="O2225" s="288"/>
      <c r="P2225" s="288"/>
      <c r="Q2225" s="288"/>
      <c r="R2225" s="283"/>
      <c r="S2225" s="280"/>
      <c r="T2225" s="276"/>
      <c r="U2225" s="276"/>
      <c r="V2225" s="276"/>
      <c r="W2225" s="283"/>
      <c r="X2225" s="280"/>
      <c r="Y2225" s="280"/>
      <c r="Z2225" s="280"/>
      <c r="AA2225" s="280"/>
      <c r="AB2225" s="280"/>
      <c r="AC2225" s="280"/>
      <c r="AD2225" s="280"/>
      <c r="AG2225" s="3"/>
      <c r="AH2225" s="3"/>
      <c r="AI2225" s="3"/>
      <c r="AJ2225" s="3"/>
      <c r="AK2225" s="3"/>
      <c r="AL2225" s="3"/>
      <c r="AM2225" s="3"/>
      <c r="AN2225" s="3"/>
      <c r="AO2225" s="3"/>
      <c r="AP2225" s="11"/>
      <c r="AQ2225" s="11"/>
      <c r="AR2225" s="3"/>
      <c r="AS2225" s="3"/>
      <c r="AT2225" s="3"/>
      <c r="AU2225" s="3"/>
      <c r="AV2225" s="3"/>
      <c r="AW2225" s="3"/>
      <c r="AX2225" s="11"/>
      <c r="AZ2225"/>
      <c r="BA2225"/>
      <c r="BB2225"/>
      <c r="BC2225"/>
    </row>
    <row r="2226" spans="1:55" s="282" customFormat="1" x14ac:dyDescent="0.25">
      <c r="A2226"/>
      <c r="B2226"/>
      <c r="C2226" s="3"/>
      <c r="D2226"/>
      <c r="E2226"/>
      <c r="F2226"/>
      <c r="G2226" s="3"/>
      <c r="H2226" s="3"/>
      <c r="I2226" s="3"/>
      <c r="J2226" s="288"/>
      <c r="L2226" s="288"/>
      <c r="M2226" s="288"/>
      <c r="N2226" s="288"/>
      <c r="O2226" s="288"/>
      <c r="P2226" s="288"/>
      <c r="Q2226" s="288"/>
      <c r="R2226" s="283"/>
      <c r="S2226" s="280"/>
      <c r="T2226" s="276"/>
      <c r="U2226" s="276"/>
      <c r="V2226" s="276"/>
      <c r="W2226" s="283"/>
      <c r="X2226" s="280"/>
      <c r="Y2226" s="280"/>
      <c r="Z2226" s="280"/>
      <c r="AA2226" s="280"/>
      <c r="AB2226" s="280"/>
      <c r="AC2226" s="280"/>
      <c r="AD2226" s="280"/>
      <c r="AG2226" s="3"/>
      <c r="AH2226" s="3"/>
      <c r="AI2226" s="3"/>
      <c r="AJ2226" s="3"/>
      <c r="AK2226" s="3"/>
      <c r="AL2226" s="3"/>
      <c r="AM2226" s="3"/>
      <c r="AN2226" s="3"/>
      <c r="AO2226" s="3"/>
      <c r="AP2226" s="11"/>
      <c r="AQ2226" s="11"/>
      <c r="AR2226" s="3"/>
      <c r="AS2226" s="3"/>
      <c r="AT2226" s="3"/>
      <c r="AU2226" s="3"/>
      <c r="AV2226" s="3"/>
      <c r="AW2226" s="3"/>
      <c r="AX2226" s="11"/>
      <c r="AZ2226"/>
      <c r="BA2226"/>
      <c r="BB2226"/>
      <c r="BC2226"/>
    </row>
    <row r="2227" spans="1:55" s="282" customFormat="1" x14ac:dyDescent="0.25">
      <c r="A2227"/>
      <c r="B2227"/>
      <c r="C2227" s="3"/>
      <c r="D2227"/>
      <c r="E2227"/>
      <c r="F2227"/>
      <c r="G2227" s="3"/>
      <c r="H2227" s="3"/>
      <c r="I2227" s="3"/>
      <c r="J2227" s="288"/>
      <c r="L2227" s="288"/>
      <c r="M2227" s="288"/>
      <c r="N2227" s="288"/>
      <c r="O2227" s="288"/>
      <c r="P2227" s="288"/>
      <c r="Q2227" s="288"/>
      <c r="R2227" s="283"/>
      <c r="S2227" s="280"/>
      <c r="T2227" s="276"/>
      <c r="U2227" s="276"/>
      <c r="V2227" s="276"/>
      <c r="W2227" s="283"/>
      <c r="X2227" s="280"/>
      <c r="Y2227" s="280"/>
      <c r="Z2227" s="280"/>
      <c r="AA2227" s="280"/>
      <c r="AB2227" s="280"/>
      <c r="AC2227" s="280"/>
      <c r="AD2227" s="280"/>
      <c r="AG2227" s="3"/>
      <c r="AH2227" s="3"/>
      <c r="AI2227" s="3"/>
      <c r="AJ2227" s="3"/>
      <c r="AK2227" s="3"/>
      <c r="AL2227" s="3"/>
      <c r="AM2227" s="3"/>
      <c r="AN2227" s="3"/>
      <c r="AO2227" s="3"/>
      <c r="AP2227" s="11"/>
      <c r="AQ2227" s="11"/>
      <c r="AR2227" s="3"/>
      <c r="AS2227" s="3"/>
      <c r="AT2227" s="3"/>
      <c r="AU2227" s="3"/>
      <c r="AV2227" s="3"/>
      <c r="AW2227" s="3"/>
      <c r="AX2227" s="11"/>
      <c r="AZ2227"/>
      <c r="BA2227"/>
      <c r="BB2227"/>
      <c r="BC2227"/>
    </row>
    <row r="2228" spans="1:55" s="282" customFormat="1" x14ac:dyDescent="0.25">
      <c r="A2228"/>
      <c r="B2228"/>
      <c r="C2228" s="3"/>
      <c r="D2228"/>
      <c r="E2228"/>
      <c r="F2228"/>
      <c r="G2228" s="3"/>
      <c r="H2228" s="3"/>
      <c r="I2228" s="3"/>
      <c r="J2228" s="288"/>
      <c r="L2228" s="288"/>
      <c r="M2228" s="288"/>
      <c r="N2228" s="288"/>
      <c r="O2228" s="288"/>
      <c r="P2228" s="288"/>
      <c r="Q2228" s="288"/>
      <c r="R2228" s="283"/>
      <c r="S2228" s="280"/>
      <c r="T2228" s="276"/>
      <c r="U2228" s="276"/>
      <c r="V2228" s="276"/>
      <c r="W2228" s="283"/>
      <c r="X2228" s="280"/>
      <c r="Y2228" s="280"/>
      <c r="Z2228" s="280"/>
      <c r="AA2228" s="280"/>
      <c r="AB2228" s="280"/>
      <c r="AC2228" s="280"/>
      <c r="AD2228" s="280"/>
      <c r="AG2228" s="3"/>
      <c r="AH2228" s="3"/>
      <c r="AI2228" s="3"/>
      <c r="AJ2228" s="3"/>
      <c r="AK2228" s="3"/>
      <c r="AL2228" s="3"/>
      <c r="AM2228" s="3"/>
      <c r="AN2228" s="3"/>
      <c r="AO2228" s="3"/>
      <c r="AP2228" s="11"/>
      <c r="AQ2228" s="11"/>
      <c r="AR2228" s="3"/>
      <c r="AS2228" s="3"/>
      <c r="AT2228" s="3"/>
      <c r="AU2228" s="3"/>
      <c r="AV2228" s="3"/>
      <c r="AW2228" s="3"/>
      <c r="AX2228" s="11"/>
      <c r="AZ2228"/>
      <c r="BA2228"/>
      <c r="BB2228"/>
      <c r="BC2228"/>
    </row>
    <row r="2229" spans="1:55" s="282" customFormat="1" x14ac:dyDescent="0.25">
      <c r="A2229"/>
      <c r="B2229"/>
      <c r="C2229" s="3"/>
      <c r="D2229"/>
      <c r="E2229"/>
      <c r="F2229"/>
      <c r="G2229" s="3"/>
      <c r="H2229" s="3"/>
      <c r="I2229" s="3"/>
      <c r="J2229" s="288"/>
      <c r="L2229" s="288"/>
      <c r="M2229" s="288"/>
      <c r="N2229" s="288"/>
      <c r="O2229" s="288"/>
      <c r="P2229" s="288"/>
      <c r="Q2229" s="288"/>
      <c r="R2229" s="283"/>
      <c r="S2229" s="280"/>
      <c r="T2229" s="276"/>
      <c r="U2229" s="276"/>
      <c r="V2229" s="276"/>
      <c r="W2229" s="283"/>
      <c r="X2229" s="280"/>
      <c r="Y2229" s="280"/>
      <c r="Z2229" s="280"/>
      <c r="AA2229" s="280"/>
      <c r="AB2229" s="280"/>
      <c r="AC2229" s="280"/>
      <c r="AD2229" s="280"/>
      <c r="AG2229" s="3"/>
      <c r="AH2229" s="3"/>
      <c r="AI2229" s="3"/>
      <c r="AJ2229" s="3"/>
      <c r="AK2229" s="3"/>
      <c r="AL2229" s="3"/>
      <c r="AM2229" s="3"/>
      <c r="AN2229" s="3"/>
      <c r="AO2229" s="3"/>
      <c r="AP2229" s="11"/>
      <c r="AQ2229" s="11"/>
      <c r="AR2229" s="3"/>
      <c r="AS2229" s="3"/>
      <c r="AT2229" s="3"/>
      <c r="AU2229" s="3"/>
      <c r="AV2229" s="3"/>
      <c r="AW2229" s="3"/>
      <c r="AX2229" s="11"/>
      <c r="AZ2229"/>
      <c r="BA2229"/>
      <c r="BB2229"/>
      <c r="BC2229"/>
    </row>
    <row r="2230" spans="1:55" s="282" customFormat="1" x14ac:dyDescent="0.25">
      <c r="A2230"/>
      <c r="B2230"/>
      <c r="C2230" s="3"/>
      <c r="D2230"/>
      <c r="E2230"/>
      <c r="F2230"/>
      <c r="G2230" s="3"/>
      <c r="H2230" s="3"/>
      <c r="I2230" s="3"/>
      <c r="J2230" s="288"/>
      <c r="L2230" s="288"/>
      <c r="M2230" s="288"/>
      <c r="N2230" s="288"/>
      <c r="O2230" s="288"/>
      <c r="P2230" s="288"/>
      <c r="Q2230" s="288"/>
      <c r="R2230" s="283"/>
      <c r="S2230" s="280"/>
      <c r="T2230" s="276"/>
      <c r="U2230" s="276"/>
      <c r="V2230" s="276"/>
      <c r="W2230" s="283"/>
      <c r="X2230" s="280"/>
      <c r="Y2230" s="280"/>
      <c r="Z2230" s="280"/>
      <c r="AA2230" s="280"/>
      <c r="AB2230" s="280"/>
      <c r="AC2230" s="280"/>
      <c r="AD2230" s="280"/>
      <c r="AG2230" s="3"/>
      <c r="AH2230" s="3"/>
      <c r="AI2230" s="3"/>
      <c r="AJ2230" s="3"/>
      <c r="AK2230" s="3"/>
      <c r="AL2230" s="3"/>
      <c r="AM2230" s="3"/>
      <c r="AN2230" s="3"/>
      <c r="AO2230" s="3"/>
      <c r="AP2230" s="11"/>
      <c r="AQ2230" s="11"/>
      <c r="AR2230" s="3"/>
      <c r="AS2230" s="3"/>
      <c r="AT2230" s="3"/>
      <c r="AU2230" s="3"/>
      <c r="AV2230" s="3"/>
      <c r="AW2230" s="3"/>
      <c r="AX2230" s="11"/>
      <c r="AZ2230"/>
      <c r="BA2230"/>
      <c r="BB2230"/>
      <c r="BC2230"/>
    </row>
    <row r="2231" spans="1:55" s="282" customFormat="1" x14ac:dyDescent="0.25">
      <c r="A2231"/>
      <c r="B2231"/>
      <c r="C2231" s="3"/>
      <c r="D2231"/>
      <c r="E2231"/>
      <c r="F2231"/>
      <c r="G2231" s="3"/>
      <c r="H2231" s="3"/>
      <c r="I2231" s="3"/>
      <c r="J2231" s="288"/>
      <c r="L2231" s="288"/>
      <c r="M2231" s="288"/>
      <c r="N2231" s="288"/>
      <c r="O2231" s="288"/>
      <c r="P2231" s="288"/>
      <c r="Q2231" s="288"/>
      <c r="R2231" s="283"/>
      <c r="S2231" s="280"/>
      <c r="T2231" s="276"/>
      <c r="U2231" s="276"/>
      <c r="V2231" s="276"/>
      <c r="W2231" s="283"/>
      <c r="X2231" s="280"/>
      <c r="Y2231" s="280"/>
      <c r="Z2231" s="280"/>
      <c r="AA2231" s="280"/>
      <c r="AB2231" s="280"/>
      <c r="AC2231" s="280"/>
      <c r="AD2231" s="280"/>
      <c r="AG2231" s="3"/>
      <c r="AH2231" s="3"/>
      <c r="AI2231" s="3"/>
      <c r="AJ2231" s="3"/>
      <c r="AK2231" s="3"/>
      <c r="AL2231" s="3"/>
      <c r="AM2231" s="3"/>
      <c r="AN2231" s="3"/>
      <c r="AO2231" s="3"/>
      <c r="AP2231" s="11"/>
      <c r="AQ2231" s="11"/>
      <c r="AR2231" s="3"/>
      <c r="AS2231" s="3"/>
      <c r="AT2231" s="3"/>
      <c r="AU2231" s="3"/>
      <c r="AV2231" s="3"/>
      <c r="AW2231" s="3"/>
      <c r="AX2231" s="11"/>
      <c r="AZ2231"/>
      <c r="BA2231"/>
      <c r="BB2231"/>
      <c r="BC2231"/>
    </row>
    <row r="2232" spans="1:55" s="282" customFormat="1" x14ac:dyDescent="0.25">
      <c r="A2232"/>
      <c r="B2232"/>
      <c r="C2232" s="3"/>
      <c r="D2232"/>
      <c r="E2232"/>
      <c r="F2232"/>
      <c r="G2232" s="3"/>
      <c r="H2232" s="3"/>
      <c r="I2232" s="3"/>
      <c r="J2232" s="288"/>
      <c r="L2232" s="288"/>
      <c r="M2232" s="288"/>
      <c r="N2232" s="288"/>
      <c r="O2232" s="288"/>
      <c r="P2232" s="288"/>
      <c r="Q2232" s="288"/>
      <c r="R2232" s="283"/>
      <c r="S2232" s="280"/>
      <c r="T2232" s="276"/>
      <c r="U2232" s="276"/>
      <c r="V2232" s="276"/>
      <c r="W2232" s="283"/>
      <c r="X2232" s="280"/>
      <c r="Y2232" s="280"/>
      <c r="Z2232" s="280"/>
      <c r="AA2232" s="280"/>
      <c r="AB2232" s="280"/>
      <c r="AC2232" s="280"/>
      <c r="AD2232" s="280"/>
      <c r="AG2232" s="3"/>
      <c r="AH2232" s="3"/>
      <c r="AI2232" s="3"/>
      <c r="AJ2232" s="3"/>
      <c r="AK2232" s="3"/>
      <c r="AL2232" s="3"/>
      <c r="AM2232" s="3"/>
      <c r="AN2232" s="3"/>
      <c r="AO2232" s="3"/>
      <c r="AP2232" s="11"/>
      <c r="AQ2232" s="11"/>
      <c r="AR2232" s="3"/>
      <c r="AS2232" s="3"/>
      <c r="AT2232" s="3"/>
      <c r="AU2232" s="3"/>
      <c r="AV2232" s="3"/>
      <c r="AW2232" s="3"/>
      <c r="AX2232" s="11"/>
      <c r="AZ2232"/>
      <c r="BA2232"/>
      <c r="BB2232"/>
      <c r="BC2232"/>
    </row>
    <row r="2233" spans="1:55" s="282" customFormat="1" x14ac:dyDescent="0.25">
      <c r="A2233"/>
      <c r="B2233"/>
      <c r="C2233" s="3"/>
      <c r="D2233"/>
      <c r="E2233"/>
      <c r="F2233"/>
      <c r="G2233" s="3"/>
      <c r="H2233" s="3"/>
      <c r="I2233" s="3"/>
      <c r="J2233" s="288"/>
      <c r="L2233" s="288"/>
      <c r="M2233" s="288"/>
      <c r="N2233" s="288"/>
      <c r="O2233" s="288"/>
      <c r="P2233" s="288"/>
      <c r="Q2233" s="288"/>
      <c r="R2233" s="283"/>
      <c r="S2233" s="280"/>
      <c r="T2233" s="276"/>
      <c r="U2233" s="276"/>
      <c r="V2233" s="276"/>
      <c r="W2233" s="283"/>
      <c r="X2233" s="280"/>
      <c r="Y2233" s="280"/>
      <c r="Z2233" s="280"/>
      <c r="AA2233" s="280"/>
      <c r="AB2233" s="280"/>
      <c r="AC2233" s="280"/>
      <c r="AD2233" s="280"/>
      <c r="AG2233" s="3"/>
      <c r="AH2233" s="3"/>
      <c r="AI2233" s="3"/>
      <c r="AJ2233" s="3"/>
      <c r="AK2233" s="3"/>
      <c r="AL2233" s="3"/>
      <c r="AM2233" s="3"/>
      <c r="AN2233" s="3"/>
      <c r="AO2233" s="3"/>
      <c r="AP2233" s="11"/>
      <c r="AQ2233" s="11"/>
      <c r="AR2233" s="3"/>
      <c r="AS2233" s="3"/>
      <c r="AT2233" s="3"/>
      <c r="AU2233" s="3"/>
      <c r="AV2233" s="3"/>
      <c r="AW2233" s="3"/>
      <c r="AX2233" s="11"/>
      <c r="AZ2233"/>
      <c r="BA2233"/>
      <c r="BB2233"/>
      <c r="BC2233"/>
    </row>
    <row r="2234" spans="1:55" s="282" customFormat="1" x14ac:dyDescent="0.25">
      <c r="A2234"/>
      <c r="B2234"/>
      <c r="C2234" s="3"/>
      <c r="D2234"/>
      <c r="E2234"/>
      <c r="F2234"/>
      <c r="G2234" s="3"/>
      <c r="H2234" s="3"/>
      <c r="I2234" s="3"/>
      <c r="J2234" s="288"/>
      <c r="L2234" s="288"/>
      <c r="M2234" s="288"/>
      <c r="N2234" s="288"/>
      <c r="O2234" s="288"/>
      <c r="P2234" s="288"/>
      <c r="Q2234" s="288"/>
      <c r="R2234" s="283"/>
      <c r="S2234" s="280"/>
      <c r="T2234" s="276"/>
      <c r="U2234" s="276"/>
      <c r="V2234" s="276"/>
      <c r="W2234" s="283"/>
      <c r="X2234" s="280"/>
      <c r="Y2234" s="280"/>
      <c r="Z2234" s="280"/>
      <c r="AA2234" s="280"/>
      <c r="AB2234" s="280"/>
      <c r="AC2234" s="280"/>
      <c r="AD2234" s="280"/>
      <c r="AG2234" s="3"/>
      <c r="AH2234" s="3"/>
      <c r="AI2234" s="3"/>
      <c r="AJ2234" s="3"/>
      <c r="AK2234" s="3"/>
      <c r="AL2234" s="3"/>
      <c r="AM2234" s="3"/>
      <c r="AN2234" s="3"/>
      <c r="AO2234" s="3"/>
      <c r="AP2234" s="11"/>
      <c r="AQ2234" s="11"/>
      <c r="AR2234" s="3"/>
      <c r="AS2234" s="3"/>
      <c r="AT2234" s="3"/>
      <c r="AU2234" s="3"/>
      <c r="AV2234" s="3"/>
      <c r="AW2234" s="3"/>
      <c r="AX2234" s="11"/>
      <c r="AZ2234"/>
      <c r="BA2234"/>
      <c r="BB2234"/>
      <c r="BC2234"/>
    </row>
    <row r="2235" spans="1:55" s="282" customFormat="1" x14ac:dyDescent="0.25">
      <c r="A2235"/>
      <c r="B2235"/>
      <c r="C2235" s="3"/>
      <c r="D2235"/>
      <c r="E2235"/>
      <c r="F2235"/>
      <c r="G2235" s="3"/>
      <c r="H2235" s="3"/>
      <c r="I2235" s="3"/>
      <c r="J2235" s="288"/>
      <c r="L2235" s="288"/>
      <c r="M2235" s="288"/>
      <c r="N2235" s="288"/>
      <c r="O2235" s="288"/>
      <c r="P2235" s="288"/>
      <c r="Q2235" s="288"/>
      <c r="R2235" s="283"/>
      <c r="S2235" s="280"/>
      <c r="T2235" s="276"/>
      <c r="U2235" s="276"/>
      <c r="V2235" s="276"/>
      <c r="W2235" s="283"/>
      <c r="X2235" s="280"/>
      <c r="Y2235" s="280"/>
      <c r="Z2235" s="280"/>
      <c r="AA2235" s="280"/>
      <c r="AB2235" s="280"/>
      <c r="AC2235" s="280"/>
      <c r="AD2235" s="280"/>
      <c r="AG2235" s="3"/>
      <c r="AH2235" s="3"/>
      <c r="AI2235" s="3"/>
      <c r="AJ2235" s="3"/>
      <c r="AK2235" s="3"/>
      <c r="AL2235" s="3"/>
      <c r="AM2235" s="3"/>
      <c r="AN2235" s="3"/>
      <c r="AO2235" s="3"/>
      <c r="AP2235" s="11"/>
      <c r="AQ2235" s="11"/>
      <c r="AR2235" s="3"/>
      <c r="AS2235" s="3"/>
      <c r="AT2235" s="3"/>
      <c r="AU2235" s="3"/>
      <c r="AV2235" s="3"/>
      <c r="AW2235" s="3"/>
      <c r="AX2235" s="11"/>
      <c r="AZ2235"/>
      <c r="BA2235"/>
      <c r="BB2235"/>
      <c r="BC2235"/>
    </row>
    <row r="2236" spans="1:55" s="282" customFormat="1" x14ac:dyDescent="0.25">
      <c r="A2236"/>
      <c r="B2236"/>
      <c r="C2236" s="3"/>
      <c r="D2236"/>
      <c r="E2236"/>
      <c r="F2236"/>
      <c r="G2236" s="3"/>
      <c r="H2236" s="3"/>
      <c r="I2236" s="3"/>
      <c r="J2236" s="288"/>
      <c r="L2236" s="288"/>
      <c r="M2236" s="288"/>
      <c r="N2236" s="288"/>
      <c r="O2236" s="288"/>
      <c r="P2236" s="288"/>
      <c r="Q2236" s="288"/>
      <c r="R2236" s="283"/>
      <c r="S2236" s="280"/>
      <c r="T2236" s="276"/>
      <c r="U2236" s="276"/>
      <c r="V2236" s="276"/>
      <c r="W2236" s="283"/>
      <c r="X2236" s="280"/>
      <c r="Y2236" s="280"/>
      <c r="Z2236" s="280"/>
      <c r="AA2236" s="280"/>
      <c r="AB2236" s="280"/>
      <c r="AC2236" s="280"/>
      <c r="AD2236" s="280"/>
      <c r="AG2236" s="3"/>
      <c r="AH2236" s="3"/>
      <c r="AI2236" s="3"/>
      <c r="AJ2236" s="3"/>
      <c r="AK2236" s="3"/>
      <c r="AL2236" s="3"/>
      <c r="AM2236" s="3"/>
      <c r="AN2236" s="3"/>
      <c r="AO2236" s="3"/>
      <c r="AP2236" s="11"/>
      <c r="AQ2236" s="11"/>
      <c r="AR2236" s="3"/>
      <c r="AS2236" s="3"/>
      <c r="AT2236" s="3"/>
      <c r="AU2236" s="3"/>
      <c r="AV2236" s="3"/>
      <c r="AW2236" s="3"/>
      <c r="AX2236" s="11"/>
      <c r="AZ2236"/>
      <c r="BA2236"/>
      <c r="BB2236"/>
      <c r="BC2236"/>
    </row>
    <row r="2237" spans="1:55" s="282" customFormat="1" x14ac:dyDescent="0.25">
      <c r="A2237"/>
      <c r="B2237"/>
      <c r="C2237" s="3"/>
      <c r="D2237"/>
      <c r="E2237"/>
      <c r="F2237"/>
      <c r="G2237" s="3"/>
      <c r="H2237" s="3"/>
      <c r="I2237" s="3"/>
      <c r="J2237" s="288"/>
      <c r="L2237" s="288"/>
      <c r="M2237" s="288"/>
      <c r="N2237" s="288"/>
      <c r="O2237" s="288"/>
      <c r="P2237" s="288"/>
      <c r="Q2237" s="288"/>
      <c r="R2237" s="283"/>
      <c r="S2237" s="280"/>
      <c r="T2237" s="276"/>
      <c r="U2237" s="276"/>
      <c r="V2237" s="276"/>
      <c r="W2237" s="283"/>
      <c r="X2237" s="280"/>
      <c r="Y2237" s="280"/>
      <c r="Z2237" s="280"/>
      <c r="AA2237" s="280"/>
      <c r="AB2237" s="280"/>
      <c r="AC2237" s="280"/>
      <c r="AD2237" s="280"/>
      <c r="AG2237" s="3"/>
      <c r="AH2237" s="3"/>
      <c r="AI2237" s="3"/>
      <c r="AJ2237" s="3"/>
      <c r="AK2237" s="3"/>
      <c r="AL2237" s="3"/>
      <c r="AM2237" s="3"/>
      <c r="AN2237" s="3"/>
      <c r="AO2237" s="3"/>
      <c r="AP2237" s="11"/>
      <c r="AQ2237" s="11"/>
      <c r="AR2237" s="3"/>
      <c r="AS2237" s="3"/>
      <c r="AT2237" s="3"/>
      <c r="AU2237" s="3"/>
      <c r="AV2237" s="3"/>
      <c r="AW2237" s="3"/>
      <c r="AX2237" s="11"/>
      <c r="AZ2237"/>
      <c r="BA2237"/>
      <c r="BB2237"/>
      <c r="BC2237"/>
    </row>
    <row r="2238" spans="1:55" s="282" customFormat="1" x14ac:dyDescent="0.25">
      <c r="A2238"/>
      <c r="B2238"/>
      <c r="C2238" s="3"/>
      <c r="D2238"/>
      <c r="E2238"/>
      <c r="F2238"/>
      <c r="G2238" s="3"/>
      <c r="H2238" s="3"/>
      <c r="I2238" s="3"/>
      <c r="J2238" s="288"/>
      <c r="L2238" s="288"/>
      <c r="M2238" s="288"/>
      <c r="N2238" s="288"/>
      <c r="O2238" s="288"/>
      <c r="P2238" s="288"/>
      <c r="Q2238" s="288"/>
      <c r="R2238" s="283"/>
      <c r="S2238" s="280"/>
      <c r="T2238" s="276"/>
      <c r="U2238" s="276"/>
      <c r="V2238" s="276"/>
      <c r="W2238" s="283"/>
      <c r="X2238" s="280"/>
      <c r="Y2238" s="280"/>
      <c r="Z2238" s="280"/>
      <c r="AA2238" s="280"/>
      <c r="AB2238" s="280"/>
      <c r="AC2238" s="280"/>
      <c r="AD2238" s="280"/>
      <c r="AG2238" s="3"/>
      <c r="AH2238" s="3"/>
      <c r="AI2238" s="3"/>
      <c r="AJ2238" s="3"/>
      <c r="AK2238" s="3"/>
      <c r="AL2238" s="3"/>
      <c r="AM2238" s="3"/>
      <c r="AN2238" s="3"/>
      <c r="AO2238" s="3"/>
      <c r="AP2238" s="11"/>
      <c r="AQ2238" s="11"/>
      <c r="AR2238" s="3"/>
      <c r="AS2238" s="3"/>
      <c r="AT2238" s="3"/>
      <c r="AU2238" s="3"/>
      <c r="AV2238" s="3"/>
      <c r="AW2238" s="3"/>
      <c r="AX2238" s="11"/>
      <c r="AZ2238"/>
      <c r="BA2238"/>
      <c r="BB2238"/>
      <c r="BC2238"/>
    </row>
    <row r="2239" spans="1:55" s="282" customFormat="1" x14ac:dyDescent="0.25">
      <c r="A2239"/>
      <c r="B2239"/>
      <c r="C2239" s="3"/>
      <c r="D2239"/>
      <c r="E2239"/>
      <c r="F2239"/>
      <c r="G2239" s="3"/>
      <c r="H2239" s="3"/>
      <c r="I2239" s="3"/>
      <c r="J2239" s="288"/>
      <c r="L2239" s="288"/>
      <c r="M2239" s="288"/>
      <c r="N2239" s="288"/>
      <c r="O2239" s="288"/>
      <c r="P2239" s="288"/>
      <c r="Q2239" s="288"/>
      <c r="R2239" s="283"/>
      <c r="S2239" s="280"/>
      <c r="T2239" s="276"/>
      <c r="U2239" s="276"/>
      <c r="V2239" s="276"/>
      <c r="W2239" s="283"/>
      <c r="X2239" s="280"/>
      <c r="Y2239" s="280"/>
      <c r="Z2239" s="280"/>
      <c r="AA2239" s="280"/>
      <c r="AB2239" s="280"/>
      <c r="AC2239" s="280"/>
      <c r="AD2239" s="280"/>
      <c r="AG2239" s="3"/>
      <c r="AH2239" s="3"/>
      <c r="AI2239" s="3"/>
      <c r="AJ2239" s="3"/>
      <c r="AK2239" s="3"/>
      <c r="AL2239" s="3"/>
      <c r="AM2239" s="3"/>
      <c r="AN2239" s="3"/>
      <c r="AO2239" s="3"/>
      <c r="AP2239" s="11"/>
      <c r="AQ2239" s="11"/>
      <c r="AR2239" s="3"/>
      <c r="AS2239" s="3"/>
      <c r="AT2239" s="3"/>
      <c r="AU2239" s="3"/>
      <c r="AV2239" s="3"/>
      <c r="AW2239" s="3"/>
      <c r="AX2239" s="11"/>
      <c r="AZ2239"/>
      <c r="BA2239"/>
      <c r="BB2239"/>
      <c r="BC2239"/>
    </row>
    <row r="2240" spans="1:55" s="282" customFormat="1" x14ac:dyDescent="0.25">
      <c r="A2240"/>
      <c r="B2240"/>
      <c r="C2240" s="3"/>
      <c r="D2240"/>
      <c r="E2240"/>
      <c r="F2240"/>
      <c r="G2240" s="3"/>
      <c r="H2240" s="3"/>
      <c r="I2240" s="3"/>
      <c r="J2240" s="288"/>
      <c r="L2240" s="288"/>
      <c r="M2240" s="288"/>
      <c r="N2240" s="288"/>
      <c r="O2240" s="288"/>
      <c r="P2240" s="288"/>
      <c r="Q2240" s="288"/>
      <c r="R2240" s="283"/>
      <c r="S2240" s="280"/>
      <c r="T2240" s="276"/>
      <c r="U2240" s="276"/>
      <c r="V2240" s="276"/>
      <c r="W2240" s="283"/>
      <c r="X2240" s="280"/>
      <c r="Y2240" s="280"/>
      <c r="Z2240" s="280"/>
      <c r="AA2240" s="280"/>
      <c r="AB2240" s="280"/>
      <c r="AC2240" s="280"/>
      <c r="AD2240" s="280"/>
      <c r="AG2240" s="3"/>
      <c r="AH2240" s="3"/>
      <c r="AI2240" s="3"/>
      <c r="AJ2240" s="3"/>
      <c r="AK2240" s="3"/>
      <c r="AL2240" s="3"/>
      <c r="AM2240" s="3"/>
      <c r="AN2240" s="3"/>
      <c r="AO2240" s="3"/>
      <c r="AP2240" s="11"/>
      <c r="AQ2240" s="11"/>
      <c r="AR2240" s="3"/>
      <c r="AS2240" s="3"/>
      <c r="AT2240" s="3"/>
      <c r="AU2240" s="3"/>
      <c r="AV2240" s="3"/>
      <c r="AW2240" s="3"/>
      <c r="AX2240" s="11"/>
      <c r="AZ2240"/>
      <c r="BA2240"/>
      <c r="BB2240"/>
      <c r="BC2240"/>
    </row>
    <row r="2241" spans="1:55" s="282" customFormat="1" x14ac:dyDescent="0.25">
      <c r="A2241"/>
      <c r="B2241"/>
      <c r="C2241" s="3"/>
      <c r="D2241"/>
      <c r="E2241"/>
      <c r="F2241"/>
      <c r="G2241" s="3"/>
      <c r="H2241" s="3"/>
      <c r="I2241" s="3"/>
      <c r="J2241" s="288"/>
      <c r="L2241" s="288"/>
      <c r="M2241" s="288"/>
      <c r="N2241" s="288"/>
      <c r="O2241" s="288"/>
      <c r="P2241" s="288"/>
      <c r="Q2241" s="288"/>
      <c r="R2241" s="283"/>
      <c r="S2241" s="280"/>
      <c r="T2241" s="276"/>
      <c r="U2241" s="276"/>
      <c r="V2241" s="276"/>
      <c r="W2241" s="283"/>
      <c r="X2241" s="280"/>
      <c r="Y2241" s="280"/>
      <c r="Z2241" s="280"/>
      <c r="AA2241" s="280"/>
      <c r="AB2241" s="280"/>
      <c r="AC2241" s="280"/>
      <c r="AD2241" s="280"/>
      <c r="AG2241" s="3"/>
      <c r="AH2241" s="3"/>
      <c r="AI2241" s="3"/>
      <c r="AJ2241" s="3"/>
      <c r="AK2241" s="3"/>
      <c r="AL2241" s="3"/>
      <c r="AM2241" s="3"/>
      <c r="AN2241" s="3"/>
      <c r="AO2241" s="3"/>
      <c r="AP2241" s="11"/>
      <c r="AQ2241" s="11"/>
      <c r="AR2241" s="3"/>
      <c r="AS2241" s="3"/>
      <c r="AT2241" s="3"/>
      <c r="AU2241" s="3"/>
      <c r="AV2241" s="3"/>
      <c r="AW2241" s="3"/>
      <c r="AX2241" s="11"/>
      <c r="AZ2241"/>
      <c r="BA2241"/>
      <c r="BB2241"/>
      <c r="BC2241"/>
    </row>
    <row r="2242" spans="1:55" s="282" customFormat="1" x14ac:dyDescent="0.25">
      <c r="A2242"/>
      <c r="B2242"/>
      <c r="C2242" s="3"/>
      <c r="D2242"/>
      <c r="E2242"/>
      <c r="F2242"/>
      <c r="G2242" s="3"/>
      <c r="H2242" s="3"/>
      <c r="I2242" s="3"/>
      <c r="J2242" s="288"/>
      <c r="L2242" s="288"/>
      <c r="M2242" s="288"/>
      <c r="N2242" s="288"/>
      <c r="O2242" s="288"/>
      <c r="P2242" s="288"/>
      <c r="Q2242" s="288"/>
      <c r="R2242" s="283"/>
      <c r="S2242" s="280"/>
      <c r="T2242" s="276"/>
      <c r="U2242" s="276"/>
      <c r="V2242" s="276"/>
      <c r="W2242" s="283"/>
      <c r="X2242" s="280"/>
      <c r="Y2242" s="280"/>
      <c r="Z2242" s="280"/>
      <c r="AA2242" s="280"/>
      <c r="AB2242" s="280"/>
      <c r="AC2242" s="280"/>
      <c r="AD2242" s="280"/>
      <c r="AG2242" s="3"/>
      <c r="AH2242" s="3"/>
      <c r="AI2242" s="3"/>
      <c r="AJ2242" s="3"/>
      <c r="AK2242" s="3"/>
      <c r="AL2242" s="3"/>
      <c r="AM2242" s="3"/>
      <c r="AN2242" s="3"/>
      <c r="AO2242" s="3"/>
      <c r="AP2242" s="11"/>
      <c r="AQ2242" s="11"/>
      <c r="AR2242" s="3"/>
      <c r="AS2242" s="3"/>
      <c r="AT2242" s="3"/>
      <c r="AU2242" s="3"/>
      <c r="AV2242" s="3"/>
      <c r="AW2242" s="3"/>
      <c r="AX2242" s="11"/>
      <c r="AZ2242"/>
      <c r="BA2242"/>
      <c r="BB2242"/>
      <c r="BC2242"/>
    </row>
    <row r="2243" spans="1:55" s="282" customFormat="1" x14ac:dyDescent="0.25">
      <c r="A2243"/>
      <c r="B2243"/>
      <c r="C2243" s="3"/>
      <c r="D2243"/>
      <c r="E2243"/>
      <c r="F2243"/>
      <c r="G2243" s="3"/>
      <c r="H2243" s="3"/>
      <c r="I2243" s="3"/>
      <c r="J2243" s="288"/>
      <c r="L2243" s="288"/>
      <c r="M2243" s="288"/>
      <c r="N2243" s="288"/>
      <c r="O2243" s="288"/>
      <c r="P2243" s="288"/>
      <c r="Q2243" s="288"/>
      <c r="R2243" s="283"/>
      <c r="S2243" s="280"/>
      <c r="T2243" s="276"/>
      <c r="U2243" s="276"/>
      <c r="V2243" s="276"/>
      <c r="W2243" s="283"/>
      <c r="X2243" s="280"/>
      <c r="Y2243" s="280"/>
      <c r="Z2243" s="280"/>
      <c r="AA2243" s="280"/>
      <c r="AB2243" s="280"/>
      <c r="AC2243" s="280"/>
      <c r="AD2243" s="280"/>
      <c r="AG2243" s="3"/>
      <c r="AH2243" s="3"/>
      <c r="AI2243" s="3"/>
      <c r="AJ2243" s="3"/>
      <c r="AK2243" s="3"/>
      <c r="AL2243" s="3"/>
      <c r="AM2243" s="3"/>
      <c r="AN2243" s="3"/>
      <c r="AO2243" s="3"/>
      <c r="AP2243" s="11"/>
      <c r="AQ2243" s="11"/>
      <c r="AR2243" s="3"/>
      <c r="AS2243" s="3"/>
      <c r="AT2243" s="3"/>
      <c r="AU2243" s="3"/>
      <c r="AV2243" s="3"/>
      <c r="AW2243" s="3"/>
      <c r="AX2243" s="11"/>
      <c r="AZ2243"/>
      <c r="BA2243"/>
      <c r="BB2243"/>
      <c r="BC2243"/>
    </row>
    <row r="2244" spans="1:55" s="282" customFormat="1" x14ac:dyDescent="0.25">
      <c r="A2244"/>
      <c r="B2244"/>
      <c r="C2244" s="3"/>
      <c r="D2244"/>
      <c r="E2244"/>
      <c r="F2244"/>
      <c r="G2244" s="3"/>
      <c r="H2244" s="3"/>
      <c r="I2244" s="3"/>
      <c r="J2244" s="288"/>
      <c r="L2244" s="288"/>
      <c r="M2244" s="288"/>
      <c r="N2244" s="288"/>
      <c r="O2244" s="288"/>
      <c r="P2244" s="288"/>
      <c r="Q2244" s="288"/>
      <c r="R2244" s="283"/>
      <c r="S2244" s="280"/>
      <c r="T2244" s="276"/>
      <c r="U2244" s="276"/>
      <c r="V2244" s="276"/>
      <c r="W2244" s="283"/>
      <c r="X2244" s="280"/>
      <c r="Y2244" s="280"/>
      <c r="Z2244" s="280"/>
      <c r="AA2244" s="280"/>
      <c r="AB2244" s="280"/>
      <c r="AC2244" s="280"/>
      <c r="AD2244" s="280"/>
      <c r="AG2244" s="3"/>
      <c r="AH2244" s="3"/>
      <c r="AI2244" s="3"/>
      <c r="AJ2244" s="3"/>
      <c r="AK2244" s="3"/>
      <c r="AL2244" s="3"/>
      <c r="AM2244" s="3"/>
      <c r="AN2244" s="3"/>
      <c r="AO2244" s="3"/>
      <c r="AP2244" s="11"/>
      <c r="AQ2244" s="11"/>
      <c r="AR2244" s="3"/>
      <c r="AS2244" s="3"/>
      <c r="AT2244" s="3"/>
      <c r="AU2244" s="3"/>
      <c r="AV2244" s="3"/>
      <c r="AW2244" s="3"/>
      <c r="AX2244" s="11"/>
      <c r="AZ2244"/>
      <c r="BA2244"/>
      <c r="BB2244"/>
      <c r="BC2244"/>
    </row>
    <row r="2245" spans="1:55" s="282" customFormat="1" x14ac:dyDescent="0.25">
      <c r="A2245"/>
      <c r="B2245"/>
      <c r="C2245" s="3"/>
      <c r="D2245"/>
      <c r="E2245"/>
      <c r="F2245"/>
      <c r="G2245" s="3"/>
      <c r="H2245" s="3"/>
      <c r="I2245" s="3"/>
      <c r="J2245" s="288"/>
      <c r="L2245" s="288"/>
      <c r="M2245" s="288"/>
      <c r="N2245" s="288"/>
      <c r="O2245" s="288"/>
      <c r="P2245" s="288"/>
      <c r="Q2245" s="288"/>
      <c r="R2245" s="283"/>
      <c r="S2245" s="280"/>
      <c r="T2245" s="276"/>
      <c r="U2245" s="276"/>
      <c r="V2245" s="276"/>
      <c r="W2245" s="283"/>
      <c r="X2245" s="280"/>
      <c r="Y2245" s="280"/>
      <c r="Z2245" s="280"/>
      <c r="AA2245" s="280"/>
      <c r="AB2245" s="280"/>
      <c r="AC2245" s="280"/>
      <c r="AD2245" s="280"/>
      <c r="AG2245" s="3"/>
      <c r="AH2245" s="3"/>
      <c r="AI2245" s="3"/>
      <c r="AJ2245" s="3"/>
      <c r="AK2245" s="3"/>
      <c r="AL2245" s="3"/>
      <c r="AM2245" s="3"/>
      <c r="AN2245" s="3"/>
      <c r="AO2245" s="3"/>
      <c r="AP2245" s="11"/>
      <c r="AQ2245" s="11"/>
      <c r="AR2245" s="3"/>
      <c r="AS2245" s="3"/>
      <c r="AT2245" s="3"/>
      <c r="AU2245" s="3"/>
      <c r="AV2245" s="3"/>
      <c r="AW2245" s="3"/>
      <c r="AX2245" s="11"/>
      <c r="AZ2245"/>
      <c r="BA2245"/>
      <c r="BB2245"/>
      <c r="BC2245"/>
    </row>
    <row r="2246" spans="1:55" s="282" customFormat="1" x14ac:dyDescent="0.25">
      <c r="A2246"/>
      <c r="B2246"/>
      <c r="C2246" s="3"/>
      <c r="D2246"/>
      <c r="E2246"/>
      <c r="F2246"/>
      <c r="G2246" s="3"/>
      <c r="H2246" s="3"/>
      <c r="I2246" s="3"/>
      <c r="J2246" s="288"/>
      <c r="L2246" s="288"/>
      <c r="M2246" s="288"/>
      <c r="N2246" s="288"/>
      <c r="O2246" s="288"/>
      <c r="P2246" s="288"/>
      <c r="Q2246" s="288"/>
      <c r="R2246" s="283"/>
      <c r="S2246" s="280"/>
      <c r="T2246" s="276"/>
      <c r="U2246" s="276"/>
      <c r="V2246" s="276"/>
      <c r="W2246" s="283"/>
      <c r="X2246" s="280"/>
      <c r="Y2246" s="280"/>
      <c r="Z2246" s="280"/>
      <c r="AA2246" s="280"/>
      <c r="AB2246" s="280"/>
      <c r="AC2246" s="280"/>
      <c r="AD2246" s="280"/>
      <c r="AG2246" s="3"/>
      <c r="AH2246" s="3"/>
      <c r="AI2246" s="3"/>
      <c r="AJ2246" s="3"/>
      <c r="AK2246" s="3"/>
      <c r="AL2246" s="3"/>
      <c r="AM2246" s="3"/>
      <c r="AN2246" s="3"/>
      <c r="AO2246" s="3"/>
      <c r="AP2246" s="11"/>
      <c r="AQ2246" s="11"/>
      <c r="AR2246" s="3"/>
      <c r="AS2246" s="3"/>
      <c r="AT2246" s="3"/>
      <c r="AU2246" s="3"/>
      <c r="AV2246" s="3"/>
      <c r="AW2246" s="3"/>
      <c r="AX2246" s="11"/>
      <c r="AZ2246"/>
      <c r="BA2246"/>
      <c r="BB2246"/>
      <c r="BC2246"/>
    </row>
    <row r="2247" spans="1:55" s="282" customFormat="1" x14ac:dyDescent="0.25">
      <c r="A2247"/>
      <c r="B2247"/>
      <c r="C2247" s="3"/>
      <c r="D2247"/>
      <c r="E2247"/>
      <c r="F2247"/>
      <c r="G2247" s="3"/>
      <c r="H2247" s="3"/>
      <c r="I2247" s="3"/>
      <c r="J2247" s="288"/>
      <c r="L2247" s="288"/>
      <c r="M2247" s="288"/>
      <c r="N2247" s="288"/>
      <c r="O2247" s="288"/>
      <c r="P2247" s="288"/>
      <c r="Q2247" s="288"/>
      <c r="R2247" s="283"/>
      <c r="S2247" s="280"/>
      <c r="T2247" s="276"/>
      <c r="U2247" s="276"/>
      <c r="V2247" s="276"/>
      <c r="W2247" s="283"/>
      <c r="X2247" s="280"/>
      <c r="Y2247" s="280"/>
      <c r="Z2247" s="280"/>
      <c r="AA2247" s="280"/>
      <c r="AB2247" s="280"/>
      <c r="AC2247" s="280"/>
      <c r="AD2247" s="280"/>
      <c r="AG2247" s="3"/>
      <c r="AH2247" s="3"/>
      <c r="AI2247" s="3"/>
      <c r="AJ2247" s="3"/>
      <c r="AK2247" s="3"/>
      <c r="AL2247" s="3"/>
      <c r="AM2247" s="3"/>
      <c r="AN2247" s="3"/>
      <c r="AO2247" s="3"/>
      <c r="AP2247" s="11"/>
      <c r="AQ2247" s="11"/>
      <c r="AR2247" s="3"/>
      <c r="AS2247" s="3"/>
      <c r="AT2247" s="3"/>
      <c r="AU2247" s="3"/>
      <c r="AV2247" s="3"/>
      <c r="AW2247" s="3"/>
      <c r="AX2247" s="11"/>
      <c r="AZ2247"/>
      <c r="BA2247"/>
      <c r="BB2247"/>
      <c r="BC2247"/>
    </row>
    <row r="2248" spans="1:55" s="282" customFormat="1" x14ac:dyDescent="0.25">
      <c r="A2248"/>
      <c r="B2248"/>
      <c r="C2248" s="3"/>
      <c r="D2248"/>
      <c r="E2248"/>
      <c r="F2248"/>
      <c r="G2248" s="3"/>
      <c r="H2248" s="3"/>
      <c r="I2248" s="3"/>
      <c r="J2248" s="288"/>
      <c r="L2248" s="288"/>
      <c r="M2248" s="288"/>
      <c r="N2248" s="288"/>
      <c r="O2248" s="288"/>
      <c r="P2248" s="288"/>
      <c r="Q2248" s="288"/>
      <c r="R2248" s="283"/>
      <c r="S2248" s="280"/>
      <c r="T2248" s="276"/>
      <c r="U2248" s="276"/>
      <c r="V2248" s="276"/>
      <c r="W2248" s="283"/>
      <c r="X2248" s="280"/>
      <c r="Y2248" s="280"/>
      <c r="Z2248" s="280"/>
      <c r="AA2248" s="280"/>
      <c r="AB2248" s="280"/>
      <c r="AC2248" s="280"/>
      <c r="AD2248" s="280"/>
      <c r="AG2248" s="3"/>
      <c r="AH2248" s="3"/>
      <c r="AI2248" s="3"/>
      <c r="AJ2248" s="3"/>
      <c r="AK2248" s="3"/>
      <c r="AL2248" s="3"/>
      <c r="AM2248" s="3"/>
      <c r="AN2248" s="3"/>
      <c r="AO2248" s="3"/>
      <c r="AP2248" s="11"/>
      <c r="AQ2248" s="11"/>
      <c r="AR2248" s="3"/>
      <c r="AS2248" s="3"/>
      <c r="AT2248" s="3"/>
      <c r="AU2248" s="3"/>
      <c r="AV2248" s="3"/>
      <c r="AW2248" s="3"/>
      <c r="AX2248" s="11"/>
      <c r="AZ2248"/>
      <c r="BA2248"/>
      <c r="BB2248"/>
      <c r="BC2248"/>
    </row>
    <row r="2249" spans="1:55" s="282" customFormat="1" x14ac:dyDescent="0.25">
      <c r="A2249"/>
      <c r="B2249"/>
      <c r="C2249" s="3"/>
      <c r="D2249"/>
      <c r="E2249"/>
      <c r="F2249"/>
      <c r="G2249" s="3"/>
      <c r="H2249" s="3"/>
      <c r="I2249" s="3"/>
      <c r="J2249" s="288"/>
      <c r="L2249" s="288"/>
      <c r="M2249" s="288"/>
      <c r="N2249" s="288"/>
      <c r="O2249" s="288"/>
      <c r="P2249" s="288"/>
      <c r="Q2249" s="288"/>
      <c r="R2249" s="283"/>
      <c r="S2249" s="280"/>
      <c r="T2249" s="276"/>
      <c r="U2249" s="276"/>
      <c r="V2249" s="276"/>
      <c r="W2249" s="283"/>
      <c r="X2249" s="280"/>
      <c r="Y2249" s="280"/>
      <c r="Z2249" s="280"/>
      <c r="AA2249" s="280"/>
      <c r="AB2249" s="280"/>
      <c r="AC2249" s="280"/>
      <c r="AD2249" s="280"/>
      <c r="AG2249" s="3"/>
      <c r="AH2249" s="3"/>
      <c r="AI2249" s="3"/>
      <c r="AJ2249" s="3"/>
      <c r="AK2249" s="3"/>
      <c r="AL2249" s="3"/>
      <c r="AM2249" s="3"/>
      <c r="AN2249" s="3"/>
      <c r="AO2249" s="3"/>
      <c r="AP2249" s="11"/>
      <c r="AQ2249" s="11"/>
      <c r="AR2249" s="3"/>
      <c r="AS2249" s="3"/>
      <c r="AT2249" s="3"/>
      <c r="AU2249" s="3"/>
      <c r="AV2249" s="3"/>
      <c r="AW2249" s="3"/>
      <c r="AX2249" s="11"/>
      <c r="AZ2249"/>
      <c r="BA2249"/>
      <c r="BB2249"/>
      <c r="BC2249"/>
    </row>
    <row r="2250" spans="1:55" s="282" customFormat="1" x14ac:dyDescent="0.25">
      <c r="A2250"/>
      <c r="B2250"/>
      <c r="C2250" s="3"/>
      <c r="D2250"/>
      <c r="E2250"/>
      <c r="F2250"/>
      <c r="G2250" s="3"/>
      <c r="H2250" s="3"/>
      <c r="I2250" s="3"/>
      <c r="J2250" s="288"/>
      <c r="L2250" s="288"/>
      <c r="M2250" s="288"/>
      <c r="N2250" s="288"/>
      <c r="O2250" s="288"/>
      <c r="P2250" s="288"/>
      <c r="Q2250" s="288"/>
      <c r="R2250" s="283"/>
      <c r="S2250" s="280"/>
      <c r="T2250" s="276"/>
      <c r="U2250" s="276"/>
      <c r="V2250" s="276"/>
      <c r="W2250" s="283"/>
      <c r="X2250" s="280"/>
      <c r="Y2250" s="280"/>
      <c r="Z2250" s="280"/>
      <c r="AA2250" s="280"/>
      <c r="AB2250" s="280"/>
      <c r="AC2250" s="280"/>
      <c r="AD2250" s="280"/>
      <c r="AG2250" s="3"/>
      <c r="AH2250" s="3"/>
      <c r="AI2250" s="3"/>
      <c r="AJ2250" s="3"/>
      <c r="AK2250" s="3"/>
      <c r="AL2250" s="3"/>
      <c r="AM2250" s="3"/>
      <c r="AN2250" s="3"/>
      <c r="AO2250" s="3"/>
      <c r="AP2250" s="11"/>
      <c r="AQ2250" s="11"/>
      <c r="AR2250" s="3"/>
      <c r="AS2250" s="3"/>
      <c r="AT2250" s="3"/>
      <c r="AU2250" s="3"/>
      <c r="AV2250" s="3"/>
      <c r="AW2250" s="3"/>
      <c r="AX2250" s="11"/>
      <c r="AZ2250"/>
      <c r="BA2250"/>
      <c r="BB2250"/>
      <c r="BC2250"/>
    </row>
    <row r="2251" spans="1:55" s="282" customFormat="1" x14ac:dyDescent="0.25">
      <c r="A2251"/>
      <c r="B2251"/>
      <c r="C2251" s="3"/>
      <c r="D2251"/>
      <c r="E2251"/>
      <c r="F2251"/>
      <c r="G2251" s="3"/>
      <c r="H2251" s="3"/>
      <c r="I2251" s="3"/>
      <c r="J2251" s="288"/>
      <c r="L2251" s="288"/>
      <c r="M2251" s="288"/>
      <c r="N2251" s="288"/>
      <c r="O2251" s="288"/>
      <c r="P2251" s="288"/>
      <c r="Q2251" s="288"/>
      <c r="R2251" s="283"/>
      <c r="S2251" s="280"/>
      <c r="T2251" s="276"/>
      <c r="U2251" s="276"/>
      <c r="V2251" s="276"/>
      <c r="W2251" s="283"/>
      <c r="X2251" s="280"/>
      <c r="Y2251" s="280"/>
      <c r="Z2251" s="280"/>
      <c r="AA2251" s="280"/>
      <c r="AB2251" s="280"/>
      <c r="AC2251" s="280"/>
      <c r="AD2251" s="280"/>
      <c r="AG2251" s="3"/>
      <c r="AH2251" s="3"/>
      <c r="AI2251" s="3"/>
      <c r="AJ2251" s="3"/>
      <c r="AK2251" s="3"/>
      <c r="AL2251" s="3"/>
      <c r="AM2251" s="3"/>
      <c r="AN2251" s="3"/>
      <c r="AO2251" s="3"/>
      <c r="AP2251" s="11"/>
      <c r="AQ2251" s="11"/>
      <c r="AR2251" s="3"/>
      <c r="AS2251" s="3"/>
      <c r="AT2251" s="3"/>
      <c r="AU2251" s="3"/>
      <c r="AV2251" s="3"/>
      <c r="AW2251" s="3"/>
      <c r="AX2251" s="11"/>
      <c r="AZ2251"/>
      <c r="BA2251"/>
      <c r="BB2251"/>
      <c r="BC2251"/>
    </row>
    <row r="2252" spans="1:55" s="282" customFormat="1" x14ac:dyDescent="0.25">
      <c r="A2252"/>
      <c r="B2252"/>
      <c r="C2252" s="3"/>
      <c r="D2252"/>
      <c r="E2252"/>
      <c r="F2252"/>
      <c r="G2252" s="3"/>
      <c r="H2252" s="3"/>
      <c r="I2252" s="3"/>
      <c r="J2252" s="288"/>
      <c r="L2252" s="288"/>
      <c r="M2252" s="288"/>
      <c r="N2252" s="288"/>
      <c r="O2252" s="288"/>
      <c r="P2252" s="288"/>
      <c r="Q2252" s="288"/>
      <c r="R2252" s="283"/>
      <c r="S2252" s="280"/>
      <c r="T2252" s="276"/>
      <c r="U2252" s="276"/>
      <c r="V2252" s="276"/>
      <c r="W2252" s="283"/>
      <c r="X2252" s="280"/>
      <c r="Y2252" s="280"/>
      <c r="Z2252" s="280"/>
      <c r="AA2252" s="280"/>
      <c r="AB2252" s="280"/>
      <c r="AC2252" s="280"/>
      <c r="AD2252" s="280"/>
      <c r="AG2252" s="3"/>
      <c r="AH2252" s="3"/>
      <c r="AI2252" s="3"/>
      <c r="AJ2252" s="3"/>
      <c r="AK2252" s="3"/>
      <c r="AL2252" s="3"/>
      <c r="AM2252" s="3"/>
      <c r="AN2252" s="3"/>
      <c r="AO2252" s="3"/>
      <c r="AP2252" s="11"/>
      <c r="AQ2252" s="11"/>
      <c r="AR2252" s="3"/>
      <c r="AS2252" s="3"/>
      <c r="AT2252" s="3"/>
      <c r="AU2252" s="3"/>
      <c r="AV2252" s="3"/>
      <c r="AW2252" s="3"/>
      <c r="AX2252" s="11"/>
      <c r="AZ2252"/>
      <c r="BA2252"/>
      <c r="BB2252"/>
      <c r="BC2252"/>
    </row>
    <row r="2253" spans="1:55" s="282" customFormat="1" x14ac:dyDescent="0.25">
      <c r="A2253"/>
      <c r="B2253"/>
      <c r="C2253" s="3"/>
      <c r="D2253"/>
      <c r="E2253"/>
      <c r="F2253"/>
      <c r="G2253" s="3"/>
      <c r="H2253" s="3"/>
      <c r="I2253" s="3"/>
      <c r="J2253" s="288"/>
      <c r="L2253" s="288"/>
      <c r="M2253" s="288"/>
      <c r="N2253" s="288"/>
      <c r="O2253" s="288"/>
      <c r="P2253" s="288"/>
      <c r="Q2253" s="288"/>
      <c r="R2253" s="283"/>
      <c r="S2253" s="280"/>
      <c r="T2253" s="276"/>
      <c r="U2253" s="276"/>
      <c r="V2253" s="276"/>
      <c r="W2253" s="283"/>
      <c r="X2253" s="280"/>
      <c r="Y2253" s="280"/>
      <c r="Z2253" s="280"/>
      <c r="AA2253" s="280"/>
      <c r="AB2253" s="280"/>
      <c r="AC2253" s="280"/>
      <c r="AD2253" s="280"/>
      <c r="AG2253" s="3"/>
      <c r="AH2253" s="3"/>
      <c r="AI2253" s="3"/>
      <c r="AJ2253" s="3"/>
      <c r="AK2253" s="3"/>
      <c r="AL2253" s="3"/>
      <c r="AM2253" s="3"/>
      <c r="AN2253" s="3"/>
      <c r="AO2253" s="3"/>
      <c r="AP2253" s="11"/>
      <c r="AQ2253" s="11"/>
      <c r="AR2253" s="3"/>
      <c r="AS2253" s="3"/>
      <c r="AT2253" s="3"/>
      <c r="AU2253" s="3"/>
      <c r="AV2253" s="3"/>
      <c r="AW2253" s="3"/>
      <c r="AX2253" s="11"/>
      <c r="AZ2253"/>
      <c r="BA2253"/>
      <c r="BB2253"/>
      <c r="BC2253"/>
    </row>
    <row r="2254" spans="1:55" s="282" customFormat="1" x14ac:dyDescent="0.25">
      <c r="A2254"/>
      <c r="B2254"/>
      <c r="C2254" s="3"/>
      <c r="D2254"/>
      <c r="E2254"/>
      <c r="F2254"/>
      <c r="G2254" s="3"/>
      <c r="H2254" s="3"/>
      <c r="I2254" s="3"/>
      <c r="J2254" s="288"/>
      <c r="L2254" s="288"/>
      <c r="M2254" s="288"/>
      <c r="N2254" s="288"/>
      <c r="O2254" s="288"/>
      <c r="P2254" s="288"/>
      <c r="Q2254" s="288"/>
      <c r="R2254" s="283"/>
      <c r="S2254" s="280"/>
      <c r="T2254" s="276"/>
      <c r="U2254" s="276"/>
      <c r="V2254" s="276"/>
      <c r="W2254" s="283"/>
      <c r="X2254" s="280"/>
      <c r="Y2254" s="280"/>
      <c r="Z2254" s="280"/>
      <c r="AA2254" s="280"/>
      <c r="AB2254" s="280"/>
      <c r="AC2254" s="280"/>
      <c r="AD2254" s="280"/>
      <c r="AG2254" s="3"/>
      <c r="AH2254" s="3"/>
      <c r="AI2254" s="3"/>
      <c r="AJ2254" s="3"/>
      <c r="AK2254" s="3"/>
      <c r="AL2254" s="3"/>
      <c r="AM2254" s="3"/>
      <c r="AN2254" s="3"/>
      <c r="AO2254" s="3"/>
      <c r="AP2254" s="11"/>
      <c r="AQ2254" s="11"/>
      <c r="AR2254" s="3"/>
      <c r="AS2254" s="3"/>
      <c r="AT2254" s="3"/>
      <c r="AU2254" s="3"/>
      <c r="AV2254" s="3"/>
      <c r="AW2254" s="3"/>
      <c r="AX2254" s="11"/>
      <c r="AZ2254"/>
      <c r="BA2254"/>
      <c r="BB2254"/>
      <c r="BC2254"/>
    </row>
    <row r="2255" spans="1:55" s="282" customFormat="1" x14ac:dyDescent="0.25">
      <c r="A2255"/>
      <c r="B2255"/>
      <c r="C2255" s="3"/>
      <c r="D2255"/>
      <c r="E2255"/>
      <c r="F2255"/>
      <c r="G2255" s="3"/>
      <c r="H2255" s="3"/>
      <c r="I2255" s="3"/>
      <c r="J2255" s="288"/>
      <c r="L2255" s="288"/>
      <c r="M2255" s="288"/>
      <c r="N2255" s="288"/>
      <c r="O2255" s="288"/>
      <c r="P2255" s="288"/>
      <c r="Q2255" s="288"/>
      <c r="R2255" s="283"/>
      <c r="S2255" s="280"/>
      <c r="T2255" s="276"/>
      <c r="U2255" s="276"/>
      <c r="V2255" s="276"/>
      <c r="W2255" s="283"/>
      <c r="X2255" s="280"/>
      <c r="Y2255" s="280"/>
      <c r="Z2255" s="280"/>
      <c r="AA2255" s="280"/>
      <c r="AB2255" s="280"/>
      <c r="AC2255" s="280"/>
      <c r="AD2255" s="280"/>
      <c r="AG2255" s="3"/>
      <c r="AH2255" s="3"/>
      <c r="AI2255" s="3"/>
      <c r="AJ2255" s="3"/>
      <c r="AK2255" s="3"/>
      <c r="AL2255" s="3"/>
      <c r="AM2255" s="3"/>
      <c r="AN2255" s="3"/>
      <c r="AO2255" s="3"/>
      <c r="AP2255" s="11"/>
      <c r="AQ2255" s="11"/>
      <c r="AR2255" s="3"/>
      <c r="AS2255" s="3"/>
      <c r="AT2255" s="3"/>
      <c r="AU2255" s="3"/>
      <c r="AV2255" s="3"/>
      <c r="AW2255" s="3"/>
      <c r="AX2255" s="11"/>
      <c r="AZ2255"/>
      <c r="BA2255"/>
      <c r="BB2255"/>
      <c r="BC2255"/>
    </row>
    <row r="2256" spans="1:55" s="282" customFormat="1" x14ac:dyDescent="0.25">
      <c r="A2256"/>
      <c r="B2256"/>
      <c r="C2256" s="3"/>
      <c r="D2256"/>
      <c r="E2256"/>
      <c r="F2256"/>
      <c r="G2256" s="3"/>
      <c r="H2256" s="3"/>
      <c r="I2256" s="3"/>
      <c r="J2256" s="288"/>
      <c r="L2256" s="288"/>
      <c r="M2256" s="288"/>
      <c r="N2256" s="288"/>
      <c r="O2256" s="288"/>
      <c r="P2256" s="288"/>
      <c r="Q2256" s="288"/>
      <c r="R2256" s="283"/>
      <c r="S2256" s="280"/>
      <c r="T2256" s="276"/>
      <c r="U2256" s="276"/>
      <c r="V2256" s="276"/>
      <c r="W2256" s="283"/>
      <c r="X2256" s="280"/>
      <c r="Y2256" s="280"/>
      <c r="Z2256" s="280"/>
      <c r="AA2256" s="280"/>
      <c r="AB2256" s="280"/>
      <c r="AC2256" s="280"/>
      <c r="AD2256" s="280"/>
      <c r="AG2256" s="3"/>
      <c r="AH2256" s="3"/>
      <c r="AI2256" s="3"/>
      <c r="AJ2256" s="3"/>
      <c r="AK2256" s="3"/>
      <c r="AL2256" s="3"/>
      <c r="AM2256" s="3"/>
      <c r="AN2256" s="3"/>
      <c r="AO2256" s="3"/>
      <c r="AP2256" s="11"/>
      <c r="AQ2256" s="11"/>
      <c r="AR2256" s="3"/>
      <c r="AS2256" s="3"/>
      <c r="AT2256" s="3"/>
      <c r="AU2256" s="3"/>
      <c r="AV2256" s="3"/>
      <c r="AW2256" s="3"/>
      <c r="AX2256" s="11"/>
      <c r="AZ2256"/>
      <c r="BA2256"/>
      <c r="BB2256"/>
      <c r="BC2256"/>
    </row>
    <row r="2257" spans="1:55" s="282" customFormat="1" x14ac:dyDescent="0.25">
      <c r="A2257"/>
      <c r="B2257"/>
      <c r="C2257" s="3"/>
      <c r="D2257"/>
      <c r="E2257"/>
      <c r="F2257"/>
      <c r="G2257" s="3"/>
      <c r="H2257" s="3"/>
      <c r="I2257" s="3"/>
      <c r="J2257" s="288"/>
      <c r="L2257" s="288"/>
      <c r="M2257" s="288"/>
      <c r="N2257" s="288"/>
      <c r="O2257" s="288"/>
      <c r="P2257" s="288"/>
      <c r="Q2257" s="288"/>
      <c r="R2257" s="283"/>
      <c r="S2257" s="280"/>
      <c r="T2257" s="276"/>
      <c r="U2257" s="276"/>
      <c r="V2257" s="276"/>
      <c r="W2257" s="283"/>
      <c r="X2257" s="280"/>
      <c r="Y2257" s="280"/>
      <c r="Z2257" s="280"/>
      <c r="AA2257" s="280"/>
      <c r="AB2257" s="280"/>
      <c r="AC2257" s="280"/>
      <c r="AD2257" s="280"/>
      <c r="AG2257" s="3"/>
      <c r="AH2257" s="3"/>
      <c r="AI2257" s="3"/>
      <c r="AJ2257" s="3"/>
      <c r="AK2257" s="3"/>
      <c r="AL2257" s="3"/>
      <c r="AM2257" s="3"/>
      <c r="AN2257" s="3"/>
      <c r="AO2257" s="3"/>
      <c r="AP2257" s="11"/>
      <c r="AQ2257" s="11"/>
      <c r="AR2257" s="3"/>
      <c r="AS2257" s="3"/>
      <c r="AT2257" s="3"/>
      <c r="AU2257" s="3"/>
      <c r="AV2257" s="3"/>
      <c r="AW2257" s="3"/>
      <c r="AX2257" s="11"/>
      <c r="AZ2257"/>
      <c r="BA2257"/>
      <c r="BB2257"/>
      <c r="BC2257"/>
    </row>
    <row r="2258" spans="1:55" s="282" customFormat="1" x14ac:dyDescent="0.25">
      <c r="A2258"/>
      <c r="B2258"/>
      <c r="C2258" s="3"/>
      <c r="D2258"/>
      <c r="E2258"/>
      <c r="F2258"/>
      <c r="G2258" s="3"/>
      <c r="H2258" s="3"/>
      <c r="I2258" s="3"/>
      <c r="J2258" s="288"/>
      <c r="L2258" s="288"/>
      <c r="M2258" s="288"/>
      <c r="N2258" s="288"/>
      <c r="O2258" s="288"/>
      <c r="P2258" s="288"/>
      <c r="Q2258" s="288"/>
      <c r="R2258" s="283"/>
      <c r="S2258" s="280"/>
      <c r="T2258" s="276"/>
      <c r="U2258" s="276"/>
      <c r="V2258" s="276"/>
      <c r="W2258" s="283"/>
      <c r="X2258" s="280"/>
      <c r="Y2258" s="280"/>
      <c r="Z2258" s="280"/>
      <c r="AA2258" s="280"/>
      <c r="AB2258" s="280"/>
      <c r="AC2258" s="280"/>
      <c r="AD2258" s="280"/>
      <c r="AG2258" s="3"/>
      <c r="AH2258" s="3"/>
      <c r="AI2258" s="3"/>
      <c r="AJ2258" s="3"/>
      <c r="AK2258" s="3"/>
      <c r="AL2258" s="3"/>
      <c r="AM2258" s="3"/>
      <c r="AN2258" s="3"/>
      <c r="AO2258" s="3"/>
      <c r="AP2258" s="11"/>
      <c r="AQ2258" s="11"/>
      <c r="AR2258" s="3"/>
      <c r="AS2258" s="3"/>
      <c r="AT2258" s="3"/>
      <c r="AU2258" s="3"/>
      <c r="AV2258" s="3"/>
      <c r="AW2258" s="3"/>
      <c r="AX2258" s="11"/>
      <c r="AZ2258"/>
      <c r="BA2258"/>
      <c r="BB2258"/>
      <c r="BC2258"/>
    </row>
    <row r="2259" spans="1:55" s="282" customFormat="1" x14ac:dyDescent="0.25">
      <c r="A2259"/>
      <c r="B2259"/>
      <c r="C2259" s="3"/>
      <c r="D2259"/>
      <c r="E2259"/>
      <c r="F2259"/>
      <c r="G2259" s="3"/>
      <c r="H2259" s="3"/>
      <c r="I2259" s="3"/>
      <c r="J2259" s="288"/>
      <c r="L2259" s="288"/>
      <c r="M2259" s="288"/>
      <c r="N2259" s="288"/>
      <c r="O2259" s="288"/>
      <c r="P2259" s="288"/>
      <c r="Q2259" s="288"/>
      <c r="R2259" s="283"/>
      <c r="S2259" s="280"/>
      <c r="T2259" s="276"/>
      <c r="U2259" s="276"/>
      <c r="V2259" s="276"/>
      <c r="W2259" s="283"/>
      <c r="X2259" s="280"/>
      <c r="Y2259" s="280"/>
      <c r="Z2259" s="280"/>
      <c r="AA2259" s="280"/>
      <c r="AB2259" s="280"/>
      <c r="AC2259" s="280"/>
      <c r="AD2259" s="280"/>
      <c r="AG2259" s="3"/>
      <c r="AH2259" s="3"/>
      <c r="AI2259" s="3"/>
      <c r="AJ2259" s="3"/>
      <c r="AK2259" s="3"/>
      <c r="AL2259" s="3"/>
      <c r="AM2259" s="3"/>
      <c r="AN2259" s="3"/>
      <c r="AO2259" s="3"/>
      <c r="AP2259" s="11"/>
      <c r="AQ2259" s="11"/>
      <c r="AR2259" s="3"/>
      <c r="AS2259" s="3"/>
      <c r="AT2259" s="3"/>
      <c r="AU2259" s="3"/>
      <c r="AV2259" s="3"/>
      <c r="AW2259" s="3"/>
      <c r="AX2259" s="11"/>
      <c r="AZ2259"/>
      <c r="BA2259"/>
      <c r="BB2259"/>
      <c r="BC2259"/>
    </row>
    <row r="2260" spans="1:55" s="282" customFormat="1" x14ac:dyDescent="0.25">
      <c r="A2260"/>
      <c r="B2260"/>
      <c r="C2260" s="3"/>
      <c r="D2260"/>
      <c r="E2260"/>
      <c r="F2260"/>
      <c r="G2260" s="3"/>
      <c r="H2260" s="3"/>
      <c r="I2260" s="3"/>
      <c r="J2260" s="288"/>
      <c r="L2260" s="288"/>
      <c r="M2260" s="288"/>
      <c r="N2260" s="288"/>
      <c r="O2260" s="288"/>
      <c r="P2260" s="288"/>
      <c r="Q2260" s="288"/>
      <c r="R2260" s="283"/>
      <c r="S2260" s="280"/>
      <c r="T2260" s="276"/>
      <c r="U2260" s="276"/>
      <c r="V2260" s="276"/>
      <c r="W2260" s="283"/>
      <c r="X2260" s="280"/>
      <c r="Y2260" s="280"/>
      <c r="Z2260" s="280"/>
      <c r="AA2260" s="280"/>
      <c r="AB2260" s="280"/>
      <c r="AC2260" s="280"/>
      <c r="AD2260" s="280"/>
      <c r="AG2260" s="3"/>
      <c r="AH2260" s="3"/>
      <c r="AI2260" s="3"/>
      <c r="AJ2260" s="3"/>
      <c r="AK2260" s="3"/>
      <c r="AL2260" s="3"/>
      <c r="AM2260" s="3"/>
      <c r="AN2260" s="3"/>
      <c r="AO2260" s="3"/>
      <c r="AP2260" s="11"/>
      <c r="AQ2260" s="11"/>
      <c r="AR2260" s="3"/>
      <c r="AS2260" s="3"/>
      <c r="AT2260" s="3"/>
      <c r="AU2260" s="3"/>
      <c r="AV2260" s="3"/>
      <c r="AW2260" s="3"/>
      <c r="AX2260" s="11"/>
      <c r="AZ2260"/>
      <c r="BA2260"/>
      <c r="BB2260"/>
      <c r="BC2260"/>
    </row>
    <row r="2261" spans="1:55" s="282" customFormat="1" x14ac:dyDescent="0.25">
      <c r="A2261"/>
      <c r="B2261"/>
      <c r="C2261" s="3"/>
      <c r="D2261"/>
      <c r="E2261"/>
      <c r="F2261"/>
      <c r="G2261" s="3"/>
      <c r="H2261" s="3"/>
      <c r="I2261" s="3"/>
      <c r="J2261" s="288"/>
      <c r="L2261" s="288"/>
      <c r="M2261" s="288"/>
      <c r="N2261" s="288"/>
      <c r="O2261" s="288"/>
      <c r="P2261" s="288"/>
      <c r="Q2261" s="288"/>
      <c r="R2261" s="283"/>
      <c r="S2261" s="280"/>
      <c r="T2261" s="276"/>
      <c r="U2261" s="276"/>
      <c r="V2261" s="276"/>
      <c r="W2261" s="283"/>
      <c r="X2261" s="280"/>
      <c r="Y2261" s="280"/>
      <c r="Z2261" s="280"/>
      <c r="AA2261" s="280"/>
      <c r="AB2261" s="280"/>
      <c r="AC2261" s="280"/>
      <c r="AD2261" s="280"/>
      <c r="AG2261" s="3"/>
      <c r="AH2261" s="3"/>
      <c r="AI2261" s="3"/>
      <c r="AJ2261" s="3"/>
      <c r="AK2261" s="3"/>
      <c r="AL2261" s="3"/>
      <c r="AM2261" s="3"/>
      <c r="AN2261" s="3"/>
      <c r="AO2261" s="3"/>
      <c r="AP2261" s="11"/>
      <c r="AQ2261" s="11"/>
      <c r="AR2261" s="3"/>
      <c r="AS2261" s="3"/>
      <c r="AT2261" s="3"/>
      <c r="AU2261" s="3"/>
      <c r="AV2261" s="3"/>
      <c r="AW2261" s="3"/>
      <c r="AX2261" s="11"/>
      <c r="AZ2261"/>
      <c r="BA2261"/>
      <c r="BB2261"/>
      <c r="BC2261"/>
    </row>
    <row r="2262" spans="1:55" s="282" customFormat="1" x14ac:dyDescent="0.25">
      <c r="A2262"/>
      <c r="B2262"/>
      <c r="C2262" s="3"/>
      <c r="D2262"/>
      <c r="E2262"/>
      <c r="F2262"/>
      <c r="G2262" s="3"/>
      <c r="H2262" s="3"/>
      <c r="I2262" s="3"/>
      <c r="J2262" s="288"/>
      <c r="L2262" s="288"/>
      <c r="M2262" s="288"/>
      <c r="N2262" s="288"/>
      <c r="O2262" s="288"/>
      <c r="P2262" s="288"/>
      <c r="Q2262" s="288"/>
      <c r="R2262" s="283"/>
      <c r="S2262" s="280"/>
      <c r="T2262" s="276"/>
      <c r="U2262" s="276"/>
      <c r="V2262" s="276"/>
      <c r="W2262" s="283"/>
      <c r="X2262" s="280"/>
      <c r="Y2262" s="280"/>
      <c r="Z2262" s="280"/>
      <c r="AA2262" s="280"/>
      <c r="AB2262" s="280"/>
      <c r="AC2262" s="280"/>
      <c r="AD2262" s="280"/>
      <c r="AG2262" s="3"/>
      <c r="AH2262" s="3"/>
      <c r="AI2262" s="3"/>
      <c r="AJ2262" s="3"/>
      <c r="AK2262" s="3"/>
      <c r="AL2262" s="3"/>
      <c r="AM2262" s="3"/>
      <c r="AN2262" s="3"/>
      <c r="AO2262" s="3"/>
      <c r="AP2262" s="11"/>
      <c r="AQ2262" s="11"/>
      <c r="AR2262" s="3"/>
      <c r="AS2262" s="3"/>
      <c r="AT2262" s="3"/>
      <c r="AU2262" s="3"/>
      <c r="AV2262" s="3"/>
      <c r="AW2262" s="3"/>
      <c r="AX2262" s="11"/>
      <c r="AZ2262"/>
      <c r="BA2262"/>
      <c r="BB2262"/>
      <c r="BC2262"/>
    </row>
    <row r="2263" spans="1:55" s="282" customFormat="1" x14ac:dyDescent="0.25">
      <c r="A2263"/>
      <c r="B2263"/>
      <c r="C2263" s="3"/>
      <c r="D2263"/>
      <c r="E2263"/>
      <c r="F2263"/>
      <c r="G2263" s="3"/>
      <c r="H2263" s="3"/>
      <c r="I2263" s="3"/>
      <c r="J2263" s="288"/>
      <c r="L2263" s="288"/>
      <c r="M2263" s="288"/>
      <c r="N2263" s="288"/>
      <c r="O2263" s="288"/>
      <c r="P2263" s="288"/>
      <c r="Q2263" s="288"/>
      <c r="R2263" s="283"/>
      <c r="S2263" s="280"/>
      <c r="T2263" s="276"/>
      <c r="U2263" s="276"/>
      <c r="V2263" s="276"/>
      <c r="W2263" s="283"/>
      <c r="X2263" s="280"/>
      <c r="Y2263" s="280"/>
      <c r="Z2263" s="280"/>
      <c r="AA2263" s="280"/>
      <c r="AB2263" s="280"/>
      <c r="AC2263" s="280"/>
      <c r="AD2263" s="280"/>
      <c r="AG2263" s="3"/>
      <c r="AH2263" s="3"/>
      <c r="AI2263" s="3"/>
      <c r="AJ2263" s="3"/>
      <c r="AK2263" s="3"/>
      <c r="AL2263" s="3"/>
      <c r="AM2263" s="3"/>
      <c r="AN2263" s="3"/>
      <c r="AO2263" s="3"/>
      <c r="AP2263" s="11"/>
      <c r="AQ2263" s="11"/>
      <c r="AR2263" s="3"/>
      <c r="AS2263" s="3"/>
      <c r="AT2263" s="3"/>
      <c r="AU2263" s="3"/>
      <c r="AV2263" s="3"/>
      <c r="AW2263" s="3"/>
      <c r="AX2263" s="11"/>
      <c r="AZ2263"/>
      <c r="BA2263"/>
      <c r="BB2263"/>
      <c r="BC2263"/>
    </row>
    <row r="2264" spans="1:55" s="282" customFormat="1" x14ac:dyDescent="0.25">
      <c r="A2264"/>
      <c r="B2264"/>
      <c r="C2264" s="3"/>
      <c r="D2264"/>
      <c r="E2264"/>
      <c r="F2264"/>
      <c r="G2264" s="3"/>
      <c r="H2264" s="3"/>
      <c r="I2264" s="3"/>
      <c r="J2264" s="288"/>
      <c r="L2264" s="288"/>
      <c r="M2264" s="288"/>
      <c r="N2264" s="288"/>
      <c r="O2264" s="288"/>
      <c r="P2264" s="288"/>
      <c r="Q2264" s="288"/>
      <c r="R2264" s="283"/>
      <c r="S2264" s="280"/>
      <c r="T2264" s="276"/>
      <c r="U2264" s="276"/>
      <c r="V2264" s="276"/>
      <c r="W2264" s="283"/>
      <c r="X2264" s="280"/>
      <c r="Y2264" s="280"/>
      <c r="Z2264" s="280"/>
      <c r="AA2264" s="280"/>
      <c r="AB2264" s="280"/>
      <c r="AC2264" s="280"/>
      <c r="AD2264" s="280"/>
      <c r="AG2264" s="3"/>
      <c r="AH2264" s="3"/>
      <c r="AI2264" s="3"/>
      <c r="AJ2264" s="3"/>
      <c r="AK2264" s="3"/>
      <c r="AL2264" s="3"/>
      <c r="AM2264" s="3"/>
      <c r="AN2264" s="3"/>
      <c r="AO2264" s="3"/>
      <c r="AP2264" s="11"/>
      <c r="AQ2264" s="11"/>
      <c r="AR2264" s="3"/>
      <c r="AS2264" s="3"/>
      <c r="AT2264" s="3"/>
      <c r="AU2264" s="3"/>
      <c r="AV2264" s="3"/>
      <c r="AW2264" s="3"/>
      <c r="AX2264" s="11"/>
      <c r="AZ2264"/>
      <c r="BA2264"/>
      <c r="BB2264"/>
      <c r="BC2264"/>
    </row>
    <row r="2265" spans="1:55" s="282" customFormat="1" x14ac:dyDescent="0.25">
      <c r="A2265"/>
      <c r="B2265"/>
      <c r="C2265" s="3"/>
      <c r="D2265"/>
      <c r="E2265"/>
      <c r="F2265"/>
      <c r="G2265" s="3"/>
      <c r="H2265" s="3"/>
      <c r="I2265" s="3"/>
      <c r="J2265" s="288"/>
      <c r="L2265" s="288"/>
      <c r="M2265" s="288"/>
      <c r="N2265" s="288"/>
      <c r="O2265" s="288"/>
      <c r="P2265" s="288"/>
      <c r="Q2265" s="288"/>
      <c r="R2265" s="283"/>
      <c r="S2265" s="280"/>
      <c r="T2265" s="276"/>
      <c r="U2265" s="276"/>
      <c r="V2265" s="276"/>
      <c r="W2265" s="283"/>
      <c r="X2265" s="280"/>
      <c r="Y2265" s="280"/>
      <c r="Z2265" s="280"/>
      <c r="AA2265" s="280"/>
      <c r="AB2265" s="280"/>
      <c r="AC2265" s="280"/>
      <c r="AD2265" s="280"/>
      <c r="AG2265" s="3"/>
      <c r="AH2265" s="3"/>
      <c r="AI2265" s="3"/>
      <c r="AJ2265" s="3"/>
      <c r="AK2265" s="3"/>
      <c r="AL2265" s="3"/>
      <c r="AM2265" s="3"/>
      <c r="AN2265" s="3"/>
      <c r="AO2265" s="3"/>
      <c r="AP2265" s="11"/>
      <c r="AQ2265" s="11"/>
      <c r="AR2265" s="3"/>
      <c r="AS2265" s="3"/>
      <c r="AT2265" s="3"/>
      <c r="AU2265" s="3"/>
      <c r="AV2265" s="3"/>
      <c r="AW2265" s="3"/>
      <c r="AX2265" s="11"/>
      <c r="AZ2265"/>
      <c r="BA2265"/>
      <c r="BB2265"/>
      <c r="BC2265"/>
    </row>
    <row r="2266" spans="1:55" s="282" customFormat="1" x14ac:dyDescent="0.25">
      <c r="A2266"/>
      <c r="B2266"/>
      <c r="C2266" s="3"/>
      <c r="D2266"/>
      <c r="E2266"/>
      <c r="F2266"/>
      <c r="G2266" s="3"/>
      <c r="H2266" s="3"/>
      <c r="I2266" s="3"/>
      <c r="J2266" s="288"/>
      <c r="L2266" s="288"/>
      <c r="M2266" s="288"/>
      <c r="N2266" s="288"/>
      <c r="O2266" s="288"/>
      <c r="P2266" s="288"/>
      <c r="Q2266" s="288"/>
      <c r="R2266" s="283"/>
      <c r="S2266" s="280"/>
      <c r="T2266" s="276"/>
      <c r="U2266" s="276"/>
      <c r="V2266" s="276"/>
      <c r="W2266" s="283"/>
      <c r="X2266" s="280"/>
      <c r="Y2266" s="280"/>
      <c r="Z2266" s="280"/>
      <c r="AA2266" s="280"/>
      <c r="AB2266" s="280"/>
      <c r="AC2266" s="280"/>
      <c r="AD2266" s="280"/>
      <c r="AG2266" s="3"/>
      <c r="AH2266" s="3"/>
      <c r="AI2266" s="3"/>
      <c r="AJ2266" s="3"/>
      <c r="AK2266" s="3"/>
      <c r="AL2266" s="3"/>
      <c r="AM2266" s="3"/>
      <c r="AN2266" s="3"/>
      <c r="AO2266" s="3"/>
      <c r="AP2266" s="11"/>
      <c r="AQ2266" s="11"/>
      <c r="AR2266" s="3"/>
      <c r="AS2266" s="3"/>
      <c r="AT2266" s="3"/>
      <c r="AU2266" s="3"/>
      <c r="AV2266" s="3"/>
      <c r="AW2266" s="3"/>
      <c r="AX2266" s="11"/>
      <c r="AZ2266"/>
      <c r="BA2266"/>
      <c r="BB2266"/>
      <c r="BC2266"/>
    </row>
    <row r="2267" spans="1:55" s="282" customFormat="1" x14ac:dyDescent="0.25">
      <c r="A2267"/>
      <c r="B2267"/>
      <c r="C2267" s="3"/>
      <c r="D2267"/>
      <c r="E2267"/>
      <c r="F2267"/>
      <c r="G2267" s="3"/>
      <c r="H2267" s="3"/>
      <c r="I2267" s="3"/>
      <c r="J2267" s="288"/>
      <c r="L2267" s="288"/>
      <c r="M2267" s="288"/>
      <c r="N2267" s="288"/>
      <c r="O2267" s="288"/>
      <c r="P2267" s="288"/>
      <c r="Q2267" s="288"/>
      <c r="R2267" s="283"/>
      <c r="S2267" s="280"/>
      <c r="T2267" s="276"/>
      <c r="U2267" s="276"/>
      <c r="V2267" s="276"/>
      <c r="W2267" s="283"/>
      <c r="X2267" s="280"/>
      <c r="Y2267" s="280"/>
      <c r="Z2267" s="280"/>
      <c r="AA2267" s="280"/>
      <c r="AB2267" s="280"/>
      <c r="AC2267" s="280"/>
      <c r="AD2267" s="280"/>
      <c r="AG2267" s="3"/>
      <c r="AH2267" s="3"/>
      <c r="AI2267" s="3"/>
      <c r="AJ2267" s="3"/>
      <c r="AK2267" s="3"/>
      <c r="AL2267" s="3"/>
      <c r="AM2267" s="3"/>
      <c r="AN2267" s="3"/>
      <c r="AO2267" s="3"/>
      <c r="AP2267" s="11"/>
      <c r="AQ2267" s="11"/>
      <c r="AR2267" s="3"/>
      <c r="AS2267" s="3"/>
      <c r="AT2267" s="3"/>
      <c r="AU2267" s="3"/>
      <c r="AV2267" s="3"/>
      <c r="AW2267" s="3"/>
      <c r="AX2267" s="11"/>
      <c r="AZ2267"/>
      <c r="BA2267"/>
      <c r="BB2267"/>
      <c r="BC2267"/>
    </row>
    <row r="2268" spans="1:55" s="282" customFormat="1" x14ac:dyDescent="0.25">
      <c r="A2268"/>
      <c r="B2268"/>
      <c r="C2268" s="3"/>
      <c r="D2268"/>
      <c r="E2268"/>
      <c r="F2268"/>
      <c r="G2268" s="3"/>
      <c r="H2268" s="3"/>
      <c r="I2268" s="3"/>
      <c r="J2268" s="288"/>
      <c r="L2268" s="288"/>
      <c r="M2268" s="288"/>
      <c r="N2268" s="288"/>
      <c r="O2268" s="288"/>
      <c r="P2268" s="288"/>
      <c r="Q2268" s="288"/>
      <c r="R2268" s="283"/>
      <c r="S2268" s="280"/>
      <c r="T2268" s="276"/>
      <c r="U2268" s="276"/>
      <c r="V2268" s="276"/>
      <c r="W2268" s="283"/>
      <c r="X2268" s="280"/>
      <c r="Y2268" s="280"/>
      <c r="Z2268" s="280"/>
      <c r="AA2268" s="280"/>
      <c r="AB2268" s="280"/>
      <c r="AC2268" s="280"/>
      <c r="AD2268" s="280"/>
      <c r="AG2268" s="3"/>
      <c r="AH2268" s="3"/>
      <c r="AI2268" s="3"/>
      <c r="AJ2268" s="3"/>
      <c r="AK2268" s="3"/>
      <c r="AL2268" s="3"/>
      <c r="AM2268" s="3"/>
      <c r="AN2268" s="3"/>
      <c r="AO2268" s="3"/>
      <c r="AP2268" s="11"/>
      <c r="AQ2268" s="11"/>
      <c r="AR2268" s="3"/>
      <c r="AS2268" s="3"/>
      <c r="AT2268" s="3"/>
      <c r="AU2268" s="3"/>
      <c r="AV2268" s="3"/>
      <c r="AW2268" s="3"/>
      <c r="AX2268" s="11"/>
      <c r="AZ2268"/>
      <c r="BA2268"/>
      <c r="BB2268"/>
      <c r="BC2268"/>
    </row>
    <row r="2269" spans="1:55" s="282" customFormat="1" x14ac:dyDescent="0.25">
      <c r="A2269"/>
      <c r="B2269"/>
      <c r="C2269" s="3"/>
      <c r="D2269"/>
      <c r="E2269"/>
      <c r="F2269"/>
      <c r="G2269" s="3"/>
      <c r="H2269" s="3"/>
      <c r="I2269" s="3"/>
      <c r="J2269" s="288"/>
      <c r="L2269" s="288"/>
      <c r="M2269" s="288"/>
      <c r="N2269" s="288"/>
      <c r="O2269" s="288"/>
      <c r="P2269" s="288"/>
      <c r="Q2269" s="288"/>
      <c r="R2269" s="283"/>
      <c r="S2269" s="280"/>
      <c r="T2269" s="276"/>
      <c r="U2269" s="276"/>
      <c r="V2269" s="276"/>
      <c r="W2269" s="283"/>
      <c r="X2269" s="280"/>
      <c r="Y2269" s="280"/>
      <c r="Z2269" s="280"/>
      <c r="AA2269" s="280"/>
      <c r="AB2269" s="280"/>
      <c r="AC2269" s="280"/>
      <c r="AD2269" s="280"/>
      <c r="AG2269" s="3"/>
      <c r="AH2269" s="3"/>
      <c r="AI2269" s="3"/>
      <c r="AJ2269" s="3"/>
      <c r="AK2269" s="3"/>
      <c r="AL2269" s="3"/>
      <c r="AM2269" s="3"/>
      <c r="AN2269" s="3"/>
      <c r="AO2269" s="3"/>
      <c r="AP2269" s="11"/>
      <c r="AQ2269" s="11"/>
      <c r="AR2269" s="3"/>
      <c r="AS2269" s="3"/>
      <c r="AT2269" s="3"/>
      <c r="AU2269" s="3"/>
      <c r="AV2269" s="3"/>
      <c r="AW2269" s="3"/>
      <c r="AX2269" s="11"/>
      <c r="AZ2269"/>
      <c r="BA2269"/>
      <c r="BB2269"/>
      <c r="BC2269"/>
    </row>
    <row r="2270" spans="1:55" s="282" customFormat="1" x14ac:dyDescent="0.25">
      <c r="A2270"/>
      <c r="B2270"/>
      <c r="C2270" s="3"/>
      <c r="D2270"/>
      <c r="E2270"/>
      <c r="F2270"/>
      <c r="G2270" s="3"/>
      <c r="H2270" s="3"/>
      <c r="I2270" s="3"/>
      <c r="J2270" s="288"/>
      <c r="L2270" s="288"/>
      <c r="M2270" s="288"/>
      <c r="N2270" s="288"/>
      <c r="O2270" s="288"/>
      <c r="P2270" s="288"/>
      <c r="Q2270" s="288"/>
      <c r="R2270" s="283"/>
      <c r="S2270" s="280"/>
      <c r="T2270" s="276"/>
      <c r="U2270" s="276"/>
      <c r="V2270" s="276"/>
      <c r="W2270" s="283"/>
      <c r="X2270" s="280"/>
      <c r="Y2270" s="280"/>
      <c r="Z2270" s="280"/>
      <c r="AA2270" s="280"/>
      <c r="AB2270" s="280"/>
      <c r="AC2270" s="280"/>
      <c r="AD2270" s="280"/>
      <c r="AG2270" s="3"/>
      <c r="AH2270" s="3"/>
      <c r="AI2270" s="3"/>
      <c r="AJ2270" s="3"/>
      <c r="AK2270" s="3"/>
      <c r="AL2270" s="3"/>
      <c r="AM2270" s="3"/>
      <c r="AN2270" s="3"/>
      <c r="AO2270" s="3"/>
      <c r="AP2270" s="11"/>
      <c r="AQ2270" s="11"/>
      <c r="AR2270" s="3"/>
      <c r="AS2270" s="3"/>
      <c r="AT2270" s="3"/>
      <c r="AU2270" s="3"/>
      <c r="AV2270" s="3"/>
      <c r="AW2270" s="3"/>
      <c r="AX2270" s="11"/>
      <c r="AZ2270"/>
      <c r="BA2270"/>
      <c r="BB2270"/>
      <c r="BC2270"/>
    </row>
    <row r="2271" spans="1:55" s="282" customFormat="1" x14ac:dyDescent="0.25">
      <c r="A2271"/>
      <c r="B2271"/>
      <c r="C2271" s="3"/>
      <c r="D2271"/>
      <c r="E2271"/>
      <c r="F2271"/>
      <c r="G2271" s="3"/>
      <c r="H2271" s="3"/>
      <c r="I2271" s="3"/>
      <c r="J2271" s="288"/>
      <c r="L2271" s="288"/>
      <c r="M2271" s="288"/>
      <c r="N2271" s="288"/>
      <c r="O2271" s="288"/>
      <c r="P2271" s="288"/>
      <c r="Q2271" s="288"/>
      <c r="R2271" s="283"/>
      <c r="S2271" s="280"/>
      <c r="T2271" s="276"/>
      <c r="U2271" s="276"/>
      <c r="V2271" s="276"/>
      <c r="W2271" s="283"/>
      <c r="X2271" s="280"/>
      <c r="Y2271" s="280"/>
      <c r="Z2271" s="280"/>
      <c r="AA2271" s="280"/>
      <c r="AB2271" s="280"/>
      <c r="AC2271" s="280"/>
      <c r="AD2271" s="280"/>
      <c r="AG2271" s="3"/>
      <c r="AH2271" s="3"/>
      <c r="AI2271" s="3"/>
      <c r="AJ2271" s="3"/>
      <c r="AK2271" s="3"/>
      <c r="AL2271" s="3"/>
      <c r="AM2271" s="3"/>
      <c r="AN2271" s="3"/>
      <c r="AO2271" s="3"/>
      <c r="AP2271" s="11"/>
      <c r="AQ2271" s="11"/>
      <c r="AR2271" s="3"/>
      <c r="AS2271" s="3"/>
      <c r="AT2271" s="3"/>
      <c r="AU2271" s="3"/>
      <c r="AV2271" s="3"/>
      <c r="AW2271" s="3"/>
      <c r="AX2271" s="11"/>
      <c r="AZ2271"/>
      <c r="BA2271"/>
      <c r="BB2271"/>
      <c r="BC2271"/>
    </row>
    <row r="2272" spans="1:55" s="282" customFormat="1" x14ac:dyDescent="0.25">
      <c r="A2272"/>
      <c r="B2272"/>
      <c r="C2272" s="3"/>
      <c r="D2272"/>
      <c r="E2272"/>
      <c r="F2272"/>
      <c r="G2272" s="3"/>
      <c r="H2272" s="3"/>
      <c r="I2272" s="3"/>
      <c r="J2272" s="288"/>
      <c r="L2272" s="288"/>
      <c r="M2272" s="288"/>
      <c r="N2272" s="288"/>
      <c r="O2272" s="288"/>
      <c r="P2272" s="288"/>
      <c r="Q2272" s="288"/>
      <c r="R2272" s="283"/>
      <c r="S2272" s="280"/>
      <c r="T2272" s="276"/>
      <c r="U2272" s="276"/>
      <c r="V2272" s="276"/>
      <c r="W2272" s="283"/>
      <c r="X2272" s="280"/>
      <c r="Y2272" s="280"/>
      <c r="Z2272" s="280"/>
      <c r="AA2272" s="280"/>
      <c r="AB2272" s="280"/>
      <c r="AC2272" s="280"/>
      <c r="AD2272" s="280"/>
      <c r="AG2272" s="3"/>
      <c r="AH2272" s="3"/>
      <c r="AI2272" s="3"/>
      <c r="AJ2272" s="3"/>
      <c r="AK2272" s="3"/>
      <c r="AL2272" s="3"/>
      <c r="AM2272" s="3"/>
      <c r="AN2272" s="3"/>
      <c r="AO2272" s="3"/>
      <c r="AP2272" s="11"/>
      <c r="AQ2272" s="11"/>
      <c r="AR2272" s="3"/>
      <c r="AS2272" s="3"/>
      <c r="AT2272" s="3"/>
      <c r="AU2272" s="3"/>
      <c r="AV2272" s="3"/>
      <c r="AW2272" s="3"/>
      <c r="AX2272" s="11"/>
      <c r="AZ2272"/>
      <c r="BA2272"/>
      <c r="BB2272"/>
      <c r="BC2272"/>
    </row>
    <row r="2273" spans="1:55" s="282" customFormat="1" x14ac:dyDescent="0.25">
      <c r="A2273"/>
      <c r="B2273"/>
      <c r="C2273" s="3"/>
      <c r="D2273"/>
      <c r="E2273"/>
      <c r="F2273"/>
      <c r="G2273" s="3"/>
      <c r="H2273" s="3"/>
      <c r="I2273" s="3"/>
      <c r="J2273" s="288"/>
      <c r="L2273" s="288"/>
      <c r="M2273" s="288"/>
      <c r="N2273" s="288"/>
      <c r="O2273" s="288"/>
      <c r="P2273" s="288"/>
      <c r="Q2273" s="288"/>
      <c r="R2273" s="283"/>
      <c r="S2273" s="280"/>
      <c r="T2273" s="276"/>
      <c r="U2273" s="276"/>
      <c r="V2273" s="276"/>
      <c r="W2273" s="283"/>
      <c r="X2273" s="280"/>
      <c r="Y2273" s="280"/>
      <c r="Z2273" s="280"/>
      <c r="AA2273" s="280"/>
      <c r="AB2273" s="280"/>
      <c r="AC2273" s="280"/>
      <c r="AD2273" s="280"/>
      <c r="AG2273" s="3"/>
      <c r="AH2273" s="3"/>
      <c r="AI2273" s="3"/>
      <c r="AJ2273" s="3"/>
      <c r="AK2273" s="3"/>
      <c r="AL2273" s="3"/>
      <c r="AM2273" s="3"/>
      <c r="AN2273" s="3"/>
      <c r="AO2273" s="3"/>
      <c r="AP2273" s="11"/>
      <c r="AQ2273" s="11"/>
      <c r="AR2273" s="3"/>
      <c r="AS2273" s="3"/>
      <c r="AT2273" s="3"/>
      <c r="AU2273" s="3"/>
      <c r="AV2273" s="3"/>
      <c r="AW2273" s="3"/>
      <c r="AX2273" s="11"/>
      <c r="AZ2273"/>
      <c r="BA2273"/>
      <c r="BB2273"/>
      <c r="BC2273"/>
    </row>
    <row r="2274" spans="1:55" s="282" customFormat="1" x14ac:dyDescent="0.25">
      <c r="A2274"/>
      <c r="B2274"/>
      <c r="C2274" s="3"/>
      <c r="D2274"/>
      <c r="E2274"/>
      <c r="F2274"/>
      <c r="G2274" s="3"/>
      <c r="H2274" s="3"/>
      <c r="I2274" s="3"/>
      <c r="J2274" s="288"/>
      <c r="L2274" s="288"/>
      <c r="M2274" s="288"/>
      <c r="N2274" s="288"/>
      <c r="O2274" s="288"/>
      <c r="P2274" s="288"/>
      <c r="Q2274" s="288"/>
      <c r="R2274" s="283"/>
      <c r="S2274" s="280"/>
      <c r="T2274" s="276"/>
      <c r="U2274" s="276"/>
      <c r="V2274" s="276"/>
      <c r="W2274" s="283"/>
      <c r="X2274" s="280"/>
      <c r="Y2274" s="280"/>
      <c r="Z2274" s="280"/>
      <c r="AA2274" s="280"/>
      <c r="AB2274" s="280"/>
      <c r="AC2274" s="280"/>
      <c r="AD2274" s="280"/>
      <c r="AG2274" s="3"/>
      <c r="AH2274" s="3"/>
      <c r="AI2274" s="3"/>
      <c r="AJ2274" s="3"/>
      <c r="AK2274" s="3"/>
      <c r="AL2274" s="3"/>
      <c r="AM2274" s="3"/>
      <c r="AN2274" s="3"/>
      <c r="AO2274" s="3"/>
      <c r="AP2274" s="11"/>
      <c r="AQ2274" s="11"/>
      <c r="AR2274" s="3"/>
      <c r="AS2274" s="3"/>
      <c r="AT2274" s="3"/>
      <c r="AU2274" s="3"/>
      <c r="AV2274" s="3"/>
      <c r="AW2274" s="3"/>
      <c r="AX2274" s="11"/>
      <c r="AZ2274"/>
      <c r="BA2274"/>
      <c r="BB2274"/>
      <c r="BC2274"/>
    </row>
    <row r="2275" spans="1:55" s="282" customFormat="1" x14ac:dyDescent="0.25">
      <c r="A2275"/>
      <c r="B2275"/>
      <c r="C2275" s="3"/>
      <c r="D2275"/>
      <c r="E2275"/>
      <c r="F2275"/>
      <c r="G2275" s="3"/>
      <c r="H2275" s="3"/>
      <c r="I2275" s="3"/>
      <c r="J2275" s="288"/>
      <c r="L2275" s="288"/>
      <c r="M2275" s="288"/>
      <c r="N2275" s="288"/>
      <c r="O2275" s="288"/>
      <c r="P2275" s="288"/>
      <c r="Q2275" s="288"/>
      <c r="R2275" s="283"/>
      <c r="S2275" s="280"/>
      <c r="T2275" s="276"/>
      <c r="U2275" s="276"/>
      <c r="V2275" s="276"/>
      <c r="W2275" s="283"/>
      <c r="X2275" s="280"/>
      <c r="Y2275" s="280"/>
      <c r="Z2275" s="280"/>
      <c r="AA2275" s="280"/>
      <c r="AB2275" s="280"/>
      <c r="AC2275" s="280"/>
      <c r="AD2275" s="280"/>
      <c r="AG2275" s="3"/>
      <c r="AH2275" s="3"/>
      <c r="AI2275" s="3"/>
      <c r="AJ2275" s="3"/>
      <c r="AK2275" s="3"/>
      <c r="AL2275" s="3"/>
      <c r="AM2275" s="3"/>
      <c r="AN2275" s="3"/>
      <c r="AO2275" s="3"/>
      <c r="AP2275" s="11"/>
      <c r="AQ2275" s="11"/>
      <c r="AR2275" s="3"/>
      <c r="AS2275" s="3"/>
      <c r="AT2275" s="3"/>
      <c r="AU2275" s="3"/>
      <c r="AV2275" s="3"/>
      <c r="AW2275" s="3"/>
      <c r="AX2275" s="11"/>
      <c r="AZ2275"/>
      <c r="BA2275"/>
      <c r="BB2275"/>
      <c r="BC2275"/>
    </row>
    <row r="2276" spans="1:55" s="282" customFormat="1" x14ac:dyDescent="0.25">
      <c r="A2276"/>
      <c r="B2276"/>
      <c r="C2276" s="3"/>
      <c r="D2276"/>
      <c r="E2276"/>
      <c r="F2276"/>
      <c r="G2276" s="3"/>
      <c r="H2276" s="3"/>
      <c r="I2276" s="3"/>
      <c r="J2276" s="288"/>
      <c r="L2276" s="288"/>
      <c r="M2276" s="288"/>
      <c r="N2276" s="288"/>
      <c r="O2276" s="288"/>
      <c r="P2276" s="288"/>
      <c r="Q2276" s="288"/>
      <c r="R2276" s="283"/>
      <c r="S2276" s="280"/>
      <c r="T2276" s="276"/>
      <c r="U2276" s="276"/>
      <c r="V2276" s="276"/>
      <c r="W2276" s="283"/>
      <c r="X2276" s="280"/>
      <c r="Y2276" s="280"/>
      <c r="Z2276" s="280"/>
      <c r="AA2276" s="280"/>
      <c r="AB2276" s="280"/>
      <c r="AC2276" s="280"/>
      <c r="AD2276" s="280"/>
      <c r="AG2276" s="3"/>
      <c r="AH2276" s="3"/>
      <c r="AI2276" s="3"/>
      <c r="AJ2276" s="3"/>
      <c r="AK2276" s="3"/>
      <c r="AL2276" s="3"/>
      <c r="AM2276" s="3"/>
      <c r="AN2276" s="3"/>
      <c r="AO2276" s="3"/>
      <c r="AP2276" s="11"/>
      <c r="AQ2276" s="11"/>
      <c r="AR2276" s="3"/>
      <c r="AS2276" s="3"/>
      <c r="AT2276" s="3"/>
      <c r="AU2276" s="3"/>
      <c r="AV2276" s="3"/>
      <c r="AW2276" s="3"/>
      <c r="AX2276" s="11"/>
      <c r="AZ2276"/>
      <c r="BA2276"/>
      <c r="BB2276"/>
      <c r="BC2276"/>
    </row>
    <row r="2277" spans="1:55" s="282" customFormat="1" x14ac:dyDescent="0.25">
      <c r="A2277"/>
      <c r="B2277"/>
      <c r="C2277" s="3"/>
      <c r="D2277"/>
      <c r="E2277"/>
      <c r="F2277"/>
      <c r="G2277" s="3"/>
      <c r="H2277" s="3"/>
      <c r="I2277" s="3"/>
      <c r="J2277" s="288"/>
      <c r="L2277" s="288"/>
      <c r="M2277" s="288"/>
      <c r="N2277" s="288"/>
      <c r="O2277" s="288"/>
      <c r="P2277" s="288"/>
      <c r="Q2277" s="288"/>
      <c r="R2277" s="283"/>
      <c r="S2277" s="280"/>
      <c r="T2277" s="276"/>
      <c r="U2277" s="276"/>
      <c r="V2277" s="276"/>
      <c r="W2277" s="283"/>
      <c r="X2277" s="280"/>
      <c r="Y2277" s="280"/>
      <c r="Z2277" s="280"/>
      <c r="AA2277" s="280"/>
      <c r="AB2277" s="280"/>
      <c r="AC2277" s="280"/>
      <c r="AD2277" s="280"/>
      <c r="AG2277" s="3"/>
      <c r="AH2277" s="3"/>
      <c r="AI2277" s="3"/>
      <c r="AJ2277" s="3"/>
      <c r="AK2277" s="3"/>
      <c r="AL2277" s="3"/>
      <c r="AM2277" s="3"/>
      <c r="AN2277" s="3"/>
      <c r="AO2277" s="3"/>
      <c r="AP2277" s="11"/>
      <c r="AQ2277" s="11"/>
      <c r="AR2277" s="3"/>
      <c r="AS2277" s="3"/>
      <c r="AT2277" s="3"/>
      <c r="AU2277" s="3"/>
      <c r="AV2277" s="3"/>
      <c r="AW2277" s="3"/>
      <c r="AX2277" s="11"/>
      <c r="AZ2277"/>
      <c r="BA2277"/>
      <c r="BB2277"/>
      <c r="BC2277"/>
    </row>
    <row r="2278" spans="1:55" s="282" customFormat="1" x14ac:dyDescent="0.25">
      <c r="A2278"/>
      <c r="B2278"/>
      <c r="C2278" s="3"/>
      <c r="D2278"/>
      <c r="E2278"/>
      <c r="F2278"/>
      <c r="G2278" s="3"/>
      <c r="H2278" s="3"/>
      <c r="I2278" s="3"/>
      <c r="J2278" s="288"/>
      <c r="L2278" s="288"/>
      <c r="M2278" s="288"/>
      <c r="N2278" s="288"/>
      <c r="O2278" s="288"/>
      <c r="P2278" s="288"/>
      <c r="Q2278" s="288"/>
      <c r="R2278" s="283"/>
      <c r="S2278" s="280"/>
      <c r="T2278" s="276"/>
      <c r="U2278" s="276"/>
      <c r="V2278" s="276"/>
      <c r="W2278" s="283"/>
      <c r="X2278" s="280"/>
      <c r="Y2278" s="280"/>
      <c r="Z2278" s="280"/>
      <c r="AA2278" s="280"/>
      <c r="AB2278" s="280"/>
      <c r="AC2278" s="280"/>
      <c r="AD2278" s="280"/>
      <c r="AG2278" s="3"/>
      <c r="AH2278" s="3"/>
      <c r="AI2278" s="3"/>
      <c r="AJ2278" s="3"/>
      <c r="AK2278" s="3"/>
      <c r="AL2278" s="3"/>
      <c r="AM2278" s="3"/>
      <c r="AN2278" s="3"/>
      <c r="AO2278" s="3"/>
      <c r="AP2278" s="11"/>
      <c r="AQ2278" s="11"/>
      <c r="AR2278" s="3"/>
      <c r="AS2278" s="3"/>
      <c r="AT2278" s="3"/>
      <c r="AU2278" s="3"/>
      <c r="AV2278" s="3"/>
      <c r="AW2278" s="3"/>
      <c r="AX2278" s="11"/>
      <c r="AZ2278"/>
      <c r="BA2278"/>
      <c r="BB2278"/>
      <c r="BC2278"/>
    </row>
    <row r="2279" spans="1:55" s="282" customFormat="1" x14ac:dyDescent="0.25">
      <c r="A2279"/>
      <c r="B2279"/>
      <c r="C2279" s="3"/>
      <c r="D2279"/>
      <c r="E2279"/>
      <c r="F2279"/>
      <c r="G2279" s="3"/>
      <c r="H2279" s="3"/>
      <c r="I2279" s="3"/>
      <c r="J2279" s="288"/>
      <c r="L2279" s="288"/>
      <c r="M2279" s="288"/>
      <c r="N2279" s="288"/>
      <c r="O2279" s="288"/>
      <c r="P2279" s="288"/>
      <c r="Q2279" s="288"/>
      <c r="R2279" s="283"/>
      <c r="S2279" s="280"/>
      <c r="T2279" s="276"/>
      <c r="U2279" s="276"/>
      <c r="V2279" s="276"/>
      <c r="W2279" s="283"/>
      <c r="X2279" s="280"/>
      <c r="Y2279" s="280"/>
      <c r="Z2279" s="280"/>
      <c r="AA2279" s="280"/>
      <c r="AB2279" s="280"/>
      <c r="AC2279" s="280"/>
      <c r="AD2279" s="280"/>
      <c r="AG2279" s="3"/>
      <c r="AH2279" s="3"/>
      <c r="AI2279" s="3"/>
      <c r="AJ2279" s="3"/>
      <c r="AK2279" s="3"/>
      <c r="AL2279" s="3"/>
      <c r="AM2279" s="3"/>
      <c r="AN2279" s="3"/>
      <c r="AO2279" s="3"/>
      <c r="AP2279" s="11"/>
      <c r="AQ2279" s="11"/>
      <c r="AR2279" s="3"/>
      <c r="AS2279" s="3"/>
      <c r="AT2279" s="3"/>
      <c r="AU2279" s="3"/>
      <c r="AV2279" s="3"/>
      <c r="AW2279" s="3"/>
      <c r="AX2279" s="11"/>
      <c r="AZ2279"/>
      <c r="BA2279"/>
      <c r="BB2279"/>
      <c r="BC2279"/>
    </row>
    <row r="2280" spans="1:55" s="282" customFormat="1" x14ac:dyDescent="0.25">
      <c r="A2280"/>
      <c r="B2280"/>
      <c r="C2280" s="3"/>
      <c r="D2280"/>
      <c r="E2280"/>
      <c r="F2280"/>
      <c r="G2280" s="3"/>
      <c r="H2280" s="3"/>
      <c r="I2280" s="3"/>
      <c r="J2280" s="288"/>
      <c r="L2280" s="288"/>
      <c r="M2280" s="288"/>
      <c r="N2280" s="288"/>
      <c r="O2280" s="288"/>
      <c r="P2280" s="288"/>
      <c r="Q2280" s="288"/>
      <c r="R2280" s="283"/>
      <c r="S2280" s="280"/>
      <c r="T2280" s="276"/>
      <c r="U2280" s="276"/>
      <c r="V2280" s="276"/>
      <c r="W2280" s="283"/>
      <c r="X2280" s="280"/>
      <c r="Y2280" s="280"/>
      <c r="Z2280" s="280"/>
      <c r="AA2280" s="280"/>
      <c r="AB2280" s="280"/>
      <c r="AC2280" s="280"/>
      <c r="AD2280" s="280"/>
      <c r="AG2280" s="3"/>
      <c r="AH2280" s="3"/>
      <c r="AI2280" s="3"/>
      <c r="AJ2280" s="3"/>
      <c r="AK2280" s="3"/>
      <c r="AL2280" s="3"/>
      <c r="AM2280" s="3"/>
      <c r="AN2280" s="3"/>
      <c r="AO2280" s="3"/>
      <c r="AP2280" s="11"/>
      <c r="AQ2280" s="11"/>
      <c r="AR2280" s="3"/>
      <c r="AS2280" s="3"/>
      <c r="AT2280" s="3"/>
      <c r="AU2280" s="3"/>
      <c r="AV2280" s="3"/>
      <c r="AW2280" s="3"/>
      <c r="AX2280" s="11"/>
      <c r="AZ2280"/>
      <c r="BA2280"/>
      <c r="BB2280"/>
      <c r="BC2280"/>
    </row>
    <row r="2281" spans="1:55" s="282" customFormat="1" x14ac:dyDescent="0.25">
      <c r="A2281"/>
      <c r="B2281"/>
      <c r="C2281" s="3"/>
      <c r="D2281"/>
      <c r="E2281"/>
      <c r="F2281"/>
      <c r="G2281" s="3"/>
      <c r="H2281" s="3"/>
      <c r="I2281" s="3"/>
      <c r="J2281" s="288"/>
      <c r="L2281" s="288"/>
      <c r="M2281" s="288"/>
      <c r="N2281" s="288"/>
      <c r="O2281" s="288"/>
      <c r="P2281" s="288"/>
      <c r="Q2281" s="288"/>
      <c r="R2281" s="283"/>
      <c r="S2281" s="280"/>
      <c r="T2281" s="276"/>
      <c r="U2281" s="276"/>
      <c r="V2281" s="276"/>
      <c r="W2281" s="283"/>
      <c r="X2281" s="280"/>
      <c r="Y2281" s="280"/>
      <c r="Z2281" s="280"/>
      <c r="AA2281" s="280"/>
      <c r="AB2281" s="280"/>
      <c r="AC2281" s="280"/>
      <c r="AD2281" s="280"/>
      <c r="AG2281" s="3"/>
      <c r="AH2281" s="3"/>
      <c r="AI2281" s="3"/>
      <c r="AJ2281" s="3"/>
      <c r="AK2281" s="3"/>
      <c r="AL2281" s="3"/>
      <c r="AM2281" s="3"/>
      <c r="AN2281" s="3"/>
      <c r="AO2281" s="3"/>
      <c r="AP2281" s="11"/>
      <c r="AQ2281" s="11"/>
      <c r="AR2281" s="3"/>
      <c r="AS2281" s="3"/>
      <c r="AT2281" s="3"/>
      <c r="AU2281" s="3"/>
      <c r="AV2281" s="3"/>
      <c r="AW2281" s="3"/>
      <c r="AX2281" s="11"/>
      <c r="AZ2281"/>
      <c r="BA2281"/>
      <c r="BB2281"/>
      <c r="BC2281"/>
    </row>
    <row r="2282" spans="1:55" s="282" customFormat="1" x14ac:dyDescent="0.25">
      <c r="A2282"/>
      <c r="B2282"/>
      <c r="C2282" s="3"/>
      <c r="D2282"/>
      <c r="E2282"/>
      <c r="F2282"/>
      <c r="G2282" s="3"/>
      <c r="H2282" s="3"/>
      <c r="I2282" s="3"/>
      <c r="J2282" s="288"/>
      <c r="L2282" s="288"/>
      <c r="M2282" s="288"/>
      <c r="N2282" s="288"/>
      <c r="O2282" s="288"/>
      <c r="P2282" s="288"/>
      <c r="Q2282" s="288"/>
      <c r="R2282" s="283"/>
      <c r="S2282" s="280"/>
      <c r="T2282" s="276"/>
      <c r="U2282" s="276"/>
      <c r="V2282" s="276"/>
      <c r="W2282" s="283"/>
      <c r="X2282" s="280"/>
      <c r="Y2282" s="280"/>
      <c r="Z2282" s="280"/>
      <c r="AA2282" s="280"/>
      <c r="AB2282" s="280"/>
      <c r="AC2282" s="280"/>
      <c r="AD2282" s="280"/>
      <c r="AG2282" s="3"/>
      <c r="AH2282" s="3"/>
      <c r="AI2282" s="3"/>
      <c r="AJ2282" s="3"/>
      <c r="AK2282" s="3"/>
      <c r="AL2282" s="3"/>
      <c r="AM2282" s="3"/>
      <c r="AN2282" s="3"/>
      <c r="AO2282" s="3"/>
      <c r="AP2282" s="11"/>
      <c r="AQ2282" s="11"/>
      <c r="AR2282" s="3"/>
      <c r="AS2282" s="3"/>
      <c r="AT2282" s="3"/>
      <c r="AU2282" s="3"/>
      <c r="AV2282" s="3"/>
      <c r="AW2282" s="3"/>
      <c r="AX2282" s="11"/>
      <c r="AZ2282"/>
      <c r="BA2282"/>
      <c r="BB2282"/>
      <c r="BC2282"/>
    </row>
    <row r="2283" spans="1:55" s="282" customFormat="1" x14ac:dyDescent="0.25">
      <c r="A2283"/>
      <c r="B2283"/>
      <c r="C2283" s="3"/>
      <c r="D2283"/>
      <c r="E2283"/>
      <c r="F2283"/>
      <c r="G2283" s="3"/>
      <c r="H2283" s="3"/>
      <c r="I2283" s="3"/>
      <c r="J2283" s="288"/>
      <c r="L2283" s="288"/>
      <c r="M2283" s="288"/>
      <c r="N2283" s="288"/>
      <c r="O2283" s="288"/>
      <c r="P2283" s="288"/>
      <c r="Q2283" s="288"/>
      <c r="R2283" s="283"/>
      <c r="S2283" s="280"/>
      <c r="T2283" s="276"/>
      <c r="U2283" s="276"/>
      <c r="V2283" s="276"/>
      <c r="W2283" s="283"/>
      <c r="X2283" s="280"/>
      <c r="Y2283" s="280"/>
      <c r="Z2283" s="280"/>
      <c r="AA2283" s="280"/>
      <c r="AB2283" s="280"/>
      <c r="AC2283" s="280"/>
      <c r="AD2283" s="280"/>
      <c r="AG2283" s="3"/>
      <c r="AH2283" s="3"/>
      <c r="AI2283" s="3"/>
      <c r="AJ2283" s="3"/>
      <c r="AK2283" s="3"/>
      <c r="AL2283" s="3"/>
      <c r="AM2283" s="3"/>
      <c r="AN2283" s="3"/>
      <c r="AO2283" s="3"/>
      <c r="AP2283" s="11"/>
      <c r="AQ2283" s="11"/>
      <c r="AR2283" s="3"/>
      <c r="AS2283" s="3"/>
      <c r="AT2283" s="3"/>
      <c r="AU2283" s="3"/>
      <c r="AV2283" s="3"/>
      <c r="AW2283" s="3"/>
      <c r="AX2283" s="11"/>
      <c r="AZ2283"/>
      <c r="BA2283"/>
      <c r="BB2283"/>
      <c r="BC2283"/>
    </row>
    <row r="2284" spans="1:55" s="282" customFormat="1" x14ac:dyDescent="0.25">
      <c r="A2284"/>
      <c r="B2284"/>
      <c r="C2284" s="3"/>
      <c r="D2284"/>
      <c r="E2284"/>
      <c r="F2284"/>
      <c r="G2284" s="3"/>
      <c r="H2284" s="3"/>
      <c r="I2284" s="3"/>
      <c r="J2284" s="288"/>
      <c r="L2284" s="288"/>
      <c r="M2284" s="288"/>
      <c r="N2284" s="288"/>
      <c r="O2284" s="288"/>
      <c r="P2284" s="288"/>
      <c r="Q2284" s="288"/>
      <c r="R2284" s="283"/>
      <c r="S2284" s="280"/>
      <c r="T2284" s="276"/>
      <c r="U2284" s="276"/>
      <c r="V2284" s="276"/>
      <c r="W2284" s="283"/>
      <c r="X2284" s="280"/>
      <c r="Y2284" s="280"/>
      <c r="Z2284" s="280"/>
      <c r="AA2284" s="280"/>
      <c r="AB2284" s="280"/>
      <c r="AC2284" s="280"/>
      <c r="AD2284" s="280"/>
      <c r="AG2284" s="3"/>
      <c r="AH2284" s="3"/>
      <c r="AI2284" s="3"/>
      <c r="AJ2284" s="3"/>
      <c r="AK2284" s="3"/>
      <c r="AL2284" s="3"/>
      <c r="AM2284" s="3"/>
      <c r="AN2284" s="3"/>
      <c r="AO2284" s="3"/>
      <c r="AP2284" s="11"/>
      <c r="AQ2284" s="11"/>
      <c r="AR2284" s="3"/>
      <c r="AS2284" s="3"/>
      <c r="AT2284" s="3"/>
      <c r="AU2284" s="3"/>
      <c r="AV2284" s="3"/>
      <c r="AW2284" s="3"/>
      <c r="AX2284" s="11"/>
      <c r="AZ2284"/>
      <c r="BA2284"/>
      <c r="BB2284"/>
      <c r="BC2284"/>
    </row>
    <row r="2285" spans="1:55" s="282" customFormat="1" x14ac:dyDescent="0.25">
      <c r="A2285"/>
      <c r="B2285"/>
      <c r="C2285" s="3"/>
      <c r="D2285"/>
      <c r="E2285"/>
      <c r="F2285"/>
      <c r="G2285" s="3"/>
      <c r="H2285" s="3"/>
      <c r="I2285" s="3"/>
      <c r="J2285" s="288"/>
      <c r="L2285" s="288"/>
      <c r="M2285" s="288"/>
      <c r="N2285" s="288"/>
      <c r="O2285" s="288"/>
      <c r="P2285" s="288"/>
      <c r="Q2285" s="288"/>
      <c r="R2285" s="283"/>
      <c r="S2285" s="280"/>
      <c r="T2285" s="276"/>
      <c r="U2285" s="276"/>
      <c r="V2285" s="276"/>
      <c r="W2285" s="283"/>
      <c r="X2285" s="280"/>
      <c r="Y2285" s="280"/>
      <c r="Z2285" s="280"/>
      <c r="AA2285" s="280"/>
      <c r="AB2285" s="280"/>
      <c r="AC2285" s="280"/>
      <c r="AD2285" s="280"/>
      <c r="AG2285" s="3"/>
      <c r="AH2285" s="3"/>
      <c r="AI2285" s="3"/>
      <c r="AJ2285" s="3"/>
      <c r="AK2285" s="3"/>
      <c r="AL2285" s="3"/>
      <c r="AM2285" s="3"/>
      <c r="AN2285" s="3"/>
      <c r="AO2285" s="3"/>
      <c r="AP2285" s="11"/>
      <c r="AQ2285" s="11"/>
      <c r="AR2285" s="3"/>
      <c r="AS2285" s="3"/>
      <c r="AT2285" s="3"/>
      <c r="AU2285" s="3"/>
      <c r="AV2285" s="3"/>
      <c r="AW2285" s="3"/>
      <c r="AX2285" s="11"/>
      <c r="AZ2285"/>
      <c r="BA2285"/>
      <c r="BB2285"/>
      <c r="BC2285"/>
    </row>
    <row r="2286" spans="1:55" s="282" customFormat="1" x14ac:dyDescent="0.25">
      <c r="A2286"/>
      <c r="B2286"/>
      <c r="C2286" s="3"/>
      <c r="D2286"/>
      <c r="E2286"/>
      <c r="F2286"/>
      <c r="G2286" s="3"/>
      <c r="H2286" s="3"/>
      <c r="I2286" s="3"/>
      <c r="J2286" s="288"/>
      <c r="L2286" s="288"/>
      <c r="M2286" s="288"/>
      <c r="N2286" s="288"/>
      <c r="O2286" s="288"/>
      <c r="P2286" s="288"/>
      <c r="Q2286" s="288"/>
      <c r="R2286" s="283"/>
      <c r="S2286" s="280"/>
      <c r="T2286" s="276"/>
      <c r="U2286" s="276"/>
      <c r="V2286" s="276"/>
      <c r="W2286" s="283"/>
      <c r="X2286" s="280"/>
      <c r="Y2286" s="280"/>
      <c r="Z2286" s="280"/>
      <c r="AA2286" s="280"/>
      <c r="AB2286" s="280"/>
      <c r="AC2286" s="280"/>
      <c r="AD2286" s="280"/>
      <c r="AG2286" s="3"/>
      <c r="AH2286" s="3"/>
      <c r="AI2286" s="3"/>
      <c r="AJ2286" s="3"/>
      <c r="AK2286" s="3"/>
      <c r="AL2286" s="3"/>
      <c r="AM2286" s="3"/>
      <c r="AN2286" s="3"/>
      <c r="AO2286" s="3"/>
      <c r="AP2286" s="11"/>
      <c r="AQ2286" s="11"/>
      <c r="AR2286" s="3"/>
      <c r="AS2286" s="3"/>
      <c r="AT2286" s="3"/>
      <c r="AU2286" s="3"/>
      <c r="AV2286" s="3"/>
      <c r="AW2286" s="3"/>
      <c r="AX2286" s="11"/>
      <c r="AZ2286"/>
      <c r="BA2286"/>
      <c r="BB2286"/>
      <c r="BC2286"/>
    </row>
    <row r="2287" spans="1:55" s="282" customFormat="1" x14ac:dyDescent="0.25">
      <c r="A2287"/>
      <c r="B2287"/>
      <c r="C2287" s="3"/>
      <c r="D2287"/>
      <c r="E2287"/>
      <c r="F2287"/>
      <c r="G2287" s="3"/>
      <c r="H2287" s="3"/>
      <c r="I2287" s="3"/>
      <c r="J2287" s="288"/>
      <c r="L2287" s="288"/>
      <c r="M2287" s="288"/>
      <c r="N2287" s="288"/>
      <c r="O2287" s="288"/>
      <c r="P2287" s="288"/>
      <c r="Q2287" s="288"/>
      <c r="R2287" s="283"/>
      <c r="S2287" s="280"/>
      <c r="T2287" s="276"/>
      <c r="U2287" s="276"/>
      <c r="V2287" s="276"/>
      <c r="W2287" s="283"/>
      <c r="X2287" s="280"/>
      <c r="Y2287" s="280"/>
      <c r="Z2287" s="280"/>
      <c r="AA2287" s="280"/>
      <c r="AB2287" s="280"/>
      <c r="AC2287" s="280"/>
      <c r="AD2287" s="280"/>
      <c r="AG2287" s="3"/>
      <c r="AH2287" s="3"/>
      <c r="AI2287" s="3"/>
      <c r="AJ2287" s="3"/>
      <c r="AK2287" s="3"/>
      <c r="AL2287" s="3"/>
      <c r="AM2287" s="3"/>
      <c r="AN2287" s="3"/>
      <c r="AO2287" s="3"/>
      <c r="AP2287" s="11"/>
      <c r="AQ2287" s="11"/>
      <c r="AR2287" s="3"/>
      <c r="AS2287" s="3"/>
      <c r="AT2287" s="3"/>
      <c r="AU2287" s="3"/>
      <c r="AV2287" s="3"/>
      <c r="AW2287" s="3"/>
      <c r="AX2287" s="11"/>
      <c r="AZ2287"/>
      <c r="BA2287"/>
      <c r="BB2287"/>
      <c r="BC2287"/>
    </row>
    <row r="2288" spans="1:55" s="282" customFormat="1" x14ac:dyDescent="0.25">
      <c r="A2288"/>
      <c r="B2288"/>
      <c r="C2288" s="3"/>
      <c r="D2288"/>
      <c r="E2288"/>
      <c r="F2288"/>
      <c r="G2288" s="3"/>
      <c r="H2288" s="3"/>
      <c r="I2288" s="3"/>
      <c r="J2288" s="288"/>
      <c r="L2288" s="288"/>
      <c r="M2288" s="288"/>
      <c r="N2288" s="288"/>
      <c r="O2288" s="288"/>
      <c r="P2288" s="288"/>
      <c r="Q2288" s="288"/>
      <c r="R2288" s="283"/>
      <c r="S2288" s="280"/>
      <c r="T2288" s="276"/>
      <c r="U2288" s="276"/>
      <c r="V2288" s="276"/>
      <c r="W2288" s="283"/>
      <c r="X2288" s="280"/>
      <c r="Y2288" s="280"/>
      <c r="Z2288" s="280"/>
      <c r="AA2288" s="280"/>
      <c r="AB2288" s="280"/>
      <c r="AC2288" s="280"/>
      <c r="AD2288" s="280"/>
      <c r="AG2288" s="3"/>
      <c r="AH2288" s="3"/>
      <c r="AI2288" s="3"/>
      <c r="AJ2288" s="3"/>
      <c r="AK2288" s="3"/>
      <c r="AL2288" s="3"/>
      <c r="AM2288" s="3"/>
      <c r="AN2288" s="3"/>
      <c r="AO2288" s="3"/>
      <c r="AP2288" s="11"/>
      <c r="AQ2288" s="11"/>
      <c r="AR2288" s="3"/>
      <c r="AS2288" s="3"/>
      <c r="AT2288" s="3"/>
      <c r="AU2288" s="3"/>
      <c r="AV2288" s="3"/>
      <c r="AW2288" s="3"/>
      <c r="AX2288" s="11"/>
      <c r="AZ2288"/>
      <c r="BA2288"/>
      <c r="BB2288"/>
      <c r="BC2288"/>
    </row>
    <row r="2289" spans="1:55" s="282" customFormat="1" x14ac:dyDescent="0.25">
      <c r="A2289"/>
      <c r="B2289"/>
      <c r="C2289" s="3"/>
      <c r="D2289"/>
      <c r="E2289"/>
      <c r="F2289"/>
      <c r="G2289" s="3"/>
      <c r="H2289" s="3"/>
      <c r="I2289" s="3"/>
      <c r="J2289" s="288"/>
      <c r="L2289" s="288"/>
      <c r="M2289" s="288"/>
      <c r="N2289" s="288"/>
      <c r="O2289" s="288"/>
      <c r="P2289" s="288"/>
      <c r="Q2289" s="288"/>
      <c r="R2289" s="283"/>
      <c r="S2289" s="280"/>
      <c r="T2289" s="276"/>
      <c r="U2289" s="276"/>
      <c r="V2289" s="276"/>
      <c r="W2289" s="283"/>
      <c r="X2289" s="280"/>
      <c r="Y2289" s="280"/>
      <c r="Z2289" s="280"/>
      <c r="AA2289" s="280"/>
      <c r="AB2289" s="280"/>
      <c r="AC2289" s="280"/>
      <c r="AD2289" s="280"/>
      <c r="AG2289" s="3"/>
      <c r="AH2289" s="3"/>
      <c r="AI2289" s="3"/>
      <c r="AJ2289" s="3"/>
      <c r="AK2289" s="3"/>
      <c r="AL2289" s="3"/>
      <c r="AM2289" s="3"/>
      <c r="AN2289" s="3"/>
      <c r="AO2289" s="3"/>
      <c r="AP2289" s="11"/>
      <c r="AQ2289" s="11"/>
      <c r="AR2289" s="3"/>
      <c r="AS2289" s="3"/>
      <c r="AT2289" s="3"/>
      <c r="AU2289" s="3"/>
      <c r="AV2289" s="3"/>
      <c r="AW2289" s="3"/>
      <c r="AX2289" s="11"/>
      <c r="AZ2289"/>
      <c r="BA2289"/>
      <c r="BB2289"/>
      <c r="BC2289"/>
    </row>
    <row r="2290" spans="1:55" s="282" customFormat="1" x14ac:dyDescent="0.25">
      <c r="A2290"/>
      <c r="B2290"/>
      <c r="C2290" s="3"/>
      <c r="D2290"/>
      <c r="E2290"/>
      <c r="F2290"/>
      <c r="G2290" s="3"/>
      <c r="H2290" s="3"/>
      <c r="I2290" s="3"/>
      <c r="J2290" s="288"/>
      <c r="L2290" s="288"/>
      <c r="M2290" s="288"/>
      <c r="N2290" s="288"/>
      <c r="O2290" s="288"/>
      <c r="P2290" s="288"/>
      <c r="Q2290" s="288"/>
      <c r="R2290" s="283"/>
      <c r="S2290" s="280"/>
      <c r="T2290" s="276"/>
      <c r="U2290" s="276"/>
      <c r="V2290" s="276"/>
      <c r="W2290" s="283"/>
      <c r="X2290" s="280"/>
      <c r="Y2290" s="280"/>
      <c r="Z2290" s="280"/>
      <c r="AA2290" s="280"/>
      <c r="AB2290" s="280"/>
      <c r="AC2290" s="280"/>
      <c r="AD2290" s="280"/>
      <c r="AG2290" s="3"/>
      <c r="AH2290" s="3"/>
      <c r="AI2290" s="3"/>
      <c r="AJ2290" s="3"/>
      <c r="AK2290" s="3"/>
      <c r="AL2290" s="3"/>
      <c r="AM2290" s="3"/>
      <c r="AN2290" s="3"/>
      <c r="AO2290" s="3"/>
      <c r="AP2290" s="11"/>
      <c r="AQ2290" s="11"/>
      <c r="AR2290" s="3"/>
      <c r="AS2290" s="3"/>
      <c r="AT2290" s="3"/>
      <c r="AU2290" s="3"/>
      <c r="AV2290" s="3"/>
      <c r="AW2290" s="3"/>
      <c r="AX2290" s="11"/>
      <c r="AZ2290"/>
      <c r="BA2290"/>
      <c r="BB2290"/>
      <c r="BC2290"/>
    </row>
    <row r="2291" spans="1:55" s="282" customFormat="1" x14ac:dyDescent="0.25">
      <c r="A2291"/>
      <c r="B2291"/>
      <c r="C2291" s="3"/>
      <c r="D2291"/>
      <c r="E2291"/>
      <c r="F2291"/>
      <c r="G2291" s="3"/>
      <c r="H2291" s="3"/>
      <c r="I2291" s="3"/>
      <c r="J2291" s="288"/>
      <c r="L2291" s="288"/>
      <c r="M2291" s="288"/>
      <c r="N2291" s="288"/>
      <c r="O2291" s="288"/>
      <c r="P2291" s="288"/>
      <c r="Q2291" s="288"/>
      <c r="R2291" s="283"/>
      <c r="S2291" s="280"/>
      <c r="T2291" s="276"/>
      <c r="U2291" s="276"/>
      <c r="V2291" s="276"/>
      <c r="W2291" s="283"/>
      <c r="X2291" s="280"/>
      <c r="Y2291" s="280"/>
      <c r="Z2291" s="280"/>
      <c r="AA2291" s="280"/>
      <c r="AB2291" s="280"/>
      <c r="AC2291" s="280"/>
      <c r="AD2291" s="280"/>
      <c r="AG2291" s="3"/>
      <c r="AH2291" s="3"/>
      <c r="AI2291" s="3"/>
      <c r="AJ2291" s="3"/>
      <c r="AK2291" s="3"/>
      <c r="AL2291" s="3"/>
      <c r="AM2291" s="3"/>
      <c r="AN2291" s="3"/>
      <c r="AO2291" s="3"/>
      <c r="AP2291" s="11"/>
      <c r="AQ2291" s="11"/>
      <c r="AR2291" s="3"/>
      <c r="AS2291" s="3"/>
      <c r="AT2291" s="3"/>
      <c r="AU2291" s="3"/>
      <c r="AV2291" s="3"/>
      <c r="AW2291" s="3"/>
      <c r="AX2291" s="11"/>
      <c r="AZ2291"/>
      <c r="BA2291"/>
      <c r="BB2291"/>
      <c r="BC2291"/>
    </row>
    <row r="2292" spans="1:55" s="282" customFormat="1" x14ac:dyDescent="0.25">
      <c r="A2292"/>
      <c r="B2292"/>
      <c r="C2292" s="3"/>
      <c r="D2292"/>
      <c r="E2292"/>
      <c r="F2292"/>
      <c r="G2292" s="3"/>
      <c r="H2292" s="3"/>
      <c r="I2292" s="3"/>
      <c r="J2292" s="288"/>
      <c r="L2292" s="288"/>
      <c r="M2292" s="288"/>
      <c r="N2292" s="288"/>
      <c r="O2292" s="288"/>
      <c r="P2292" s="288"/>
      <c r="Q2292" s="288"/>
      <c r="R2292" s="283"/>
      <c r="S2292" s="280"/>
      <c r="T2292" s="276"/>
      <c r="U2292" s="276"/>
      <c r="V2292" s="276"/>
      <c r="W2292" s="283"/>
      <c r="X2292" s="280"/>
      <c r="Y2292" s="280"/>
      <c r="Z2292" s="280"/>
      <c r="AA2292" s="280"/>
      <c r="AB2292" s="280"/>
      <c r="AC2292" s="280"/>
      <c r="AD2292" s="280"/>
      <c r="AG2292" s="3"/>
      <c r="AH2292" s="3"/>
      <c r="AI2292" s="3"/>
      <c r="AJ2292" s="3"/>
      <c r="AK2292" s="3"/>
      <c r="AL2292" s="3"/>
      <c r="AM2292" s="3"/>
      <c r="AN2292" s="3"/>
      <c r="AO2292" s="3"/>
      <c r="AP2292" s="11"/>
      <c r="AQ2292" s="11"/>
      <c r="AR2292" s="3"/>
      <c r="AS2292" s="3"/>
      <c r="AT2292" s="3"/>
      <c r="AU2292" s="3"/>
      <c r="AV2292" s="3"/>
      <c r="AW2292" s="3"/>
      <c r="AX2292" s="11"/>
      <c r="AZ2292"/>
      <c r="BA2292"/>
      <c r="BB2292"/>
      <c r="BC2292"/>
    </row>
    <row r="2293" spans="1:55" s="282" customFormat="1" x14ac:dyDescent="0.25">
      <c r="A2293"/>
      <c r="B2293"/>
      <c r="C2293" s="3"/>
      <c r="D2293"/>
      <c r="E2293"/>
      <c r="F2293"/>
      <c r="G2293" s="3"/>
      <c r="H2293" s="3"/>
      <c r="I2293" s="3"/>
      <c r="J2293" s="288"/>
      <c r="L2293" s="288"/>
      <c r="M2293" s="288"/>
      <c r="N2293" s="288"/>
      <c r="O2293" s="288"/>
      <c r="P2293" s="288"/>
      <c r="Q2293" s="288"/>
      <c r="R2293" s="283"/>
      <c r="S2293" s="280"/>
      <c r="T2293" s="276"/>
      <c r="U2293" s="276"/>
      <c r="V2293" s="276"/>
      <c r="W2293" s="283"/>
      <c r="X2293" s="280"/>
      <c r="Y2293" s="280"/>
      <c r="Z2293" s="280"/>
      <c r="AA2293" s="280"/>
      <c r="AB2293" s="280"/>
      <c r="AC2293" s="280"/>
      <c r="AD2293" s="280"/>
      <c r="AG2293" s="3"/>
      <c r="AH2293" s="3"/>
      <c r="AI2293" s="3"/>
      <c r="AJ2293" s="3"/>
      <c r="AK2293" s="3"/>
      <c r="AL2293" s="3"/>
      <c r="AM2293" s="3"/>
      <c r="AN2293" s="3"/>
      <c r="AO2293" s="3"/>
      <c r="AP2293" s="11"/>
      <c r="AQ2293" s="11"/>
      <c r="AR2293" s="3"/>
      <c r="AS2293" s="3"/>
      <c r="AT2293" s="3"/>
      <c r="AU2293" s="3"/>
      <c r="AV2293" s="3"/>
      <c r="AW2293" s="3"/>
      <c r="AX2293" s="11"/>
      <c r="AZ2293"/>
      <c r="BA2293"/>
      <c r="BB2293"/>
      <c r="BC2293"/>
    </row>
    <row r="2294" spans="1:55" s="282" customFormat="1" x14ac:dyDescent="0.25">
      <c r="A2294"/>
      <c r="B2294"/>
      <c r="C2294" s="3"/>
      <c r="D2294"/>
      <c r="E2294"/>
      <c r="F2294"/>
      <c r="G2294" s="3"/>
      <c r="H2294" s="3"/>
      <c r="I2294" s="3"/>
      <c r="J2294" s="288"/>
      <c r="L2294" s="288"/>
      <c r="M2294" s="288"/>
      <c r="N2294" s="288"/>
      <c r="O2294" s="288"/>
      <c r="P2294" s="288"/>
      <c r="Q2294" s="288"/>
      <c r="R2294" s="283"/>
      <c r="S2294" s="280"/>
      <c r="T2294" s="276"/>
      <c r="U2294" s="276"/>
      <c r="V2294" s="276"/>
      <c r="W2294" s="283"/>
      <c r="X2294" s="280"/>
      <c r="Y2294" s="280"/>
      <c r="Z2294" s="280"/>
      <c r="AA2294" s="280"/>
      <c r="AB2294" s="280"/>
      <c r="AC2294" s="280"/>
      <c r="AD2294" s="280"/>
      <c r="AG2294" s="3"/>
      <c r="AH2294" s="3"/>
      <c r="AI2294" s="3"/>
      <c r="AJ2294" s="3"/>
      <c r="AK2294" s="3"/>
      <c r="AL2294" s="3"/>
      <c r="AM2294" s="3"/>
      <c r="AN2294" s="3"/>
      <c r="AO2294" s="3"/>
      <c r="AP2294" s="11"/>
      <c r="AQ2294" s="11"/>
      <c r="AR2294" s="3"/>
      <c r="AS2294" s="3"/>
      <c r="AT2294" s="3"/>
      <c r="AU2294" s="3"/>
      <c r="AV2294" s="3"/>
      <c r="AW2294" s="3"/>
      <c r="AX2294" s="11"/>
      <c r="AZ2294"/>
      <c r="BA2294"/>
      <c r="BB2294"/>
      <c r="BC2294"/>
    </row>
    <row r="2295" spans="1:55" s="282" customFormat="1" x14ac:dyDescent="0.25">
      <c r="A2295"/>
      <c r="B2295"/>
      <c r="C2295" s="3"/>
      <c r="D2295"/>
      <c r="E2295"/>
      <c r="F2295"/>
      <c r="G2295" s="3"/>
      <c r="H2295" s="3"/>
      <c r="I2295" s="3"/>
      <c r="J2295" s="288"/>
      <c r="L2295" s="288"/>
      <c r="M2295" s="288"/>
      <c r="N2295" s="288"/>
      <c r="O2295" s="288"/>
      <c r="P2295" s="288"/>
      <c r="Q2295" s="288"/>
      <c r="R2295" s="283"/>
      <c r="S2295" s="280"/>
      <c r="T2295" s="276"/>
      <c r="U2295" s="276"/>
      <c r="V2295" s="276"/>
      <c r="W2295" s="283"/>
      <c r="X2295" s="280"/>
      <c r="Y2295" s="280"/>
      <c r="Z2295" s="280"/>
      <c r="AA2295" s="280"/>
      <c r="AB2295" s="280"/>
      <c r="AC2295" s="280"/>
      <c r="AD2295" s="280"/>
      <c r="AG2295" s="3"/>
      <c r="AH2295" s="3"/>
      <c r="AI2295" s="3"/>
      <c r="AJ2295" s="3"/>
      <c r="AK2295" s="3"/>
      <c r="AL2295" s="3"/>
      <c r="AM2295" s="3"/>
      <c r="AN2295" s="3"/>
      <c r="AO2295" s="3"/>
      <c r="AP2295" s="11"/>
      <c r="AQ2295" s="11"/>
      <c r="AR2295" s="3"/>
      <c r="AS2295" s="3"/>
      <c r="AT2295" s="3"/>
      <c r="AU2295" s="3"/>
      <c r="AV2295" s="3"/>
      <c r="AW2295" s="3"/>
      <c r="AX2295" s="11"/>
      <c r="AZ2295"/>
      <c r="BA2295"/>
      <c r="BB2295"/>
      <c r="BC2295"/>
    </row>
    <row r="2296" spans="1:55" s="282" customFormat="1" x14ac:dyDescent="0.25">
      <c r="A2296"/>
      <c r="B2296"/>
      <c r="C2296" s="3"/>
      <c r="D2296"/>
      <c r="E2296"/>
      <c r="F2296"/>
      <c r="G2296" s="3"/>
      <c r="H2296" s="3"/>
      <c r="I2296" s="3"/>
      <c r="J2296" s="288"/>
      <c r="L2296" s="288"/>
      <c r="M2296" s="288"/>
      <c r="N2296" s="288"/>
      <c r="O2296" s="288"/>
      <c r="P2296" s="288"/>
      <c r="Q2296" s="288"/>
      <c r="R2296" s="283"/>
      <c r="S2296" s="280"/>
      <c r="T2296" s="276"/>
      <c r="U2296" s="276"/>
      <c r="V2296" s="276"/>
      <c r="W2296" s="283"/>
      <c r="X2296" s="280"/>
      <c r="Y2296" s="280"/>
      <c r="Z2296" s="280"/>
      <c r="AA2296" s="280"/>
      <c r="AB2296" s="280"/>
      <c r="AC2296" s="280"/>
      <c r="AD2296" s="280"/>
      <c r="AG2296" s="3"/>
      <c r="AH2296" s="3"/>
      <c r="AI2296" s="3"/>
      <c r="AJ2296" s="3"/>
      <c r="AK2296" s="3"/>
      <c r="AL2296" s="3"/>
      <c r="AM2296" s="3"/>
      <c r="AN2296" s="3"/>
      <c r="AO2296" s="3"/>
      <c r="AP2296" s="11"/>
      <c r="AQ2296" s="11"/>
      <c r="AR2296" s="3"/>
      <c r="AS2296" s="3"/>
      <c r="AT2296" s="3"/>
      <c r="AU2296" s="3"/>
      <c r="AV2296" s="3"/>
      <c r="AW2296" s="3"/>
      <c r="AX2296" s="11"/>
      <c r="AZ2296"/>
      <c r="BA2296"/>
      <c r="BB2296"/>
      <c r="BC2296"/>
    </row>
    <row r="2297" spans="1:55" s="282" customFormat="1" x14ac:dyDescent="0.25">
      <c r="A2297"/>
      <c r="B2297"/>
      <c r="C2297" s="3"/>
      <c r="D2297"/>
      <c r="E2297"/>
      <c r="F2297"/>
      <c r="G2297" s="3"/>
      <c r="H2297" s="3"/>
      <c r="I2297" s="3"/>
      <c r="J2297" s="288"/>
      <c r="L2297" s="288"/>
      <c r="M2297" s="288"/>
      <c r="N2297" s="288"/>
      <c r="O2297" s="288"/>
      <c r="P2297" s="288"/>
      <c r="Q2297" s="288"/>
      <c r="R2297" s="283"/>
      <c r="S2297" s="280"/>
      <c r="T2297" s="276"/>
      <c r="U2297" s="276"/>
      <c r="V2297" s="276"/>
      <c r="W2297" s="283"/>
      <c r="X2297" s="280"/>
      <c r="Y2297" s="280"/>
      <c r="Z2297" s="280"/>
      <c r="AA2297" s="280"/>
      <c r="AB2297" s="280"/>
      <c r="AC2297" s="280"/>
      <c r="AD2297" s="280"/>
      <c r="AG2297" s="3"/>
      <c r="AH2297" s="3"/>
      <c r="AI2297" s="3"/>
      <c r="AJ2297" s="3"/>
      <c r="AK2297" s="3"/>
      <c r="AL2297" s="3"/>
      <c r="AM2297" s="3"/>
      <c r="AN2297" s="3"/>
      <c r="AO2297" s="3"/>
      <c r="AP2297" s="11"/>
      <c r="AQ2297" s="11"/>
      <c r="AR2297" s="3"/>
      <c r="AS2297" s="3"/>
      <c r="AT2297" s="3"/>
      <c r="AU2297" s="3"/>
      <c r="AV2297" s="3"/>
      <c r="AW2297" s="3"/>
      <c r="AX2297" s="11"/>
      <c r="AZ2297"/>
      <c r="BA2297"/>
      <c r="BB2297"/>
      <c r="BC2297"/>
    </row>
    <row r="2298" spans="1:55" s="282" customFormat="1" x14ac:dyDescent="0.25">
      <c r="A2298"/>
      <c r="B2298"/>
      <c r="C2298" s="3"/>
      <c r="D2298"/>
      <c r="E2298"/>
      <c r="F2298"/>
      <c r="G2298" s="3"/>
      <c r="H2298" s="3"/>
      <c r="I2298" s="3"/>
      <c r="J2298" s="288"/>
      <c r="L2298" s="288"/>
      <c r="M2298" s="288"/>
      <c r="N2298" s="288"/>
      <c r="O2298" s="288"/>
      <c r="P2298" s="288"/>
      <c r="Q2298" s="288"/>
      <c r="R2298" s="283"/>
      <c r="S2298" s="280"/>
      <c r="T2298" s="276"/>
      <c r="U2298" s="276"/>
      <c r="V2298" s="276"/>
      <c r="W2298" s="283"/>
      <c r="X2298" s="280"/>
      <c r="Y2298" s="280"/>
      <c r="Z2298" s="280"/>
      <c r="AA2298" s="280"/>
      <c r="AB2298" s="280"/>
      <c r="AC2298" s="280"/>
      <c r="AD2298" s="280"/>
      <c r="AG2298" s="3"/>
      <c r="AH2298" s="3"/>
      <c r="AI2298" s="3"/>
      <c r="AJ2298" s="3"/>
      <c r="AK2298" s="3"/>
      <c r="AL2298" s="3"/>
      <c r="AM2298" s="3"/>
      <c r="AN2298" s="3"/>
      <c r="AO2298" s="3"/>
      <c r="AP2298" s="11"/>
      <c r="AQ2298" s="11"/>
      <c r="AR2298" s="3"/>
      <c r="AS2298" s="3"/>
      <c r="AT2298" s="3"/>
      <c r="AU2298" s="3"/>
      <c r="AV2298" s="3"/>
      <c r="AW2298" s="3"/>
      <c r="AX2298" s="11"/>
      <c r="AZ2298"/>
      <c r="BA2298"/>
      <c r="BB2298"/>
      <c r="BC2298"/>
    </row>
    <row r="2299" spans="1:55" s="282" customFormat="1" x14ac:dyDescent="0.25">
      <c r="A2299"/>
      <c r="B2299"/>
      <c r="C2299" s="3"/>
      <c r="D2299"/>
      <c r="E2299"/>
      <c r="F2299"/>
      <c r="G2299" s="3"/>
      <c r="H2299" s="3"/>
      <c r="I2299" s="3"/>
      <c r="J2299" s="288"/>
      <c r="L2299" s="288"/>
      <c r="M2299" s="288"/>
      <c r="N2299" s="288"/>
      <c r="O2299" s="288"/>
      <c r="P2299" s="288"/>
      <c r="Q2299" s="288"/>
      <c r="R2299" s="283"/>
      <c r="S2299" s="280"/>
      <c r="T2299" s="276"/>
      <c r="U2299" s="276"/>
      <c r="V2299" s="276"/>
      <c r="W2299" s="283"/>
      <c r="X2299" s="280"/>
      <c r="Y2299" s="280"/>
      <c r="Z2299" s="280"/>
      <c r="AA2299" s="280"/>
      <c r="AB2299" s="280"/>
      <c r="AC2299" s="280"/>
      <c r="AD2299" s="280"/>
      <c r="AG2299" s="3"/>
      <c r="AH2299" s="3"/>
      <c r="AI2299" s="3"/>
      <c r="AJ2299" s="3"/>
      <c r="AK2299" s="3"/>
      <c r="AL2299" s="3"/>
      <c r="AM2299" s="3"/>
      <c r="AN2299" s="3"/>
      <c r="AO2299" s="3"/>
      <c r="AP2299" s="11"/>
      <c r="AQ2299" s="11"/>
      <c r="AR2299" s="3"/>
      <c r="AS2299" s="3"/>
      <c r="AT2299" s="3"/>
      <c r="AU2299" s="3"/>
      <c r="AV2299" s="3"/>
      <c r="AW2299" s="3"/>
      <c r="AX2299" s="11"/>
      <c r="AZ2299"/>
      <c r="BA2299"/>
      <c r="BB2299"/>
      <c r="BC2299"/>
    </row>
    <row r="2300" spans="1:55" s="282" customFormat="1" x14ac:dyDescent="0.25">
      <c r="A2300"/>
      <c r="B2300"/>
      <c r="C2300" s="3"/>
      <c r="D2300"/>
      <c r="E2300"/>
      <c r="F2300"/>
      <c r="G2300" s="3"/>
      <c r="H2300" s="3"/>
      <c r="I2300" s="3"/>
      <c r="J2300" s="288"/>
      <c r="L2300" s="288"/>
      <c r="M2300" s="288"/>
      <c r="N2300" s="288"/>
      <c r="O2300" s="288"/>
      <c r="P2300" s="288"/>
      <c r="Q2300" s="288"/>
      <c r="R2300" s="283"/>
      <c r="S2300" s="280"/>
      <c r="T2300" s="276"/>
      <c r="U2300" s="276"/>
      <c r="V2300" s="276"/>
      <c r="W2300" s="283"/>
      <c r="X2300" s="280"/>
      <c r="Y2300" s="280"/>
      <c r="Z2300" s="280"/>
      <c r="AA2300" s="280"/>
      <c r="AB2300" s="280"/>
      <c r="AC2300" s="280"/>
      <c r="AD2300" s="280"/>
      <c r="AG2300" s="3"/>
      <c r="AH2300" s="3"/>
      <c r="AI2300" s="3"/>
      <c r="AJ2300" s="3"/>
      <c r="AK2300" s="3"/>
      <c r="AL2300" s="3"/>
      <c r="AM2300" s="3"/>
      <c r="AN2300" s="3"/>
      <c r="AO2300" s="3"/>
      <c r="AP2300" s="11"/>
      <c r="AQ2300" s="11"/>
      <c r="AR2300" s="3"/>
      <c r="AS2300" s="3"/>
      <c r="AT2300" s="3"/>
      <c r="AU2300" s="3"/>
      <c r="AV2300" s="3"/>
      <c r="AW2300" s="3"/>
      <c r="AX2300" s="11"/>
      <c r="AZ2300"/>
      <c r="BA2300"/>
      <c r="BB2300"/>
      <c r="BC2300"/>
    </row>
    <row r="2301" spans="1:55" s="282" customFormat="1" x14ac:dyDescent="0.25">
      <c r="A2301"/>
      <c r="B2301"/>
      <c r="C2301" s="3"/>
      <c r="D2301"/>
      <c r="E2301"/>
      <c r="F2301"/>
      <c r="G2301" s="3"/>
      <c r="H2301" s="3"/>
      <c r="I2301" s="3"/>
      <c r="J2301" s="288"/>
      <c r="L2301" s="288"/>
      <c r="M2301" s="288"/>
      <c r="N2301" s="288"/>
      <c r="O2301" s="288"/>
      <c r="P2301" s="288"/>
      <c r="Q2301" s="288"/>
      <c r="R2301" s="283"/>
      <c r="S2301" s="280"/>
      <c r="T2301" s="276"/>
      <c r="U2301" s="276"/>
      <c r="V2301" s="276"/>
      <c r="W2301" s="283"/>
      <c r="X2301" s="280"/>
      <c r="Y2301" s="280"/>
      <c r="Z2301" s="280"/>
      <c r="AA2301" s="280"/>
      <c r="AB2301" s="280"/>
      <c r="AC2301" s="280"/>
      <c r="AD2301" s="280"/>
      <c r="AG2301" s="3"/>
      <c r="AH2301" s="3"/>
      <c r="AI2301" s="3"/>
      <c r="AJ2301" s="3"/>
      <c r="AK2301" s="3"/>
      <c r="AL2301" s="3"/>
      <c r="AM2301" s="3"/>
      <c r="AN2301" s="3"/>
      <c r="AO2301" s="3"/>
      <c r="AP2301" s="11"/>
      <c r="AQ2301" s="11"/>
      <c r="AR2301" s="3"/>
      <c r="AS2301" s="3"/>
      <c r="AT2301" s="3"/>
      <c r="AU2301" s="3"/>
      <c r="AV2301" s="3"/>
      <c r="AW2301" s="3"/>
      <c r="AX2301" s="11"/>
      <c r="AZ2301"/>
      <c r="BA2301"/>
      <c r="BB2301"/>
      <c r="BC2301"/>
    </row>
    <row r="2302" spans="1:55" s="282" customFormat="1" x14ac:dyDescent="0.25">
      <c r="A2302"/>
      <c r="B2302"/>
      <c r="C2302" s="3"/>
      <c r="D2302"/>
      <c r="E2302"/>
      <c r="F2302"/>
      <c r="G2302" s="3"/>
      <c r="H2302" s="3"/>
      <c r="I2302" s="3"/>
      <c r="J2302" s="288"/>
      <c r="L2302" s="288"/>
      <c r="M2302" s="288"/>
      <c r="N2302" s="288"/>
      <c r="O2302" s="288"/>
      <c r="P2302" s="288"/>
      <c r="Q2302" s="288"/>
      <c r="R2302" s="283"/>
      <c r="S2302" s="280"/>
      <c r="T2302" s="276"/>
      <c r="U2302" s="276"/>
      <c r="V2302" s="276"/>
      <c r="W2302" s="283"/>
      <c r="X2302" s="280"/>
      <c r="Y2302" s="280"/>
      <c r="Z2302" s="280"/>
      <c r="AA2302" s="280"/>
      <c r="AB2302" s="280"/>
      <c r="AC2302" s="280"/>
      <c r="AD2302" s="280"/>
      <c r="AG2302" s="3"/>
      <c r="AH2302" s="3"/>
      <c r="AI2302" s="3"/>
      <c r="AJ2302" s="3"/>
      <c r="AK2302" s="3"/>
      <c r="AL2302" s="3"/>
      <c r="AM2302" s="3"/>
      <c r="AN2302" s="3"/>
      <c r="AO2302" s="3"/>
      <c r="AP2302" s="11"/>
      <c r="AQ2302" s="11"/>
      <c r="AR2302" s="3"/>
      <c r="AS2302" s="3"/>
      <c r="AT2302" s="3"/>
      <c r="AU2302" s="3"/>
      <c r="AV2302" s="3"/>
      <c r="AW2302" s="3"/>
      <c r="AX2302" s="11"/>
      <c r="AZ2302"/>
      <c r="BA2302"/>
      <c r="BB2302"/>
      <c r="BC2302"/>
    </row>
    <row r="2303" spans="1:55" s="282" customFormat="1" x14ac:dyDescent="0.25">
      <c r="A2303"/>
      <c r="B2303"/>
      <c r="C2303" s="3"/>
      <c r="D2303"/>
      <c r="E2303"/>
      <c r="F2303"/>
      <c r="G2303" s="3"/>
      <c r="H2303" s="3"/>
      <c r="I2303" s="3"/>
      <c r="J2303" s="288"/>
      <c r="L2303" s="288"/>
      <c r="M2303" s="288"/>
      <c r="N2303" s="288"/>
      <c r="O2303" s="288"/>
      <c r="P2303" s="288"/>
      <c r="Q2303" s="288"/>
      <c r="R2303" s="283"/>
      <c r="S2303" s="280"/>
      <c r="T2303" s="276"/>
      <c r="U2303" s="276"/>
      <c r="V2303" s="276"/>
      <c r="W2303" s="283"/>
      <c r="X2303" s="280"/>
      <c r="Y2303" s="280"/>
      <c r="Z2303" s="280"/>
      <c r="AA2303" s="280"/>
      <c r="AB2303" s="280"/>
      <c r="AC2303" s="280"/>
      <c r="AD2303" s="280"/>
      <c r="AG2303" s="3"/>
      <c r="AH2303" s="3"/>
      <c r="AI2303" s="3"/>
      <c r="AJ2303" s="3"/>
      <c r="AK2303" s="3"/>
      <c r="AL2303" s="3"/>
      <c r="AM2303" s="3"/>
      <c r="AN2303" s="3"/>
      <c r="AO2303" s="3"/>
      <c r="AP2303" s="11"/>
      <c r="AQ2303" s="11"/>
      <c r="AR2303" s="3"/>
      <c r="AS2303" s="3"/>
      <c r="AT2303" s="3"/>
      <c r="AU2303" s="3"/>
      <c r="AV2303" s="3"/>
      <c r="AW2303" s="3"/>
      <c r="AX2303" s="11"/>
      <c r="AZ2303"/>
      <c r="BA2303"/>
      <c r="BB2303"/>
      <c r="BC2303"/>
    </row>
    <row r="2304" spans="1:55" s="282" customFormat="1" x14ac:dyDescent="0.25">
      <c r="A2304"/>
      <c r="B2304"/>
      <c r="C2304" s="3"/>
      <c r="D2304"/>
      <c r="E2304"/>
      <c r="F2304"/>
      <c r="G2304" s="3"/>
      <c r="H2304" s="3"/>
      <c r="I2304" s="3"/>
      <c r="J2304" s="288"/>
      <c r="L2304" s="288"/>
      <c r="M2304" s="288"/>
      <c r="N2304" s="288"/>
      <c r="O2304" s="288"/>
      <c r="P2304" s="288"/>
      <c r="Q2304" s="288"/>
      <c r="R2304" s="283"/>
      <c r="S2304" s="280"/>
      <c r="T2304" s="276"/>
      <c r="U2304" s="276"/>
      <c r="V2304" s="276"/>
      <c r="W2304" s="283"/>
      <c r="X2304" s="280"/>
      <c r="Y2304" s="280"/>
      <c r="Z2304" s="280"/>
      <c r="AA2304" s="280"/>
      <c r="AB2304" s="280"/>
      <c r="AC2304" s="280"/>
      <c r="AD2304" s="280"/>
      <c r="AG2304" s="3"/>
      <c r="AH2304" s="3"/>
      <c r="AI2304" s="3"/>
      <c r="AJ2304" s="3"/>
      <c r="AK2304" s="3"/>
      <c r="AL2304" s="3"/>
      <c r="AM2304" s="3"/>
      <c r="AN2304" s="3"/>
      <c r="AO2304" s="3"/>
      <c r="AP2304" s="11"/>
      <c r="AQ2304" s="11"/>
      <c r="AR2304" s="3"/>
      <c r="AS2304" s="3"/>
      <c r="AT2304" s="3"/>
      <c r="AU2304" s="3"/>
      <c r="AV2304" s="3"/>
      <c r="AW2304" s="3"/>
      <c r="AX2304" s="11"/>
      <c r="AZ2304"/>
      <c r="BA2304"/>
      <c r="BB2304"/>
      <c r="BC2304"/>
    </row>
    <row r="2305" spans="1:55" s="282" customFormat="1" x14ac:dyDescent="0.25">
      <c r="A2305"/>
      <c r="B2305"/>
      <c r="C2305" s="3"/>
      <c r="D2305"/>
      <c r="E2305"/>
      <c r="F2305"/>
      <c r="G2305" s="3"/>
      <c r="H2305" s="3"/>
      <c r="I2305" s="3"/>
      <c r="J2305" s="288"/>
      <c r="L2305" s="288"/>
      <c r="M2305" s="288"/>
      <c r="N2305" s="288"/>
      <c r="O2305" s="288"/>
      <c r="P2305" s="288"/>
      <c r="Q2305" s="288"/>
      <c r="R2305" s="283"/>
      <c r="S2305" s="280"/>
      <c r="T2305" s="276"/>
      <c r="U2305" s="276"/>
      <c r="V2305" s="276"/>
      <c r="W2305" s="283"/>
      <c r="X2305" s="280"/>
      <c r="Y2305" s="280"/>
      <c r="Z2305" s="280"/>
      <c r="AA2305" s="280"/>
      <c r="AB2305" s="280"/>
      <c r="AC2305" s="280"/>
      <c r="AD2305" s="280"/>
      <c r="AG2305" s="3"/>
      <c r="AH2305" s="3"/>
      <c r="AI2305" s="3"/>
      <c r="AJ2305" s="3"/>
      <c r="AK2305" s="3"/>
      <c r="AL2305" s="3"/>
      <c r="AM2305" s="3"/>
      <c r="AN2305" s="3"/>
      <c r="AO2305" s="3"/>
      <c r="AP2305" s="11"/>
      <c r="AQ2305" s="11"/>
      <c r="AR2305" s="3"/>
      <c r="AS2305" s="3"/>
      <c r="AT2305" s="3"/>
      <c r="AU2305" s="3"/>
      <c r="AV2305" s="3"/>
      <c r="AW2305" s="3"/>
      <c r="AX2305" s="11"/>
      <c r="AZ2305"/>
      <c r="BA2305"/>
      <c r="BB2305"/>
      <c r="BC2305"/>
    </row>
    <row r="2306" spans="1:55" s="282" customFormat="1" x14ac:dyDescent="0.25">
      <c r="A2306"/>
      <c r="B2306"/>
      <c r="C2306" s="3"/>
      <c r="D2306"/>
      <c r="E2306"/>
      <c r="F2306"/>
      <c r="G2306" s="3"/>
      <c r="H2306" s="3"/>
      <c r="I2306" s="3"/>
      <c r="J2306" s="288"/>
      <c r="L2306" s="288"/>
      <c r="M2306" s="288"/>
      <c r="N2306" s="288"/>
      <c r="O2306" s="288"/>
      <c r="P2306" s="288"/>
      <c r="Q2306" s="288"/>
      <c r="R2306" s="283"/>
      <c r="S2306" s="280"/>
      <c r="T2306" s="276"/>
      <c r="U2306" s="276"/>
      <c r="V2306" s="276"/>
      <c r="W2306" s="283"/>
      <c r="X2306" s="280"/>
      <c r="Y2306" s="280"/>
      <c r="Z2306" s="280"/>
      <c r="AA2306" s="280"/>
      <c r="AB2306" s="280"/>
      <c r="AC2306" s="280"/>
      <c r="AD2306" s="280"/>
      <c r="AG2306" s="3"/>
      <c r="AH2306" s="3"/>
      <c r="AI2306" s="3"/>
      <c r="AJ2306" s="3"/>
      <c r="AK2306" s="3"/>
      <c r="AL2306" s="3"/>
      <c r="AM2306" s="3"/>
      <c r="AN2306" s="3"/>
      <c r="AO2306" s="3"/>
      <c r="AP2306" s="11"/>
      <c r="AQ2306" s="11"/>
      <c r="AR2306" s="3"/>
      <c r="AS2306" s="3"/>
      <c r="AT2306" s="3"/>
      <c r="AU2306" s="3"/>
      <c r="AV2306" s="3"/>
      <c r="AW2306" s="3"/>
      <c r="AX2306" s="11"/>
      <c r="AZ2306"/>
      <c r="BA2306"/>
      <c r="BB2306"/>
      <c r="BC2306"/>
    </row>
    <row r="2307" spans="1:55" s="282" customFormat="1" x14ac:dyDescent="0.25">
      <c r="A2307"/>
      <c r="B2307"/>
      <c r="C2307" s="3"/>
      <c r="D2307"/>
      <c r="E2307"/>
      <c r="F2307"/>
      <c r="G2307" s="3"/>
      <c r="H2307" s="3"/>
      <c r="I2307" s="3"/>
      <c r="J2307" s="288"/>
      <c r="L2307" s="288"/>
      <c r="M2307" s="288"/>
      <c r="N2307" s="288"/>
      <c r="O2307" s="288"/>
      <c r="P2307" s="288"/>
      <c r="Q2307" s="288"/>
      <c r="R2307" s="283"/>
      <c r="S2307" s="280"/>
      <c r="T2307" s="276"/>
      <c r="U2307" s="276"/>
      <c r="V2307" s="276"/>
      <c r="W2307" s="283"/>
      <c r="X2307" s="280"/>
      <c r="Y2307" s="280"/>
      <c r="Z2307" s="280"/>
      <c r="AA2307" s="280"/>
      <c r="AB2307" s="280"/>
      <c r="AC2307" s="280"/>
      <c r="AD2307" s="280"/>
      <c r="AG2307" s="3"/>
      <c r="AH2307" s="3"/>
      <c r="AI2307" s="3"/>
      <c r="AJ2307" s="3"/>
      <c r="AK2307" s="3"/>
      <c r="AL2307" s="3"/>
      <c r="AM2307" s="3"/>
      <c r="AN2307" s="3"/>
      <c r="AO2307" s="3"/>
      <c r="AP2307" s="11"/>
      <c r="AQ2307" s="11"/>
      <c r="AR2307" s="3"/>
      <c r="AS2307" s="3"/>
      <c r="AT2307" s="3"/>
      <c r="AU2307" s="3"/>
      <c r="AV2307" s="3"/>
      <c r="AW2307" s="3"/>
      <c r="AX2307" s="11"/>
      <c r="AZ2307"/>
      <c r="BA2307"/>
      <c r="BB2307"/>
      <c r="BC2307"/>
    </row>
    <row r="2308" spans="1:55" s="282" customFormat="1" x14ac:dyDescent="0.25">
      <c r="A2308"/>
      <c r="B2308"/>
      <c r="C2308" s="3"/>
      <c r="D2308"/>
      <c r="E2308"/>
      <c r="F2308"/>
      <c r="G2308" s="3"/>
      <c r="H2308" s="3"/>
      <c r="I2308" s="3"/>
      <c r="J2308" s="288"/>
      <c r="L2308" s="288"/>
      <c r="M2308" s="288"/>
      <c r="N2308" s="288"/>
      <c r="O2308" s="288"/>
      <c r="P2308" s="288"/>
      <c r="Q2308" s="288"/>
      <c r="R2308" s="283"/>
      <c r="S2308" s="280"/>
      <c r="T2308" s="276"/>
      <c r="U2308" s="276"/>
      <c r="V2308" s="276"/>
      <c r="W2308" s="283"/>
      <c r="X2308" s="280"/>
      <c r="Y2308" s="280"/>
      <c r="Z2308" s="280"/>
      <c r="AA2308" s="280"/>
      <c r="AB2308" s="280"/>
      <c r="AC2308" s="280"/>
      <c r="AD2308" s="280"/>
      <c r="AG2308" s="3"/>
      <c r="AH2308" s="3"/>
      <c r="AI2308" s="3"/>
      <c r="AJ2308" s="3"/>
      <c r="AK2308" s="3"/>
      <c r="AL2308" s="3"/>
      <c r="AM2308" s="3"/>
      <c r="AN2308" s="3"/>
      <c r="AO2308" s="3"/>
      <c r="AP2308" s="11"/>
      <c r="AQ2308" s="11"/>
      <c r="AR2308" s="3"/>
      <c r="AS2308" s="3"/>
      <c r="AT2308" s="3"/>
      <c r="AU2308" s="3"/>
      <c r="AV2308" s="3"/>
      <c r="AW2308" s="3"/>
      <c r="AX2308" s="11"/>
      <c r="AZ2308"/>
      <c r="BA2308"/>
      <c r="BB2308"/>
      <c r="BC2308"/>
    </row>
    <row r="2309" spans="1:55" s="282" customFormat="1" x14ac:dyDescent="0.25">
      <c r="A2309"/>
      <c r="B2309"/>
      <c r="C2309" s="3"/>
      <c r="D2309"/>
      <c r="E2309"/>
      <c r="F2309"/>
      <c r="G2309" s="3"/>
      <c r="H2309" s="3"/>
      <c r="I2309" s="3"/>
      <c r="J2309" s="288"/>
      <c r="L2309" s="288"/>
      <c r="M2309" s="288"/>
      <c r="N2309" s="288"/>
      <c r="O2309" s="288"/>
      <c r="P2309" s="288"/>
      <c r="Q2309" s="288"/>
      <c r="R2309" s="283"/>
      <c r="S2309" s="280"/>
      <c r="T2309" s="276"/>
      <c r="U2309" s="276"/>
      <c r="V2309" s="276"/>
      <c r="W2309" s="283"/>
      <c r="X2309" s="280"/>
      <c r="Y2309" s="280"/>
      <c r="Z2309" s="280"/>
      <c r="AA2309" s="280"/>
      <c r="AB2309" s="280"/>
      <c r="AC2309" s="280"/>
      <c r="AD2309" s="280"/>
      <c r="AG2309" s="3"/>
      <c r="AH2309" s="3"/>
      <c r="AI2309" s="3"/>
      <c r="AJ2309" s="3"/>
      <c r="AK2309" s="3"/>
      <c r="AL2309" s="3"/>
      <c r="AM2309" s="3"/>
      <c r="AN2309" s="3"/>
      <c r="AO2309" s="3"/>
      <c r="AP2309" s="11"/>
      <c r="AQ2309" s="11"/>
      <c r="AR2309" s="3"/>
      <c r="AS2309" s="3"/>
      <c r="AT2309" s="3"/>
      <c r="AU2309" s="3"/>
      <c r="AV2309" s="3"/>
      <c r="AW2309" s="3"/>
      <c r="AX2309" s="11"/>
      <c r="AZ2309"/>
      <c r="BA2309"/>
      <c r="BB2309"/>
      <c r="BC2309"/>
    </row>
    <row r="2310" spans="1:55" s="282" customFormat="1" x14ac:dyDescent="0.25">
      <c r="A2310"/>
      <c r="B2310"/>
      <c r="C2310" s="3"/>
      <c r="D2310"/>
      <c r="E2310"/>
      <c r="F2310"/>
      <c r="G2310" s="3"/>
      <c r="H2310" s="3"/>
      <c r="I2310" s="3"/>
      <c r="J2310" s="288"/>
      <c r="L2310" s="288"/>
      <c r="M2310" s="288"/>
      <c r="N2310" s="288"/>
      <c r="O2310" s="288"/>
      <c r="P2310" s="288"/>
      <c r="Q2310" s="288"/>
      <c r="R2310" s="283"/>
      <c r="S2310" s="280"/>
      <c r="T2310" s="276"/>
      <c r="U2310" s="276"/>
      <c r="V2310" s="276"/>
      <c r="W2310" s="283"/>
      <c r="X2310" s="280"/>
      <c r="Y2310" s="280"/>
      <c r="Z2310" s="280"/>
      <c r="AA2310" s="280"/>
      <c r="AB2310" s="280"/>
      <c r="AC2310" s="280"/>
      <c r="AD2310" s="280"/>
      <c r="AG2310" s="3"/>
      <c r="AH2310" s="3"/>
      <c r="AI2310" s="3"/>
      <c r="AJ2310" s="3"/>
      <c r="AK2310" s="3"/>
      <c r="AL2310" s="3"/>
      <c r="AM2310" s="3"/>
      <c r="AN2310" s="3"/>
      <c r="AO2310" s="3"/>
      <c r="AP2310" s="11"/>
      <c r="AQ2310" s="11"/>
      <c r="AR2310" s="3"/>
      <c r="AS2310" s="3"/>
      <c r="AT2310" s="3"/>
      <c r="AU2310" s="3"/>
      <c r="AV2310" s="3"/>
      <c r="AW2310" s="3"/>
      <c r="AX2310" s="11"/>
      <c r="AZ2310"/>
      <c r="BA2310"/>
      <c r="BB2310"/>
      <c r="BC2310"/>
    </row>
    <row r="2311" spans="1:55" s="282" customFormat="1" x14ac:dyDescent="0.25">
      <c r="A2311"/>
      <c r="B2311"/>
      <c r="C2311" s="3"/>
      <c r="D2311"/>
      <c r="E2311"/>
      <c r="F2311"/>
      <c r="G2311" s="3"/>
      <c r="H2311" s="3"/>
      <c r="I2311" s="3"/>
      <c r="J2311" s="288"/>
      <c r="L2311" s="288"/>
      <c r="M2311" s="288"/>
      <c r="N2311" s="288"/>
      <c r="O2311" s="288"/>
      <c r="P2311" s="288"/>
      <c r="Q2311" s="288"/>
      <c r="R2311" s="283"/>
      <c r="S2311" s="280"/>
      <c r="T2311" s="276"/>
      <c r="U2311" s="276"/>
      <c r="V2311" s="276"/>
      <c r="W2311" s="283"/>
      <c r="X2311" s="280"/>
      <c r="Y2311" s="280"/>
      <c r="Z2311" s="280"/>
      <c r="AA2311" s="280"/>
      <c r="AB2311" s="280"/>
      <c r="AC2311" s="280"/>
      <c r="AD2311" s="280"/>
      <c r="AG2311" s="3"/>
      <c r="AH2311" s="3"/>
      <c r="AI2311" s="3"/>
      <c r="AJ2311" s="3"/>
      <c r="AK2311" s="3"/>
      <c r="AL2311" s="3"/>
      <c r="AM2311" s="3"/>
      <c r="AN2311" s="3"/>
      <c r="AO2311" s="3"/>
      <c r="AP2311" s="11"/>
      <c r="AQ2311" s="11"/>
      <c r="AR2311" s="3"/>
      <c r="AS2311" s="3"/>
      <c r="AT2311" s="3"/>
      <c r="AU2311" s="3"/>
      <c r="AV2311" s="3"/>
      <c r="AW2311" s="3"/>
      <c r="AX2311" s="11"/>
      <c r="AZ2311"/>
      <c r="BA2311"/>
      <c r="BB2311"/>
      <c r="BC2311"/>
    </row>
    <row r="2312" spans="1:55" s="282" customFormat="1" x14ac:dyDescent="0.25">
      <c r="A2312"/>
      <c r="B2312"/>
      <c r="C2312" s="3"/>
      <c r="D2312"/>
      <c r="E2312"/>
      <c r="F2312"/>
      <c r="G2312" s="3"/>
      <c r="H2312" s="3"/>
      <c r="I2312" s="3"/>
      <c r="J2312" s="288"/>
      <c r="L2312" s="288"/>
      <c r="M2312" s="288"/>
      <c r="N2312" s="288"/>
      <c r="O2312" s="288"/>
      <c r="P2312" s="288"/>
      <c r="Q2312" s="288"/>
      <c r="R2312" s="283"/>
      <c r="S2312" s="280"/>
      <c r="T2312" s="276"/>
      <c r="U2312" s="276"/>
      <c r="V2312" s="276"/>
      <c r="W2312" s="283"/>
      <c r="X2312" s="280"/>
      <c r="Y2312" s="280"/>
      <c r="Z2312" s="280"/>
      <c r="AA2312" s="280"/>
      <c r="AB2312" s="280"/>
      <c r="AC2312" s="280"/>
      <c r="AD2312" s="280"/>
      <c r="AG2312" s="3"/>
      <c r="AH2312" s="3"/>
      <c r="AI2312" s="3"/>
      <c r="AJ2312" s="3"/>
      <c r="AK2312" s="3"/>
      <c r="AL2312" s="3"/>
      <c r="AM2312" s="3"/>
      <c r="AN2312" s="3"/>
      <c r="AO2312" s="3"/>
      <c r="AP2312" s="11"/>
      <c r="AQ2312" s="11"/>
      <c r="AR2312" s="3"/>
      <c r="AS2312" s="3"/>
      <c r="AT2312" s="3"/>
      <c r="AU2312" s="3"/>
      <c r="AV2312" s="3"/>
      <c r="AW2312" s="3"/>
      <c r="AX2312" s="11"/>
      <c r="AZ2312"/>
      <c r="BA2312"/>
      <c r="BB2312"/>
      <c r="BC2312"/>
    </row>
    <row r="2313" spans="1:55" s="282" customFormat="1" x14ac:dyDescent="0.25">
      <c r="A2313"/>
      <c r="B2313"/>
      <c r="C2313" s="3"/>
      <c r="D2313"/>
      <c r="E2313"/>
      <c r="F2313"/>
      <c r="G2313" s="3"/>
      <c r="H2313" s="3"/>
      <c r="I2313" s="3"/>
      <c r="J2313" s="288"/>
      <c r="L2313" s="288"/>
      <c r="M2313" s="288"/>
      <c r="N2313" s="288"/>
      <c r="O2313" s="288"/>
      <c r="P2313" s="288"/>
      <c r="Q2313" s="288"/>
      <c r="R2313" s="283"/>
      <c r="S2313" s="280"/>
      <c r="T2313" s="276"/>
      <c r="U2313" s="276"/>
      <c r="V2313" s="276"/>
      <c r="W2313" s="283"/>
      <c r="X2313" s="280"/>
      <c r="Y2313" s="280"/>
      <c r="Z2313" s="280"/>
      <c r="AA2313" s="280"/>
      <c r="AB2313" s="280"/>
      <c r="AC2313" s="280"/>
      <c r="AD2313" s="280"/>
      <c r="AG2313" s="3"/>
      <c r="AH2313" s="3"/>
      <c r="AI2313" s="3"/>
      <c r="AJ2313" s="3"/>
      <c r="AK2313" s="3"/>
      <c r="AL2313" s="3"/>
      <c r="AM2313" s="3"/>
      <c r="AN2313" s="3"/>
      <c r="AO2313" s="3"/>
      <c r="AP2313" s="11"/>
      <c r="AQ2313" s="11"/>
      <c r="AR2313" s="3"/>
      <c r="AS2313" s="3"/>
      <c r="AT2313" s="3"/>
      <c r="AU2313" s="3"/>
      <c r="AV2313" s="3"/>
      <c r="AW2313" s="3"/>
      <c r="AX2313" s="11"/>
      <c r="AZ2313"/>
      <c r="BA2313"/>
      <c r="BB2313"/>
      <c r="BC2313"/>
    </row>
    <row r="2314" spans="1:55" s="282" customFormat="1" x14ac:dyDescent="0.25">
      <c r="A2314"/>
      <c r="B2314"/>
      <c r="C2314" s="3"/>
      <c r="D2314"/>
      <c r="E2314"/>
      <c r="F2314"/>
      <c r="G2314" s="3"/>
      <c r="H2314" s="3"/>
      <c r="I2314" s="3"/>
      <c r="J2314" s="288"/>
      <c r="L2314" s="288"/>
      <c r="M2314" s="288"/>
      <c r="N2314" s="288"/>
      <c r="O2314" s="288"/>
      <c r="P2314" s="288"/>
      <c r="Q2314" s="288"/>
      <c r="R2314" s="283"/>
      <c r="S2314" s="280"/>
      <c r="T2314" s="276"/>
      <c r="U2314" s="276"/>
      <c r="V2314" s="276"/>
      <c r="W2314" s="283"/>
      <c r="X2314" s="280"/>
      <c r="Y2314" s="280"/>
      <c r="Z2314" s="280"/>
      <c r="AA2314" s="280"/>
      <c r="AB2314" s="280"/>
      <c r="AC2314" s="280"/>
      <c r="AD2314" s="280"/>
      <c r="AG2314" s="3"/>
      <c r="AH2314" s="3"/>
      <c r="AI2314" s="3"/>
      <c r="AJ2314" s="3"/>
      <c r="AK2314" s="3"/>
      <c r="AL2314" s="3"/>
      <c r="AM2314" s="3"/>
      <c r="AN2314" s="3"/>
      <c r="AO2314" s="3"/>
      <c r="AP2314" s="11"/>
      <c r="AQ2314" s="11"/>
      <c r="AR2314" s="3"/>
      <c r="AS2314" s="3"/>
      <c r="AT2314" s="3"/>
      <c r="AU2314" s="3"/>
      <c r="AV2314" s="3"/>
      <c r="AW2314" s="3"/>
      <c r="AX2314" s="11"/>
      <c r="AZ2314"/>
      <c r="BA2314"/>
      <c r="BB2314"/>
      <c r="BC2314"/>
    </row>
    <row r="2315" spans="1:55" s="282" customFormat="1" x14ac:dyDescent="0.25">
      <c r="A2315"/>
      <c r="B2315"/>
      <c r="C2315" s="3"/>
      <c r="D2315"/>
      <c r="E2315"/>
      <c r="F2315"/>
      <c r="G2315" s="3"/>
      <c r="H2315" s="3"/>
      <c r="I2315" s="3"/>
      <c r="J2315" s="288"/>
      <c r="L2315" s="288"/>
      <c r="M2315" s="288"/>
      <c r="N2315" s="288"/>
      <c r="O2315" s="288"/>
      <c r="P2315" s="288"/>
      <c r="Q2315" s="288"/>
      <c r="R2315" s="283"/>
      <c r="S2315" s="280"/>
      <c r="T2315" s="276"/>
      <c r="U2315" s="276"/>
      <c r="V2315" s="276"/>
      <c r="W2315" s="283"/>
      <c r="X2315" s="280"/>
      <c r="Y2315" s="280"/>
      <c r="Z2315" s="280"/>
      <c r="AA2315" s="280"/>
      <c r="AB2315" s="280"/>
      <c r="AC2315" s="280"/>
      <c r="AD2315" s="280"/>
      <c r="AG2315" s="3"/>
      <c r="AH2315" s="3"/>
      <c r="AI2315" s="3"/>
      <c r="AJ2315" s="3"/>
      <c r="AK2315" s="3"/>
      <c r="AL2315" s="3"/>
      <c r="AM2315" s="3"/>
      <c r="AN2315" s="3"/>
      <c r="AO2315" s="3"/>
      <c r="AP2315" s="11"/>
      <c r="AQ2315" s="11"/>
      <c r="AR2315" s="3"/>
      <c r="AS2315" s="3"/>
      <c r="AT2315" s="3"/>
      <c r="AU2315" s="3"/>
      <c r="AV2315" s="3"/>
      <c r="AW2315" s="3"/>
      <c r="AX2315" s="11"/>
      <c r="AZ2315"/>
      <c r="BA2315"/>
      <c r="BB2315"/>
      <c r="BC2315"/>
    </row>
    <row r="2316" spans="1:55" s="282" customFormat="1" x14ac:dyDescent="0.25">
      <c r="A2316"/>
      <c r="B2316"/>
      <c r="C2316" s="3"/>
      <c r="D2316"/>
      <c r="E2316"/>
      <c r="F2316"/>
      <c r="G2316" s="3"/>
      <c r="H2316" s="3"/>
      <c r="I2316" s="3"/>
      <c r="J2316" s="288"/>
      <c r="L2316" s="288"/>
      <c r="M2316" s="288"/>
      <c r="N2316" s="288"/>
      <c r="O2316" s="288"/>
      <c r="P2316" s="288"/>
      <c r="Q2316" s="288"/>
      <c r="R2316" s="283"/>
      <c r="S2316" s="280"/>
      <c r="T2316" s="276"/>
      <c r="U2316" s="276"/>
      <c r="V2316" s="276"/>
      <c r="W2316" s="283"/>
      <c r="X2316" s="280"/>
      <c r="Y2316" s="280"/>
      <c r="Z2316" s="280"/>
      <c r="AA2316" s="280"/>
      <c r="AB2316" s="280"/>
      <c r="AC2316" s="280"/>
      <c r="AD2316" s="280"/>
      <c r="AG2316" s="3"/>
      <c r="AH2316" s="3"/>
      <c r="AI2316" s="3"/>
      <c r="AJ2316" s="3"/>
      <c r="AK2316" s="3"/>
      <c r="AL2316" s="3"/>
      <c r="AM2316" s="3"/>
      <c r="AN2316" s="3"/>
      <c r="AO2316" s="3"/>
      <c r="AP2316" s="11"/>
      <c r="AQ2316" s="11"/>
      <c r="AR2316" s="3"/>
      <c r="AS2316" s="3"/>
      <c r="AT2316" s="3"/>
      <c r="AU2316" s="3"/>
      <c r="AV2316" s="3"/>
      <c r="AW2316" s="3"/>
      <c r="AX2316" s="11"/>
      <c r="AZ2316"/>
      <c r="BA2316"/>
      <c r="BB2316"/>
      <c r="BC2316"/>
    </row>
    <row r="2317" spans="1:55" s="282" customFormat="1" x14ac:dyDescent="0.25">
      <c r="A2317"/>
      <c r="B2317"/>
      <c r="C2317" s="3"/>
      <c r="D2317"/>
      <c r="E2317"/>
      <c r="F2317"/>
      <c r="G2317" s="3"/>
      <c r="H2317" s="3"/>
      <c r="I2317" s="3"/>
      <c r="J2317" s="288"/>
      <c r="L2317" s="288"/>
      <c r="M2317" s="288"/>
      <c r="N2317" s="288"/>
      <c r="O2317" s="288"/>
      <c r="P2317" s="288"/>
      <c r="Q2317" s="288"/>
      <c r="R2317" s="283"/>
      <c r="S2317" s="280"/>
      <c r="T2317" s="276"/>
      <c r="U2317" s="276"/>
      <c r="V2317" s="276"/>
      <c r="W2317" s="283"/>
      <c r="X2317" s="280"/>
      <c r="Y2317" s="280"/>
      <c r="Z2317" s="280"/>
      <c r="AA2317" s="280"/>
      <c r="AB2317" s="280"/>
      <c r="AC2317" s="280"/>
      <c r="AD2317" s="280"/>
      <c r="AG2317" s="3"/>
      <c r="AH2317" s="3"/>
      <c r="AI2317" s="3"/>
      <c r="AJ2317" s="3"/>
      <c r="AK2317" s="3"/>
      <c r="AL2317" s="3"/>
      <c r="AM2317" s="3"/>
      <c r="AN2317" s="3"/>
      <c r="AO2317" s="3"/>
      <c r="AP2317" s="11"/>
      <c r="AQ2317" s="11"/>
      <c r="AR2317" s="3"/>
      <c r="AS2317" s="3"/>
      <c r="AT2317" s="3"/>
      <c r="AU2317" s="3"/>
      <c r="AV2317" s="3"/>
      <c r="AW2317" s="3"/>
      <c r="AX2317" s="11"/>
      <c r="AZ2317"/>
      <c r="BA2317"/>
      <c r="BB2317"/>
      <c r="BC2317"/>
    </row>
    <row r="2318" spans="1:55" s="282" customFormat="1" x14ac:dyDescent="0.25">
      <c r="A2318"/>
      <c r="B2318"/>
      <c r="C2318" s="3"/>
      <c r="D2318"/>
      <c r="E2318"/>
      <c r="F2318"/>
      <c r="G2318" s="3"/>
      <c r="H2318" s="3"/>
      <c r="I2318" s="3"/>
      <c r="J2318" s="288"/>
      <c r="L2318" s="288"/>
      <c r="M2318" s="288"/>
      <c r="N2318" s="288"/>
      <c r="O2318" s="288"/>
      <c r="P2318" s="288"/>
      <c r="Q2318" s="288"/>
      <c r="R2318" s="283"/>
      <c r="S2318" s="280"/>
      <c r="T2318" s="276"/>
      <c r="U2318" s="276"/>
      <c r="V2318" s="276"/>
      <c r="W2318" s="283"/>
      <c r="X2318" s="280"/>
      <c r="Y2318" s="280"/>
      <c r="Z2318" s="280"/>
      <c r="AA2318" s="280"/>
      <c r="AB2318" s="280"/>
      <c r="AC2318" s="280"/>
      <c r="AD2318" s="280"/>
      <c r="AG2318" s="3"/>
      <c r="AH2318" s="3"/>
      <c r="AI2318" s="3"/>
      <c r="AJ2318" s="3"/>
      <c r="AK2318" s="3"/>
      <c r="AL2318" s="3"/>
      <c r="AM2318" s="3"/>
      <c r="AN2318" s="3"/>
      <c r="AO2318" s="3"/>
      <c r="AP2318" s="11"/>
      <c r="AQ2318" s="11"/>
      <c r="AR2318" s="3"/>
      <c r="AS2318" s="3"/>
      <c r="AT2318" s="3"/>
      <c r="AU2318" s="3"/>
      <c r="AV2318" s="3"/>
      <c r="AW2318" s="3"/>
      <c r="AX2318" s="11"/>
      <c r="AZ2318"/>
      <c r="BA2318"/>
      <c r="BB2318"/>
      <c r="BC2318"/>
    </row>
    <row r="2319" spans="1:55" s="282" customFormat="1" x14ac:dyDescent="0.25">
      <c r="A2319"/>
      <c r="B2319"/>
      <c r="C2319" s="3"/>
      <c r="D2319"/>
      <c r="E2319"/>
      <c r="F2319"/>
      <c r="G2319" s="3"/>
      <c r="H2319" s="3"/>
      <c r="I2319" s="3"/>
      <c r="J2319" s="288"/>
      <c r="L2319" s="288"/>
      <c r="M2319" s="288"/>
      <c r="N2319" s="288"/>
      <c r="O2319" s="288"/>
      <c r="P2319" s="288"/>
      <c r="Q2319" s="288"/>
      <c r="R2319" s="283"/>
      <c r="S2319" s="280"/>
      <c r="T2319" s="276"/>
      <c r="U2319" s="276"/>
      <c r="V2319" s="276"/>
      <c r="W2319" s="283"/>
      <c r="X2319" s="280"/>
      <c r="Y2319" s="280"/>
      <c r="Z2319" s="280"/>
      <c r="AA2319" s="280"/>
      <c r="AB2319" s="280"/>
      <c r="AC2319" s="280"/>
      <c r="AD2319" s="280"/>
      <c r="AG2319" s="3"/>
      <c r="AH2319" s="3"/>
      <c r="AI2319" s="3"/>
      <c r="AJ2319" s="3"/>
      <c r="AK2319" s="3"/>
      <c r="AL2319" s="3"/>
      <c r="AM2319" s="3"/>
      <c r="AN2319" s="3"/>
      <c r="AO2319" s="3"/>
      <c r="AP2319" s="11"/>
      <c r="AQ2319" s="11"/>
      <c r="AR2319" s="3"/>
      <c r="AS2319" s="3"/>
      <c r="AT2319" s="3"/>
      <c r="AU2319" s="3"/>
      <c r="AV2319" s="3"/>
      <c r="AW2319" s="3"/>
      <c r="AX2319" s="11"/>
      <c r="AZ2319"/>
      <c r="BA2319"/>
      <c r="BB2319"/>
      <c r="BC2319"/>
    </row>
    <row r="2320" spans="1:55" s="282" customFormat="1" x14ac:dyDescent="0.25">
      <c r="A2320"/>
      <c r="B2320"/>
      <c r="C2320" s="3"/>
      <c r="D2320"/>
      <c r="E2320"/>
      <c r="F2320"/>
      <c r="G2320" s="3"/>
      <c r="H2320" s="3"/>
      <c r="I2320" s="3"/>
      <c r="J2320" s="288"/>
      <c r="L2320" s="288"/>
      <c r="M2320" s="288"/>
      <c r="N2320" s="288"/>
      <c r="O2320" s="288"/>
      <c r="P2320" s="288"/>
      <c r="Q2320" s="288"/>
      <c r="R2320" s="283"/>
      <c r="S2320" s="280"/>
      <c r="T2320" s="276"/>
      <c r="U2320" s="276"/>
      <c r="V2320" s="276"/>
      <c r="W2320" s="283"/>
      <c r="X2320" s="280"/>
      <c r="Y2320" s="280"/>
      <c r="Z2320" s="280"/>
      <c r="AA2320" s="280"/>
      <c r="AB2320" s="280"/>
      <c r="AC2320" s="280"/>
      <c r="AD2320" s="280"/>
      <c r="AG2320" s="3"/>
      <c r="AH2320" s="3"/>
      <c r="AI2320" s="3"/>
      <c r="AJ2320" s="3"/>
      <c r="AK2320" s="3"/>
      <c r="AL2320" s="3"/>
      <c r="AM2320" s="3"/>
      <c r="AN2320" s="3"/>
      <c r="AO2320" s="3"/>
      <c r="AP2320" s="11"/>
      <c r="AQ2320" s="11"/>
      <c r="AR2320" s="3"/>
      <c r="AS2320" s="3"/>
      <c r="AT2320" s="3"/>
      <c r="AU2320" s="3"/>
      <c r="AV2320" s="3"/>
      <c r="AW2320" s="3"/>
      <c r="AX2320" s="11"/>
      <c r="AZ2320"/>
      <c r="BA2320"/>
      <c r="BB2320"/>
      <c r="BC2320"/>
    </row>
    <row r="2321" spans="1:55" s="282" customFormat="1" x14ac:dyDescent="0.25">
      <c r="A2321"/>
      <c r="B2321"/>
      <c r="C2321" s="3"/>
      <c r="D2321"/>
      <c r="E2321"/>
      <c r="F2321"/>
      <c r="G2321" s="3"/>
      <c r="H2321" s="3"/>
      <c r="I2321" s="3"/>
      <c r="J2321" s="288"/>
      <c r="L2321" s="288"/>
      <c r="M2321" s="288"/>
      <c r="N2321" s="288"/>
      <c r="O2321" s="288"/>
      <c r="P2321" s="288"/>
      <c r="Q2321" s="288"/>
      <c r="R2321" s="283"/>
      <c r="S2321" s="280"/>
      <c r="T2321" s="276"/>
      <c r="U2321" s="276"/>
      <c r="V2321" s="276"/>
      <c r="W2321" s="283"/>
      <c r="X2321" s="280"/>
      <c r="Y2321" s="280"/>
      <c r="Z2321" s="280"/>
      <c r="AA2321" s="280"/>
      <c r="AB2321" s="280"/>
      <c r="AC2321" s="280"/>
      <c r="AD2321" s="280"/>
      <c r="AG2321" s="3"/>
      <c r="AH2321" s="3"/>
      <c r="AI2321" s="3"/>
      <c r="AJ2321" s="3"/>
      <c r="AK2321" s="3"/>
      <c r="AL2321" s="3"/>
      <c r="AM2321" s="3"/>
      <c r="AN2321" s="3"/>
      <c r="AO2321" s="3"/>
      <c r="AP2321" s="11"/>
      <c r="AQ2321" s="11"/>
      <c r="AR2321" s="3"/>
      <c r="AS2321" s="3"/>
      <c r="AT2321" s="3"/>
      <c r="AU2321" s="3"/>
      <c r="AV2321" s="3"/>
      <c r="AW2321" s="3"/>
      <c r="AX2321" s="11"/>
      <c r="AZ2321"/>
      <c r="BA2321"/>
      <c r="BB2321"/>
      <c r="BC2321"/>
    </row>
    <row r="2322" spans="1:55" s="282" customFormat="1" x14ac:dyDescent="0.25">
      <c r="A2322"/>
      <c r="B2322"/>
      <c r="C2322" s="3"/>
      <c r="D2322"/>
      <c r="E2322"/>
      <c r="F2322"/>
      <c r="G2322" s="3"/>
      <c r="H2322" s="3"/>
      <c r="I2322" s="3"/>
      <c r="J2322" s="288"/>
      <c r="L2322" s="288"/>
      <c r="M2322" s="288"/>
      <c r="N2322" s="288"/>
      <c r="O2322" s="288"/>
      <c r="P2322" s="288"/>
      <c r="Q2322" s="288"/>
      <c r="R2322" s="283"/>
      <c r="S2322" s="280"/>
      <c r="T2322" s="276"/>
      <c r="U2322" s="276"/>
      <c r="V2322" s="276"/>
      <c r="W2322" s="283"/>
      <c r="X2322" s="280"/>
      <c r="Y2322" s="280"/>
      <c r="Z2322" s="280"/>
      <c r="AA2322" s="280"/>
      <c r="AB2322" s="280"/>
      <c r="AC2322" s="280"/>
      <c r="AD2322" s="280"/>
      <c r="AG2322" s="3"/>
      <c r="AH2322" s="3"/>
      <c r="AI2322" s="3"/>
      <c r="AJ2322" s="3"/>
      <c r="AK2322" s="3"/>
      <c r="AL2322" s="3"/>
      <c r="AM2322" s="3"/>
      <c r="AN2322" s="3"/>
      <c r="AO2322" s="3"/>
      <c r="AP2322" s="11"/>
      <c r="AQ2322" s="11"/>
      <c r="AR2322" s="3"/>
      <c r="AS2322" s="3"/>
      <c r="AT2322" s="3"/>
      <c r="AU2322" s="3"/>
      <c r="AV2322" s="3"/>
      <c r="AW2322" s="3"/>
      <c r="AX2322" s="11"/>
      <c r="AZ2322"/>
      <c r="BA2322"/>
      <c r="BB2322"/>
      <c r="BC2322"/>
    </row>
    <row r="2323" spans="1:55" s="282" customFormat="1" x14ac:dyDescent="0.25">
      <c r="A2323"/>
      <c r="B2323"/>
      <c r="C2323" s="3"/>
      <c r="D2323"/>
      <c r="E2323"/>
      <c r="F2323"/>
      <c r="G2323" s="3"/>
      <c r="H2323" s="3"/>
      <c r="I2323" s="3"/>
      <c r="J2323" s="288"/>
      <c r="L2323" s="288"/>
      <c r="M2323" s="288"/>
      <c r="N2323" s="288"/>
      <c r="O2323" s="288"/>
      <c r="P2323" s="288"/>
      <c r="Q2323" s="288"/>
      <c r="R2323" s="283"/>
      <c r="S2323" s="280"/>
      <c r="T2323" s="276"/>
      <c r="U2323" s="276"/>
      <c r="V2323" s="276"/>
      <c r="W2323" s="283"/>
      <c r="X2323" s="280"/>
      <c r="Y2323" s="280"/>
      <c r="Z2323" s="280"/>
      <c r="AA2323" s="280"/>
      <c r="AB2323" s="280"/>
      <c r="AC2323" s="280"/>
      <c r="AD2323" s="280"/>
      <c r="AG2323" s="3"/>
      <c r="AH2323" s="3"/>
      <c r="AI2323" s="3"/>
      <c r="AJ2323" s="3"/>
      <c r="AK2323" s="3"/>
      <c r="AL2323" s="3"/>
      <c r="AM2323" s="3"/>
      <c r="AN2323" s="3"/>
      <c r="AO2323" s="3"/>
      <c r="AP2323" s="11"/>
      <c r="AQ2323" s="11"/>
      <c r="AR2323" s="3"/>
      <c r="AS2323" s="3"/>
      <c r="AT2323" s="3"/>
      <c r="AU2323" s="3"/>
      <c r="AV2323" s="3"/>
      <c r="AW2323" s="3"/>
      <c r="AX2323" s="11"/>
      <c r="AZ2323"/>
      <c r="BA2323"/>
      <c r="BB2323"/>
      <c r="BC2323"/>
    </row>
    <row r="2324" spans="1:55" s="282" customFormat="1" x14ac:dyDescent="0.25">
      <c r="A2324"/>
      <c r="B2324"/>
      <c r="C2324" s="3"/>
      <c r="D2324"/>
      <c r="E2324"/>
      <c r="F2324"/>
      <c r="G2324" s="3"/>
      <c r="H2324" s="3"/>
      <c r="I2324" s="3"/>
      <c r="J2324" s="288"/>
      <c r="L2324" s="288"/>
      <c r="M2324" s="288"/>
      <c r="N2324" s="288"/>
      <c r="O2324" s="288"/>
      <c r="P2324" s="288"/>
      <c r="Q2324" s="288"/>
      <c r="R2324" s="283"/>
      <c r="S2324" s="280"/>
      <c r="T2324" s="276"/>
      <c r="U2324" s="276"/>
      <c r="V2324" s="276"/>
      <c r="W2324" s="283"/>
      <c r="X2324" s="280"/>
      <c r="Y2324" s="280"/>
      <c r="Z2324" s="280"/>
      <c r="AA2324" s="280"/>
      <c r="AB2324" s="280"/>
      <c r="AC2324" s="280"/>
      <c r="AD2324" s="280"/>
      <c r="AG2324" s="3"/>
      <c r="AH2324" s="3"/>
      <c r="AI2324" s="3"/>
      <c r="AJ2324" s="3"/>
      <c r="AK2324" s="3"/>
      <c r="AL2324" s="3"/>
      <c r="AM2324" s="3"/>
      <c r="AN2324" s="3"/>
      <c r="AO2324" s="3"/>
      <c r="AP2324" s="11"/>
      <c r="AQ2324" s="11"/>
      <c r="AR2324" s="3"/>
      <c r="AS2324" s="3"/>
      <c r="AT2324" s="3"/>
      <c r="AU2324" s="3"/>
      <c r="AV2324" s="3"/>
      <c r="AW2324" s="3"/>
      <c r="AX2324" s="11"/>
      <c r="AZ2324"/>
      <c r="BA2324"/>
      <c r="BB2324"/>
      <c r="BC2324"/>
    </row>
    <row r="2325" spans="1:55" s="282" customFormat="1" x14ac:dyDescent="0.25">
      <c r="A2325"/>
      <c r="B2325"/>
      <c r="C2325" s="3"/>
      <c r="D2325"/>
      <c r="E2325"/>
      <c r="F2325"/>
      <c r="G2325" s="3"/>
      <c r="H2325" s="3"/>
      <c r="I2325" s="3"/>
      <c r="J2325" s="288"/>
      <c r="L2325" s="288"/>
      <c r="M2325" s="288"/>
      <c r="N2325" s="288"/>
      <c r="O2325" s="288"/>
      <c r="P2325" s="288"/>
      <c r="Q2325" s="288"/>
      <c r="R2325" s="283"/>
      <c r="S2325" s="280"/>
      <c r="T2325" s="276"/>
      <c r="U2325" s="276"/>
      <c r="V2325" s="276"/>
      <c r="W2325" s="283"/>
      <c r="X2325" s="280"/>
      <c r="Y2325" s="280"/>
      <c r="Z2325" s="280"/>
      <c r="AA2325" s="280"/>
      <c r="AB2325" s="280"/>
      <c r="AC2325" s="280"/>
      <c r="AD2325" s="280"/>
      <c r="AG2325" s="3"/>
      <c r="AH2325" s="3"/>
      <c r="AI2325" s="3"/>
      <c r="AJ2325" s="3"/>
      <c r="AK2325" s="3"/>
      <c r="AL2325" s="3"/>
      <c r="AM2325" s="3"/>
      <c r="AN2325" s="3"/>
      <c r="AO2325" s="3"/>
      <c r="AP2325" s="11"/>
      <c r="AQ2325" s="11"/>
      <c r="AR2325" s="3"/>
      <c r="AS2325" s="3"/>
      <c r="AT2325" s="3"/>
      <c r="AU2325" s="3"/>
      <c r="AV2325" s="3"/>
      <c r="AW2325" s="3"/>
      <c r="AX2325" s="11"/>
      <c r="AZ2325"/>
      <c r="BA2325"/>
      <c r="BB2325"/>
      <c r="BC2325"/>
    </row>
    <row r="2326" spans="1:55" s="282" customFormat="1" x14ac:dyDescent="0.25">
      <c r="A2326"/>
      <c r="B2326"/>
      <c r="C2326" s="3"/>
      <c r="D2326"/>
      <c r="E2326"/>
      <c r="F2326"/>
      <c r="G2326" s="3"/>
      <c r="H2326" s="3"/>
      <c r="I2326" s="3"/>
      <c r="J2326" s="288"/>
      <c r="L2326" s="288"/>
      <c r="M2326" s="288"/>
      <c r="N2326" s="288"/>
      <c r="O2326" s="288"/>
      <c r="P2326" s="288"/>
      <c r="Q2326" s="288"/>
      <c r="R2326" s="283"/>
      <c r="S2326" s="280"/>
      <c r="T2326" s="276"/>
      <c r="U2326" s="276"/>
      <c r="V2326" s="276"/>
      <c r="W2326" s="283"/>
      <c r="X2326" s="280"/>
      <c r="Y2326" s="280"/>
      <c r="Z2326" s="280"/>
      <c r="AA2326" s="280"/>
      <c r="AB2326" s="280"/>
      <c r="AC2326" s="280"/>
      <c r="AD2326" s="280"/>
      <c r="AG2326" s="3"/>
      <c r="AH2326" s="3"/>
      <c r="AI2326" s="3"/>
      <c r="AJ2326" s="3"/>
      <c r="AK2326" s="3"/>
      <c r="AL2326" s="3"/>
      <c r="AM2326" s="3"/>
      <c r="AN2326" s="3"/>
      <c r="AO2326" s="3"/>
      <c r="AP2326" s="11"/>
      <c r="AQ2326" s="11"/>
      <c r="AR2326" s="3"/>
      <c r="AS2326" s="3"/>
      <c r="AT2326" s="3"/>
      <c r="AU2326" s="3"/>
      <c r="AV2326" s="3"/>
      <c r="AW2326" s="3"/>
      <c r="AX2326" s="11"/>
      <c r="AZ2326"/>
      <c r="BA2326"/>
      <c r="BB2326"/>
      <c r="BC2326"/>
    </row>
    <row r="2327" spans="1:55" s="282" customFormat="1" x14ac:dyDescent="0.25">
      <c r="A2327"/>
      <c r="B2327"/>
      <c r="C2327" s="3"/>
      <c r="D2327"/>
      <c r="E2327"/>
      <c r="F2327"/>
      <c r="G2327" s="3"/>
      <c r="H2327" s="3"/>
      <c r="I2327" s="3"/>
      <c r="J2327" s="288"/>
      <c r="L2327" s="288"/>
      <c r="M2327" s="288"/>
      <c r="N2327" s="288"/>
      <c r="O2327" s="288"/>
      <c r="P2327" s="288"/>
      <c r="Q2327" s="288"/>
      <c r="R2327" s="283"/>
      <c r="S2327" s="280"/>
      <c r="T2327" s="276"/>
      <c r="U2327" s="276"/>
      <c r="V2327" s="276"/>
      <c r="W2327" s="283"/>
      <c r="X2327" s="280"/>
      <c r="Y2327" s="280"/>
      <c r="Z2327" s="280"/>
      <c r="AA2327" s="280"/>
      <c r="AB2327" s="280"/>
      <c r="AC2327" s="280"/>
      <c r="AD2327" s="280"/>
      <c r="AG2327" s="3"/>
      <c r="AH2327" s="3"/>
      <c r="AI2327" s="3"/>
      <c r="AJ2327" s="3"/>
      <c r="AK2327" s="3"/>
      <c r="AL2327" s="3"/>
      <c r="AM2327" s="3"/>
      <c r="AN2327" s="3"/>
      <c r="AO2327" s="3"/>
      <c r="AP2327" s="11"/>
      <c r="AQ2327" s="11"/>
      <c r="AR2327" s="3"/>
      <c r="AS2327" s="3"/>
      <c r="AT2327" s="3"/>
      <c r="AU2327" s="3"/>
      <c r="AV2327" s="3"/>
      <c r="AW2327" s="3"/>
      <c r="AX2327" s="11"/>
      <c r="AZ2327"/>
      <c r="BA2327"/>
      <c r="BB2327"/>
      <c r="BC2327"/>
    </row>
    <row r="2328" spans="1:55" s="282" customFormat="1" x14ac:dyDescent="0.25">
      <c r="A2328"/>
      <c r="B2328"/>
      <c r="C2328" s="3"/>
      <c r="D2328"/>
      <c r="E2328"/>
      <c r="F2328"/>
      <c r="G2328" s="3"/>
      <c r="H2328" s="3"/>
      <c r="I2328" s="3"/>
      <c r="J2328" s="288"/>
      <c r="L2328" s="288"/>
      <c r="M2328" s="288"/>
      <c r="N2328" s="288"/>
      <c r="O2328" s="288"/>
      <c r="P2328" s="288"/>
      <c r="Q2328" s="288"/>
      <c r="R2328" s="283"/>
      <c r="S2328" s="280"/>
      <c r="T2328" s="276"/>
      <c r="U2328" s="276"/>
      <c r="V2328" s="276"/>
      <c r="W2328" s="283"/>
      <c r="X2328" s="280"/>
      <c r="Y2328" s="280"/>
      <c r="Z2328" s="280"/>
      <c r="AA2328" s="280"/>
      <c r="AB2328" s="280"/>
      <c r="AC2328" s="280"/>
      <c r="AD2328" s="280"/>
      <c r="AG2328" s="3"/>
      <c r="AH2328" s="3"/>
      <c r="AI2328" s="3"/>
      <c r="AJ2328" s="3"/>
      <c r="AK2328" s="3"/>
      <c r="AL2328" s="3"/>
      <c r="AM2328" s="3"/>
      <c r="AN2328" s="3"/>
      <c r="AO2328" s="3"/>
      <c r="AP2328" s="11"/>
      <c r="AQ2328" s="11"/>
      <c r="AR2328" s="3"/>
      <c r="AS2328" s="3"/>
      <c r="AT2328" s="3"/>
      <c r="AU2328" s="3"/>
      <c r="AV2328" s="3"/>
      <c r="AW2328" s="3"/>
      <c r="AX2328" s="11"/>
      <c r="AZ2328"/>
      <c r="BA2328"/>
      <c r="BB2328"/>
      <c r="BC2328"/>
    </row>
    <row r="2329" spans="1:55" s="282" customFormat="1" x14ac:dyDescent="0.25">
      <c r="A2329"/>
      <c r="B2329"/>
      <c r="C2329" s="3"/>
      <c r="D2329"/>
      <c r="E2329"/>
      <c r="F2329"/>
      <c r="G2329" s="3"/>
      <c r="H2329" s="3"/>
      <c r="I2329" s="3"/>
      <c r="J2329" s="288"/>
      <c r="L2329" s="288"/>
      <c r="M2329" s="288"/>
      <c r="N2329" s="288"/>
      <c r="O2329" s="288"/>
      <c r="P2329" s="288"/>
      <c r="Q2329" s="288"/>
      <c r="R2329" s="283"/>
      <c r="S2329" s="280"/>
      <c r="T2329" s="276"/>
      <c r="U2329" s="276"/>
      <c r="V2329" s="276"/>
      <c r="W2329" s="283"/>
      <c r="X2329" s="280"/>
      <c r="Y2329" s="280"/>
      <c r="Z2329" s="280"/>
      <c r="AA2329" s="280"/>
      <c r="AB2329" s="280"/>
      <c r="AC2329" s="280"/>
      <c r="AD2329" s="280"/>
      <c r="AG2329" s="3"/>
      <c r="AH2329" s="3"/>
      <c r="AI2329" s="3"/>
      <c r="AJ2329" s="3"/>
      <c r="AK2329" s="3"/>
      <c r="AL2329" s="3"/>
      <c r="AM2329" s="3"/>
      <c r="AN2329" s="3"/>
      <c r="AO2329" s="3"/>
      <c r="AP2329" s="11"/>
      <c r="AQ2329" s="11"/>
      <c r="AR2329" s="3"/>
      <c r="AS2329" s="3"/>
      <c r="AT2329" s="3"/>
      <c r="AU2329" s="3"/>
      <c r="AV2329" s="3"/>
      <c r="AW2329" s="3"/>
      <c r="AX2329" s="11"/>
      <c r="AZ2329"/>
      <c r="BA2329"/>
      <c r="BB2329"/>
      <c r="BC2329"/>
    </row>
    <row r="2330" spans="1:55" s="282" customFormat="1" x14ac:dyDescent="0.25">
      <c r="A2330"/>
      <c r="B2330"/>
      <c r="C2330" s="3"/>
      <c r="D2330"/>
      <c r="E2330"/>
      <c r="F2330"/>
      <c r="G2330" s="3"/>
      <c r="H2330" s="3"/>
      <c r="I2330" s="3"/>
      <c r="J2330" s="288"/>
      <c r="L2330" s="288"/>
      <c r="M2330" s="288"/>
      <c r="N2330" s="288"/>
      <c r="O2330" s="288"/>
      <c r="P2330" s="288"/>
      <c r="Q2330" s="288"/>
      <c r="R2330" s="283"/>
      <c r="S2330" s="280"/>
      <c r="T2330" s="276"/>
      <c r="U2330" s="276"/>
      <c r="V2330" s="276"/>
      <c r="W2330" s="283"/>
      <c r="X2330" s="280"/>
      <c r="Y2330" s="280"/>
      <c r="Z2330" s="280"/>
      <c r="AA2330" s="280"/>
      <c r="AB2330" s="280"/>
      <c r="AC2330" s="280"/>
      <c r="AD2330" s="280"/>
      <c r="AG2330" s="3"/>
      <c r="AH2330" s="3"/>
      <c r="AI2330" s="3"/>
      <c r="AJ2330" s="3"/>
      <c r="AK2330" s="3"/>
      <c r="AL2330" s="3"/>
      <c r="AM2330" s="3"/>
      <c r="AN2330" s="3"/>
      <c r="AO2330" s="3"/>
      <c r="AP2330" s="11"/>
      <c r="AQ2330" s="11"/>
      <c r="AR2330" s="3"/>
      <c r="AS2330" s="3"/>
      <c r="AT2330" s="3"/>
      <c r="AU2330" s="3"/>
      <c r="AV2330" s="3"/>
      <c r="AW2330" s="3"/>
      <c r="AX2330" s="11"/>
      <c r="AZ2330"/>
      <c r="BA2330"/>
      <c r="BB2330"/>
      <c r="BC2330"/>
    </row>
    <row r="2331" spans="1:55" s="282" customFormat="1" x14ac:dyDescent="0.25">
      <c r="A2331"/>
      <c r="B2331"/>
      <c r="C2331" s="3"/>
      <c r="D2331"/>
      <c r="E2331"/>
      <c r="F2331"/>
      <c r="G2331" s="3"/>
      <c r="H2331" s="3"/>
      <c r="I2331" s="3"/>
      <c r="J2331" s="288"/>
      <c r="L2331" s="288"/>
      <c r="M2331" s="288"/>
      <c r="N2331" s="288"/>
      <c r="O2331" s="288"/>
      <c r="P2331" s="288"/>
      <c r="Q2331" s="288"/>
      <c r="R2331" s="283"/>
      <c r="S2331" s="280"/>
      <c r="T2331" s="276"/>
      <c r="U2331" s="276"/>
      <c r="V2331" s="276"/>
      <c r="W2331" s="283"/>
      <c r="X2331" s="280"/>
      <c r="Y2331" s="280"/>
      <c r="Z2331" s="280"/>
      <c r="AA2331" s="280"/>
      <c r="AB2331" s="280"/>
      <c r="AC2331" s="280"/>
      <c r="AD2331" s="280"/>
      <c r="AG2331" s="3"/>
      <c r="AH2331" s="3"/>
      <c r="AI2331" s="3"/>
      <c r="AJ2331" s="3"/>
      <c r="AK2331" s="3"/>
      <c r="AL2331" s="3"/>
      <c r="AM2331" s="3"/>
      <c r="AN2331" s="3"/>
      <c r="AO2331" s="3"/>
      <c r="AP2331" s="11"/>
      <c r="AQ2331" s="11"/>
      <c r="AR2331" s="3"/>
      <c r="AS2331" s="3"/>
      <c r="AT2331" s="3"/>
      <c r="AU2331" s="3"/>
      <c r="AV2331" s="3"/>
      <c r="AW2331" s="3"/>
      <c r="AX2331" s="11"/>
      <c r="AZ2331"/>
      <c r="BA2331"/>
      <c r="BB2331"/>
      <c r="BC2331"/>
    </row>
    <row r="2332" spans="1:55" s="282" customFormat="1" x14ac:dyDescent="0.25">
      <c r="A2332"/>
      <c r="B2332"/>
      <c r="C2332" s="3"/>
      <c r="D2332"/>
      <c r="E2332"/>
      <c r="F2332"/>
      <c r="G2332" s="3"/>
      <c r="H2332" s="3"/>
      <c r="I2332" s="3"/>
      <c r="J2332" s="288"/>
      <c r="L2332" s="288"/>
      <c r="M2332" s="288"/>
      <c r="N2332" s="288"/>
      <c r="O2332" s="288"/>
      <c r="P2332" s="288"/>
      <c r="Q2332" s="288"/>
      <c r="R2332" s="283"/>
      <c r="S2332" s="280"/>
      <c r="T2332" s="276"/>
      <c r="U2332" s="276"/>
      <c r="V2332" s="276"/>
      <c r="W2332" s="283"/>
      <c r="X2332" s="280"/>
      <c r="Y2332" s="280"/>
      <c r="Z2332" s="280"/>
      <c r="AA2332" s="280"/>
      <c r="AB2332" s="280"/>
      <c r="AC2332" s="280"/>
      <c r="AD2332" s="280"/>
      <c r="AG2332" s="3"/>
      <c r="AH2332" s="3"/>
      <c r="AI2332" s="3"/>
      <c r="AJ2332" s="3"/>
      <c r="AK2332" s="3"/>
      <c r="AL2332" s="3"/>
      <c r="AM2332" s="3"/>
      <c r="AN2332" s="3"/>
      <c r="AO2332" s="3"/>
      <c r="AP2332" s="11"/>
      <c r="AQ2332" s="11"/>
      <c r="AR2332" s="3"/>
      <c r="AS2332" s="3"/>
      <c r="AT2332" s="3"/>
      <c r="AU2332" s="3"/>
      <c r="AV2332" s="3"/>
      <c r="AW2332" s="3"/>
      <c r="AX2332" s="11"/>
      <c r="AZ2332"/>
      <c r="BA2332"/>
      <c r="BB2332"/>
      <c r="BC2332"/>
    </row>
    <row r="2333" spans="1:55" s="282" customFormat="1" x14ac:dyDescent="0.25">
      <c r="A2333"/>
      <c r="B2333"/>
      <c r="C2333" s="3"/>
      <c r="D2333"/>
      <c r="E2333"/>
      <c r="F2333"/>
      <c r="G2333" s="3"/>
      <c r="H2333" s="3"/>
      <c r="I2333" s="3"/>
      <c r="J2333" s="288"/>
      <c r="L2333" s="288"/>
      <c r="M2333" s="288"/>
      <c r="N2333" s="288"/>
      <c r="O2333" s="288"/>
      <c r="P2333" s="288"/>
      <c r="Q2333" s="288"/>
      <c r="R2333" s="283"/>
      <c r="S2333" s="280"/>
      <c r="T2333" s="276"/>
      <c r="U2333" s="276"/>
      <c r="V2333" s="276"/>
      <c r="W2333" s="283"/>
      <c r="X2333" s="280"/>
      <c r="Y2333" s="280"/>
      <c r="Z2333" s="280"/>
      <c r="AA2333" s="280"/>
      <c r="AB2333" s="280"/>
      <c r="AC2333" s="280"/>
      <c r="AD2333" s="280"/>
      <c r="AG2333" s="3"/>
      <c r="AH2333" s="3"/>
      <c r="AI2333" s="3"/>
      <c r="AJ2333" s="3"/>
      <c r="AK2333" s="3"/>
      <c r="AL2333" s="3"/>
      <c r="AM2333" s="3"/>
      <c r="AN2333" s="3"/>
      <c r="AO2333" s="3"/>
      <c r="AP2333" s="11"/>
      <c r="AQ2333" s="11"/>
      <c r="AR2333" s="3"/>
      <c r="AS2333" s="3"/>
      <c r="AT2333" s="3"/>
      <c r="AU2333" s="3"/>
      <c r="AV2333" s="3"/>
      <c r="AW2333" s="3"/>
      <c r="AX2333" s="11"/>
      <c r="AZ2333"/>
      <c r="BA2333"/>
      <c r="BB2333"/>
      <c r="BC2333"/>
    </row>
    <row r="2334" spans="1:55" s="282" customFormat="1" x14ac:dyDescent="0.25">
      <c r="A2334"/>
      <c r="B2334"/>
      <c r="C2334" s="3"/>
      <c r="D2334"/>
      <c r="E2334"/>
      <c r="F2334"/>
      <c r="G2334" s="3"/>
      <c r="H2334" s="3"/>
      <c r="I2334" s="3"/>
      <c r="J2334" s="288"/>
      <c r="L2334" s="288"/>
      <c r="M2334" s="288"/>
      <c r="N2334" s="288"/>
      <c r="O2334" s="288"/>
      <c r="P2334" s="288"/>
      <c r="Q2334" s="288"/>
      <c r="R2334" s="283"/>
      <c r="S2334" s="280"/>
      <c r="T2334" s="276"/>
      <c r="U2334" s="276"/>
      <c r="V2334" s="276"/>
      <c r="W2334" s="283"/>
      <c r="X2334" s="280"/>
      <c r="Y2334" s="280"/>
      <c r="Z2334" s="280"/>
      <c r="AA2334" s="280"/>
      <c r="AB2334" s="280"/>
      <c r="AC2334" s="280"/>
      <c r="AD2334" s="280"/>
      <c r="AG2334" s="3"/>
      <c r="AH2334" s="3"/>
      <c r="AI2334" s="3"/>
      <c r="AJ2334" s="3"/>
      <c r="AK2334" s="3"/>
      <c r="AL2334" s="3"/>
      <c r="AM2334" s="3"/>
      <c r="AN2334" s="3"/>
      <c r="AO2334" s="3"/>
      <c r="AP2334" s="11"/>
      <c r="AQ2334" s="11"/>
      <c r="AR2334" s="3"/>
      <c r="AS2334" s="3"/>
      <c r="AT2334" s="3"/>
      <c r="AU2334" s="3"/>
      <c r="AV2334" s="3"/>
      <c r="AW2334" s="3"/>
      <c r="AX2334" s="11"/>
      <c r="AZ2334"/>
      <c r="BA2334"/>
      <c r="BB2334"/>
      <c r="BC2334"/>
    </row>
    <row r="2335" spans="1:55" s="282" customFormat="1" x14ac:dyDescent="0.25">
      <c r="A2335"/>
      <c r="B2335"/>
      <c r="C2335" s="3"/>
      <c r="D2335"/>
      <c r="E2335"/>
      <c r="F2335"/>
      <c r="G2335" s="3"/>
      <c r="H2335" s="3"/>
      <c r="I2335" s="3"/>
      <c r="J2335" s="288"/>
      <c r="L2335" s="288"/>
      <c r="M2335" s="288"/>
      <c r="N2335" s="288"/>
      <c r="O2335" s="288"/>
      <c r="P2335" s="288"/>
      <c r="Q2335" s="288"/>
      <c r="R2335" s="283"/>
      <c r="S2335" s="280"/>
      <c r="T2335" s="276"/>
      <c r="U2335" s="276"/>
      <c r="V2335" s="276"/>
      <c r="W2335" s="283"/>
      <c r="X2335" s="280"/>
      <c r="Y2335" s="280"/>
      <c r="Z2335" s="280"/>
      <c r="AA2335" s="280"/>
      <c r="AB2335" s="280"/>
      <c r="AC2335" s="280"/>
      <c r="AD2335" s="280"/>
      <c r="AG2335" s="3"/>
      <c r="AH2335" s="3"/>
      <c r="AI2335" s="3"/>
      <c r="AJ2335" s="3"/>
      <c r="AK2335" s="3"/>
      <c r="AL2335" s="3"/>
      <c r="AM2335" s="3"/>
      <c r="AN2335" s="3"/>
      <c r="AO2335" s="3"/>
      <c r="AP2335" s="11"/>
      <c r="AQ2335" s="11"/>
      <c r="AR2335" s="3"/>
      <c r="AS2335" s="3"/>
      <c r="AT2335" s="3"/>
      <c r="AU2335" s="3"/>
      <c r="AV2335" s="3"/>
      <c r="AW2335" s="3"/>
      <c r="AX2335" s="11"/>
      <c r="AZ2335"/>
      <c r="BA2335"/>
      <c r="BB2335"/>
      <c r="BC2335"/>
    </row>
    <row r="2336" spans="1:55" s="282" customFormat="1" x14ac:dyDescent="0.25">
      <c r="A2336"/>
      <c r="B2336"/>
      <c r="C2336" s="3"/>
      <c r="D2336"/>
      <c r="E2336"/>
      <c r="F2336"/>
      <c r="G2336" s="3"/>
      <c r="H2336" s="3"/>
      <c r="I2336" s="3"/>
      <c r="J2336" s="288"/>
      <c r="L2336" s="288"/>
      <c r="M2336" s="288"/>
      <c r="N2336" s="288"/>
      <c r="O2336" s="288"/>
      <c r="P2336" s="288"/>
      <c r="Q2336" s="288"/>
      <c r="R2336" s="283"/>
      <c r="S2336" s="280"/>
      <c r="T2336" s="276"/>
      <c r="U2336" s="276"/>
      <c r="V2336" s="276"/>
      <c r="W2336" s="283"/>
      <c r="X2336" s="280"/>
      <c r="Y2336" s="280"/>
      <c r="Z2336" s="280"/>
      <c r="AA2336" s="280"/>
      <c r="AB2336" s="280"/>
      <c r="AC2336" s="280"/>
      <c r="AD2336" s="280"/>
      <c r="AG2336" s="3"/>
      <c r="AH2336" s="3"/>
      <c r="AI2336" s="3"/>
      <c r="AJ2336" s="3"/>
      <c r="AK2336" s="3"/>
      <c r="AL2336" s="3"/>
      <c r="AM2336" s="3"/>
      <c r="AN2336" s="3"/>
      <c r="AO2336" s="3"/>
      <c r="AP2336" s="11"/>
      <c r="AQ2336" s="11"/>
      <c r="AR2336" s="3"/>
      <c r="AS2336" s="3"/>
      <c r="AT2336" s="3"/>
      <c r="AU2336" s="3"/>
      <c r="AV2336" s="3"/>
      <c r="AW2336" s="3"/>
      <c r="AX2336" s="11"/>
      <c r="AZ2336"/>
      <c r="BA2336"/>
      <c r="BB2336"/>
      <c r="BC2336"/>
    </row>
    <row r="2337" spans="1:55" s="282" customFormat="1" x14ac:dyDescent="0.25">
      <c r="A2337"/>
      <c r="B2337"/>
      <c r="C2337" s="3"/>
      <c r="D2337"/>
      <c r="E2337"/>
      <c r="F2337"/>
      <c r="G2337" s="3"/>
      <c r="H2337" s="3"/>
      <c r="I2337" s="3"/>
      <c r="J2337" s="288"/>
      <c r="L2337" s="288"/>
      <c r="M2337" s="288"/>
      <c r="N2337" s="288"/>
      <c r="O2337" s="288"/>
      <c r="P2337" s="288"/>
      <c r="Q2337" s="288"/>
      <c r="R2337" s="283"/>
      <c r="S2337" s="280"/>
      <c r="T2337" s="276"/>
      <c r="U2337" s="276"/>
      <c r="V2337" s="276"/>
      <c r="W2337" s="283"/>
      <c r="X2337" s="280"/>
      <c r="Y2337" s="280"/>
      <c r="Z2337" s="280"/>
      <c r="AA2337" s="280"/>
      <c r="AB2337" s="280"/>
      <c r="AC2337" s="280"/>
      <c r="AD2337" s="280"/>
      <c r="AG2337" s="3"/>
      <c r="AH2337" s="3"/>
      <c r="AI2337" s="3"/>
      <c r="AJ2337" s="3"/>
      <c r="AK2337" s="3"/>
      <c r="AL2337" s="3"/>
      <c r="AM2337" s="3"/>
      <c r="AN2337" s="3"/>
      <c r="AO2337" s="3"/>
      <c r="AP2337" s="11"/>
      <c r="AQ2337" s="11"/>
      <c r="AR2337" s="3"/>
      <c r="AS2337" s="3"/>
      <c r="AT2337" s="3"/>
      <c r="AU2337" s="3"/>
      <c r="AV2337" s="3"/>
      <c r="AW2337" s="3"/>
      <c r="AX2337" s="11"/>
      <c r="AZ2337"/>
      <c r="BA2337"/>
      <c r="BB2337"/>
      <c r="BC2337"/>
    </row>
    <row r="2338" spans="1:55" s="282" customFormat="1" x14ac:dyDescent="0.25">
      <c r="A2338"/>
      <c r="B2338"/>
      <c r="C2338" s="3"/>
      <c r="D2338"/>
      <c r="E2338"/>
      <c r="F2338"/>
      <c r="G2338" s="3"/>
      <c r="H2338" s="3"/>
      <c r="I2338" s="3"/>
      <c r="J2338" s="288"/>
      <c r="L2338" s="288"/>
      <c r="M2338" s="288"/>
      <c r="N2338" s="288"/>
      <c r="O2338" s="288"/>
      <c r="P2338" s="288"/>
      <c r="Q2338" s="288"/>
      <c r="R2338" s="283"/>
      <c r="S2338" s="280"/>
      <c r="T2338" s="276"/>
      <c r="U2338" s="276"/>
      <c r="V2338" s="276"/>
      <c r="W2338" s="283"/>
      <c r="X2338" s="280"/>
      <c r="Y2338" s="280"/>
      <c r="Z2338" s="280"/>
      <c r="AA2338" s="280"/>
      <c r="AB2338" s="280"/>
      <c r="AC2338" s="280"/>
      <c r="AD2338" s="280"/>
      <c r="AG2338" s="3"/>
      <c r="AH2338" s="3"/>
      <c r="AI2338" s="3"/>
      <c r="AJ2338" s="3"/>
      <c r="AK2338" s="3"/>
      <c r="AL2338" s="3"/>
      <c r="AM2338" s="3"/>
      <c r="AN2338" s="3"/>
      <c r="AO2338" s="3"/>
      <c r="AP2338" s="11"/>
      <c r="AQ2338" s="11"/>
      <c r="AR2338" s="3"/>
      <c r="AS2338" s="3"/>
      <c r="AT2338" s="3"/>
      <c r="AU2338" s="3"/>
      <c r="AV2338" s="3"/>
      <c r="AW2338" s="3"/>
      <c r="AX2338" s="11"/>
      <c r="AZ2338"/>
      <c r="BA2338"/>
      <c r="BB2338"/>
      <c r="BC2338"/>
    </row>
    <row r="2339" spans="1:55" s="282" customFormat="1" x14ac:dyDescent="0.25">
      <c r="A2339"/>
      <c r="B2339"/>
      <c r="C2339" s="3"/>
      <c r="D2339"/>
      <c r="E2339"/>
      <c r="F2339"/>
      <c r="G2339" s="3"/>
      <c r="H2339" s="3"/>
      <c r="I2339" s="3"/>
      <c r="J2339" s="288"/>
      <c r="L2339" s="288"/>
      <c r="M2339" s="288"/>
      <c r="N2339" s="288"/>
      <c r="O2339" s="288"/>
      <c r="P2339" s="288"/>
      <c r="Q2339" s="288"/>
      <c r="R2339" s="283"/>
      <c r="S2339" s="280"/>
      <c r="T2339" s="276"/>
      <c r="U2339" s="276"/>
      <c r="V2339" s="276"/>
      <c r="W2339" s="283"/>
      <c r="X2339" s="280"/>
      <c r="Y2339" s="280"/>
      <c r="Z2339" s="280"/>
      <c r="AA2339" s="280"/>
      <c r="AB2339" s="280"/>
      <c r="AC2339" s="280"/>
      <c r="AD2339" s="280"/>
      <c r="AG2339" s="3"/>
      <c r="AH2339" s="3"/>
      <c r="AI2339" s="3"/>
      <c r="AJ2339" s="3"/>
      <c r="AK2339" s="3"/>
      <c r="AL2339" s="3"/>
      <c r="AM2339" s="3"/>
      <c r="AN2339" s="3"/>
      <c r="AO2339" s="3"/>
      <c r="AP2339" s="11"/>
      <c r="AQ2339" s="11"/>
      <c r="AR2339" s="3"/>
      <c r="AS2339" s="3"/>
      <c r="AT2339" s="3"/>
      <c r="AU2339" s="3"/>
      <c r="AV2339" s="3"/>
      <c r="AW2339" s="3"/>
      <c r="AX2339" s="11"/>
      <c r="AZ2339"/>
      <c r="BA2339"/>
      <c r="BB2339"/>
      <c r="BC2339"/>
    </row>
    <row r="2340" spans="1:55" s="282" customFormat="1" x14ac:dyDescent="0.25">
      <c r="A2340"/>
      <c r="B2340"/>
      <c r="C2340" s="3"/>
      <c r="D2340"/>
      <c r="E2340"/>
      <c r="F2340"/>
      <c r="G2340" s="3"/>
      <c r="H2340" s="3"/>
      <c r="I2340" s="3"/>
      <c r="J2340" s="288"/>
      <c r="L2340" s="288"/>
      <c r="M2340" s="288"/>
      <c r="N2340" s="288"/>
      <c r="O2340" s="288"/>
      <c r="P2340" s="288"/>
      <c r="Q2340" s="288"/>
      <c r="R2340" s="283"/>
      <c r="S2340" s="280"/>
      <c r="T2340" s="276"/>
      <c r="U2340" s="276"/>
      <c r="V2340" s="276"/>
      <c r="W2340" s="283"/>
      <c r="X2340" s="280"/>
      <c r="Y2340" s="280"/>
      <c r="Z2340" s="280"/>
      <c r="AA2340" s="280"/>
      <c r="AB2340" s="280"/>
      <c r="AC2340" s="280"/>
      <c r="AD2340" s="280"/>
      <c r="AG2340" s="3"/>
      <c r="AH2340" s="3"/>
      <c r="AI2340" s="3"/>
      <c r="AJ2340" s="3"/>
      <c r="AK2340" s="3"/>
      <c r="AL2340" s="3"/>
      <c r="AM2340" s="3"/>
      <c r="AN2340" s="3"/>
      <c r="AO2340" s="3"/>
      <c r="AP2340" s="11"/>
      <c r="AQ2340" s="11"/>
      <c r="AR2340" s="3"/>
      <c r="AS2340" s="3"/>
      <c r="AT2340" s="3"/>
      <c r="AU2340" s="3"/>
      <c r="AV2340" s="3"/>
      <c r="AW2340" s="3"/>
      <c r="AX2340" s="11"/>
      <c r="AZ2340"/>
      <c r="BA2340"/>
      <c r="BB2340"/>
      <c r="BC2340"/>
    </row>
    <row r="2341" spans="1:55" s="282" customFormat="1" x14ac:dyDescent="0.25">
      <c r="A2341"/>
      <c r="B2341"/>
      <c r="C2341" s="3"/>
      <c r="D2341"/>
      <c r="E2341"/>
      <c r="F2341"/>
      <c r="G2341" s="3"/>
      <c r="H2341" s="3"/>
      <c r="I2341" s="3"/>
      <c r="J2341" s="288"/>
      <c r="L2341" s="288"/>
      <c r="M2341" s="288"/>
      <c r="N2341" s="288"/>
      <c r="O2341" s="288"/>
      <c r="P2341" s="288"/>
      <c r="Q2341" s="288"/>
      <c r="R2341" s="283"/>
      <c r="S2341" s="280"/>
      <c r="T2341" s="276"/>
      <c r="U2341" s="276"/>
      <c r="V2341" s="276"/>
      <c r="W2341" s="283"/>
      <c r="X2341" s="280"/>
      <c r="Y2341" s="280"/>
      <c r="Z2341" s="280"/>
      <c r="AA2341" s="280"/>
      <c r="AB2341" s="280"/>
      <c r="AC2341" s="280"/>
      <c r="AD2341" s="280"/>
      <c r="AG2341" s="3"/>
      <c r="AH2341" s="3"/>
      <c r="AI2341" s="3"/>
      <c r="AJ2341" s="3"/>
      <c r="AK2341" s="3"/>
      <c r="AL2341" s="3"/>
      <c r="AM2341" s="3"/>
      <c r="AN2341" s="3"/>
      <c r="AO2341" s="3"/>
      <c r="AP2341" s="11"/>
      <c r="AQ2341" s="11"/>
      <c r="AR2341" s="3"/>
      <c r="AS2341" s="3"/>
      <c r="AT2341" s="3"/>
      <c r="AU2341" s="3"/>
      <c r="AV2341" s="3"/>
      <c r="AW2341" s="3"/>
      <c r="AX2341" s="11"/>
      <c r="AZ2341"/>
      <c r="BA2341"/>
      <c r="BB2341"/>
      <c r="BC2341"/>
    </row>
    <row r="2342" spans="1:55" s="282" customFormat="1" x14ac:dyDescent="0.25">
      <c r="A2342"/>
      <c r="B2342"/>
      <c r="C2342" s="3"/>
      <c r="D2342"/>
      <c r="E2342"/>
      <c r="F2342"/>
      <c r="G2342" s="3"/>
      <c r="H2342" s="3"/>
      <c r="I2342" s="3"/>
      <c r="J2342" s="288"/>
      <c r="L2342" s="288"/>
      <c r="M2342" s="288"/>
      <c r="N2342" s="288"/>
      <c r="O2342" s="288"/>
      <c r="P2342" s="288"/>
      <c r="Q2342" s="288"/>
      <c r="R2342" s="283"/>
      <c r="S2342" s="280"/>
      <c r="T2342" s="276"/>
      <c r="U2342" s="276"/>
      <c r="V2342" s="276"/>
      <c r="W2342" s="283"/>
      <c r="X2342" s="280"/>
      <c r="Y2342" s="280"/>
      <c r="Z2342" s="280"/>
      <c r="AA2342" s="280"/>
      <c r="AB2342" s="280"/>
      <c r="AC2342" s="280"/>
      <c r="AD2342" s="280"/>
      <c r="AG2342" s="3"/>
      <c r="AH2342" s="3"/>
      <c r="AI2342" s="3"/>
      <c r="AJ2342" s="3"/>
      <c r="AK2342" s="3"/>
      <c r="AL2342" s="3"/>
      <c r="AM2342" s="3"/>
      <c r="AN2342" s="3"/>
      <c r="AO2342" s="3"/>
      <c r="AP2342" s="11"/>
      <c r="AQ2342" s="11"/>
      <c r="AR2342" s="3"/>
      <c r="AS2342" s="3"/>
      <c r="AT2342" s="3"/>
      <c r="AU2342" s="3"/>
      <c r="AV2342" s="3"/>
      <c r="AW2342" s="3"/>
      <c r="AX2342" s="11"/>
      <c r="AZ2342"/>
      <c r="BA2342"/>
      <c r="BB2342"/>
      <c r="BC2342"/>
    </row>
    <row r="2343" spans="1:55" s="282" customFormat="1" x14ac:dyDescent="0.25">
      <c r="A2343"/>
      <c r="B2343"/>
      <c r="C2343" s="3"/>
      <c r="D2343"/>
      <c r="E2343"/>
      <c r="F2343"/>
      <c r="G2343" s="3"/>
      <c r="H2343" s="3"/>
      <c r="I2343" s="3"/>
      <c r="J2343" s="288"/>
      <c r="L2343" s="288"/>
      <c r="M2343" s="288"/>
      <c r="N2343" s="288"/>
      <c r="O2343" s="288"/>
      <c r="P2343" s="288"/>
      <c r="Q2343" s="288"/>
      <c r="R2343" s="283"/>
      <c r="S2343" s="280"/>
      <c r="T2343" s="276"/>
      <c r="U2343" s="276"/>
      <c r="V2343" s="276"/>
      <c r="W2343" s="283"/>
      <c r="X2343" s="280"/>
      <c r="Y2343" s="280"/>
      <c r="Z2343" s="280"/>
      <c r="AA2343" s="280"/>
      <c r="AB2343" s="280"/>
      <c r="AC2343" s="280"/>
      <c r="AD2343" s="280"/>
      <c r="AG2343" s="3"/>
      <c r="AH2343" s="3"/>
      <c r="AI2343" s="3"/>
      <c r="AJ2343" s="3"/>
      <c r="AK2343" s="3"/>
      <c r="AL2343" s="3"/>
      <c r="AM2343" s="3"/>
      <c r="AN2343" s="3"/>
      <c r="AO2343" s="3"/>
      <c r="AP2343" s="11"/>
      <c r="AQ2343" s="11"/>
      <c r="AR2343" s="3"/>
      <c r="AS2343" s="3"/>
      <c r="AT2343" s="3"/>
      <c r="AU2343" s="3"/>
      <c r="AV2343" s="3"/>
      <c r="AW2343" s="3"/>
      <c r="AX2343" s="11"/>
      <c r="AZ2343"/>
      <c r="BA2343"/>
      <c r="BB2343"/>
      <c r="BC2343"/>
    </row>
    <row r="2344" spans="1:55" s="282" customFormat="1" x14ac:dyDescent="0.25">
      <c r="A2344"/>
      <c r="B2344"/>
      <c r="C2344" s="3"/>
      <c r="D2344"/>
      <c r="E2344"/>
      <c r="F2344"/>
      <c r="G2344" s="3"/>
      <c r="H2344" s="3"/>
      <c r="I2344" s="3"/>
      <c r="J2344" s="288"/>
      <c r="L2344" s="288"/>
      <c r="M2344" s="288"/>
      <c r="N2344" s="288"/>
      <c r="O2344" s="288"/>
      <c r="P2344" s="288"/>
      <c r="Q2344" s="288"/>
      <c r="R2344" s="283"/>
      <c r="S2344" s="280"/>
      <c r="T2344" s="276"/>
      <c r="U2344" s="276"/>
      <c r="V2344" s="276"/>
      <c r="W2344" s="283"/>
      <c r="X2344" s="280"/>
      <c r="Y2344" s="280"/>
      <c r="Z2344" s="280"/>
      <c r="AA2344" s="280"/>
      <c r="AB2344" s="280"/>
      <c r="AC2344" s="280"/>
      <c r="AD2344" s="280"/>
      <c r="AG2344" s="3"/>
      <c r="AH2344" s="3"/>
      <c r="AI2344" s="3"/>
      <c r="AJ2344" s="3"/>
      <c r="AK2344" s="3"/>
      <c r="AL2344" s="3"/>
      <c r="AM2344" s="3"/>
      <c r="AN2344" s="3"/>
      <c r="AO2344" s="3"/>
      <c r="AP2344" s="11"/>
      <c r="AQ2344" s="11"/>
      <c r="AR2344" s="3"/>
      <c r="AS2344" s="3"/>
      <c r="AT2344" s="3"/>
      <c r="AU2344" s="3"/>
      <c r="AV2344" s="3"/>
      <c r="AW2344" s="3"/>
      <c r="AX2344" s="11"/>
      <c r="AZ2344"/>
      <c r="BA2344"/>
      <c r="BB2344"/>
      <c r="BC2344"/>
    </row>
    <row r="2345" spans="1:55" s="282" customFormat="1" x14ac:dyDescent="0.25">
      <c r="A2345"/>
      <c r="B2345"/>
      <c r="C2345" s="3"/>
      <c r="D2345"/>
      <c r="E2345"/>
      <c r="F2345"/>
      <c r="G2345" s="3"/>
      <c r="H2345" s="3"/>
      <c r="I2345" s="3"/>
      <c r="J2345" s="288"/>
      <c r="L2345" s="288"/>
      <c r="M2345" s="288"/>
      <c r="N2345" s="288"/>
      <c r="O2345" s="288"/>
      <c r="P2345" s="288"/>
      <c r="Q2345" s="288"/>
      <c r="R2345" s="283"/>
      <c r="S2345" s="280"/>
      <c r="T2345" s="276"/>
      <c r="U2345" s="276"/>
      <c r="V2345" s="276"/>
      <c r="W2345" s="283"/>
      <c r="X2345" s="280"/>
      <c r="Y2345" s="280"/>
      <c r="Z2345" s="280"/>
      <c r="AA2345" s="280"/>
      <c r="AB2345" s="280"/>
      <c r="AC2345" s="280"/>
      <c r="AD2345" s="280"/>
      <c r="AG2345" s="3"/>
      <c r="AH2345" s="3"/>
      <c r="AI2345" s="3"/>
      <c r="AJ2345" s="3"/>
      <c r="AK2345" s="3"/>
      <c r="AL2345" s="3"/>
      <c r="AM2345" s="3"/>
      <c r="AN2345" s="3"/>
      <c r="AO2345" s="3"/>
      <c r="AP2345" s="11"/>
      <c r="AQ2345" s="11"/>
      <c r="AR2345" s="3"/>
      <c r="AS2345" s="3"/>
      <c r="AT2345" s="3"/>
      <c r="AU2345" s="3"/>
      <c r="AV2345" s="3"/>
      <c r="AW2345" s="3"/>
      <c r="AX2345" s="11"/>
      <c r="AZ2345"/>
      <c r="BA2345"/>
      <c r="BB2345"/>
      <c r="BC2345"/>
    </row>
    <row r="2346" spans="1:55" s="282" customFormat="1" x14ac:dyDescent="0.25">
      <c r="A2346"/>
      <c r="B2346"/>
      <c r="C2346" s="3"/>
      <c r="D2346"/>
      <c r="E2346"/>
      <c r="F2346"/>
      <c r="G2346" s="3"/>
      <c r="H2346" s="3"/>
      <c r="I2346" s="3"/>
      <c r="J2346" s="288"/>
      <c r="L2346" s="288"/>
      <c r="M2346" s="288"/>
      <c r="N2346" s="288"/>
      <c r="O2346" s="288"/>
      <c r="P2346" s="288"/>
      <c r="Q2346" s="288"/>
      <c r="R2346" s="283"/>
      <c r="S2346" s="280"/>
      <c r="T2346" s="276"/>
      <c r="U2346" s="276"/>
      <c r="V2346" s="276"/>
      <c r="W2346" s="283"/>
      <c r="X2346" s="280"/>
      <c r="Y2346" s="280"/>
      <c r="Z2346" s="280"/>
      <c r="AA2346" s="280"/>
      <c r="AB2346" s="280"/>
      <c r="AC2346" s="280"/>
      <c r="AD2346" s="280"/>
      <c r="AG2346" s="3"/>
      <c r="AH2346" s="3"/>
      <c r="AI2346" s="3"/>
      <c r="AJ2346" s="3"/>
      <c r="AK2346" s="3"/>
      <c r="AL2346" s="3"/>
      <c r="AM2346" s="3"/>
      <c r="AN2346" s="3"/>
      <c r="AO2346" s="3"/>
      <c r="AP2346" s="11"/>
      <c r="AQ2346" s="11"/>
      <c r="AR2346" s="3"/>
      <c r="AS2346" s="3"/>
      <c r="AT2346" s="3"/>
      <c r="AU2346" s="3"/>
      <c r="AV2346" s="3"/>
      <c r="AW2346" s="3"/>
      <c r="AX2346" s="11"/>
      <c r="AZ2346"/>
      <c r="BA2346"/>
      <c r="BB2346"/>
      <c r="BC2346"/>
    </row>
    <row r="2347" spans="1:55" s="282" customFormat="1" x14ac:dyDescent="0.25">
      <c r="A2347"/>
      <c r="B2347"/>
      <c r="C2347" s="3"/>
      <c r="D2347"/>
      <c r="E2347"/>
      <c r="F2347"/>
      <c r="G2347" s="3"/>
      <c r="H2347" s="3"/>
      <c r="I2347" s="3"/>
      <c r="J2347" s="288"/>
      <c r="L2347" s="288"/>
      <c r="M2347" s="288"/>
      <c r="N2347" s="288"/>
      <c r="O2347" s="288"/>
      <c r="P2347" s="288"/>
      <c r="Q2347" s="288"/>
      <c r="R2347" s="283"/>
      <c r="S2347" s="280"/>
      <c r="T2347" s="276"/>
      <c r="U2347" s="276"/>
      <c r="V2347" s="276"/>
      <c r="W2347" s="283"/>
      <c r="X2347" s="280"/>
      <c r="Y2347" s="280"/>
      <c r="Z2347" s="280"/>
      <c r="AA2347" s="280"/>
      <c r="AB2347" s="280"/>
      <c r="AC2347" s="280"/>
      <c r="AD2347" s="280"/>
      <c r="AG2347" s="3"/>
      <c r="AH2347" s="3"/>
      <c r="AI2347" s="3"/>
      <c r="AJ2347" s="3"/>
      <c r="AK2347" s="3"/>
      <c r="AL2347" s="3"/>
      <c r="AM2347" s="3"/>
      <c r="AN2347" s="3"/>
      <c r="AO2347" s="3"/>
      <c r="AP2347" s="11"/>
      <c r="AQ2347" s="11"/>
      <c r="AR2347" s="3"/>
      <c r="AS2347" s="3"/>
      <c r="AT2347" s="3"/>
      <c r="AU2347" s="3"/>
      <c r="AV2347" s="3"/>
      <c r="AW2347" s="3"/>
      <c r="AX2347" s="11"/>
      <c r="AZ2347"/>
      <c r="BA2347"/>
      <c r="BB2347"/>
      <c r="BC2347"/>
    </row>
    <row r="2348" spans="1:55" s="282" customFormat="1" x14ac:dyDescent="0.25">
      <c r="A2348"/>
      <c r="B2348"/>
      <c r="C2348" s="3"/>
      <c r="D2348"/>
      <c r="E2348"/>
      <c r="F2348"/>
      <c r="G2348" s="3"/>
      <c r="H2348" s="3"/>
      <c r="I2348" s="3"/>
      <c r="J2348" s="288"/>
      <c r="L2348" s="288"/>
      <c r="M2348" s="288"/>
      <c r="N2348" s="288"/>
      <c r="O2348" s="288"/>
      <c r="P2348" s="288"/>
      <c r="Q2348" s="288"/>
      <c r="R2348" s="283"/>
      <c r="S2348" s="280"/>
      <c r="T2348" s="276"/>
      <c r="U2348" s="276"/>
      <c r="V2348" s="276"/>
      <c r="W2348" s="283"/>
      <c r="X2348" s="280"/>
      <c r="Y2348" s="280"/>
      <c r="Z2348" s="280"/>
      <c r="AA2348" s="280"/>
      <c r="AB2348" s="280"/>
      <c r="AC2348" s="280"/>
      <c r="AD2348" s="280"/>
      <c r="AG2348" s="3"/>
      <c r="AH2348" s="3"/>
      <c r="AI2348" s="3"/>
      <c r="AJ2348" s="3"/>
      <c r="AK2348" s="3"/>
      <c r="AL2348" s="3"/>
      <c r="AM2348" s="3"/>
      <c r="AN2348" s="3"/>
      <c r="AO2348" s="3"/>
      <c r="AP2348" s="11"/>
      <c r="AQ2348" s="11"/>
      <c r="AR2348" s="3"/>
      <c r="AS2348" s="3"/>
      <c r="AT2348" s="3"/>
      <c r="AU2348" s="3"/>
      <c r="AV2348" s="3"/>
      <c r="AW2348" s="3"/>
      <c r="AX2348" s="11"/>
      <c r="AZ2348"/>
      <c r="BA2348"/>
      <c r="BB2348"/>
      <c r="BC2348"/>
    </row>
    <row r="2349" spans="1:55" s="282" customFormat="1" x14ac:dyDescent="0.25">
      <c r="A2349"/>
      <c r="B2349"/>
      <c r="C2349" s="3"/>
      <c r="D2349"/>
      <c r="E2349"/>
      <c r="F2349"/>
      <c r="G2349" s="3"/>
      <c r="H2349" s="3"/>
      <c r="I2349" s="3"/>
      <c r="J2349" s="288"/>
      <c r="L2349" s="288"/>
      <c r="M2349" s="288"/>
      <c r="N2349" s="288"/>
      <c r="O2349" s="288"/>
      <c r="P2349" s="288"/>
      <c r="Q2349" s="288"/>
      <c r="R2349" s="283"/>
      <c r="S2349" s="280"/>
      <c r="T2349" s="276"/>
      <c r="U2349" s="276"/>
      <c r="V2349" s="276"/>
      <c r="W2349" s="283"/>
      <c r="X2349" s="280"/>
      <c r="Y2349" s="280"/>
      <c r="Z2349" s="280"/>
      <c r="AA2349" s="280"/>
      <c r="AB2349" s="280"/>
      <c r="AC2349" s="280"/>
      <c r="AD2349" s="280"/>
      <c r="AG2349" s="3"/>
      <c r="AH2349" s="3"/>
      <c r="AI2349" s="3"/>
      <c r="AJ2349" s="3"/>
      <c r="AK2349" s="3"/>
      <c r="AL2349" s="3"/>
      <c r="AM2349" s="3"/>
      <c r="AN2349" s="3"/>
      <c r="AO2349" s="3"/>
      <c r="AP2349" s="11"/>
      <c r="AQ2349" s="11"/>
      <c r="AR2349" s="3"/>
      <c r="AS2349" s="3"/>
      <c r="AT2349" s="3"/>
      <c r="AU2349" s="3"/>
      <c r="AV2349" s="3"/>
      <c r="AW2349" s="3"/>
      <c r="AX2349" s="11"/>
      <c r="AZ2349"/>
      <c r="BA2349"/>
      <c r="BB2349"/>
      <c r="BC2349"/>
    </row>
    <row r="2350" spans="1:55" s="282" customFormat="1" x14ac:dyDescent="0.25">
      <c r="A2350"/>
      <c r="B2350"/>
      <c r="C2350" s="3"/>
      <c r="D2350"/>
      <c r="E2350"/>
      <c r="F2350"/>
      <c r="G2350" s="3"/>
      <c r="H2350" s="3"/>
      <c r="I2350" s="3"/>
      <c r="J2350" s="288"/>
      <c r="L2350" s="288"/>
      <c r="M2350" s="288"/>
      <c r="N2350" s="288"/>
      <c r="O2350" s="288"/>
      <c r="P2350" s="288"/>
      <c r="Q2350" s="288"/>
      <c r="R2350" s="283"/>
      <c r="S2350" s="280"/>
      <c r="T2350" s="276"/>
      <c r="U2350" s="276"/>
      <c r="V2350" s="276"/>
      <c r="W2350" s="283"/>
      <c r="X2350" s="280"/>
      <c r="Y2350" s="280"/>
      <c r="Z2350" s="280"/>
      <c r="AA2350" s="280"/>
      <c r="AB2350" s="280"/>
      <c r="AC2350" s="280"/>
      <c r="AD2350" s="280"/>
      <c r="AG2350" s="3"/>
      <c r="AH2350" s="3"/>
      <c r="AI2350" s="3"/>
      <c r="AJ2350" s="3"/>
      <c r="AK2350" s="3"/>
      <c r="AL2350" s="3"/>
      <c r="AM2350" s="3"/>
      <c r="AN2350" s="3"/>
      <c r="AO2350" s="3"/>
      <c r="AP2350" s="11"/>
      <c r="AQ2350" s="11"/>
      <c r="AR2350" s="3"/>
      <c r="AS2350" s="3"/>
      <c r="AT2350" s="3"/>
      <c r="AU2350" s="3"/>
      <c r="AV2350" s="3"/>
      <c r="AW2350" s="3"/>
      <c r="AX2350" s="11"/>
      <c r="AZ2350"/>
      <c r="BA2350"/>
      <c r="BB2350"/>
      <c r="BC2350"/>
    </row>
    <row r="2351" spans="1:55" s="282" customFormat="1" x14ac:dyDescent="0.25">
      <c r="A2351"/>
      <c r="B2351"/>
      <c r="C2351" s="3"/>
      <c r="D2351"/>
      <c r="E2351"/>
      <c r="F2351"/>
      <c r="G2351" s="3"/>
      <c r="H2351" s="3"/>
      <c r="I2351" s="3"/>
      <c r="J2351" s="288"/>
      <c r="L2351" s="288"/>
      <c r="M2351" s="288"/>
      <c r="N2351" s="288"/>
      <c r="O2351" s="288"/>
      <c r="P2351" s="288"/>
      <c r="Q2351" s="288"/>
      <c r="R2351" s="283"/>
      <c r="S2351" s="280"/>
      <c r="T2351" s="276"/>
      <c r="U2351" s="276"/>
      <c r="V2351" s="276"/>
      <c r="W2351" s="283"/>
      <c r="X2351" s="280"/>
      <c r="Y2351" s="280"/>
      <c r="Z2351" s="280"/>
      <c r="AA2351" s="280"/>
      <c r="AB2351" s="280"/>
      <c r="AC2351" s="280"/>
      <c r="AD2351" s="280"/>
      <c r="AG2351" s="3"/>
      <c r="AH2351" s="3"/>
      <c r="AI2351" s="3"/>
      <c r="AJ2351" s="3"/>
      <c r="AK2351" s="3"/>
      <c r="AL2351" s="3"/>
      <c r="AM2351" s="3"/>
      <c r="AN2351" s="3"/>
      <c r="AO2351" s="3"/>
      <c r="AP2351" s="11"/>
      <c r="AQ2351" s="11"/>
      <c r="AR2351" s="3"/>
      <c r="AS2351" s="3"/>
      <c r="AT2351" s="3"/>
      <c r="AU2351" s="3"/>
      <c r="AV2351" s="3"/>
      <c r="AW2351" s="3"/>
      <c r="AX2351" s="11"/>
      <c r="AZ2351"/>
      <c r="BA2351"/>
      <c r="BB2351"/>
      <c r="BC2351"/>
    </row>
    <row r="2352" spans="1:55" s="282" customFormat="1" x14ac:dyDescent="0.25">
      <c r="A2352"/>
      <c r="B2352"/>
      <c r="C2352" s="3"/>
      <c r="D2352"/>
      <c r="E2352"/>
      <c r="F2352"/>
      <c r="G2352" s="3"/>
      <c r="H2352" s="3"/>
      <c r="I2352" s="3"/>
      <c r="J2352" s="288"/>
      <c r="L2352" s="288"/>
      <c r="M2352" s="288"/>
      <c r="N2352" s="288"/>
      <c r="O2352" s="288"/>
      <c r="P2352" s="288"/>
      <c r="Q2352" s="288"/>
      <c r="R2352" s="283"/>
      <c r="S2352" s="280"/>
      <c r="T2352" s="276"/>
      <c r="U2352" s="276"/>
      <c r="V2352" s="276"/>
      <c r="W2352" s="283"/>
      <c r="X2352" s="280"/>
      <c r="Y2352" s="280"/>
      <c r="Z2352" s="280"/>
      <c r="AA2352" s="280"/>
      <c r="AB2352" s="280"/>
      <c r="AC2352" s="280"/>
      <c r="AD2352" s="280"/>
      <c r="AG2352" s="3"/>
      <c r="AH2352" s="3"/>
      <c r="AI2352" s="3"/>
      <c r="AJ2352" s="3"/>
      <c r="AK2352" s="3"/>
      <c r="AL2352" s="3"/>
      <c r="AM2352" s="3"/>
      <c r="AN2352" s="3"/>
      <c r="AO2352" s="3"/>
      <c r="AP2352" s="11"/>
      <c r="AQ2352" s="11"/>
      <c r="AR2352" s="3"/>
      <c r="AS2352" s="3"/>
      <c r="AT2352" s="3"/>
      <c r="AU2352" s="3"/>
      <c r="AV2352" s="3"/>
      <c r="AW2352" s="3"/>
      <c r="AX2352" s="11"/>
      <c r="AZ2352"/>
      <c r="BA2352"/>
      <c r="BB2352"/>
      <c r="BC2352"/>
    </row>
    <row r="2353" spans="1:55" s="282" customFormat="1" x14ac:dyDescent="0.25">
      <c r="A2353"/>
      <c r="B2353"/>
      <c r="C2353" s="3"/>
      <c r="D2353"/>
      <c r="E2353"/>
      <c r="F2353"/>
      <c r="G2353" s="3"/>
      <c r="H2353" s="3"/>
      <c r="I2353" s="3"/>
      <c r="J2353" s="288"/>
      <c r="L2353" s="288"/>
      <c r="M2353" s="288"/>
      <c r="N2353" s="288"/>
      <c r="O2353" s="288"/>
      <c r="P2353" s="288"/>
      <c r="Q2353" s="288"/>
      <c r="R2353" s="283"/>
      <c r="S2353" s="280"/>
      <c r="T2353" s="276"/>
      <c r="U2353" s="276"/>
      <c r="V2353" s="276"/>
      <c r="W2353" s="283"/>
      <c r="X2353" s="280"/>
      <c r="Y2353" s="280"/>
      <c r="Z2353" s="280"/>
      <c r="AA2353" s="280"/>
      <c r="AB2353" s="280"/>
      <c r="AC2353" s="280"/>
      <c r="AD2353" s="280"/>
      <c r="AG2353" s="3"/>
      <c r="AH2353" s="3"/>
      <c r="AI2353" s="3"/>
      <c r="AJ2353" s="3"/>
      <c r="AK2353" s="3"/>
      <c r="AL2353" s="3"/>
      <c r="AM2353" s="3"/>
      <c r="AN2353" s="3"/>
      <c r="AO2353" s="3"/>
      <c r="AP2353" s="11"/>
      <c r="AQ2353" s="11"/>
      <c r="AR2353" s="3"/>
      <c r="AS2353" s="3"/>
      <c r="AT2353" s="3"/>
      <c r="AU2353" s="3"/>
      <c r="AV2353" s="3"/>
      <c r="AW2353" s="3"/>
      <c r="AX2353" s="11"/>
      <c r="AZ2353"/>
      <c r="BA2353"/>
      <c r="BB2353"/>
      <c r="BC2353"/>
    </row>
    <row r="2354" spans="1:55" s="282" customFormat="1" x14ac:dyDescent="0.25">
      <c r="A2354"/>
      <c r="B2354"/>
      <c r="C2354" s="3"/>
      <c r="D2354"/>
      <c r="E2354"/>
      <c r="F2354"/>
      <c r="G2354" s="3"/>
      <c r="H2354" s="3"/>
      <c r="I2354" s="3"/>
      <c r="J2354" s="288"/>
      <c r="L2354" s="288"/>
      <c r="M2354" s="288"/>
      <c r="N2354" s="288"/>
      <c r="O2354" s="288"/>
      <c r="P2354" s="288"/>
      <c r="Q2354" s="288"/>
      <c r="R2354" s="283"/>
      <c r="S2354" s="280"/>
      <c r="T2354" s="276"/>
      <c r="U2354" s="276"/>
      <c r="V2354" s="276"/>
      <c r="W2354" s="283"/>
      <c r="X2354" s="280"/>
      <c r="Y2354" s="280"/>
      <c r="Z2354" s="280"/>
      <c r="AA2354" s="280"/>
      <c r="AB2354" s="280"/>
      <c r="AC2354" s="280"/>
      <c r="AD2354" s="280"/>
      <c r="AG2354" s="3"/>
      <c r="AH2354" s="3"/>
      <c r="AI2354" s="3"/>
      <c r="AJ2354" s="3"/>
      <c r="AK2354" s="3"/>
      <c r="AL2354" s="3"/>
      <c r="AM2354" s="3"/>
      <c r="AN2354" s="3"/>
      <c r="AO2354" s="3"/>
      <c r="AP2354" s="11"/>
      <c r="AQ2354" s="11"/>
      <c r="AR2354" s="3"/>
      <c r="AS2354" s="3"/>
      <c r="AT2354" s="3"/>
      <c r="AU2354" s="3"/>
      <c r="AV2354" s="3"/>
      <c r="AW2354" s="3"/>
      <c r="AX2354" s="11"/>
      <c r="AZ2354"/>
      <c r="BA2354"/>
      <c r="BB2354"/>
      <c r="BC2354"/>
    </row>
    <row r="2355" spans="1:55" s="282" customFormat="1" x14ac:dyDescent="0.25">
      <c r="A2355"/>
      <c r="B2355"/>
      <c r="C2355" s="3"/>
      <c r="D2355"/>
      <c r="E2355"/>
      <c r="F2355"/>
      <c r="G2355" s="3"/>
      <c r="H2355" s="3"/>
      <c r="I2355" s="3"/>
      <c r="J2355" s="288"/>
      <c r="L2355" s="288"/>
      <c r="M2355" s="288"/>
      <c r="N2355" s="288"/>
      <c r="O2355" s="288"/>
      <c r="P2355" s="288"/>
      <c r="Q2355" s="288"/>
      <c r="R2355" s="283"/>
      <c r="S2355" s="280"/>
      <c r="T2355" s="276"/>
      <c r="U2355" s="276"/>
      <c r="V2355" s="276"/>
      <c r="W2355" s="283"/>
      <c r="X2355" s="280"/>
      <c r="Y2355" s="280"/>
      <c r="Z2355" s="280"/>
      <c r="AA2355" s="280"/>
      <c r="AB2355" s="280"/>
      <c r="AC2355" s="280"/>
      <c r="AD2355" s="280"/>
      <c r="AG2355" s="3"/>
      <c r="AH2355" s="3"/>
      <c r="AI2355" s="3"/>
      <c r="AJ2355" s="3"/>
      <c r="AK2355" s="3"/>
      <c r="AL2355" s="3"/>
      <c r="AM2355" s="3"/>
      <c r="AN2355" s="3"/>
      <c r="AO2355" s="3"/>
      <c r="AP2355" s="11"/>
      <c r="AQ2355" s="11"/>
      <c r="AR2355" s="3"/>
      <c r="AS2355" s="3"/>
      <c r="AT2355" s="3"/>
      <c r="AU2355" s="3"/>
      <c r="AV2355" s="3"/>
      <c r="AW2355" s="3"/>
      <c r="AX2355" s="11"/>
      <c r="AZ2355"/>
      <c r="BA2355"/>
      <c r="BB2355"/>
      <c r="BC2355"/>
    </row>
    <row r="2356" spans="1:55" s="282" customFormat="1" x14ac:dyDescent="0.25">
      <c r="A2356"/>
      <c r="B2356"/>
      <c r="C2356" s="3"/>
      <c r="D2356"/>
      <c r="E2356"/>
      <c r="F2356"/>
      <c r="G2356" s="3"/>
      <c r="H2356" s="3"/>
      <c r="I2356" s="3"/>
      <c r="J2356" s="288"/>
      <c r="L2356" s="288"/>
      <c r="M2356" s="288"/>
      <c r="N2356" s="288"/>
      <c r="O2356" s="288"/>
      <c r="P2356" s="288"/>
      <c r="Q2356" s="288"/>
      <c r="R2356" s="283"/>
      <c r="S2356" s="280"/>
      <c r="T2356" s="276"/>
      <c r="U2356" s="276"/>
      <c r="V2356" s="276"/>
      <c r="W2356" s="283"/>
      <c r="X2356" s="280"/>
      <c r="Y2356" s="280"/>
      <c r="Z2356" s="280"/>
      <c r="AA2356" s="280"/>
      <c r="AB2356" s="280"/>
      <c r="AC2356" s="280"/>
      <c r="AD2356" s="280"/>
      <c r="AG2356" s="3"/>
      <c r="AH2356" s="3"/>
      <c r="AI2356" s="3"/>
      <c r="AJ2356" s="3"/>
      <c r="AK2356" s="3"/>
      <c r="AL2356" s="3"/>
      <c r="AM2356" s="3"/>
      <c r="AN2356" s="3"/>
      <c r="AO2356" s="3"/>
      <c r="AP2356" s="11"/>
      <c r="AQ2356" s="11"/>
      <c r="AR2356" s="3"/>
      <c r="AS2356" s="3"/>
      <c r="AT2356" s="3"/>
      <c r="AU2356" s="3"/>
      <c r="AV2356" s="3"/>
      <c r="AW2356" s="3"/>
      <c r="AX2356" s="11"/>
      <c r="AZ2356"/>
      <c r="BA2356"/>
      <c r="BB2356"/>
      <c r="BC2356"/>
    </row>
    <row r="2357" spans="1:55" s="282" customFormat="1" x14ac:dyDescent="0.25">
      <c r="A2357"/>
      <c r="B2357"/>
      <c r="C2357" s="3"/>
      <c r="D2357"/>
      <c r="E2357"/>
      <c r="F2357"/>
      <c r="G2357" s="3"/>
      <c r="H2357" s="3"/>
      <c r="I2357" s="3"/>
      <c r="J2357" s="288"/>
      <c r="L2357" s="288"/>
      <c r="M2357" s="288"/>
      <c r="N2357" s="288"/>
      <c r="O2357" s="288"/>
      <c r="P2357" s="288"/>
      <c r="Q2357" s="288"/>
      <c r="R2357" s="283"/>
      <c r="S2357" s="280"/>
      <c r="T2357" s="276"/>
      <c r="U2357" s="276"/>
      <c r="V2357" s="276"/>
      <c r="W2357" s="283"/>
      <c r="X2357" s="280"/>
      <c r="Y2357" s="280"/>
      <c r="Z2357" s="280"/>
      <c r="AA2357" s="280"/>
      <c r="AB2357" s="280"/>
      <c r="AC2357" s="280"/>
      <c r="AD2357" s="280"/>
      <c r="AG2357" s="3"/>
      <c r="AH2357" s="3"/>
      <c r="AI2357" s="3"/>
      <c r="AJ2357" s="3"/>
      <c r="AK2357" s="3"/>
      <c r="AL2357" s="3"/>
      <c r="AM2357" s="3"/>
      <c r="AN2357" s="3"/>
      <c r="AO2357" s="3"/>
      <c r="AP2357" s="11"/>
      <c r="AQ2357" s="11"/>
      <c r="AR2357" s="3"/>
      <c r="AS2357" s="3"/>
      <c r="AT2357" s="3"/>
      <c r="AU2357" s="3"/>
      <c r="AV2357" s="3"/>
      <c r="AW2357" s="3"/>
      <c r="AX2357" s="11"/>
      <c r="AZ2357"/>
      <c r="BA2357"/>
      <c r="BB2357"/>
      <c r="BC2357"/>
    </row>
    <row r="2358" spans="1:55" s="282" customFormat="1" x14ac:dyDescent="0.25">
      <c r="A2358"/>
      <c r="B2358"/>
      <c r="C2358" s="3"/>
      <c r="D2358"/>
      <c r="E2358"/>
      <c r="F2358"/>
      <c r="G2358" s="3"/>
      <c r="H2358" s="3"/>
      <c r="I2358" s="3"/>
      <c r="J2358" s="288"/>
      <c r="L2358" s="288"/>
      <c r="M2358" s="288"/>
      <c r="N2358" s="288"/>
      <c r="O2358" s="288"/>
      <c r="P2358" s="288"/>
      <c r="Q2358" s="288"/>
      <c r="R2358" s="283"/>
      <c r="S2358" s="280"/>
      <c r="T2358" s="276"/>
      <c r="U2358" s="276"/>
      <c r="V2358" s="276"/>
      <c r="W2358" s="283"/>
      <c r="X2358" s="280"/>
      <c r="Y2358" s="280"/>
      <c r="Z2358" s="280"/>
      <c r="AA2358" s="280"/>
      <c r="AB2358" s="280"/>
      <c r="AC2358" s="280"/>
      <c r="AD2358" s="280"/>
      <c r="AG2358" s="3"/>
      <c r="AH2358" s="3"/>
      <c r="AI2358" s="3"/>
      <c r="AJ2358" s="3"/>
      <c r="AK2358" s="3"/>
      <c r="AL2358" s="3"/>
      <c r="AM2358" s="3"/>
      <c r="AN2358" s="3"/>
      <c r="AO2358" s="3"/>
      <c r="AP2358" s="11"/>
      <c r="AQ2358" s="11"/>
      <c r="AR2358" s="3"/>
      <c r="AS2358" s="3"/>
      <c r="AT2358" s="3"/>
      <c r="AU2358" s="3"/>
      <c r="AV2358" s="3"/>
      <c r="AW2358" s="3"/>
      <c r="AX2358" s="11"/>
      <c r="AZ2358"/>
      <c r="BA2358"/>
      <c r="BB2358"/>
      <c r="BC2358"/>
    </row>
    <row r="2359" spans="1:55" s="282" customFormat="1" x14ac:dyDescent="0.25">
      <c r="A2359"/>
      <c r="B2359"/>
      <c r="C2359" s="3"/>
      <c r="D2359"/>
      <c r="E2359"/>
      <c r="F2359"/>
      <c r="G2359" s="3"/>
      <c r="H2359" s="3"/>
      <c r="I2359" s="3"/>
      <c r="J2359" s="288"/>
      <c r="L2359" s="288"/>
      <c r="M2359" s="288"/>
      <c r="N2359" s="288"/>
      <c r="O2359" s="288"/>
      <c r="P2359" s="288"/>
      <c r="Q2359" s="288"/>
      <c r="R2359" s="283"/>
      <c r="S2359" s="280"/>
      <c r="T2359" s="276"/>
      <c r="U2359" s="276"/>
      <c r="V2359" s="276"/>
      <c r="W2359" s="283"/>
      <c r="X2359" s="280"/>
      <c r="Y2359" s="280"/>
      <c r="Z2359" s="280"/>
      <c r="AA2359" s="280"/>
      <c r="AB2359" s="280"/>
      <c r="AC2359" s="280"/>
      <c r="AD2359" s="280"/>
      <c r="AG2359" s="3"/>
      <c r="AH2359" s="3"/>
      <c r="AI2359" s="3"/>
      <c r="AJ2359" s="3"/>
      <c r="AK2359" s="3"/>
      <c r="AL2359" s="3"/>
      <c r="AM2359" s="3"/>
      <c r="AN2359" s="3"/>
      <c r="AO2359" s="3"/>
      <c r="AP2359" s="11"/>
      <c r="AQ2359" s="11"/>
      <c r="AR2359" s="3"/>
      <c r="AS2359" s="3"/>
      <c r="AT2359" s="3"/>
      <c r="AU2359" s="3"/>
      <c r="AV2359" s="3"/>
      <c r="AW2359" s="3"/>
      <c r="AX2359" s="11"/>
      <c r="AZ2359"/>
      <c r="BA2359"/>
      <c r="BB2359"/>
      <c r="BC2359"/>
    </row>
    <row r="2360" spans="1:55" s="282" customFormat="1" x14ac:dyDescent="0.25">
      <c r="A2360"/>
      <c r="B2360"/>
      <c r="C2360" s="3"/>
      <c r="D2360"/>
      <c r="E2360"/>
      <c r="F2360"/>
      <c r="G2360" s="3"/>
      <c r="H2360" s="3"/>
      <c r="I2360" s="3"/>
      <c r="J2360" s="288"/>
      <c r="L2360" s="288"/>
      <c r="M2360" s="288"/>
      <c r="N2360" s="288"/>
      <c r="O2360" s="288"/>
      <c r="P2360" s="288"/>
      <c r="Q2360" s="288"/>
      <c r="R2360" s="283"/>
      <c r="S2360" s="280"/>
      <c r="T2360" s="276"/>
      <c r="U2360" s="276"/>
      <c r="V2360" s="276"/>
      <c r="W2360" s="283"/>
      <c r="X2360" s="280"/>
      <c r="Y2360" s="280"/>
      <c r="Z2360" s="280"/>
      <c r="AA2360" s="280"/>
      <c r="AB2360" s="280"/>
      <c r="AC2360" s="280"/>
      <c r="AD2360" s="280"/>
      <c r="AG2360" s="3"/>
      <c r="AH2360" s="3"/>
      <c r="AI2360" s="3"/>
      <c r="AJ2360" s="3"/>
      <c r="AK2360" s="3"/>
      <c r="AL2360" s="3"/>
      <c r="AM2360" s="3"/>
      <c r="AN2360" s="3"/>
      <c r="AO2360" s="3"/>
      <c r="AP2360" s="11"/>
      <c r="AQ2360" s="11"/>
      <c r="AR2360" s="3"/>
      <c r="AS2360" s="3"/>
      <c r="AT2360" s="3"/>
      <c r="AU2360" s="3"/>
      <c r="AV2360" s="3"/>
      <c r="AW2360" s="3"/>
      <c r="AX2360" s="11"/>
      <c r="AZ2360"/>
      <c r="BA2360"/>
      <c r="BB2360"/>
      <c r="BC2360"/>
    </row>
    <row r="2361" spans="1:55" s="282" customFormat="1" x14ac:dyDescent="0.25">
      <c r="A2361"/>
      <c r="B2361"/>
      <c r="C2361" s="3"/>
      <c r="D2361"/>
      <c r="E2361"/>
      <c r="F2361"/>
      <c r="G2361" s="3"/>
      <c r="H2361" s="3"/>
      <c r="I2361" s="3"/>
      <c r="J2361" s="288"/>
      <c r="L2361" s="288"/>
      <c r="M2361" s="288"/>
      <c r="N2361" s="288"/>
      <c r="O2361" s="288"/>
      <c r="P2361" s="288"/>
      <c r="Q2361" s="288"/>
      <c r="R2361" s="283"/>
      <c r="S2361" s="280"/>
      <c r="T2361" s="276"/>
      <c r="U2361" s="276"/>
      <c r="V2361" s="276"/>
      <c r="W2361" s="283"/>
      <c r="X2361" s="280"/>
      <c r="Y2361" s="280"/>
      <c r="Z2361" s="280"/>
      <c r="AA2361" s="280"/>
      <c r="AB2361" s="280"/>
      <c r="AC2361" s="280"/>
      <c r="AD2361" s="280"/>
      <c r="AG2361" s="3"/>
      <c r="AH2361" s="3"/>
      <c r="AI2361" s="3"/>
      <c r="AJ2361" s="3"/>
      <c r="AK2361" s="3"/>
      <c r="AL2361" s="3"/>
      <c r="AM2361" s="3"/>
      <c r="AN2361" s="3"/>
      <c r="AO2361" s="3"/>
      <c r="AP2361" s="11"/>
      <c r="AQ2361" s="11"/>
      <c r="AR2361" s="3"/>
      <c r="AS2361" s="3"/>
      <c r="AT2361" s="3"/>
      <c r="AU2361" s="3"/>
      <c r="AV2361" s="3"/>
      <c r="AW2361" s="3"/>
      <c r="AX2361" s="11"/>
      <c r="AZ2361"/>
      <c r="BA2361"/>
      <c r="BB2361"/>
      <c r="BC2361"/>
    </row>
    <row r="2362" spans="1:55" s="282" customFormat="1" x14ac:dyDescent="0.25">
      <c r="A2362"/>
      <c r="B2362"/>
      <c r="C2362" s="3"/>
      <c r="D2362"/>
      <c r="E2362"/>
      <c r="F2362"/>
      <c r="G2362" s="3"/>
      <c r="H2362" s="3"/>
      <c r="I2362" s="3"/>
      <c r="J2362" s="288"/>
      <c r="L2362" s="288"/>
      <c r="M2362" s="288"/>
      <c r="N2362" s="288"/>
      <c r="O2362" s="288"/>
      <c r="P2362" s="288"/>
      <c r="Q2362" s="288"/>
      <c r="R2362" s="283"/>
      <c r="S2362" s="280"/>
      <c r="T2362" s="276"/>
      <c r="U2362" s="276"/>
      <c r="V2362" s="276"/>
      <c r="W2362" s="283"/>
      <c r="X2362" s="280"/>
      <c r="Y2362" s="280"/>
      <c r="Z2362" s="280"/>
      <c r="AA2362" s="280"/>
      <c r="AB2362" s="280"/>
      <c r="AC2362" s="280"/>
      <c r="AD2362" s="280"/>
      <c r="AG2362" s="3"/>
      <c r="AH2362" s="3"/>
      <c r="AI2362" s="3"/>
      <c r="AJ2362" s="3"/>
      <c r="AK2362" s="3"/>
      <c r="AL2362" s="3"/>
      <c r="AM2362" s="3"/>
      <c r="AN2362" s="3"/>
      <c r="AO2362" s="3"/>
      <c r="AP2362" s="11"/>
      <c r="AQ2362" s="11"/>
      <c r="AR2362" s="3"/>
      <c r="AS2362" s="3"/>
      <c r="AT2362" s="3"/>
      <c r="AU2362" s="3"/>
      <c r="AV2362" s="3"/>
      <c r="AW2362" s="3"/>
      <c r="AX2362" s="11"/>
      <c r="AZ2362"/>
      <c r="BA2362"/>
      <c r="BB2362"/>
      <c r="BC2362"/>
    </row>
    <row r="2363" spans="1:55" s="282" customFormat="1" x14ac:dyDescent="0.25">
      <c r="A2363"/>
      <c r="B2363"/>
      <c r="C2363" s="3"/>
      <c r="D2363"/>
      <c r="E2363"/>
      <c r="F2363"/>
      <c r="G2363" s="3"/>
      <c r="H2363" s="3"/>
      <c r="I2363" s="3"/>
      <c r="J2363" s="288"/>
      <c r="L2363" s="288"/>
      <c r="M2363" s="288"/>
      <c r="N2363" s="288"/>
      <c r="O2363" s="288"/>
      <c r="P2363" s="288"/>
      <c r="Q2363" s="288"/>
      <c r="R2363" s="283"/>
      <c r="S2363" s="280"/>
      <c r="T2363" s="276"/>
      <c r="U2363" s="276"/>
      <c r="V2363" s="276"/>
      <c r="W2363" s="283"/>
      <c r="X2363" s="280"/>
      <c r="Y2363" s="280"/>
      <c r="Z2363" s="280"/>
      <c r="AA2363" s="280"/>
      <c r="AB2363" s="280"/>
      <c r="AC2363" s="280"/>
      <c r="AD2363" s="280"/>
      <c r="AG2363" s="3"/>
      <c r="AH2363" s="3"/>
      <c r="AI2363" s="3"/>
      <c r="AJ2363" s="3"/>
      <c r="AK2363" s="3"/>
      <c r="AL2363" s="3"/>
      <c r="AM2363" s="3"/>
      <c r="AN2363" s="3"/>
      <c r="AO2363" s="3"/>
      <c r="AP2363" s="11"/>
      <c r="AQ2363" s="11"/>
      <c r="AR2363" s="3"/>
      <c r="AS2363" s="3"/>
      <c r="AT2363" s="3"/>
      <c r="AU2363" s="3"/>
      <c r="AV2363" s="3"/>
      <c r="AW2363" s="3"/>
      <c r="AX2363" s="11"/>
      <c r="AZ2363"/>
      <c r="BA2363"/>
      <c r="BB2363"/>
      <c r="BC2363"/>
    </row>
    <row r="2364" spans="1:55" s="282" customFormat="1" x14ac:dyDescent="0.25">
      <c r="A2364"/>
      <c r="B2364"/>
      <c r="C2364" s="3"/>
      <c r="D2364"/>
      <c r="E2364"/>
      <c r="F2364"/>
      <c r="G2364" s="3"/>
      <c r="H2364" s="3"/>
      <c r="I2364" s="3"/>
      <c r="J2364" s="288"/>
      <c r="L2364" s="288"/>
      <c r="M2364" s="288"/>
      <c r="N2364" s="288"/>
      <c r="O2364" s="288"/>
      <c r="P2364" s="288"/>
      <c r="Q2364" s="288"/>
      <c r="R2364" s="283"/>
      <c r="S2364" s="280"/>
      <c r="T2364" s="276"/>
      <c r="U2364" s="276"/>
      <c r="V2364" s="276"/>
      <c r="W2364" s="283"/>
      <c r="X2364" s="280"/>
      <c r="Y2364" s="280"/>
      <c r="Z2364" s="280"/>
      <c r="AA2364" s="280"/>
      <c r="AB2364" s="280"/>
      <c r="AC2364" s="280"/>
      <c r="AD2364" s="280"/>
      <c r="AG2364" s="3"/>
      <c r="AH2364" s="3"/>
      <c r="AI2364" s="3"/>
      <c r="AJ2364" s="3"/>
      <c r="AK2364" s="3"/>
      <c r="AL2364" s="3"/>
      <c r="AM2364" s="3"/>
      <c r="AN2364" s="3"/>
      <c r="AO2364" s="3"/>
      <c r="AP2364" s="11"/>
      <c r="AQ2364" s="11"/>
      <c r="AR2364" s="3"/>
      <c r="AS2364" s="3"/>
      <c r="AT2364" s="3"/>
      <c r="AU2364" s="3"/>
      <c r="AV2364" s="3"/>
      <c r="AW2364" s="3"/>
      <c r="AX2364" s="11"/>
      <c r="AZ2364"/>
      <c r="BA2364"/>
      <c r="BB2364"/>
      <c r="BC2364"/>
    </row>
    <row r="2365" spans="1:55" s="282" customFormat="1" x14ac:dyDescent="0.25">
      <c r="A2365"/>
      <c r="B2365"/>
      <c r="C2365" s="3"/>
      <c r="D2365"/>
      <c r="E2365"/>
      <c r="F2365"/>
      <c r="G2365" s="3"/>
      <c r="H2365" s="3"/>
      <c r="I2365" s="3"/>
      <c r="J2365" s="288"/>
      <c r="L2365" s="288"/>
      <c r="M2365" s="288"/>
      <c r="N2365" s="288"/>
      <c r="O2365" s="288"/>
      <c r="P2365" s="288"/>
      <c r="Q2365" s="288"/>
      <c r="R2365" s="283"/>
      <c r="S2365" s="280"/>
      <c r="T2365" s="276"/>
      <c r="U2365" s="276"/>
      <c r="V2365" s="276"/>
      <c r="W2365" s="283"/>
      <c r="X2365" s="280"/>
      <c r="Y2365" s="280"/>
      <c r="Z2365" s="280"/>
      <c r="AA2365" s="280"/>
      <c r="AB2365" s="280"/>
      <c r="AC2365" s="280"/>
      <c r="AD2365" s="280"/>
      <c r="AG2365" s="3"/>
      <c r="AH2365" s="3"/>
      <c r="AI2365" s="3"/>
      <c r="AJ2365" s="3"/>
      <c r="AK2365" s="3"/>
      <c r="AL2365" s="3"/>
      <c r="AM2365" s="3"/>
      <c r="AN2365" s="3"/>
      <c r="AO2365" s="3"/>
      <c r="AP2365" s="11"/>
      <c r="AQ2365" s="11"/>
      <c r="AR2365" s="3"/>
      <c r="AS2365" s="3"/>
      <c r="AT2365" s="3"/>
      <c r="AU2365" s="3"/>
      <c r="AV2365" s="3"/>
      <c r="AW2365" s="3"/>
      <c r="AX2365" s="11"/>
      <c r="AZ2365"/>
      <c r="BA2365"/>
      <c r="BB2365"/>
      <c r="BC2365"/>
    </row>
    <row r="2366" spans="1:55" s="282" customFormat="1" x14ac:dyDescent="0.25">
      <c r="A2366"/>
      <c r="B2366"/>
      <c r="C2366" s="3"/>
      <c r="D2366"/>
      <c r="E2366"/>
      <c r="F2366"/>
      <c r="G2366" s="3"/>
      <c r="H2366" s="3"/>
      <c r="I2366" s="3"/>
      <c r="J2366" s="288"/>
      <c r="L2366" s="288"/>
      <c r="M2366" s="288"/>
      <c r="N2366" s="288"/>
      <c r="O2366" s="288"/>
      <c r="P2366" s="288"/>
      <c r="Q2366" s="288"/>
      <c r="R2366" s="283"/>
      <c r="S2366" s="280"/>
      <c r="T2366" s="276"/>
      <c r="U2366" s="276"/>
      <c r="V2366" s="276"/>
      <c r="W2366" s="283"/>
      <c r="X2366" s="280"/>
      <c r="Y2366" s="280"/>
      <c r="Z2366" s="280"/>
      <c r="AA2366" s="280"/>
      <c r="AB2366" s="280"/>
      <c r="AC2366" s="280"/>
      <c r="AD2366" s="280"/>
      <c r="AG2366" s="3"/>
      <c r="AH2366" s="3"/>
      <c r="AI2366" s="3"/>
      <c r="AJ2366" s="3"/>
      <c r="AK2366" s="3"/>
      <c r="AL2366" s="3"/>
      <c r="AM2366" s="3"/>
      <c r="AN2366" s="3"/>
      <c r="AO2366" s="3"/>
      <c r="AP2366" s="11"/>
      <c r="AQ2366" s="11"/>
      <c r="AR2366" s="3"/>
      <c r="AS2366" s="3"/>
      <c r="AT2366" s="3"/>
      <c r="AU2366" s="3"/>
      <c r="AV2366" s="3"/>
      <c r="AW2366" s="3"/>
      <c r="AX2366" s="11"/>
      <c r="AZ2366"/>
      <c r="BA2366"/>
      <c r="BB2366"/>
      <c r="BC2366"/>
    </row>
    <row r="2367" spans="1:55" s="282" customFormat="1" x14ac:dyDescent="0.25">
      <c r="A2367"/>
      <c r="B2367"/>
      <c r="C2367" s="3"/>
      <c r="D2367"/>
      <c r="E2367"/>
      <c r="F2367"/>
      <c r="G2367" s="3"/>
      <c r="H2367" s="3"/>
      <c r="I2367" s="3"/>
      <c r="J2367" s="288"/>
      <c r="L2367" s="288"/>
      <c r="M2367" s="288"/>
      <c r="N2367" s="288"/>
      <c r="O2367" s="288"/>
      <c r="P2367" s="288"/>
      <c r="Q2367" s="288"/>
      <c r="R2367" s="283"/>
      <c r="S2367" s="280"/>
      <c r="T2367" s="276"/>
      <c r="U2367" s="276"/>
      <c r="V2367" s="276"/>
      <c r="W2367" s="283"/>
      <c r="X2367" s="280"/>
      <c r="Y2367" s="280"/>
      <c r="Z2367" s="280"/>
      <c r="AA2367" s="280"/>
      <c r="AB2367" s="280"/>
      <c r="AC2367" s="280"/>
      <c r="AD2367" s="280"/>
      <c r="AG2367" s="3"/>
      <c r="AH2367" s="3"/>
      <c r="AI2367" s="3"/>
      <c r="AJ2367" s="3"/>
      <c r="AK2367" s="3"/>
      <c r="AL2367" s="3"/>
      <c r="AM2367" s="3"/>
      <c r="AN2367" s="3"/>
      <c r="AO2367" s="3"/>
      <c r="AP2367" s="11"/>
      <c r="AQ2367" s="11"/>
      <c r="AR2367" s="3"/>
      <c r="AS2367" s="3"/>
      <c r="AT2367" s="3"/>
      <c r="AU2367" s="3"/>
      <c r="AV2367" s="3"/>
      <c r="AW2367" s="3"/>
      <c r="AX2367" s="11"/>
      <c r="AZ2367"/>
      <c r="BA2367"/>
      <c r="BB2367"/>
      <c r="BC2367"/>
    </row>
    <row r="2368" spans="1:55" s="282" customFormat="1" x14ac:dyDescent="0.25">
      <c r="A2368"/>
      <c r="B2368"/>
      <c r="C2368" s="3"/>
      <c r="D2368"/>
      <c r="E2368"/>
      <c r="F2368"/>
      <c r="G2368" s="3"/>
      <c r="H2368" s="3"/>
      <c r="I2368" s="3"/>
      <c r="J2368" s="288"/>
      <c r="L2368" s="288"/>
      <c r="M2368" s="288"/>
      <c r="N2368" s="288"/>
      <c r="O2368" s="288"/>
      <c r="P2368" s="288"/>
      <c r="Q2368" s="288"/>
      <c r="R2368" s="283"/>
      <c r="S2368" s="280"/>
      <c r="T2368" s="276"/>
      <c r="U2368" s="276"/>
      <c r="V2368" s="276"/>
      <c r="W2368" s="283"/>
      <c r="X2368" s="280"/>
      <c r="Y2368" s="280"/>
      <c r="Z2368" s="280"/>
      <c r="AA2368" s="280"/>
      <c r="AB2368" s="280"/>
      <c r="AC2368" s="280"/>
      <c r="AD2368" s="280"/>
      <c r="AG2368" s="3"/>
      <c r="AH2368" s="3"/>
      <c r="AI2368" s="3"/>
      <c r="AJ2368" s="3"/>
      <c r="AK2368" s="3"/>
      <c r="AL2368" s="3"/>
      <c r="AM2368" s="3"/>
      <c r="AN2368" s="3"/>
      <c r="AO2368" s="3"/>
      <c r="AP2368" s="11"/>
      <c r="AQ2368" s="11"/>
      <c r="AR2368" s="3"/>
      <c r="AS2368" s="3"/>
      <c r="AT2368" s="3"/>
      <c r="AU2368" s="3"/>
      <c r="AV2368" s="3"/>
      <c r="AW2368" s="3"/>
      <c r="AX2368" s="11"/>
      <c r="AZ2368"/>
      <c r="BA2368"/>
      <c r="BB2368"/>
      <c r="BC2368"/>
    </row>
    <row r="2369" spans="1:55" s="282" customFormat="1" x14ac:dyDescent="0.25">
      <c r="A2369"/>
      <c r="B2369"/>
      <c r="C2369" s="3"/>
      <c r="D2369"/>
      <c r="E2369"/>
      <c r="F2369"/>
      <c r="G2369" s="3"/>
      <c r="H2369" s="3"/>
      <c r="I2369" s="3"/>
      <c r="J2369" s="288"/>
      <c r="L2369" s="288"/>
      <c r="M2369" s="288"/>
      <c r="N2369" s="288"/>
      <c r="O2369" s="288"/>
      <c r="P2369" s="288"/>
      <c r="Q2369" s="288"/>
      <c r="R2369" s="283"/>
      <c r="S2369" s="280"/>
      <c r="T2369" s="276"/>
      <c r="U2369" s="276"/>
      <c r="V2369" s="276"/>
      <c r="W2369" s="283"/>
      <c r="X2369" s="280"/>
      <c r="Y2369" s="280"/>
      <c r="Z2369" s="280"/>
      <c r="AA2369" s="280"/>
      <c r="AB2369" s="280"/>
      <c r="AC2369" s="280"/>
      <c r="AD2369" s="280"/>
      <c r="AG2369" s="3"/>
      <c r="AH2369" s="3"/>
      <c r="AI2369" s="3"/>
      <c r="AJ2369" s="3"/>
      <c r="AK2369" s="3"/>
      <c r="AL2369" s="3"/>
      <c r="AM2369" s="3"/>
      <c r="AN2369" s="3"/>
      <c r="AO2369" s="3"/>
      <c r="AP2369" s="11"/>
      <c r="AQ2369" s="11"/>
      <c r="AR2369" s="3"/>
      <c r="AS2369" s="3"/>
      <c r="AT2369" s="3"/>
      <c r="AU2369" s="3"/>
      <c r="AV2369" s="3"/>
      <c r="AW2369" s="3"/>
      <c r="AX2369" s="11"/>
      <c r="AZ2369"/>
      <c r="BA2369"/>
      <c r="BB2369"/>
      <c r="BC2369"/>
    </row>
  </sheetData>
  <mergeCells count="2635">
    <mergeCell ref="G8:S8"/>
    <mergeCell ref="T8:AF8"/>
    <mergeCell ref="A10:A153"/>
    <mergeCell ref="B10:B153"/>
    <mergeCell ref="C10:C15"/>
    <mergeCell ref="S10:S15"/>
    <mergeCell ref="AF10:AF15"/>
    <mergeCell ref="AG10:AG15"/>
    <mergeCell ref="A7:AY7"/>
    <mergeCell ref="A8:A9"/>
    <mergeCell ref="B8:B9"/>
    <mergeCell ref="C8:C9"/>
    <mergeCell ref="D8:D9"/>
    <mergeCell ref="E8:E9"/>
    <mergeCell ref="AT10:AT15"/>
    <mergeCell ref="AU10:AU15"/>
    <mergeCell ref="AV10:AV15"/>
    <mergeCell ref="AW10:AW15"/>
    <mergeCell ref="AX10:AX15"/>
    <mergeCell ref="AY10:AY27"/>
    <mergeCell ref="AW16:AW21"/>
    <mergeCell ref="AX16:AX21"/>
    <mergeCell ref="AW22:AW27"/>
    <mergeCell ref="AX22:AX27"/>
    <mergeCell ref="AN10:AN15"/>
    <mergeCell ref="AO10:AO15"/>
    <mergeCell ref="AP10:AP15"/>
    <mergeCell ref="AQ10:AQ15"/>
    <mergeCell ref="AR10:AR15"/>
    <mergeCell ref="AS10:AS15"/>
    <mergeCell ref="AH10:AH15"/>
    <mergeCell ref="AI10:AI15"/>
    <mergeCell ref="AJ10:AJ15"/>
    <mergeCell ref="AK10:AK15"/>
    <mergeCell ref="AL10:AL15"/>
    <mergeCell ref="AM10:AM15"/>
    <mergeCell ref="AV22:AV27"/>
    <mergeCell ref="AK22:AK27"/>
    <mergeCell ref="AL22:AL27"/>
    <mergeCell ref="AM22:AM27"/>
    <mergeCell ref="AN22:AN27"/>
    <mergeCell ref="AO22:AO27"/>
    <mergeCell ref="AP22:AP27"/>
    <mergeCell ref="C22:C27"/>
    <mergeCell ref="AF22:AF27"/>
    <mergeCell ref="AG22:AG27"/>
    <mergeCell ref="AH22:AH27"/>
    <mergeCell ref="AI22:AI27"/>
    <mergeCell ref="AJ22:AJ27"/>
    <mergeCell ref="AQ16:AQ21"/>
    <mergeCell ref="AR16:AR21"/>
    <mergeCell ref="AS16:AS21"/>
    <mergeCell ref="AT16:AT21"/>
    <mergeCell ref="AU16:AU21"/>
    <mergeCell ref="AV16:AV21"/>
    <mergeCell ref="AK16:AK21"/>
    <mergeCell ref="AL16:AL21"/>
    <mergeCell ref="AM16:AM21"/>
    <mergeCell ref="AN16:AN21"/>
    <mergeCell ref="AO16:AO21"/>
    <mergeCell ref="AP16:AP21"/>
    <mergeCell ref="C16:C21"/>
    <mergeCell ref="AF16:AF21"/>
    <mergeCell ref="AG16:AG21"/>
    <mergeCell ref="AH16:AH21"/>
    <mergeCell ref="AI16:AI21"/>
    <mergeCell ref="AJ16:AJ21"/>
    <mergeCell ref="AL28:AL33"/>
    <mergeCell ref="AM28:AM33"/>
    <mergeCell ref="AN28:AN33"/>
    <mergeCell ref="AO28:AO33"/>
    <mergeCell ref="AP28:AP33"/>
    <mergeCell ref="AQ28:AQ33"/>
    <mergeCell ref="C28:C33"/>
    <mergeCell ref="AG28:AG33"/>
    <mergeCell ref="AH28:AH33"/>
    <mergeCell ref="AI28:AI33"/>
    <mergeCell ref="AJ28:AJ33"/>
    <mergeCell ref="AK28:AK33"/>
    <mergeCell ref="AQ22:AQ27"/>
    <mergeCell ref="AR22:AR27"/>
    <mergeCell ref="AS22:AS27"/>
    <mergeCell ref="AT22:AT27"/>
    <mergeCell ref="AU22:AU27"/>
    <mergeCell ref="AT34:AT39"/>
    <mergeCell ref="AU34:AU39"/>
    <mergeCell ref="AV34:AV39"/>
    <mergeCell ref="AW34:AW39"/>
    <mergeCell ref="AX34:AX39"/>
    <mergeCell ref="C40:C45"/>
    <mergeCell ref="AF40:AF45"/>
    <mergeCell ref="AG40:AG45"/>
    <mergeCell ref="AH40:AH45"/>
    <mergeCell ref="AI40:AI45"/>
    <mergeCell ref="AN34:AN39"/>
    <mergeCell ref="AO34:AO39"/>
    <mergeCell ref="AP34:AP39"/>
    <mergeCell ref="AQ34:AQ39"/>
    <mergeCell ref="AR34:AR39"/>
    <mergeCell ref="AS34:AS39"/>
    <mergeCell ref="AX28:AX33"/>
    <mergeCell ref="C34:C39"/>
    <mergeCell ref="AF34:AF39"/>
    <mergeCell ref="AG34:AG39"/>
    <mergeCell ref="AH34:AH39"/>
    <mergeCell ref="AI34:AI39"/>
    <mergeCell ref="AJ34:AJ39"/>
    <mergeCell ref="AK34:AK39"/>
    <mergeCell ref="AL34:AL39"/>
    <mergeCell ref="AM34:AM39"/>
    <mergeCell ref="AR28:AR33"/>
    <mergeCell ref="AS28:AS33"/>
    <mergeCell ref="AT28:AT33"/>
    <mergeCell ref="AX40:AX45"/>
    <mergeCell ref="C46:C51"/>
    <mergeCell ref="AF46:AF51"/>
    <mergeCell ref="AG46:AG51"/>
    <mergeCell ref="AH46:AH51"/>
    <mergeCell ref="AI46:AI51"/>
    <mergeCell ref="AJ46:AJ51"/>
    <mergeCell ref="AK46:AK51"/>
    <mergeCell ref="AP40:AP45"/>
    <mergeCell ref="AQ40:AQ45"/>
    <mergeCell ref="AR40:AR45"/>
    <mergeCell ref="AS40:AS45"/>
    <mergeCell ref="AT40:AT45"/>
    <mergeCell ref="AU40:AU45"/>
    <mergeCell ref="AJ40:AJ45"/>
    <mergeCell ref="AK40:AK45"/>
    <mergeCell ref="AL40:AL45"/>
    <mergeCell ref="AM40:AM45"/>
    <mergeCell ref="AN40:AN45"/>
    <mergeCell ref="AO40:AO45"/>
    <mergeCell ref="AX46:AX51"/>
    <mergeCell ref="AR46:AR51"/>
    <mergeCell ref="AS46:AS51"/>
    <mergeCell ref="AT46:AT51"/>
    <mergeCell ref="AU46:AU51"/>
    <mergeCell ref="AV46:AV51"/>
    <mergeCell ref="AW46:AW51"/>
    <mergeCell ref="AL46:AL51"/>
    <mergeCell ref="AM46:AM51"/>
    <mergeCell ref="AN46:AN51"/>
    <mergeCell ref="AO46:AO51"/>
    <mergeCell ref="AP46:AP51"/>
    <mergeCell ref="AQ46:AQ51"/>
    <mergeCell ref="AU28:AU33"/>
    <mergeCell ref="AV28:AV33"/>
    <mergeCell ref="AW28:AW33"/>
    <mergeCell ref="AV40:AV45"/>
    <mergeCell ref="AW40:AW45"/>
    <mergeCell ref="AL58:AL63"/>
    <mergeCell ref="AM58:AM63"/>
    <mergeCell ref="AN58:AN63"/>
    <mergeCell ref="AO58:AO63"/>
    <mergeCell ref="AP58:AP63"/>
    <mergeCell ref="AQ58:AQ63"/>
    <mergeCell ref="AU52:AU57"/>
    <mergeCell ref="AV52:AV57"/>
    <mergeCell ref="AW52:AW57"/>
    <mergeCell ref="AX52:AX57"/>
    <mergeCell ref="C58:C63"/>
    <mergeCell ref="AG58:AG63"/>
    <mergeCell ref="AH58:AH63"/>
    <mergeCell ref="AI58:AI63"/>
    <mergeCell ref="AJ58:AJ63"/>
    <mergeCell ref="AK58:AK63"/>
    <mergeCell ref="AO52:AO57"/>
    <mergeCell ref="AP52:AP57"/>
    <mergeCell ref="AQ52:AQ57"/>
    <mergeCell ref="AR52:AR57"/>
    <mergeCell ref="AS52:AS57"/>
    <mergeCell ref="AT52:AT57"/>
    <mergeCell ref="C52:C57"/>
    <mergeCell ref="AG52:AG57"/>
    <mergeCell ref="AH52:AH57"/>
    <mergeCell ref="AI52:AI57"/>
    <mergeCell ref="AJ52:AJ57"/>
    <mergeCell ref="AK52:AK57"/>
    <mergeCell ref="AL52:AL57"/>
    <mergeCell ref="AM52:AM57"/>
    <mergeCell ref="AN52:AN57"/>
    <mergeCell ref="AT64:AT69"/>
    <mergeCell ref="AU64:AU69"/>
    <mergeCell ref="AV64:AV69"/>
    <mergeCell ref="AW64:AW69"/>
    <mergeCell ref="AX64:AX69"/>
    <mergeCell ref="C70:C75"/>
    <mergeCell ref="AF70:AF75"/>
    <mergeCell ref="AG70:AG75"/>
    <mergeCell ref="AH70:AH75"/>
    <mergeCell ref="AI70:AI75"/>
    <mergeCell ref="AN64:AN69"/>
    <mergeCell ref="AO64:AO69"/>
    <mergeCell ref="AP64:AP69"/>
    <mergeCell ref="AQ64:AQ69"/>
    <mergeCell ref="AR64:AR69"/>
    <mergeCell ref="AS64:AS69"/>
    <mergeCell ref="AX58:AX63"/>
    <mergeCell ref="C64:C69"/>
    <mergeCell ref="AF64:AF69"/>
    <mergeCell ref="AG64:AG69"/>
    <mergeCell ref="AH64:AH69"/>
    <mergeCell ref="AI64:AI69"/>
    <mergeCell ref="AJ64:AJ69"/>
    <mergeCell ref="AK64:AK69"/>
    <mergeCell ref="AL64:AL69"/>
    <mergeCell ref="AM64:AM69"/>
    <mergeCell ref="AR58:AR63"/>
    <mergeCell ref="AS58:AS63"/>
    <mergeCell ref="AT58:AT63"/>
    <mergeCell ref="AU58:AU63"/>
    <mergeCell ref="AV58:AV63"/>
    <mergeCell ref="AW58:AW63"/>
    <mergeCell ref="AL76:AL81"/>
    <mergeCell ref="AM76:AM81"/>
    <mergeCell ref="AN76:AN81"/>
    <mergeCell ref="AO76:AO81"/>
    <mergeCell ref="AP76:AP81"/>
    <mergeCell ref="AQ76:AQ81"/>
    <mergeCell ref="AV70:AV75"/>
    <mergeCell ref="AW70:AW75"/>
    <mergeCell ref="AX70:AX75"/>
    <mergeCell ref="C76:C81"/>
    <mergeCell ref="AF76:AF81"/>
    <mergeCell ref="AG76:AG81"/>
    <mergeCell ref="AH76:AH81"/>
    <mergeCell ref="AI76:AI81"/>
    <mergeCell ref="AJ76:AJ81"/>
    <mergeCell ref="AK76:AK81"/>
    <mergeCell ref="AP70:AP75"/>
    <mergeCell ref="AQ70:AQ75"/>
    <mergeCell ref="AR70:AR75"/>
    <mergeCell ref="AS70:AS75"/>
    <mergeCell ref="AT70:AT75"/>
    <mergeCell ref="AU70:AU75"/>
    <mergeCell ref="AJ70:AJ75"/>
    <mergeCell ref="AK70:AK75"/>
    <mergeCell ref="AL70:AL75"/>
    <mergeCell ref="AM70:AM75"/>
    <mergeCell ref="AN70:AN75"/>
    <mergeCell ref="AO70:AO75"/>
    <mergeCell ref="AT82:AT87"/>
    <mergeCell ref="AU82:AU87"/>
    <mergeCell ref="AV82:AV87"/>
    <mergeCell ref="AW82:AW87"/>
    <mergeCell ref="AX82:AX87"/>
    <mergeCell ref="C88:C93"/>
    <mergeCell ref="AF88:AF93"/>
    <mergeCell ref="AG88:AG93"/>
    <mergeCell ref="AH88:AH93"/>
    <mergeCell ref="AI88:AI93"/>
    <mergeCell ref="AN82:AN87"/>
    <mergeCell ref="AO82:AO87"/>
    <mergeCell ref="AP82:AP87"/>
    <mergeCell ref="AQ82:AQ87"/>
    <mergeCell ref="AR82:AR87"/>
    <mergeCell ref="AS82:AS87"/>
    <mergeCell ref="AX76:AX81"/>
    <mergeCell ref="C82:C87"/>
    <mergeCell ref="AF82:AF87"/>
    <mergeCell ref="AG82:AG87"/>
    <mergeCell ref="AH82:AH87"/>
    <mergeCell ref="AI82:AI87"/>
    <mergeCell ref="AJ82:AJ87"/>
    <mergeCell ref="AK82:AK87"/>
    <mergeCell ref="AL82:AL87"/>
    <mergeCell ref="AM82:AM87"/>
    <mergeCell ref="AR76:AR81"/>
    <mergeCell ref="AS76:AS81"/>
    <mergeCell ref="AT76:AT81"/>
    <mergeCell ref="AU76:AU81"/>
    <mergeCell ref="AV76:AV81"/>
    <mergeCell ref="AW76:AW81"/>
    <mergeCell ref="AX94:AX99"/>
    <mergeCell ref="AM94:AM99"/>
    <mergeCell ref="AN94:AN99"/>
    <mergeCell ref="AO94:AO99"/>
    <mergeCell ref="AP94:AP99"/>
    <mergeCell ref="AQ94:AQ99"/>
    <mergeCell ref="AR94:AR99"/>
    <mergeCell ref="AV88:AV93"/>
    <mergeCell ref="AW88:AW93"/>
    <mergeCell ref="AX88:AX93"/>
    <mergeCell ref="C94:C99"/>
    <mergeCell ref="AG94:AG99"/>
    <mergeCell ref="AH94:AH99"/>
    <mergeCell ref="AI94:AI99"/>
    <mergeCell ref="AJ94:AJ99"/>
    <mergeCell ref="AK94:AK99"/>
    <mergeCell ref="AL94:AL99"/>
    <mergeCell ref="AP88:AP93"/>
    <mergeCell ref="AQ88:AQ93"/>
    <mergeCell ref="AR88:AR93"/>
    <mergeCell ref="AS88:AS93"/>
    <mergeCell ref="AT88:AT93"/>
    <mergeCell ref="AU88:AU93"/>
    <mergeCell ref="AJ88:AJ93"/>
    <mergeCell ref="AK88:AK93"/>
    <mergeCell ref="AL88:AL93"/>
    <mergeCell ref="AM88:AM93"/>
    <mergeCell ref="AN88:AN93"/>
    <mergeCell ref="AO88:AO93"/>
    <mergeCell ref="AL100:AL105"/>
    <mergeCell ref="AM100:AM105"/>
    <mergeCell ref="AN100:AN105"/>
    <mergeCell ref="AO100:AO105"/>
    <mergeCell ref="AP100:AP105"/>
    <mergeCell ref="AQ100:AQ105"/>
    <mergeCell ref="C100:C105"/>
    <mergeCell ref="AG100:AG105"/>
    <mergeCell ref="AH100:AH105"/>
    <mergeCell ref="AI100:AI105"/>
    <mergeCell ref="AJ100:AJ105"/>
    <mergeCell ref="AK100:AK105"/>
    <mergeCell ref="AS94:AS99"/>
    <mergeCell ref="AT94:AT99"/>
    <mergeCell ref="AU94:AU99"/>
    <mergeCell ref="AV94:AV99"/>
    <mergeCell ref="AW94:AW99"/>
    <mergeCell ref="AU106:AU111"/>
    <mergeCell ref="AV106:AV111"/>
    <mergeCell ref="AW106:AW111"/>
    <mergeCell ref="AX106:AX111"/>
    <mergeCell ref="C112:C117"/>
    <mergeCell ref="AF112:AF117"/>
    <mergeCell ref="AG112:AG117"/>
    <mergeCell ref="AH112:AH117"/>
    <mergeCell ref="AI112:AI117"/>
    <mergeCell ref="AJ112:AJ117"/>
    <mergeCell ref="AO106:AO111"/>
    <mergeCell ref="AP106:AP111"/>
    <mergeCell ref="AQ106:AQ111"/>
    <mergeCell ref="AR106:AR111"/>
    <mergeCell ref="AS106:AS111"/>
    <mergeCell ref="AT106:AT111"/>
    <mergeCell ref="AX100:AX105"/>
    <mergeCell ref="C106:C111"/>
    <mergeCell ref="AG106:AG111"/>
    <mergeCell ref="AH106:AH111"/>
    <mergeCell ref="AI106:AI111"/>
    <mergeCell ref="AJ106:AJ111"/>
    <mergeCell ref="AK106:AK111"/>
    <mergeCell ref="AL106:AL111"/>
    <mergeCell ref="AM106:AM111"/>
    <mergeCell ref="AN106:AN111"/>
    <mergeCell ref="AR100:AR105"/>
    <mergeCell ref="AS100:AS105"/>
    <mergeCell ref="AT100:AT105"/>
    <mergeCell ref="AU100:AU105"/>
    <mergeCell ref="AV100:AV105"/>
    <mergeCell ref="AW100:AW105"/>
    <mergeCell ref="AX118:AX123"/>
    <mergeCell ref="AM118:AM123"/>
    <mergeCell ref="AN118:AN123"/>
    <mergeCell ref="AO118:AO123"/>
    <mergeCell ref="AP118:AP123"/>
    <mergeCell ref="AQ118:AQ123"/>
    <mergeCell ref="AR118:AR123"/>
    <mergeCell ref="AW112:AW117"/>
    <mergeCell ref="AX112:AX117"/>
    <mergeCell ref="C118:C123"/>
    <mergeCell ref="AF118:AF123"/>
    <mergeCell ref="AG118:AG123"/>
    <mergeCell ref="AH118:AH123"/>
    <mergeCell ref="AI118:AI123"/>
    <mergeCell ref="AJ118:AJ123"/>
    <mergeCell ref="AK118:AK123"/>
    <mergeCell ref="AL118:AL123"/>
    <mergeCell ref="AQ112:AQ117"/>
    <mergeCell ref="AR112:AR117"/>
    <mergeCell ref="AS112:AS117"/>
    <mergeCell ref="AT112:AT117"/>
    <mergeCell ref="AU112:AU117"/>
    <mergeCell ref="AV112:AV117"/>
    <mergeCell ref="AK112:AK117"/>
    <mergeCell ref="AL112:AL117"/>
    <mergeCell ref="AM112:AM117"/>
    <mergeCell ref="AN112:AN117"/>
    <mergeCell ref="AO112:AO117"/>
    <mergeCell ref="AP112:AP117"/>
    <mergeCell ref="AL124:AL129"/>
    <mergeCell ref="AM124:AM129"/>
    <mergeCell ref="AN124:AN129"/>
    <mergeCell ref="AO124:AO129"/>
    <mergeCell ref="AP124:AP129"/>
    <mergeCell ref="AQ124:AQ129"/>
    <mergeCell ref="C124:C129"/>
    <mergeCell ref="AG124:AG129"/>
    <mergeCell ref="AH124:AH129"/>
    <mergeCell ref="AI124:AI129"/>
    <mergeCell ref="AJ124:AJ129"/>
    <mergeCell ref="AK124:AK129"/>
    <mergeCell ref="AS118:AS123"/>
    <mergeCell ref="AT118:AT123"/>
    <mergeCell ref="AU118:AU123"/>
    <mergeCell ref="AV118:AV123"/>
    <mergeCell ref="AW118:AW123"/>
    <mergeCell ref="AT130:AT135"/>
    <mergeCell ref="AU130:AU135"/>
    <mergeCell ref="AV130:AV135"/>
    <mergeCell ref="AW130:AW135"/>
    <mergeCell ref="AX130:AX135"/>
    <mergeCell ref="C136:C141"/>
    <mergeCell ref="AF136:AF141"/>
    <mergeCell ref="AG136:AG141"/>
    <mergeCell ref="AH136:AH141"/>
    <mergeCell ref="AI136:AI141"/>
    <mergeCell ref="AN130:AN135"/>
    <mergeCell ref="AO130:AO135"/>
    <mergeCell ref="AP130:AP135"/>
    <mergeCell ref="AQ130:AQ135"/>
    <mergeCell ref="AR130:AR135"/>
    <mergeCell ref="AS130:AS135"/>
    <mergeCell ref="AX124:AX129"/>
    <mergeCell ref="C130:C135"/>
    <mergeCell ref="AF130:AF135"/>
    <mergeCell ref="AG130:AG135"/>
    <mergeCell ref="AH130:AH135"/>
    <mergeCell ref="AI130:AI135"/>
    <mergeCell ref="AJ130:AJ135"/>
    <mergeCell ref="AK130:AK135"/>
    <mergeCell ref="AL130:AL135"/>
    <mergeCell ref="AM130:AM135"/>
    <mergeCell ref="AR124:AR129"/>
    <mergeCell ref="AS124:AS129"/>
    <mergeCell ref="AT124:AT129"/>
    <mergeCell ref="AU124:AU129"/>
    <mergeCell ref="AV124:AV129"/>
    <mergeCell ref="AW124:AW129"/>
    <mergeCell ref="AL142:AL147"/>
    <mergeCell ref="AM142:AM147"/>
    <mergeCell ref="AN142:AN147"/>
    <mergeCell ref="AO142:AO147"/>
    <mergeCell ref="AP142:AP147"/>
    <mergeCell ref="AQ142:AQ147"/>
    <mergeCell ref="AV136:AV141"/>
    <mergeCell ref="AW136:AW141"/>
    <mergeCell ref="AX136:AX141"/>
    <mergeCell ref="C142:C147"/>
    <mergeCell ref="AF142:AF147"/>
    <mergeCell ref="AG142:AG147"/>
    <mergeCell ref="AH142:AH147"/>
    <mergeCell ref="AI142:AI147"/>
    <mergeCell ref="AJ142:AJ147"/>
    <mergeCell ref="AK142:AK147"/>
    <mergeCell ref="AP136:AP141"/>
    <mergeCell ref="AQ136:AQ141"/>
    <mergeCell ref="AR136:AR141"/>
    <mergeCell ref="AS136:AS141"/>
    <mergeCell ref="AT136:AT141"/>
    <mergeCell ref="AU136:AU141"/>
    <mergeCell ref="AJ136:AJ141"/>
    <mergeCell ref="AK136:AK141"/>
    <mergeCell ref="AL136:AL141"/>
    <mergeCell ref="AM136:AM141"/>
    <mergeCell ref="AN136:AN141"/>
    <mergeCell ref="AO136:AO141"/>
    <mergeCell ref="AU148:AU153"/>
    <mergeCell ref="AV148:AV153"/>
    <mergeCell ref="AW148:AW153"/>
    <mergeCell ref="AX148:AX153"/>
    <mergeCell ref="A154:A297"/>
    <mergeCell ref="B154:B297"/>
    <mergeCell ref="C154:C159"/>
    <mergeCell ref="S154:S297"/>
    <mergeCell ref="AF154:AF159"/>
    <mergeCell ref="AG154:AG159"/>
    <mergeCell ref="AO148:AO153"/>
    <mergeCell ref="AP148:AP153"/>
    <mergeCell ref="AQ148:AQ153"/>
    <mergeCell ref="AR148:AR153"/>
    <mergeCell ref="AS148:AS153"/>
    <mergeCell ref="AT148:AT153"/>
    <mergeCell ref="AX142:AX147"/>
    <mergeCell ref="C148:C153"/>
    <mergeCell ref="AG148:AG153"/>
    <mergeCell ref="AH148:AH153"/>
    <mergeCell ref="AI148:AI153"/>
    <mergeCell ref="AJ148:AJ153"/>
    <mergeCell ref="AK148:AK153"/>
    <mergeCell ref="AL148:AL153"/>
    <mergeCell ref="AM148:AM153"/>
    <mergeCell ref="AN148:AN153"/>
    <mergeCell ref="AR142:AR147"/>
    <mergeCell ref="AS142:AS147"/>
    <mergeCell ref="AT142:AT147"/>
    <mergeCell ref="AU142:AU147"/>
    <mergeCell ref="AV142:AV147"/>
    <mergeCell ref="AW142:AW147"/>
    <mergeCell ref="C160:C165"/>
    <mergeCell ref="AF160:AF165"/>
    <mergeCell ref="AG160:AG165"/>
    <mergeCell ref="AH160:AH165"/>
    <mergeCell ref="AI160:AI165"/>
    <mergeCell ref="AN154:AN159"/>
    <mergeCell ref="AO154:AO159"/>
    <mergeCell ref="AP154:AP159"/>
    <mergeCell ref="AQ154:AQ159"/>
    <mergeCell ref="AR154:AR159"/>
    <mergeCell ref="AS154:AS159"/>
    <mergeCell ref="AH154:AH159"/>
    <mergeCell ref="AI154:AI159"/>
    <mergeCell ref="AJ154:AJ159"/>
    <mergeCell ref="AK154:AK159"/>
    <mergeCell ref="AL154:AL159"/>
    <mergeCell ref="AM154:AM159"/>
    <mergeCell ref="AP160:AP165"/>
    <mergeCell ref="AQ160:AQ165"/>
    <mergeCell ref="AR160:AR165"/>
    <mergeCell ref="AS160:AS165"/>
    <mergeCell ref="AT160:AT165"/>
    <mergeCell ref="AU160:AU165"/>
    <mergeCell ref="AJ160:AJ165"/>
    <mergeCell ref="AK160:AK165"/>
    <mergeCell ref="AL160:AL165"/>
    <mergeCell ref="AM160:AM165"/>
    <mergeCell ref="AN160:AN165"/>
    <mergeCell ref="AO160:AO165"/>
    <mergeCell ref="AT154:AT159"/>
    <mergeCell ref="AU154:AU159"/>
    <mergeCell ref="AV154:AV159"/>
    <mergeCell ref="AW154:AW159"/>
    <mergeCell ref="AX154:AX159"/>
    <mergeCell ref="AV160:AV165"/>
    <mergeCell ref="AW160:AW165"/>
    <mergeCell ref="AX160:AX165"/>
    <mergeCell ref="AX166:AX171"/>
    <mergeCell ref="AR166:AR171"/>
    <mergeCell ref="AS166:AS171"/>
    <mergeCell ref="AT166:AT171"/>
    <mergeCell ref="AU166:AU171"/>
    <mergeCell ref="AV166:AV171"/>
    <mergeCell ref="AW166:AW171"/>
    <mergeCell ref="AL166:AL171"/>
    <mergeCell ref="AM166:AM171"/>
    <mergeCell ref="AN166:AN171"/>
    <mergeCell ref="AO166:AO171"/>
    <mergeCell ref="AP166:AP171"/>
    <mergeCell ref="AQ166:AQ171"/>
    <mergeCell ref="C166:C171"/>
    <mergeCell ref="AF166:AF171"/>
    <mergeCell ref="AG166:AG171"/>
    <mergeCell ref="AH166:AH171"/>
    <mergeCell ref="AI166:AI171"/>
    <mergeCell ref="AJ166:AJ171"/>
    <mergeCell ref="AK166:AK171"/>
    <mergeCell ref="AK178:AK183"/>
    <mergeCell ref="AL178:AL183"/>
    <mergeCell ref="AM178:AM183"/>
    <mergeCell ref="AN178:AN183"/>
    <mergeCell ref="AO178:AO183"/>
    <mergeCell ref="AP178:AP183"/>
    <mergeCell ref="AT172:AT177"/>
    <mergeCell ref="AU172:AU177"/>
    <mergeCell ref="AV172:AV177"/>
    <mergeCell ref="AW172:AW177"/>
    <mergeCell ref="AX172:AX177"/>
    <mergeCell ref="C178:C183"/>
    <mergeCell ref="AG178:AG183"/>
    <mergeCell ref="AH178:AH183"/>
    <mergeCell ref="AI178:AI183"/>
    <mergeCell ref="AJ178:AJ183"/>
    <mergeCell ref="AN172:AN177"/>
    <mergeCell ref="AO172:AO177"/>
    <mergeCell ref="AP172:AP177"/>
    <mergeCell ref="AQ172:AQ177"/>
    <mergeCell ref="AR172:AR177"/>
    <mergeCell ref="AS172:AS177"/>
    <mergeCell ref="C172:C177"/>
    <mergeCell ref="AF172:AF177"/>
    <mergeCell ref="AG172:AG177"/>
    <mergeCell ref="AH172:AH177"/>
    <mergeCell ref="AI172:AI177"/>
    <mergeCell ref="AJ172:AJ177"/>
    <mergeCell ref="AK172:AK177"/>
    <mergeCell ref="AL172:AL177"/>
    <mergeCell ref="AM172:AM177"/>
    <mergeCell ref="AT184:AT189"/>
    <mergeCell ref="AU184:AU189"/>
    <mergeCell ref="AV184:AV189"/>
    <mergeCell ref="AW184:AW189"/>
    <mergeCell ref="AX184:AX189"/>
    <mergeCell ref="C190:C195"/>
    <mergeCell ref="AG190:AG195"/>
    <mergeCell ref="AH190:AH195"/>
    <mergeCell ref="AI190:AI195"/>
    <mergeCell ref="AJ190:AJ195"/>
    <mergeCell ref="AN184:AN189"/>
    <mergeCell ref="AO184:AO189"/>
    <mergeCell ref="AP184:AP189"/>
    <mergeCell ref="AQ184:AQ189"/>
    <mergeCell ref="AR184:AR189"/>
    <mergeCell ref="AS184:AS189"/>
    <mergeCell ref="AW178:AW183"/>
    <mergeCell ref="AX178:AX183"/>
    <mergeCell ref="C184:C189"/>
    <mergeCell ref="AG184:AG189"/>
    <mergeCell ref="AH184:AH189"/>
    <mergeCell ref="AI184:AI189"/>
    <mergeCell ref="AJ184:AJ189"/>
    <mergeCell ref="AK184:AK189"/>
    <mergeCell ref="AL184:AL189"/>
    <mergeCell ref="AM184:AM189"/>
    <mergeCell ref="AQ178:AQ183"/>
    <mergeCell ref="AR178:AR183"/>
    <mergeCell ref="AS178:AS183"/>
    <mergeCell ref="AT178:AT183"/>
    <mergeCell ref="AU178:AU183"/>
    <mergeCell ref="AV178:AV183"/>
    <mergeCell ref="AW190:AW195"/>
    <mergeCell ref="AX190:AX195"/>
    <mergeCell ref="C196:C201"/>
    <mergeCell ref="AF196:AF201"/>
    <mergeCell ref="AG196:AG201"/>
    <mergeCell ref="AH196:AH201"/>
    <mergeCell ref="AI196:AI201"/>
    <mergeCell ref="AJ196:AJ201"/>
    <mergeCell ref="AK196:AK201"/>
    <mergeCell ref="AL196:AL201"/>
    <mergeCell ref="AQ190:AQ195"/>
    <mergeCell ref="AR190:AR195"/>
    <mergeCell ref="AS190:AS195"/>
    <mergeCell ref="AT190:AT195"/>
    <mergeCell ref="AU190:AU195"/>
    <mergeCell ref="AV190:AV195"/>
    <mergeCell ref="AK190:AK195"/>
    <mergeCell ref="AL190:AL195"/>
    <mergeCell ref="AM190:AM195"/>
    <mergeCell ref="AN190:AN195"/>
    <mergeCell ref="AO190:AO195"/>
    <mergeCell ref="AP190:AP195"/>
    <mergeCell ref="AO202:AO207"/>
    <mergeCell ref="AP202:AP207"/>
    <mergeCell ref="C202:C207"/>
    <mergeCell ref="AF202:AF207"/>
    <mergeCell ref="AG202:AG207"/>
    <mergeCell ref="AH202:AH207"/>
    <mergeCell ref="AI202:AI207"/>
    <mergeCell ref="AJ202:AJ207"/>
    <mergeCell ref="AS196:AS201"/>
    <mergeCell ref="AT196:AT201"/>
    <mergeCell ref="AU196:AU201"/>
    <mergeCell ref="AV196:AV201"/>
    <mergeCell ref="AW196:AW201"/>
    <mergeCell ref="AX196:AX201"/>
    <mergeCell ref="AM196:AM201"/>
    <mergeCell ref="AN196:AN201"/>
    <mergeCell ref="AO196:AO201"/>
    <mergeCell ref="AP196:AP201"/>
    <mergeCell ref="AQ196:AQ201"/>
    <mergeCell ref="AR196:AR201"/>
    <mergeCell ref="AS208:AS213"/>
    <mergeCell ref="AT208:AT213"/>
    <mergeCell ref="AU208:AU213"/>
    <mergeCell ref="AV208:AV213"/>
    <mergeCell ref="AW208:AW213"/>
    <mergeCell ref="AX208:AX213"/>
    <mergeCell ref="AM208:AM213"/>
    <mergeCell ref="AN208:AN213"/>
    <mergeCell ref="AO208:AO213"/>
    <mergeCell ref="AP208:AP213"/>
    <mergeCell ref="AQ208:AQ213"/>
    <mergeCell ref="AR208:AR213"/>
    <mergeCell ref="AW202:AW207"/>
    <mergeCell ref="AX202:AX207"/>
    <mergeCell ref="C208:C213"/>
    <mergeCell ref="AF208:AF213"/>
    <mergeCell ref="AG208:AG213"/>
    <mergeCell ref="AH208:AH213"/>
    <mergeCell ref="AI208:AI213"/>
    <mergeCell ref="AJ208:AJ213"/>
    <mergeCell ref="AK208:AK213"/>
    <mergeCell ref="AL208:AL213"/>
    <mergeCell ref="AQ202:AQ207"/>
    <mergeCell ref="AR202:AR207"/>
    <mergeCell ref="AS202:AS207"/>
    <mergeCell ref="AT202:AT207"/>
    <mergeCell ref="AU202:AU207"/>
    <mergeCell ref="AV202:AV207"/>
    <mergeCell ref="AK202:AK207"/>
    <mergeCell ref="AL202:AL207"/>
    <mergeCell ref="AM202:AM207"/>
    <mergeCell ref="AN202:AN207"/>
    <mergeCell ref="C220:C225"/>
    <mergeCell ref="AF220:AF225"/>
    <mergeCell ref="AG220:AG225"/>
    <mergeCell ref="AH220:AH225"/>
    <mergeCell ref="AI220:AI225"/>
    <mergeCell ref="AJ220:AJ225"/>
    <mergeCell ref="AK220:AK225"/>
    <mergeCell ref="AL220:AL225"/>
    <mergeCell ref="AQ214:AQ219"/>
    <mergeCell ref="AR214:AR219"/>
    <mergeCell ref="AS214:AS219"/>
    <mergeCell ref="AT214:AT219"/>
    <mergeCell ref="AU214:AU219"/>
    <mergeCell ref="AV214:AV219"/>
    <mergeCell ref="AK214:AK219"/>
    <mergeCell ref="AL214:AL219"/>
    <mergeCell ref="AM214:AM219"/>
    <mergeCell ref="AN214:AN219"/>
    <mergeCell ref="AO214:AO219"/>
    <mergeCell ref="AP214:AP219"/>
    <mergeCell ref="C214:C219"/>
    <mergeCell ref="AF214:AF219"/>
    <mergeCell ref="AG214:AG219"/>
    <mergeCell ref="AH214:AH219"/>
    <mergeCell ref="AI214:AI219"/>
    <mergeCell ref="AJ214:AJ219"/>
    <mergeCell ref="AH226:AH231"/>
    <mergeCell ref="AI226:AI231"/>
    <mergeCell ref="AJ226:AJ231"/>
    <mergeCell ref="AS220:AS225"/>
    <mergeCell ref="AT220:AT225"/>
    <mergeCell ref="AU220:AU225"/>
    <mergeCell ref="AV220:AV225"/>
    <mergeCell ref="AW220:AW225"/>
    <mergeCell ref="AX220:AX225"/>
    <mergeCell ref="AM220:AM225"/>
    <mergeCell ref="AN220:AN225"/>
    <mergeCell ref="AO220:AO225"/>
    <mergeCell ref="AP220:AP225"/>
    <mergeCell ref="AQ220:AQ225"/>
    <mergeCell ref="AR220:AR225"/>
    <mergeCell ref="AW214:AW219"/>
    <mergeCell ref="AX214:AX219"/>
    <mergeCell ref="AX232:AX237"/>
    <mergeCell ref="AM232:AM237"/>
    <mergeCell ref="AN232:AN237"/>
    <mergeCell ref="AO232:AO237"/>
    <mergeCell ref="AP232:AP237"/>
    <mergeCell ref="AQ232:AQ237"/>
    <mergeCell ref="AR232:AR237"/>
    <mergeCell ref="AW226:AW231"/>
    <mergeCell ref="AX226:AX231"/>
    <mergeCell ref="C232:C237"/>
    <mergeCell ref="AF232:AF237"/>
    <mergeCell ref="AG232:AG237"/>
    <mergeCell ref="AH232:AH237"/>
    <mergeCell ref="AI232:AI237"/>
    <mergeCell ref="AJ232:AJ237"/>
    <mergeCell ref="AK232:AK237"/>
    <mergeCell ref="AL232:AL237"/>
    <mergeCell ref="AQ226:AQ231"/>
    <mergeCell ref="AR226:AR231"/>
    <mergeCell ref="AS226:AS231"/>
    <mergeCell ref="AT226:AT231"/>
    <mergeCell ref="AU226:AU231"/>
    <mergeCell ref="AV226:AV231"/>
    <mergeCell ref="AK226:AK231"/>
    <mergeCell ref="AL226:AL231"/>
    <mergeCell ref="AM226:AM231"/>
    <mergeCell ref="AN226:AN231"/>
    <mergeCell ref="AO226:AO231"/>
    <mergeCell ref="AP226:AP231"/>
    <mergeCell ref="C226:C231"/>
    <mergeCell ref="AF226:AF231"/>
    <mergeCell ref="AG226:AG231"/>
    <mergeCell ref="AL238:AL243"/>
    <mergeCell ref="AM238:AM243"/>
    <mergeCell ref="AN238:AN243"/>
    <mergeCell ref="AO238:AO243"/>
    <mergeCell ref="AP238:AP243"/>
    <mergeCell ref="AQ238:AQ243"/>
    <mergeCell ref="C238:C243"/>
    <mergeCell ref="AG238:AG243"/>
    <mergeCell ref="AH238:AH243"/>
    <mergeCell ref="AI238:AI243"/>
    <mergeCell ref="AJ238:AJ243"/>
    <mergeCell ref="AK238:AK243"/>
    <mergeCell ref="AS232:AS237"/>
    <mergeCell ref="AT232:AT237"/>
    <mergeCell ref="AU232:AU237"/>
    <mergeCell ref="AV232:AV237"/>
    <mergeCell ref="AW232:AW237"/>
    <mergeCell ref="AU244:AU249"/>
    <mergeCell ref="AV244:AV249"/>
    <mergeCell ref="AW244:AW249"/>
    <mergeCell ref="AX244:AX249"/>
    <mergeCell ref="C250:C255"/>
    <mergeCell ref="AF250:AF255"/>
    <mergeCell ref="AG250:AG255"/>
    <mergeCell ref="AH250:AH255"/>
    <mergeCell ref="AI250:AI255"/>
    <mergeCell ref="AJ250:AJ255"/>
    <mergeCell ref="AO244:AO249"/>
    <mergeCell ref="AP244:AP249"/>
    <mergeCell ref="AQ244:AQ249"/>
    <mergeCell ref="AR244:AR249"/>
    <mergeCell ref="AS244:AS249"/>
    <mergeCell ref="AT244:AT249"/>
    <mergeCell ref="AX238:AX243"/>
    <mergeCell ref="C244:C249"/>
    <mergeCell ref="AG244:AG249"/>
    <mergeCell ref="AH244:AH249"/>
    <mergeCell ref="AI244:AI249"/>
    <mergeCell ref="AJ244:AJ249"/>
    <mergeCell ref="AK244:AK249"/>
    <mergeCell ref="AL244:AL249"/>
    <mergeCell ref="AM244:AM249"/>
    <mergeCell ref="AN244:AN249"/>
    <mergeCell ref="AR238:AR243"/>
    <mergeCell ref="AS238:AS243"/>
    <mergeCell ref="AT238:AT243"/>
    <mergeCell ref="AU238:AU243"/>
    <mergeCell ref="AV238:AV243"/>
    <mergeCell ref="AW238:AW243"/>
    <mergeCell ref="AW250:AW255"/>
    <mergeCell ref="AX250:AX255"/>
    <mergeCell ref="C256:C261"/>
    <mergeCell ref="AG256:AG261"/>
    <mergeCell ref="AH256:AH261"/>
    <mergeCell ref="AI256:AI261"/>
    <mergeCell ref="AJ256:AJ261"/>
    <mergeCell ref="AK256:AK261"/>
    <mergeCell ref="AL256:AL261"/>
    <mergeCell ref="AM256:AM261"/>
    <mergeCell ref="AQ250:AQ255"/>
    <mergeCell ref="AR250:AR255"/>
    <mergeCell ref="AS250:AS255"/>
    <mergeCell ref="AT250:AT255"/>
    <mergeCell ref="AU250:AU255"/>
    <mergeCell ref="AV250:AV255"/>
    <mergeCell ref="AK250:AK255"/>
    <mergeCell ref="AL250:AL255"/>
    <mergeCell ref="AM250:AM255"/>
    <mergeCell ref="AN250:AN255"/>
    <mergeCell ref="AO250:AO255"/>
    <mergeCell ref="AP250:AP255"/>
    <mergeCell ref="AT256:AT261"/>
    <mergeCell ref="AU256:AU261"/>
    <mergeCell ref="AV256:AV261"/>
    <mergeCell ref="AW256:AW261"/>
    <mergeCell ref="AX256:AX261"/>
    <mergeCell ref="AN256:AN261"/>
    <mergeCell ref="AO256:AO261"/>
    <mergeCell ref="AP256:AP261"/>
    <mergeCell ref="AQ256:AQ261"/>
    <mergeCell ref="AR256:AR261"/>
    <mergeCell ref="AS256:AS261"/>
    <mergeCell ref="AR268:AR273"/>
    <mergeCell ref="AS268:AS273"/>
    <mergeCell ref="AT268:AT273"/>
    <mergeCell ref="AU268:AU273"/>
    <mergeCell ref="AV268:AV273"/>
    <mergeCell ref="AW268:AW273"/>
    <mergeCell ref="AL268:AL273"/>
    <mergeCell ref="AM268:AM273"/>
    <mergeCell ref="AN268:AN273"/>
    <mergeCell ref="AO268:AO273"/>
    <mergeCell ref="AP268:AP273"/>
    <mergeCell ref="AQ268:AQ273"/>
    <mergeCell ref="AV262:AV267"/>
    <mergeCell ref="AW262:AW267"/>
    <mergeCell ref="AX262:AX267"/>
    <mergeCell ref="C268:C273"/>
    <mergeCell ref="AF268:AF273"/>
    <mergeCell ref="AG268:AG273"/>
    <mergeCell ref="AH268:AH273"/>
    <mergeCell ref="AI268:AI273"/>
    <mergeCell ref="AJ268:AJ273"/>
    <mergeCell ref="AK268:AK273"/>
    <mergeCell ref="AP262:AP267"/>
    <mergeCell ref="AQ262:AQ267"/>
    <mergeCell ref="AR262:AR267"/>
    <mergeCell ref="AS262:AS267"/>
    <mergeCell ref="AT262:AT267"/>
    <mergeCell ref="AU262:AU267"/>
    <mergeCell ref="AJ262:AJ267"/>
    <mergeCell ref="AK262:AK267"/>
    <mergeCell ref="AL262:AL267"/>
    <mergeCell ref="AM262:AM267"/>
    <mergeCell ref="AN262:AN267"/>
    <mergeCell ref="AO262:AO267"/>
    <mergeCell ref="AX268:AX273"/>
    <mergeCell ref="C262:C267"/>
    <mergeCell ref="AF262:AF267"/>
    <mergeCell ref="AG262:AG267"/>
    <mergeCell ref="AH262:AH267"/>
    <mergeCell ref="AI262:AI267"/>
    <mergeCell ref="AK280:AK285"/>
    <mergeCell ref="AL280:AL285"/>
    <mergeCell ref="AM280:AM285"/>
    <mergeCell ref="AN280:AN285"/>
    <mergeCell ref="AO280:AO285"/>
    <mergeCell ref="AP280:AP285"/>
    <mergeCell ref="AT274:AT279"/>
    <mergeCell ref="AU274:AU279"/>
    <mergeCell ref="AV274:AV279"/>
    <mergeCell ref="AW274:AW279"/>
    <mergeCell ref="AX274:AX279"/>
    <mergeCell ref="C280:C285"/>
    <mergeCell ref="AG280:AG285"/>
    <mergeCell ref="AH280:AH285"/>
    <mergeCell ref="AI280:AI285"/>
    <mergeCell ref="AJ280:AJ285"/>
    <mergeCell ref="AN274:AN279"/>
    <mergeCell ref="AO274:AO279"/>
    <mergeCell ref="AP274:AP279"/>
    <mergeCell ref="AQ274:AQ279"/>
    <mergeCell ref="AR274:AR279"/>
    <mergeCell ref="AS274:AS279"/>
    <mergeCell ref="C274:C279"/>
    <mergeCell ref="AF274:AF279"/>
    <mergeCell ref="AG274:AG279"/>
    <mergeCell ref="AH274:AH279"/>
    <mergeCell ref="AI274:AI279"/>
    <mergeCell ref="AJ274:AJ279"/>
    <mergeCell ref="AK274:AK279"/>
    <mergeCell ref="AL274:AL279"/>
    <mergeCell ref="AM274:AM279"/>
    <mergeCell ref="AT286:AT291"/>
    <mergeCell ref="AU286:AU291"/>
    <mergeCell ref="AV286:AV291"/>
    <mergeCell ref="AW286:AW291"/>
    <mergeCell ref="AX286:AX291"/>
    <mergeCell ref="C292:C297"/>
    <mergeCell ref="AG292:AG297"/>
    <mergeCell ref="AH292:AH297"/>
    <mergeCell ref="AI292:AI297"/>
    <mergeCell ref="AJ292:AJ297"/>
    <mergeCell ref="AN286:AN291"/>
    <mergeCell ref="AO286:AO291"/>
    <mergeCell ref="AP286:AP291"/>
    <mergeCell ref="AQ286:AQ291"/>
    <mergeCell ref="AR286:AR291"/>
    <mergeCell ref="AS286:AS291"/>
    <mergeCell ref="AW280:AW285"/>
    <mergeCell ref="AX280:AX285"/>
    <mergeCell ref="C286:C291"/>
    <mergeCell ref="AG286:AG291"/>
    <mergeCell ref="AH286:AH291"/>
    <mergeCell ref="AI286:AI291"/>
    <mergeCell ref="AJ286:AJ291"/>
    <mergeCell ref="AK286:AK291"/>
    <mergeCell ref="AL286:AL291"/>
    <mergeCell ref="AM286:AM291"/>
    <mergeCell ref="AQ280:AQ285"/>
    <mergeCell ref="AR280:AR285"/>
    <mergeCell ref="AS280:AS285"/>
    <mergeCell ref="AT280:AT285"/>
    <mergeCell ref="AU280:AU285"/>
    <mergeCell ref="AV280:AV285"/>
    <mergeCell ref="AW292:AW297"/>
    <mergeCell ref="AX292:AX297"/>
    <mergeCell ref="A298:A489"/>
    <mergeCell ref="B298:B489"/>
    <mergeCell ref="C298:C303"/>
    <mergeCell ref="S298:S303"/>
    <mergeCell ref="AF298:AF303"/>
    <mergeCell ref="AG298:AG303"/>
    <mergeCell ref="AH298:AH303"/>
    <mergeCell ref="AI298:AI303"/>
    <mergeCell ref="AQ292:AQ297"/>
    <mergeCell ref="AR292:AR297"/>
    <mergeCell ref="AS292:AS297"/>
    <mergeCell ref="AT292:AT297"/>
    <mergeCell ref="AU292:AU297"/>
    <mergeCell ref="AV292:AV297"/>
    <mergeCell ref="AK292:AK297"/>
    <mergeCell ref="AL292:AL297"/>
    <mergeCell ref="AM292:AM297"/>
    <mergeCell ref="AN292:AN297"/>
    <mergeCell ref="AO292:AO297"/>
    <mergeCell ref="AP292:AP297"/>
    <mergeCell ref="AL304:AL309"/>
    <mergeCell ref="AM304:AM309"/>
    <mergeCell ref="AX316:AX321"/>
    <mergeCell ref="AV316:AV321"/>
    <mergeCell ref="AW316:AW321"/>
    <mergeCell ref="AN304:AN309"/>
    <mergeCell ref="AO304:AO309"/>
    <mergeCell ref="AP304:AP309"/>
    <mergeCell ref="AQ304:AQ309"/>
    <mergeCell ref="AV298:AV303"/>
    <mergeCell ref="AW298:AW303"/>
    <mergeCell ref="AX298:AX303"/>
    <mergeCell ref="AQ310:AQ315"/>
    <mergeCell ref="AY298:AY333"/>
    <mergeCell ref="C304:C309"/>
    <mergeCell ref="AG304:AG309"/>
    <mergeCell ref="AH304:AH309"/>
    <mergeCell ref="AI304:AI309"/>
    <mergeCell ref="AJ304:AJ309"/>
    <mergeCell ref="AK304:AK309"/>
    <mergeCell ref="AP298:AP303"/>
    <mergeCell ref="AQ298:AQ303"/>
    <mergeCell ref="AR298:AR303"/>
    <mergeCell ref="AS298:AS303"/>
    <mergeCell ref="AT298:AT303"/>
    <mergeCell ref="AU298:AU303"/>
    <mergeCell ref="AJ298:AJ303"/>
    <mergeCell ref="AK298:AK303"/>
    <mergeCell ref="AL298:AL303"/>
    <mergeCell ref="AM298:AM303"/>
    <mergeCell ref="AN298:AN303"/>
    <mergeCell ref="AO298:AO303"/>
    <mergeCell ref="AT310:AT315"/>
    <mergeCell ref="AU310:AU315"/>
    <mergeCell ref="AN310:AN315"/>
    <mergeCell ref="AO310:AO315"/>
    <mergeCell ref="AP310:AP315"/>
    <mergeCell ref="AR310:AR315"/>
    <mergeCell ref="AS310:AS315"/>
    <mergeCell ref="AX304:AX309"/>
    <mergeCell ref="C310:C315"/>
    <mergeCell ref="AF310:AF315"/>
    <mergeCell ref="AG310:AG315"/>
    <mergeCell ref="AH310:AH315"/>
    <mergeCell ref="AI310:AI315"/>
    <mergeCell ref="AJ310:AJ315"/>
    <mergeCell ref="AK310:AK315"/>
    <mergeCell ref="AL310:AL315"/>
    <mergeCell ref="AM310:AM315"/>
    <mergeCell ref="AR304:AR309"/>
    <mergeCell ref="AS304:AS309"/>
    <mergeCell ref="AT304:AT309"/>
    <mergeCell ref="AU304:AU309"/>
    <mergeCell ref="AV304:AV309"/>
    <mergeCell ref="AW304:AW309"/>
    <mergeCell ref="AV310:AV315"/>
    <mergeCell ref="AW310:AW315"/>
    <mergeCell ref="AX310:AX315"/>
    <mergeCell ref="C322:C327"/>
    <mergeCell ref="AF322:AF327"/>
    <mergeCell ref="AG322:AG327"/>
    <mergeCell ref="AH322:AH327"/>
    <mergeCell ref="AI322:AI327"/>
    <mergeCell ref="AJ322:AJ327"/>
    <mergeCell ref="AK322:AK327"/>
    <mergeCell ref="AP316:AP321"/>
    <mergeCell ref="AQ316:AQ321"/>
    <mergeCell ref="AR316:AR321"/>
    <mergeCell ref="AS316:AS321"/>
    <mergeCell ref="AT316:AT321"/>
    <mergeCell ref="AU316:AU321"/>
    <mergeCell ref="AJ316:AJ321"/>
    <mergeCell ref="AK316:AK321"/>
    <mergeCell ref="AL316:AL321"/>
    <mergeCell ref="AM316:AM321"/>
    <mergeCell ref="AN316:AN321"/>
    <mergeCell ref="AO316:AO321"/>
    <mergeCell ref="C316:C321"/>
    <mergeCell ref="AF316:AF321"/>
    <mergeCell ref="AG316:AG321"/>
    <mergeCell ref="AH316:AH321"/>
    <mergeCell ref="AI316:AI321"/>
    <mergeCell ref="AX322:AX327"/>
    <mergeCell ref="AR322:AR327"/>
    <mergeCell ref="AS322:AS327"/>
    <mergeCell ref="AT322:AT327"/>
    <mergeCell ref="AU322:AU327"/>
    <mergeCell ref="AV322:AV327"/>
    <mergeCell ref="AW322:AW327"/>
    <mergeCell ref="AL322:AL327"/>
    <mergeCell ref="AM322:AM327"/>
    <mergeCell ref="AN322:AN327"/>
    <mergeCell ref="AO322:AO327"/>
    <mergeCell ref="AP322:AP327"/>
    <mergeCell ref="AQ322:AQ327"/>
    <mergeCell ref="AT328:AT333"/>
    <mergeCell ref="AU328:AU333"/>
    <mergeCell ref="AV328:AV333"/>
    <mergeCell ref="AW328:AW333"/>
    <mergeCell ref="AS340:AS345"/>
    <mergeCell ref="AT340:AT345"/>
    <mergeCell ref="AU340:AU345"/>
    <mergeCell ref="AV340:AV345"/>
    <mergeCell ref="AW340:AW345"/>
    <mergeCell ref="AL340:AL345"/>
    <mergeCell ref="AM340:AM345"/>
    <mergeCell ref="AN340:AN345"/>
    <mergeCell ref="AO340:AO345"/>
    <mergeCell ref="AP340:AP345"/>
    <mergeCell ref="AQ340:AQ345"/>
    <mergeCell ref="AV334:AV339"/>
    <mergeCell ref="C328:C333"/>
    <mergeCell ref="AF328:AF333"/>
    <mergeCell ref="AG328:AG333"/>
    <mergeCell ref="AW334:AW339"/>
    <mergeCell ref="AX334:AX339"/>
    <mergeCell ref="C340:C345"/>
    <mergeCell ref="AF340:AF345"/>
    <mergeCell ref="AH328:AH333"/>
    <mergeCell ref="AI328:AI333"/>
    <mergeCell ref="AJ328:AJ333"/>
    <mergeCell ref="AK328:AK333"/>
    <mergeCell ref="AL328:AL333"/>
    <mergeCell ref="AM328:AM333"/>
    <mergeCell ref="AP334:AP339"/>
    <mergeCell ref="AQ334:AQ339"/>
    <mergeCell ref="AR334:AR339"/>
    <mergeCell ref="AS334:AS339"/>
    <mergeCell ref="AT334:AT339"/>
    <mergeCell ref="AU334:AU339"/>
    <mergeCell ref="AJ334:AJ339"/>
    <mergeCell ref="AK334:AK339"/>
    <mergeCell ref="AL334:AL339"/>
    <mergeCell ref="AM334:AM339"/>
    <mergeCell ref="AN334:AN339"/>
    <mergeCell ref="AO334:AO339"/>
    <mergeCell ref="AX328:AX333"/>
    <mergeCell ref="C334:C339"/>
    <mergeCell ref="AF334:AF339"/>
    <mergeCell ref="AG334:AG339"/>
    <mergeCell ref="AH334:AH339"/>
    <mergeCell ref="AI334:AI339"/>
    <mergeCell ref="AN328:AN333"/>
    <mergeCell ref="AO328:AO333"/>
    <mergeCell ref="AP328:AP333"/>
    <mergeCell ref="AQ328:AQ333"/>
    <mergeCell ref="AR328:AR333"/>
    <mergeCell ref="AS328:AS333"/>
    <mergeCell ref="AX340:AX345"/>
    <mergeCell ref="AT346:AT351"/>
    <mergeCell ref="AU346:AU351"/>
    <mergeCell ref="AV346:AV351"/>
    <mergeCell ref="AW346:AW351"/>
    <mergeCell ref="AX346:AX351"/>
    <mergeCell ref="C352:C357"/>
    <mergeCell ref="AF352:AF357"/>
    <mergeCell ref="AG352:AG357"/>
    <mergeCell ref="AH352:AH357"/>
    <mergeCell ref="AI352:AI357"/>
    <mergeCell ref="AN346:AN351"/>
    <mergeCell ref="AO346:AO351"/>
    <mergeCell ref="AP346:AP351"/>
    <mergeCell ref="AQ346:AQ351"/>
    <mergeCell ref="AR346:AR351"/>
    <mergeCell ref="AS346:AS351"/>
    <mergeCell ref="C346:C351"/>
    <mergeCell ref="AF346:AF351"/>
    <mergeCell ref="AG346:AG351"/>
    <mergeCell ref="AH346:AH351"/>
    <mergeCell ref="AI346:AI351"/>
    <mergeCell ref="AJ346:AJ351"/>
    <mergeCell ref="AK346:AK351"/>
    <mergeCell ref="AL346:AL351"/>
    <mergeCell ref="AM346:AM351"/>
    <mergeCell ref="AG340:AG345"/>
    <mergeCell ref="AH340:AH345"/>
    <mergeCell ref="AI340:AI345"/>
    <mergeCell ref="AJ340:AJ345"/>
    <mergeCell ref="AK340:AK345"/>
    <mergeCell ref="AR340:AR345"/>
    <mergeCell ref="AX358:AX363"/>
    <mergeCell ref="AM358:AM363"/>
    <mergeCell ref="AN358:AN363"/>
    <mergeCell ref="AO358:AO363"/>
    <mergeCell ref="AP358:AP363"/>
    <mergeCell ref="AQ358:AQ363"/>
    <mergeCell ref="AR358:AR363"/>
    <mergeCell ref="AV352:AV357"/>
    <mergeCell ref="AW352:AW357"/>
    <mergeCell ref="AX352:AX357"/>
    <mergeCell ref="C358:C363"/>
    <mergeCell ref="AG358:AG363"/>
    <mergeCell ref="AH358:AH363"/>
    <mergeCell ref="AI358:AI363"/>
    <mergeCell ref="AJ358:AJ363"/>
    <mergeCell ref="AK358:AK363"/>
    <mergeCell ref="AL358:AL363"/>
    <mergeCell ref="AP352:AP357"/>
    <mergeCell ref="AQ352:AQ357"/>
    <mergeCell ref="AR352:AR357"/>
    <mergeCell ref="AS352:AS357"/>
    <mergeCell ref="AT352:AT357"/>
    <mergeCell ref="AU352:AU357"/>
    <mergeCell ref="AJ352:AJ357"/>
    <mergeCell ref="AK352:AK357"/>
    <mergeCell ref="AL352:AL357"/>
    <mergeCell ref="AM352:AM357"/>
    <mergeCell ref="AN352:AN357"/>
    <mergeCell ref="AO352:AO357"/>
    <mergeCell ref="AL364:AL369"/>
    <mergeCell ref="AM364:AM369"/>
    <mergeCell ref="AN364:AN369"/>
    <mergeCell ref="AO364:AO369"/>
    <mergeCell ref="AP364:AP369"/>
    <mergeCell ref="AQ364:AQ369"/>
    <mergeCell ref="C364:C369"/>
    <mergeCell ref="AG364:AG369"/>
    <mergeCell ref="AH364:AH369"/>
    <mergeCell ref="AI364:AI369"/>
    <mergeCell ref="AJ364:AJ369"/>
    <mergeCell ref="AK364:AK369"/>
    <mergeCell ref="AS358:AS363"/>
    <mergeCell ref="AT358:AT363"/>
    <mergeCell ref="AU358:AU363"/>
    <mergeCell ref="AV358:AV363"/>
    <mergeCell ref="AW358:AW363"/>
    <mergeCell ref="AU370:AU375"/>
    <mergeCell ref="AV370:AV375"/>
    <mergeCell ref="AW370:AW375"/>
    <mergeCell ref="AX370:AX375"/>
    <mergeCell ref="C376:C381"/>
    <mergeCell ref="AG376:AG381"/>
    <mergeCell ref="AH376:AH381"/>
    <mergeCell ref="AI376:AI381"/>
    <mergeCell ref="AJ376:AJ381"/>
    <mergeCell ref="AK376:AK381"/>
    <mergeCell ref="AO370:AO375"/>
    <mergeCell ref="AP370:AP375"/>
    <mergeCell ref="AQ370:AQ375"/>
    <mergeCell ref="AR370:AR375"/>
    <mergeCell ref="AS370:AS375"/>
    <mergeCell ref="AT370:AT375"/>
    <mergeCell ref="AX364:AX369"/>
    <mergeCell ref="C370:C375"/>
    <mergeCell ref="AG370:AG375"/>
    <mergeCell ref="AH370:AH375"/>
    <mergeCell ref="AI370:AI375"/>
    <mergeCell ref="AJ370:AJ375"/>
    <mergeCell ref="AK370:AK375"/>
    <mergeCell ref="AL370:AL375"/>
    <mergeCell ref="AM370:AM375"/>
    <mergeCell ref="AN370:AN375"/>
    <mergeCell ref="AR364:AR369"/>
    <mergeCell ref="AS364:AS369"/>
    <mergeCell ref="AT364:AT369"/>
    <mergeCell ref="AU364:AU369"/>
    <mergeCell ref="AV364:AV369"/>
    <mergeCell ref="AW364:AW369"/>
    <mergeCell ref="AX376:AX381"/>
    <mergeCell ref="C382:C387"/>
    <mergeCell ref="AG382:AG387"/>
    <mergeCell ref="AH382:AH387"/>
    <mergeCell ref="AI382:AI387"/>
    <mergeCell ref="AJ382:AJ387"/>
    <mergeCell ref="AK382:AK387"/>
    <mergeCell ref="AL382:AL387"/>
    <mergeCell ref="AM382:AM387"/>
    <mergeCell ref="AN382:AN387"/>
    <mergeCell ref="AR376:AR381"/>
    <mergeCell ref="AS376:AS381"/>
    <mergeCell ref="AT376:AT381"/>
    <mergeCell ref="AU376:AU381"/>
    <mergeCell ref="AV376:AV381"/>
    <mergeCell ref="AW376:AW381"/>
    <mergeCell ref="AL376:AL381"/>
    <mergeCell ref="AM376:AM381"/>
    <mergeCell ref="AN376:AN381"/>
    <mergeCell ref="AO376:AO381"/>
    <mergeCell ref="AP376:AP381"/>
    <mergeCell ref="AQ376:AQ381"/>
    <mergeCell ref="AK388:AK393"/>
    <mergeCell ref="AL388:AL393"/>
    <mergeCell ref="AM388:AM393"/>
    <mergeCell ref="AN388:AN393"/>
    <mergeCell ref="AO388:AO393"/>
    <mergeCell ref="AP388:AP393"/>
    <mergeCell ref="AU382:AU387"/>
    <mergeCell ref="AV382:AV387"/>
    <mergeCell ref="AW382:AW387"/>
    <mergeCell ref="AX382:AX387"/>
    <mergeCell ref="C388:C393"/>
    <mergeCell ref="AF388:AF393"/>
    <mergeCell ref="AG388:AG393"/>
    <mergeCell ref="AH388:AH393"/>
    <mergeCell ref="AI388:AI393"/>
    <mergeCell ref="AJ388:AJ393"/>
    <mergeCell ref="AO382:AO387"/>
    <mergeCell ref="AP382:AP387"/>
    <mergeCell ref="AQ382:AQ387"/>
    <mergeCell ref="AR382:AR387"/>
    <mergeCell ref="AS382:AS387"/>
    <mergeCell ref="AT382:AT387"/>
    <mergeCell ref="AT394:AT399"/>
    <mergeCell ref="AU394:AU399"/>
    <mergeCell ref="AV394:AV399"/>
    <mergeCell ref="AW394:AW399"/>
    <mergeCell ref="AX394:AX399"/>
    <mergeCell ref="C400:C405"/>
    <mergeCell ref="AG400:AG405"/>
    <mergeCell ref="AH400:AH405"/>
    <mergeCell ref="AI400:AI405"/>
    <mergeCell ref="AJ400:AJ405"/>
    <mergeCell ref="AN394:AN399"/>
    <mergeCell ref="AO394:AO399"/>
    <mergeCell ref="AP394:AP399"/>
    <mergeCell ref="AQ394:AQ399"/>
    <mergeCell ref="AR394:AR399"/>
    <mergeCell ref="AS394:AS399"/>
    <mergeCell ref="AW388:AW393"/>
    <mergeCell ref="AX388:AX393"/>
    <mergeCell ref="C394:C399"/>
    <mergeCell ref="AG394:AG399"/>
    <mergeCell ref="AH394:AH399"/>
    <mergeCell ref="AI394:AI399"/>
    <mergeCell ref="AJ394:AJ399"/>
    <mergeCell ref="AK394:AK399"/>
    <mergeCell ref="AL394:AL399"/>
    <mergeCell ref="AM394:AM399"/>
    <mergeCell ref="AQ388:AQ393"/>
    <mergeCell ref="AR388:AR393"/>
    <mergeCell ref="AS388:AS393"/>
    <mergeCell ref="AT388:AT393"/>
    <mergeCell ref="AU388:AU393"/>
    <mergeCell ref="AV388:AV393"/>
    <mergeCell ref="AW400:AW405"/>
    <mergeCell ref="AX400:AX405"/>
    <mergeCell ref="C406:C411"/>
    <mergeCell ref="AG406:AG411"/>
    <mergeCell ref="AH406:AH411"/>
    <mergeCell ref="AI406:AI411"/>
    <mergeCell ref="AJ406:AJ411"/>
    <mergeCell ref="AK406:AK411"/>
    <mergeCell ref="AL406:AL411"/>
    <mergeCell ref="AM406:AM411"/>
    <mergeCell ref="AQ400:AQ405"/>
    <mergeCell ref="AR400:AR405"/>
    <mergeCell ref="AS400:AS405"/>
    <mergeCell ref="AT400:AT405"/>
    <mergeCell ref="AU400:AU405"/>
    <mergeCell ref="AV400:AV405"/>
    <mergeCell ref="AK400:AK405"/>
    <mergeCell ref="AL400:AL405"/>
    <mergeCell ref="AM400:AM405"/>
    <mergeCell ref="AN400:AN405"/>
    <mergeCell ref="AO400:AO405"/>
    <mergeCell ref="AP400:AP405"/>
    <mergeCell ref="AT406:AT411"/>
    <mergeCell ref="AU406:AU411"/>
    <mergeCell ref="AV406:AV411"/>
    <mergeCell ref="AW406:AW411"/>
    <mergeCell ref="AX406:AX411"/>
    <mergeCell ref="AN406:AN411"/>
    <mergeCell ref="AO406:AO411"/>
    <mergeCell ref="AP406:AP411"/>
    <mergeCell ref="AQ406:AQ411"/>
    <mergeCell ref="AR406:AR411"/>
    <mergeCell ref="AS406:AS411"/>
    <mergeCell ref="AR418:AR423"/>
    <mergeCell ref="AS418:AS423"/>
    <mergeCell ref="AT418:AT423"/>
    <mergeCell ref="AU418:AU423"/>
    <mergeCell ref="AV418:AV423"/>
    <mergeCell ref="AW418:AW423"/>
    <mergeCell ref="AL418:AL423"/>
    <mergeCell ref="AM418:AM423"/>
    <mergeCell ref="AN418:AN423"/>
    <mergeCell ref="AO418:AO423"/>
    <mergeCell ref="AP418:AP423"/>
    <mergeCell ref="AQ418:AQ423"/>
    <mergeCell ref="AV412:AV417"/>
    <mergeCell ref="AW412:AW417"/>
    <mergeCell ref="AX412:AX417"/>
    <mergeCell ref="C418:C423"/>
    <mergeCell ref="AF418:AF423"/>
    <mergeCell ref="AG418:AG423"/>
    <mergeCell ref="AH418:AH423"/>
    <mergeCell ref="AI418:AI423"/>
    <mergeCell ref="AJ418:AJ423"/>
    <mergeCell ref="AK418:AK423"/>
    <mergeCell ref="AP412:AP417"/>
    <mergeCell ref="AQ412:AQ417"/>
    <mergeCell ref="AR412:AR417"/>
    <mergeCell ref="AS412:AS417"/>
    <mergeCell ref="AT412:AT417"/>
    <mergeCell ref="AU412:AU417"/>
    <mergeCell ref="AJ412:AJ417"/>
    <mergeCell ref="AK412:AK417"/>
    <mergeCell ref="AL412:AL417"/>
    <mergeCell ref="AM412:AM417"/>
    <mergeCell ref="AN412:AN417"/>
    <mergeCell ref="AO412:AO417"/>
    <mergeCell ref="AX418:AX423"/>
    <mergeCell ref="C412:C417"/>
    <mergeCell ref="AF412:AF417"/>
    <mergeCell ref="AG412:AG417"/>
    <mergeCell ref="AH412:AH417"/>
    <mergeCell ref="AI412:AI417"/>
    <mergeCell ref="AL430:AL435"/>
    <mergeCell ref="AM430:AM435"/>
    <mergeCell ref="AN430:AN435"/>
    <mergeCell ref="AO430:AO435"/>
    <mergeCell ref="AP430:AP435"/>
    <mergeCell ref="AQ430:AQ435"/>
    <mergeCell ref="AU424:AU429"/>
    <mergeCell ref="AV424:AV429"/>
    <mergeCell ref="AW424:AW429"/>
    <mergeCell ref="AX424:AX429"/>
    <mergeCell ref="C430:C435"/>
    <mergeCell ref="AG430:AG435"/>
    <mergeCell ref="AH430:AH435"/>
    <mergeCell ref="AI430:AI435"/>
    <mergeCell ref="AJ430:AJ435"/>
    <mergeCell ref="AK430:AK435"/>
    <mergeCell ref="AO424:AO429"/>
    <mergeCell ref="AP424:AP429"/>
    <mergeCell ref="AQ424:AQ429"/>
    <mergeCell ref="AR424:AR429"/>
    <mergeCell ref="AS424:AS429"/>
    <mergeCell ref="AT424:AT429"/>
    <mergeCell ref="C424:C429"/>
    <mergeCell ref="AG424:AG429"/>
    <mergeCell ref="AH424:AH429"/>
    <mergeCell ref="AI424:AI429"/>
    <mergeCell ref="AJ424:AJ429"/>
    <mergeCell ref="AK424:AK429"/>
    <mergeCell ref="AL424:AL429"/>
    <mergeCell ref="AM424:AM429"/>
    <mergeCell ref="AN424:AN429"/>
    <mergeCell ref="AU436:AU441"/>
    <mergeCell ref="AV436:AV441"/>
    <mergeCell ref="AW436:AW441"/>
    <mergeCell ref="AX436:AX441"/>
    <mergeCell ref="C442:C447"/>
    <mergeCell ref="AG442:AG447"/>
    <mergeCell ref="AH442:AH447"/>
    <mergeCell ref="AI442:AI447"/>
    <mergeCell ref="AJ442:AJ447"/>
    <mergeCell ref="AK442:AK447"/>
    <mergeCell ref="AO436:AO441"/>
    <mergeCell ref="AP436:AP441"/>
    <mergeCell ref="AQ436:AQ441"/>
    <mergeCell ref="AR436:AR441"/>
    <mergeCell ref="AS436:AS441"/>
    <mergeCell ref="AT436:AT441"/>
    <mergeCell ref="AX430:AX435"/>
    <mergeCell ref="C436:C441"/>
    <mergeCell ref="AG436:AG441"/>
    <mergeCell ref="AH436:AH441"/>
    <mergeCell ref="AI436:AI441"/>
    <mergeCell ref="AJ436:AJ441"/>
    <mergeCell ref="AK436:AK441"/>
    <mergeCell ref="AL436:AL441"/>
    <mergeCell ref="AR430:AR435"/>
    <mergeCell ref="AS430:AS435"/>
    <mergeCell ref="AT430:AT435"/>
    <mergeCell ref="AU430:AU435"/>
    <mergeCell ref="AV430:AV435"/>
    <mergeCell ref="AW430:AW435"/>
    <mergeCell ref="AX442:AX447"/>
    <mergeCell ref="C448:C453"/>
    <mergeCell ref="AG448:AG453"/>
    <mergeCell ref="AH448:AH453"/>
    <mergeCell ref="AI448:AI453"/>
    <mergeCell ref="AJ448:AJ453"/>
    <mergeCell ref="AK448:AK453"/>
    <mergeCell ref="AL448:AL453"/>
    <mergeCell ref="AM448:AM453"/>
    <mergeCell ref="AN448:AN453"/>
    <mergeCell ref="AR442:AR447"/>
    <mergeCell ref="AS442:AS447"/>
    <mergeCell ref="AT442:AT447"/>
    <mergeCell ref="AU442:AU447"/>
    <mergeCell ref="AV442:AV447"/>
    <mergeCell ref="AW442:AW447"/>
    <mergeCell ref="AL442:AL447"/>
    <mergeCell ref="AM442:AM447"/>
    <mergeCell ref="AN442:AN447"/>
    <mergeCell ref="AO442:AO447"/>
    <mergeCell ref="AP442:AP447"/>
    <mergeCell ref="AQ442:AQ447"/>
    <mergeCell ref="AU448:AU453"/>
    <mergeCell ref="AV448:AV453"/>
    <mergeCell ref="AW448:AW453"/>
    <mergeCell ref="AX448:AX453"/>
    <mergeCell ref="AO448:AO453"/>
    <mergeCell ref="AP448:AP453"/>
    <mergeCell ref="AQ448:AQ453"/>
    <mergeCell ref="AR448:AR453"/>
    <mergeCell ref="AS448:AS453"/>
    <mergeCell ref="AT448:AT453"/>
    <mergeCell ref="AM436:AM441"/>
    <mergeCell ref="AN436:AN441"/>
    <mergeCell ref="AX454:AX459"/>
    <mergeCell ref="C460:C465"/>
    <mergeCell ref="AG460:AG465"/>
    <mergeCell ref="AH460:AH465"/>
    <mergeCell ref="AI460:AI465"/>
    <mergeCell ref="AJ460:AJ465"/>
    <mergeCell ref="AK460:AK465"/>
    <mergeCell ref="AL460:AL465"/>
    <mergeCell ref="AM460:AM465"/>
    <mergeCell ref="AN460:AN465"/>
    <mergeCell ref="AR454:AR459"/>
    <mergeCell ref="AS454:AS459"/>
    <mergeCell ref="AT454:AT459"/>
    <mergeCell ref="AU454:AU459"/>
    <mergeCell ref="AV454:AV459"/>
    <mergeCell ref="AW454:AW459"/>
    <mergeCell ref="AL454:AL459"/>
    <mergeCell ref="AM454:AM459"/>
    <mergeCell ref="AN454:AN459"/>
    <mergeCell ref="AO454:AO459"/>
    <mergeCell ref="AP454:AP459"/>
    <mergeCell ref="AQ454:AQ459"/>
    <mergeCell ref="C454:C459"/>
    <mergeCell ref="AG454:AG459"/>
    <mergeCell ref="AL466:AL471"/>
    <mergeCell ref="AM466:AM471"/>
    <mergeCell ref="AN466:AN471"/>
    <mergeCell ref="AO466:AO471"/>
    <mergeCell ref="AP466:AP471"/>
    <mergeCell ref="AQ466:AQ471"/>
    <mergeCell ref="AU460:AU465"/>
    <mergeCell ref="AV460:AV465"/>
    <mergeCell ref="AW460:AW465"/>
    <mergeCell ref="AX460:AX465"/>
    <mergeCell ref="C466:C471"/>
    <mergeCell ref="AG466:AG471"/>
    <mergeCell ref="AH466:AH471"/>
    <mergeCell ref="AI466:AI471"/>
    <mergeCell ref="AJ466:AJ471"/>
    <mergeCell ref="AK466:AK471"/>
    <mergeCell ref="AO460:AO465"/>
    <mergeCell ref="AP460:AP465"/>
    <mergeCell ref="AQ460:AQ465"/>
    <mergeCell ref="AR460:AR465"/>
    <mergeCell ref="AS460:AS465"/>
    <mergeCell ref="AT460:AT465"/>
    <mergeCell ref="AT466:AT471"/>
    <mergeCell ref="AU466:AU471"/>
    <mergeCell ref="AV466:AV471"/>
    <mergeCell ref="AW466:AW471"/>
    <mergeCell ref="AH454:AH459"/>
    <mergeCell ref="AI454:AI459"/>
    <mergeCell ref="AJ454:AJ459"/>
    <mergeCell ref="AK454:AK459"/>
    <mergeCell ref="AU472:AU477"/>
    <mergeCell ref="AV472:AV477"/>
    <mergeCell ref="AW472:AW477"/>
    <mergeCell ref="AX472:AX477"/>
    <mergeCell ref="C478:C483"/>
    <mergeCell ref="AG478:AG483"/>
    <mergeCell ref="AH478:AH483"/>
    <mergeCell ref="AI478:AI483"/>
    <mergeCell ref="AJ478:AJ483"/>
    <mergeCell ref="AK478:AK483"/>
    <mergeCell ref="AO472:AO477"/>
    <mergeCell ref="AP472:AP477"/>
    <mergeCell ref="AQ472:AQ477"/>
    <mergeCell ref="AR472:AR477"/>
    <mergeCell ref="AS472:AS477"/>
    <mergeCell ref="AT472:AT477"/>
    <mergeCell ref="AX466:AX471"/>
    <mergeCell ref="C472:C477"/>
    <mergeCell ref="AG472:AG477"/>
    <mergeCell ref="AH472:AH477"/>
    <mergeCell ref="AI472:AI477"/>
    <mergeCell ref="AJ472:AJ477"/>
    <mergeCell ref="AK472:AK477"/>
    <mergeCell ref="AL472:AL477"/>
    <mergeCell ref="AM472:AM477"/>
    <mergeCell ref="AN472:AN477"/>
    <mergeCell ref="AR466:AR471"/>
    <mergeCell ref="AS466:AS471"/>
    <mergeCell ref="AX478:AX483"/>
    <mergeCell ref="C484:C489"/>
    <mergeCell ref="AG484:AG489"/>
    <mergeCell ref="AH484:AH489"/>
    <mergeCell ref="AI484:AI489"/>
    <mergeCell ref="AJ484:AJ489"/>
    <mergeCell ref="AK484:AK489"/>
    <mergeCell ref="AL484:AL489"/>
    <mergeCell ref="AM484:AM489"/>
    <mergeCell ref="AN484:AN489"/>
    <mergeCell ref="AR478:AR483"/>
    <mergeCell ref="AS478:AS483"/>
    <mergeCell ref="AT478:AT483"/>
    <mergeCell ref="AU478:AU483"/>
    <mergeCell ref="AV478:AV483"/>
    <mergeCell ref="AW478:AW483"/>
    <mergeCell ref="AL478:AL483"/>
    <mergeCell ref="AM478:AM483"/>
    <mergeCell ref="AN478:AN483"/>
    <mergeCell ref="AO478:AO483"/>
    <mergeCell ref="AP478:AP483"/>
    <mergeCell ref="AQ478:AQ483"/>
    <mergeCell ref="AU496:AU501"/>
    <mergeCell ref="AV496:AV501"/>
    <mergeCell ref="AK496:AK501"/>
    <mergeCell ref="AL496:AL501"/>
    <mergeCell ref="AU484:AU489"/>
    <mergeCell ref="AV484:AV489"/>
    <mergeCell ref="AW484:AW489"/>
    <mergeCell ref="AX484:AX489"/>
    <mergeCell ref="A490:A501"/>
    <mergeCell ref="B490:B501"/>
    <mergeCell ref="C490:C495"/>
    <mergeCell ref="AF490:AF501"/>
    <mergeCell ref="AG490:AG495"/>
    <mergeCell ref="AH490:AH495"/>
    <mergeCell ref="AO484:AO489"/>
    <mergeCell ref="AP484:AP489"/>
    <mergeCell ref="AQ484:AQ489"/>
    <mergeCell ref="AR484:AR489"/>
    <mergeCell ref="AS484:AS489"/>
    <mergeCell ref="AT484:AT489"/>
    <mergeCell ref="AM496:AM501"/>
    <mergeCell ref="AN496:AN501"/>
    <mergeCell ref="AO496:AO501"/>
    <mergeCell ref="AP496:AP501"/>
    <mergeCell ref="AM508:AM513"/>
    <mergeCell ref="AN508:AN513"/>
    <mergeCell ref="AO508:AO513"/>
    <mergeCell ref="AP508:AP513"/>
    <mergeCell ref="AU490:AU495"/>
    <mergeCell ref="AV490:AV495"/>
    <mergeCell ref="AW490:AW495"/>
    <mergeCell ref="AX490:AX495"/>
    <mergeCell ref="AY490:AY495"/>
    <mergeCell ref="C496:C501"/>
    <mergeCell ref="AG496:AG501"/>
    <mergeCell ref="AH496:AH501"/>
    <mergeCell ref="AI496:AI501"/>
    <mergeCell ref="AJ496:AJ501"/>
    <mergeCell ref="AO490:AO495"/>
    <mergeCell ref="AP490:AP495"/>
    <mergeCell ref="AQ490:AQ495"/>
    <mergeCell ref="AR490:AR495"/>
    <mergeCell ref="AS490:AS495"/>
    <mergeCell ref="AT490:AT495"/>
    <mergeCell ref="AI490:AI495"/>
    <mergeCell ref="AJ490:AJ495"/>
    <mergeCell ref="AK490:AK495"/>
    <mergeCell ref="AL490:AL495"/>
    <mergeCell ref="AM490:AM495"/>
    <mergeCell ref="AN490:AN495"/>
    <mergeCell ref="AW496:AW501"/>
    <mergeCell ref="AX496:AX501"/>
    <mergeCell ref="AQ496:AQ501"/>
    <mergeCell ref="AR496:AR501"/>
    <mergeCell ref="AS496:AS501"/>
    <mergeCell ref="AT496:AT501"/>
    <mergeCell ref="AQ508:AQ513"/>
    <mergeCell ref="AR508:AR513"/>
    <mergeCell ref="AT514:AT519"/>
    <mergeCell ref="AU514:AU519"/>
    <mergeCell ref="AV514:AV519"/>
    <mergeCell ref="AW502:AW507"/>
    <mergeCell ref="AX502:AX507"/>
    <mergeCell ref="C520:C525"/>
    <mergeCell ref="AF520:AF525"/>
    <mergeCell ref="AG520:AG525"/>
    <mergeCell ref="AH520:AH525"/>
    <mergeCell ref="AI520:AI525"/>
    <mergeCell ref="AJ520:AJ525"/>
    <mergeCell ref="AW514:AW519"/>
    <mergeCell ref="AX514:AX519"/>
    <mergeCell ref="C508:C513"/>
    <mergeCell ref="AG508:AG513"/>
    <mergeCell ref="AH508:AH513"/>
    <mergeCell ref="AI508:AI513"/>
    <mergeCell ref="AJ508:AJ513"/>
    <mergeCell ref="AK508:AK513"/>
    <mergeCell ref="AL508:AL513"/>
    <mergeCell ref="AQ502:AQ507"/>
    <mergeCell ref="AR502:AR507"/>
    <mergeCell ref="AS502:AS507"/>
    <mergeCell ref="AT502:AT507"/>
    <mergeCell ref="AU502:AU507"/>
    <mergeCell ref="AV502:AV507"/>
    <mergeCell ref="AU508:AU513"/>
    <mergeCell ref="AV508:AV513"/>
    <mergeCell ref="AW508:AW513"/>
    <mergeCell ref="AX508:AX513"/>
    <mergeCell ref="AY514:AY519"/>
    <mergeCell ref="AN514:AN519"/>
    <mergeCell ref="AO514:AO519"/>
    <mergeCell ref="AP514:AP519"/>
    <mergeCell ref="AQ514:AQ519"/>
    <mergeCell ref="AR514:AR519"/>
    <mergeCell ref="AS514:AS519"/>
    <mergeCell ref="AF502:AF507"/>
    <mergeCell ref="AG502:AG507"/>
    <mergeCell ref="AH502:AH507"/>
    <mergeCell ref="AI502:AI507"/>
    <mergeCell ref="AJ502:AJ507"/>
    <mergeCell ref="AY508:AY513"/>
    <mergeCell ref="C514:C519"/>
    <mergeCell ref="AF514:AF519"/>
    <mergeCell ref="AG514:AG519"/>
    <mergeCell ref="AH514:AH519"/>
    <mergeCell ref="AI514:AI519"/>
    <mergeCell ref="AJ514:AJ519"/>
    <mergeCell ref="AK514:AK519"/>
    <mergeCell ref="AL514:AL519"/>
    <mergeCell ref="AM514:AM519"/>
    <mergeCell ref="AS508:AS513"/>
    <mergeCell ref="AT508:AT513"/>
    <mergeCell ref="AY502:AY507"/>
    <mergeCell ref="AK502:AK507"/>
    <mergeCell ref="AL502:AL507"/>
    <mergeCell ref="AM502:AM507"/>
    <mergeCell ref="AN502:AN507"/>
    <mergeCell ref="AO502:AO507"/>
    <mergeCell ref="AP502:AP507"/>
    <mergeCell ref="C502:C507"/>
    <mergeCell ref="AI544:AI549"/>
    <mergeCell ref="AY538:AY543"/>
    <mergeCell ref="AS526:AS531"/>
    <mergeCell ref="AT526:AT531"/>
    <mergeCell ref="AU526:AU531"/>
    <mergeCell ref="AV526:AV531"/>
    <mergeCell ref="AW526:AW531"/>
    <mergeCell ref="AX526:AX531"/>
    <mergeCell ref="AM526:AM531"/>
    <mergeCell ref="AN526:AN531"/>
    <mergeCell ref="AO526:AO531"/>
    <mergeCell ref="AP526:AP531"/>
    <mergeCell ref="AQ526:AQ531"/>
    <mergeCell ref="AR526:AR531"/>
    <mergeCell ref="AW520:AW525"/>
    <mergeCell ref="AX520:AX525"/>
    <mergeCell ref="AY520:AY525"/>
    <mergeCell ref="AQ520:AQ525"/>
    <mergeCell ref="AR520:AR525"/>
    <mergeCell ref="AS520:AS525"/>
    <mergeCell ref="AT520:AT525"/>
    <mergeCell ref="AU520:AU525"/>
    <mergeCell ref="AV520:AV525"/>
    <mergeCell ref="AX532:AX537"/>
    <mergeCell ref="AK520:AK525"/>
    <mergeCell ref="AL520:AL525"/>
    <mergeCell ref="AM520:AM525"/>
    <mergeCell ref="AN520:AN525"/>
    <mergeCell ref="AO520:AO525"/>
    <mergeCell ref="AP520:AP525"/>
    <mergeCell ref="AY532:AY537"/>
    <mergeCell ref="AJ544:AJ549"/>
    <mergeCell ref="C538:C543"/>
    <mergeCell ref="AF538:AF543"/>
    <mergeCell ref="AG538:AG543"/>
    <mergeCell ref="AH538:AH543"/>
    <mergeCell ref="AI538:AI543"/>
    <mergeCell ref="AJ538:AJ543"/>
    <mergeCell ref="AK538:AK543"/>
    <mergeCell ref="AL538:AL543"/>
    <mergeCell ref="AR532:AR537"/>
    <mergeCell ref="AS532:AS537"/>
    <mergeCell ref="AT532:AT537"/>
    <mergeCell ref="AU532:AU537"/>
    <mergeCell ref="AV532:AV537"/>
    <mergeCell ref="AW532:AW537"/>
    <mergeCell ref="AL532:AL537"/>
    <mergeCell ref="AM532:AM537"/>
    <mergeCell ref="AN532:AN537"/>
    <mergeCell ref="AO532:AO537"/>
    <mergeCell ref="AP532:AP537"/>
    <mergeCell ref="AQ532:AQ537"/>
    <mergeCell ref="C532:C537"/>
    <mergeCell ref="AG532:AG537"/>
    <mergeCell ref="AH532:AH537"/>
    <mergeCell ref="AI532:AI537"/>
    <mergeCell ref="AJ532:AJ537"/>
    <mergeCell ref="AK532:AK537"/>
    <mergeCell ref="AK544:AK549"/>
    <mergeCell ref="AL544:AL549"/>
    <mergeCell ref="AM544:AM549"/>
    <mergeCell ref="AN544:AN549"/>
    <mergeCell ref="AS538:AS543"/>
    <mergeCell ref="AT538:AT543"/>
    <mergeCell ref="AU538:AU543"/>
    <mergeCell ref="AV538:AV543"/>
    <mergeCell ref="AW538:AW543"/>
    <mergeCell ref="AX538:AX543"/>
    <mergeCell ref="AM538:AM543"/>
    <mergeCell ref="AN538:AN543"/>
    <mergeCell ref="AO538:AO543"/>
    <mergeCell ref="AP538:AP543"/>
    <mergeCell ref="AQ538:AQ543"/>
    <mergeCell ref="AR538:AR543"/>
    <mergeCell ref="AU544:AU549"/>
    <mergeCell ref="AV544:AV549"/>
    <mergeCell ref="AW544:AW549"/>
    <mergeCell ref="AX544:AX549"/>
    <mergeCell ref="AM568:AM573"/>
    <mergeCell ref="AN568:AN573"/>
    <mergeCell ref="AO568:AO573"/>
    <mergeCell ref="AP568:AP573"/>
    <mergeCell ref="AQ568:AQ573"/>
    <mergeCell ref="AR568:AR573"/>
    <mergeCell ref="AY544:AY549"/>
    <mergeCell ref="C550:C555"/>
    <mergeCell ref="AF550:AF555"/>
    <mergeCell ref="AG550:AG555"/>
    <mergeCell ref="AH550:AH555"/>
    <mergeCell ref="AI550:AI555"/>
    <mergeCell ref="AO544:AO549"/>
    <mergeCell ref="AP544:AP549"/>
    <mergeCell ref="AQ544:AQ549"/>
    <mergeCell ref="AR544:AR549"/>
    <mergeCell ref="AS544:AS549"/>
    <mergeCell ref="AT544:AT549"/>
    <mergeCell ref="AQ556:AQ561"/>
    <mergeCell ref="AR556:AR561"/>
    <mergeCell ref="AS556:AS561"/>
    <mergeCell ref="AT556:AT561"/>
    <mergeCell ref="AU556:AU561"/>
    <mergeCell ref="AV556:AV561"/>
    <mergeCell ref="AK556:AK561"/>
    <mergeCell ref="AL556:AL561"/>
    <mergeCell ref="AM556:AM561"/>
    <mergeCell ref="AN556:AN561"/>
    <mergeCell ref="AO556:AO561"/>
    <mergeCell ref="C544:C549"/>
    <mergeCell ref="AG544:AG549"/>
    <mergeCell ref="AH544:AH549"/>
    <mergeCell ref="AY550:AY555"/>
    <mergeCell ref="C556:C561"/>
    <mergeCell ref="AF556:AF561"/>
    <mergeCell ref="AG556:AG561"/>
    <mergeCell ref="AH556:AH561"/>
    <mergeCell ref="AI556:AI561"/>
    <mergeCell ref="AJ556:AJ561"/>
    <mergeCell ref="AP550:AP555"/>
    <mergeCell ref="AQ550:AQ555"/>
    <mergeCell ref="AR550:AR555"/>
    <mergeCell ref="AS550:AS555"/>
    <mergeCell ref="AT550:AT555"/>
    <mergeCell ref="AU550:AU555"/>
    <mergeCell ref="AJ550:AJ555"/>
    <mergeCell ref="AK550:AK555"/>
    <mergeCell ref="AL550:AL555"/>
    <mergeCell ref="AM550:AM555"/>
    <mergeCell ref="AN550:AN555"/>
    <mergeCell ref="AO550:AO555"/>
    <mergeCell ref="AW556:AW561"/>
    <mergeCell ref="AX556:AX561"/>
    <mergeCell ref="AY556:AY561"/>
    <mergeCell ref="AP556:AP561"/>
    <mergeCell ref="AV550:AV555"/>
    <mergeCell ref="AW550:AW555"/>
    <mergeCell ref="AX550:AX555"/>
    <mergeCell ref="AX562:AX567"/>
    <mergeCell ref="AY562:AY567"/>
    <mergeCell ref="C568:C573"/>
    <mergeCell ref="AF568:AF573"/>
    <mergeCell ref="AG568:AG573"/>
    <mergeCell ref="AH568:AH573"/>
    <mergeCell ref="AI568:AI573"/>
    <mergeCell ref="AJ568:AJ573"/>
    <mergeCell ref="AK568:AK573"/>
    <mergeCell ref="AL568:AL573"/>
    <mergeCell ref="AR562:AR567"/>
    <mergeCell ref="AS562:AS567"/>
    <mergeCell ref="AT562:AT567"/>
    <mergeCell ref="AU562:AU567"/>
    <mergeCell ref="AV562:AV567"/>
    <mergeCell ref="AW562:AW567"/>
    <mergeCell ref="AL562:AL567"/>
    <mergeCell ref="AM562:AM567"/>
    <mergeCell ref="AN562:AN567"/>
    <mergeCell ref="AO562:AO567"/>
    <mergeCell ref="AP562:AP567"/>
    <mergeCell ref="AQ562:AQ567"/>
    <mergeCell ref="C562:C567"/>
    <mergeCell ref="AF562:AF567"/>
    <mergeCell ref="AG562:AG567"/>
    <mergeCell ref="AH562:AH567"/>
    <mergeCell ref="AI562:AI567"/>
    <mergeCell ref="AJ562:AJ567"/>
    <mergeCell ref="AK562:AK567"/>
    <mergeCell ref="AY568:AY573"/>
    <mergeCell ref="AW568:AW573"/>
    <mergeCell ref="AX568:AX573"/>
    <mergeCell ref="AL586:AL591"/>
    <mergeCell ref="AM586:AM591"/>
    <mergeCell ref="AN586:AN591"/>
    <mergeCell ref="AO586:AO591"/>
    <mergeCell ref="C574:C579"/>
    <mergeCell ref="AF574:AF579"/>
    <mergeCell ref="AG574:AG579"/>
    <mergeCell ref="AH574:AH579"/>
    <mergeCell ref="AI574:AI579"/>
    <mergeCell ref="AJ574:AJ579"/>
    <mergeCell ref="AK574:AK579"/>
    <mergeCell ref="AL574:AL579"/>
    <mergeCell ref="AM574:AM579"/>
    <mergeCell ref="AS568:AS573"/>
    <mergeCell ref="AT568:AT573"/>
    <mergeCell ref="AU568:AU573"/>
    <mergeCell ref="AV568:AV573"/>
    <mergeCell ref="AT574:AT579"/>
    <mergeCell ref="AU574:AU579"/>
    <mergeCell ref="AV574:AV579"/>
    <mergeCell ref="C586:C591"/>
    <mergeCell ref="AF586:AF591"/>
    <mergeCell ref="AG586:AG591"/>
    <mergeCell ref="AH586:AH591"/>
    <mergeCell ref="AI586:AI591"/>
    <mergeCell ref="AJ586:AJ591"/>
    <mergeCell ref="AK586:AK591"/>
    <mergeCell ref="AK580:AK585"/>
    <mergeCell ref="AL580:AL585"/>
    <mergeCell ref="AM580:AM585"/>
    <mergeCell ref="C580:C585"/>
    <mergeCell ref="AF580:AF585"/>
    <mergeCell ref="AW574:AW579"/>
    <mergeCell ref="AX574:AX579"/>
    <mergeCell ref="AY574:AY579"/>
    <mergeCell ref="AN574:AN579"/>
    <mergeCell ref="AO574:AO579"/>
    <mergeCell ref="AP574:AP579"/>
    <mergeCell ref="AQ574:AQ579"/>
    <mergeCell ref="AR574:AR579"/>
    <mergeCell ref="AS574:AS579"/>
    <mergeCell ref="AR586:AR591"/>
    <mergeCell ref="AS586:AS591"/>
    <mergeCell ref="AT586:AT591"/>
    <mergeCell ref="AU586:AU591"/>
    <mergeCell ref="AV586:AV591"/>
    <mergeCell ref="AW586:AW591"/>
    <mergeCell ref="AP586:AP591"/>
    <mergeCell ref="AQ586:AQ591"/>
    <mergeCell ref="AW580:AW585"/>
    <mergeCell ref="AX580:AX585"/>
    <mergeCell ref="AY580:AY585"/>
    <mergeCell ref="AQ580:AQ585"/>
    <mergeCell ref="AR580:AR585"/>
    <mergeCell ref="AS580:AS585"/>
    <mergeCell ref="AT580:AT585"/>
    <mergeCell ref="AU580:AU585"/>
    <mergeCell ref="AV580:AV585"/>
    <mergeCell ref="AN580:AN585"/>
    <mergeCell ref="AO580:AO585"/>
    <mergeCell ref="AP580:AP585"/>
    <mergeCell ref="AG580:AG585"/>
    <mergeCell ref="AH580:AH585"/>
    <mergeCell ref="AI580:AI585"/>
    <mergeCell ref="AJ580:AJ585"/>
    <mergeCell ref="AX586:AX591"/>
    <mergeCell ref="AY586:AY591"/>
    <mergeCell ref="AO598:AO603"/>
    <mergeCell ref="AP598:AP603"/>
    <mergeCell ref="C598:C603"/>
    <mergeCell ref="AF598:AF603"/>
    <mergeCell ref="AG598:AG603"/>
    <mergeCell ref="AH598:AH603"/>
    <mergeCell ref="AI598:AI603"/>
    <mergeCell ref="AJ598:AJ603"/>
    <mergeCell ref="AT592:AT597"/>
    <mergeCell ref="AU592:AU597"/>
    <mergeCell ref="AV592:AV597"/>
    <mergeCell ref="AW592:AW597"/>
    <mergeCell ref="AX592:AX597"/>
    <mergeCell ref="AY592:AY597"/>
    <mergeCell ref="AN592:AN597"/>
    <mergeCell ref="AO592:AO597"/>
    <mergeCell ref="AP592:AP597"/>
    <mergeCell ref="AQ592:AQ597"/>
    <mergeCell ref="AR592:AR597"/>
    <mergeCell ref="AS592:AS597"/>
    <mergeCell ref="C592:C597"/>
    <mergeCell ref="AG592:AG597"/>
    <mergeCell ref="AH592:AH597"/>
    <mergeCell ref="AI592:AI597"/>
    <mergeCell ref="AJ592:AJ597"/>
    <mergeCell ref="AK592:AK597"/>
    <mergeCell ref="AL592:AL597"/>
    <mergeCell ref="AM592:AM597"/>
    <mergeCell ref="AT604:AT609"/>
    <mergeCell ref="AU604:AU609"/>
    <mergeCell ref="AV604:AV609"/>
    <mergeCell ref="AW604:AW609"/>
    <mergeCell ref="AX604:AX609"/>
    <mergeCell ref="AY604:AY609"/>
    <mergeCell ref="AM604:AM609"/>
    <mergeCell ref="AN604:AN609"/>
    <mergeCell ref="AO604:AP609"/>
    <mergeCell ref="AQ604:AQ609"/>
    <mergeCell ref="AR604:AR609"/>
    <mergeCell ref="AS604:AS609"/>
    <mergeCell ref="AW598:AW603"/>
    <mergeCell ref="AX598:AX603"/>
    <mergeCell ref="AY598:AY603"/>
    <mergeCell ref="C604:C609"/>
    <mergeCell ref="AG604:AG609"/>
    <mergeCell ref="AH604:AH609"/>
    <mergeCell ref="AI604:AI609"/>
    <mergeCell ref="AJ604:AJ609"/>
    <mergeCell ref="AK604:AK609"/>
    <mergeCell ref="AL604:AL609"/>
    <mergeCell ref="AQ598:AQ603"/>
    <mergeCell ref="AR598:AR603"/>
    <mergeCell ref="AS598:AS603"/>
    <mergeCell ref="AT598:AT603"/>
    <mergeCell ref="AU598:AU603"/>
    <mergeCell ref="AV598:AV603"/>
    <mergeCell ref="AK598:AK603"/>
    <mergeCell ref="AL598:AL603"/>
    <mergeCell ref="AM598:AM603"/>
    <mergeCell ref="AN598:AN603"/>
    <mergeCell ref="AY610:AY615"/>
    <mergeCell ref="C616:C621"/>
    <mergeCell ref="AF616:AF621"/>
    <mergeCell ref="AG616:AG621"/>
    <mergeCell ref="AH616:AH621"/>
    <mergeCell ref="AI616:AI621"/>
    <mergeCell ref="AJ616:AJ621"/>
    <mergeCell ref="AK616:AK621"/>
    <mergeCell ref="AL616:AL621"/>
    <mergeCell ref="AM616:AM621"/>
    <mergeCell ref="AS610:AS615"/>
    <mergeCell ref="AT610:AT615"/>
    <mergeCell ref="AU610:AU615"/>
    <mergeCell ref="AV610:AV615"/>
    <mergeCell ref="AW610:AW615"/>
    <mergeCell ref="AX610:AX615"/>
    <mergeCell ref="AL610:AL615"/>
    <mergeCell ref="AM610:AM615"/>
    <mergeCell ref="AN610:AN615"/>
    <mergeCell ref="AO610:AP615"/>
    <mergeCell ref="AQ610:AQ615"/>
    <mergeCell ref="AR610:AR615"/>
    <mergeCell ref="C610:C615"/>
    <mergeCell ref="AG610:AG615"/>
    <mergeCell ref="AH610:AH615"/>
    <mergeCell ref="AI610:AI615"/>
    <mergeCell ref="AJ610:AJ615"/>
    <mergeCell ref="AK610:AK615"/>
    <mergeCell ref="C622:C627"/>
    <mergeCell ref="AG622:AG627"/>
    <mergeCell ref="AH622:AH627"/>
    <mergeCell ref="AI622:AI627"/>
    <mergeCell ref="AJ622:AJ627"/>
    <mergeCell ref="AK622:AK627"/>
    <mergeCell ref="AT616:AT621"/>
    <mergeCell ref="AU616:AU621"/>
    <mergeCell ref="AV616:AV621"/>
    <mergeCell ref="AW616:AW621"/>
    <mergeCell ref="AX616:AX621"/>
    <mergeCell ref="AY616:AY621"/>
    <mergeCell ref="AN616:AN621"/>
    <mergeCell ref="AO616:AO621"/>
    <mergeCell ref="AP616:AP621"/>
    <mergeCell ref="AQ616:AQ621"/>
    <mergeCell ref="AR616:AR621"/>
    <mergeCell ref="AS616:AS621"/>
    <mergeCell ref="AH628:AH633"/>
    <mergeCell ref="AI628:AI633"/>
    <mergeCell ref="AJ628:AJ633"/>
    <mergeCell ref="AK628:AK633"/>
    <mergeCell ref="AL628:AL633"/>
    <mergeCell ref="AM628:AM633"/>
    <mergeCell ref="AN628:AN633"/>
    <mergeCell ref="AR622:AR627"/>
    <mergeCell ref="AS622:AS627"/>
    <mergeCell ref="AT622:AT627"/>
    <mergeCell ref="AU622:AU627"/>
    <mergeCell ref="AV622:AV627"/>
    <mergeCell ref="AW622:AW627"/>
    <mergeCell ref="AL622:AL627"/>
    <mergeCell ref="AM622:AM627"/>
    <mergeCell ref="AN622:AN627"/>
    <mergeCell ref="AO622:AO627"/>
    <mergeCell ref="AP622:AP627"/>
    <mergeCell ref="AQ622:AQ627"/>
    <mergeCell ref="AY640:AY645"/>
    <mergeCell ref="AU628:AU633"/>
    <mergeCell ref="AV628:AV633"/>
    <mergeCell ref="AW628:AW633"/>
    <mergeCell ref="AX628:AX633"/>
    <mergeCell ref="A634:A687"/>
    <mergeCell ref="B634:B687"/>
    <mergeCell ref="C634:C639"/>
    <mergeCell ref="AG634:AG639"/>
    <mergeCell ref="AH634:AH639"/>
    <mergeCell ref="AI634:AI639"/>
    <mergeCell ref="AO628:AO633"/>
    <mergeCell ref="AP628:AP633"/>
    <mergeCell ref="AQ628:AQ633"/>
    <mergeCell ref="AR628:AR633"/>
    <mergeCell ref="AS628:AS633"/>
    <mergeCell ref="AT628:AT633"/>
    <mergeCell ref="A502:A633"/>
    <mergeCell ref="B502:B633"/>
    <mergeCell ref="C526:C531"/>
    <mergeCell ref="AG526:AG531"/>
    <mergeCell ref="AH526:AH531"/>
    <mergeCell ref="AI526:AI531"/>
    <mergeCell ref="AJ526:AJ531"/>
    <mergeCell ref="AK526:AK531"/>
    <mergeCell ref="AL526:AL531"/>
    <mergeCell ref="AP640:AP645"/>
    <mergeCell ref="AQ640:AQ645"/>
    <mergeCell ref="AR640:AR645"/>
    <mergeCell ref="AX622:AX627"/>
    <mergeCell ref="C628:C633"/>
    <mergeCell ref="AG628:AG633"/>
    <mergeCell ref="AS640:AS645"/>
    <mergeCell ref="AT640:AT645"/>
    <mergeCell ref="AU640:AU645"/>
    <mergeCell ref="AJ640:AJ645"/>
    <mergeCell ref="AK640:AK645"/>
    <mergeCell ref="AL640:AL645"/>
    <mergeCell ref="AM640:AM645"/>
    <mergeCell ref="AN640:AN645"/>
    <mergeCell ref="AO640:AO645"/>
    <mergeCell ref="AV634:AV639"/>
    <mergeCell ref="AW634:AW639"/>
    <mergeCell ref="AX634:AX639"/>
    <mergeCell ref="AY634:AY639"/>
    <mergeCell ref="C640:C645"/>
    <mergeCell ref="AG640:AG645"/>
    <mergeCell ref="AH640:AH645"/>
    <mergeCell ref="AI640:AI645"/>
    <mergeCell ref="AP634:AP639"/>
    <mergeCell ref="AQ634:AQ639"/>
    <mergeCell ref="AR634:AR639"/>
    <mergeCell ref="AS634:AS639"/>
    <mergeCell ref="AT634:AT639"/>
    <mergeCell ref="AU634:AU639"/>
    <mergeCell ref="AJ634:AJ639"/>
    <mergeCell ref="AK634:AK639"/>
    <mergeCell ref="AL634:AL639"/>
    <mergeCell ref="AM634:AM639"/>
    <mergeCell ref="AN634:AN639"/>
    <mergeCell ref="AO634:AO639"/>
    <mergeCell ref="AV640:AV645"/>
    <mergeCell ref="AW640:AW645"/>
    <mergeCell ref="AX640:AX645"/>
    <mergeCell ref="AR652:AR657"/>
    <mergeCell ref="AW646:AW651"/>
    <mergeCell ref="AX646:AX651"/>
    <mergeCell ref="AY646:AY651"/>
    <mergeCell ref="C652:C657"/>
    <mergeCell ref="AG652:AG657"/>
    <mergeCell ref="AH652:AH657"/>
    <mergeCell ref="AI652:AI657"/>
    <mergeCell ref="AJ652:AJ657"/>
    <mergeCell ref="AK652:AK657"/>
    <mergeCell ref="AL652:AL657"/>
    <mergeCell ref="AQ646:AQ651"/>
    <mergeCell ref="AR646:AR651"/>
    <mergeCell ref="AS646:AS651"/>
    <mergeCell ref="AT646:AT651"/>
    <mergeCell ref="AU646:AU651"/>
    <mergeCell ref="AV646:AV651"/>
    <mergeCell ref="AK646:AK651"/>
    <mergeCell ref="AL646:AL651"/>
    <mergeCell ref="AM646:AM651"/>
    <mergeCell ref="AN646:AN651"/>
    <mergeCell ref="AO646:AO651"/>
    <mergeCell ref="AP646:AP651"/>
    <mergeCell ref="C646:C651"/>
    <mergeCell ref="AG646:AG651"/>
    <mergeCell ref="AH646:AH651"/>
    <mergeCell ref="AI646:AI651"/>
    <mergeCell ref="AJ646:AJ651"/>
    <mergeCell ref="AT658:AT663"/>
    <mergeCell ref="AU658:AU663"/>
    <mergeCell ref="AV658:AV663"/>
    <mergeCell ref="AW658:AW663"/>
    <mergeCell ref="AX658:AX663"/>
    <mergeCell ref="AY658:AY663"/>
    <mergeCell ref="AN658:AN663"/>
    <mergeCell ref="AO658:AO663"/>
    <mergeCell ref="AP658:AP663"/>
    <mergeCell ref="AQ658:AQ663"/>
    <mergeCell ref="AR658:AR663"/>
    <mergeCell ref="AS658:AS663"/>
    <mergeCell ref="AY652:AY657"/>
    <mergeCell ref="C658:C663"/>
    <mergeCell ref="AG658:AG663"/>
    <mergeCell ref="AH658:AH663"/>
    <mergeCell ref="AI658:AI663"/>
    <mergeCell ref="AJ658:AJ663"/>
    <mergeCell ref="AK658:AK663"/>
    <mergeCell ref="AL658:AL663"/>
    <mergeCell ref="AM658:AM663"/>
    <mergeCell ref="AS652:AS657"/>
    <mergeCell ref="AT652:AT657"/>
    <mergeCell ref="AU652:AU657"/>
    <mergeCell ref="AV652:AV657"/>
    <mergeCell ref="AW652:AW657"/>
    <mergeCell ref="AX652:AX657"/>
    <mergeCell ref="AM652:AM657"/>
    <mergeCell ref="AN652:AN657"/>
    <mergeCell ref="AO652:AO657"/>
    <mergeCell ref="AP652:AP657"/>
    <mergeCell ref="AQ652:AQ657"/>
    <mergeCell ref="AP670:AP675"/>
    <mergeCell ref="AQ670:AQ675"/>
    <mergeCell ref="AW664:AW669"/>
    <mergeCell ref="AX664:AX669"/>
    <mergeCell ref="AY664:AY669"/>
    <mergeCell ref="C670:C675"/>
    <mergeCell ref="AG670:AG675"/>
    <mergeCell ref="AH670:AH675"/>
    <mergeCell ref="AI670:AI675"/>
    <mergeCell ref="AJ670:AJ675"/>
    <mergeCell ref="AK670:AK675"/>
    <mergeCell ref="AQ664:AQ669"/>
    <mergeCell ref="AR664:AR669"/>
    <mergeCell ref="AS664:AS669"/>
    <mergeCell ref="AT664:AT669"/>
    <mergeCell ref="AU664:AU669"/>
    <mergeCell ref="AV664:AV669"/>
    <mergeCell ref="AK664:AK669"/>
    <mergeCell ref="AL664:AL669"/>
    <mergeCell ref="AM664:AM669"/>
    <mergeCell ref="AN664:AN669"/>
    <mergeCell ref="AO664:AO669"/>
    <mergeCell ref="AP664:AP669"/>
    <mergeCell ref="C664:C669"/>
    <mergeCell ref="AG664:AG669"/>
    <mergeCell ref="AH664:AH669"/>
    <mergeCell ref="AI664:AI669"/>
    <mergeCell ref="AJ664:AJ669"/>
    <mergeCell ref="AT676:AT681"/>
    <mergeCell ref="AU676:AU681"/>
    <mergeCell ref="AV676:AV681"/>
    <mergeCell ref="AW676:AW681"/>
    <mergeCell ref="AX676:AX681"/>
    <mergeCell ref="AY676:AY681"/>
    <mergeCell ref="AN676:AN681"/>
    <mergeCell ref="AO676:AO681"/>
    <mergeCell ref="AP676:AP681"/>
    <mergeCell ref="AQ676:AQ681"/>
    <mergeCell ref="AR676:AR681"/>
    <mergeCell ref="AS676:AS681"/>
    <mergeCell ref="AX670:AX675"/>
    <mergeCell ref="AY670:AY675"/>
    <mergeCell ref="C676:C681"/>
    <mergeCell ref="AG676:AG681"/>
    <mergeCell ref="AH676:AH681"/>
    <mergeCell ref="AI676:AI681"/>
    <mergeCell ref="AJ676:AJ681"/>
    <mergeCell ref="AK676:AK681"/>
    <mergeCell ref="AL676:AL681"/>
    <mergeCell ref="AM676:AM681"/>
    <mergeCell ref="AR670:AR675"/>
    <mergeCell ref="AS670:AS675"/>
    <mergeCell ref="AT670:AT675"/>
    <mergeCell ref="AU670:AU675"/>
    <mergeCell ref="AV670:AV675"/>
    <mergeCell ref="AW670:AW675"/>
    <mergeCell ref="AL670:AL675"/>
    <mergeCell ref="AM670:AM675"/>
    <mergeCell ref="AN670:AN675"/>
    <mergeCell ref="AO670:AO675"/>
    <mergeCell ref="AX682:AX687"/>
    <mergeCell ref="AY682:AY687"/>
    <mergeCell ref="A688:A699"/>
    <mergeCell ref="B688:B699"/>
    <mergeCell ref="C688:C693"/>
    <mergeCell ref="S688:S699"/>
    <mergeCell ref="AF688:AF699"/>
    <mergeCell ref="AG688:AG693"/>
    <mergeCell ref="AH688:AH693"/>
    <mergeCell ref="AI688:AI693"/>
    <mergeCell ref="AR682:AR687"/>
    <mergeCell ref="AS682:AS687"/>
    <mergeCell ref="AT682:AT687"/>
    <mergeCell ref="AU682:AU687"/>
    <mergeCell ref="AV682:AV687"/>
    <mergeCell ref="AW682:AW687"/>
    <mergeCell ref="AL682:AL687"/>
    <mergeCell ref="AM682:AM687"/>
    <mergeCell ref="AN682:AN687"/>
    <mergeCell ref="AO682:AO687"/>
    <mergeCell ref="AP682:AP687"/>
    <mergeCell ref="AQ682:AQ687"/>
    <mergeCell ref="C682:C687"/>
    <mergeCell ref="AG682:AG687"/>
    <mergeCell ref="AH682:AH687"/>
    <mergeCell ref="AI682:AI687"/>
    <mergeCell ref="AJ682:AJ687"/>
    <mergeCell ref="AK682:AK687"/>
    <mergeCell ref="AV688:AV693"/>
    <mergeCell ref="AW688:AW693"/>
    <mergeCell ref="AX688:AX693"/>
    <mergeCell ref="AY688:AY693"/>
    <mergeCell ref="C694:C699"/>
    <mergeCell ref="AG694:AG699"/>
    <mergeCell ref="AH694:AH699"/>
    <mergeCell ref="AI694:AI699"/>
    <mergeCell ref="AJ694:AJ699"/>
    <mergeCell ref="AK694:AK699"/>
    <mergeCell ref="AP688:AP693"/>
    <mergeCell ref="AQ688:AQ693"/>
    <mergeCell ref="AR688:AR693"/>
    <mergeCell ref="AS688:AS693"/>
    <mergeCell ref="AT688:AT693"/>
    <mergeCell ref="AU688:AU693"/>
    <mergeCell ref="AJ688:AJ693"/>
    <mergeCell ref="AK688:AK693"/>
    <mergeCell ref="AL688:AL693"/>
    <mergeCell ref="AM688:AM693"/>
    <mergeCell ref="AN688:AN693"/>
    <mergeCell ref="AO688:AO693"/>
    <mergeCell ref="AX694:AX699"/>
    <mergeCell ref="AY694:AY699"/>
    <mergeCell ref="A700:A771"/>
    <mergeCell ref="B700:B771"/>
    <mergeCell ref="C700:C705"/>
    <mergeCell ref="S700:S771"/>
    <mergeCell ref="AF700:AF771"/>
    <mergeCell ref="AG700:AG705"/>
    <mergeCell ref="AH700:AH705"/>
    <mergeCell ref="AI700:AI705"/>
    <mergeCell ref="AR694:AR699"/>
    <mergeCell ref="AS694:AS699"/>
    <mergeCell ref="AT694:AT699"/>
    <mergeCell ref="AU694:AU699"/>
    <mergeCell ref="AV694:AV699"/>
    <mergeCell ref="AW694:AW699"/>
    <mergeCell ref="AL694:AL699"/>
    <mergeCell ref="AM694:AM699"/>
    <mergeCell ref="AN694:AN699"/>
    <mergeCell ref="AO694:AO699"/>
    <mergeCell ref="AP694:AP699"/>
    <mergeCell ref="AQ694:AQ699"/>
    <mergeCell ref="AX706:AX711"/>
    <mergeCell ref="AM706:AM711"/>
    <mergeCell ref="AN706:AN711"/>
    <mergeCell ref="AO706:AO711"/>
    <mergeCell ref="AP706:AP711"/>
    <mergeCell ref="AQ706:AQ711"/>
    <mergeCell ref="AR706:AR711"/>
    <mergeCell ref="AV700:AV705"/>
    <mergeCell ref="AW700:AW705"/>
    <mergeCell ref="AX700:AX705"/>
    <mergeCell ref="AS706:AS711"/>
    <mergeCell ref="AT706:AT711"/>
    <mergeCell ref="AU706:AU711"/>
    <mergeCell ref="AV706:AV711"/>
    <mergeCell ref="AW706:AW711"/>
    <mergeCell ref="C706:C711"/>
    <mergeCell ref="AG706:AG711"/>
    <mergeCell ref="AH706:AH711"/>
    <mergeCell ref="AI706:AI711"/>
    <mergeCell ref="AJ706:AJ711"/>
    <mergeCell ref="AK706:AK711"/>
    <mergeCell ref="AL706:AL711"/>
    <mergeCell ref="AP700:AP705"/>
    <mergeCell ref="AQ700:AQ705"/>
    <mergeCell ref="AR700:AR705"/>
    <mergeCell ref="AS700:AS705"/>
    <mergeCell ref="AT700:AT705"/>
    <mergeCell ref="AU700:AU705"/>
    <mergeCell ref="AJ700:AJ705"/>
    <mergeCell ref="AK700:AK705"/>
    <mergeCell ref="AL700:AL705"/>
    <mergeCell ref="AM700:AM705"/>
    <mergeCell ref="AN700:AN705"/>
    <mergeCell ref="AO700:AO705"/>
    <mergeCell ref="AX712:AX717"/>
    <mergeCell ref="C718:C723"/>
    <mergeCell ref="AG718:AG723"/>
    <mergeCell ref="AH718:AH723"/>
    <mergeCell ref="AI718:AI723"/>
    <mergeCell ref="AJ718:AJ723"/>
    <mergeCell ref="AK718:AK723"/>
    <mergeCell ref="AL718:AL723"/>
    <mergeCell ref="AM718:AM723"/>
    <mergeCell ref="AN718:AN723"/>
    <mergeCell ref="AR712:AR717"/>
    <mergeCell ref="AS712:AS717"/>
    <mergeCell ref="AT712:AT717"/>
    <mergeCell ref="AU712:AU717"/>
    <mergeCell ref="AV712:AV717"/>
    <mergeCell ref="AW712:AW717"/>
    <mergeCell ref="AL712:AL717"/>
    <mergeCell ref="AM712:AM717"/>
    <mergeCell ref="AN712:AN717"/>
    <mergeCell ref="AO712:AO717"/>
    <mergeCell ref="AP712:AP717"/>
    <mergeCell ref="AQ712:AQ717"/>
    <mergeCell ref="C712:C717"/>
    <mergeCell ref="AG712:AG717"/>
    <mergeCell ref="AH712:AH717"/>
    <mergeCell ref="AI712:AI717"/>
    <mergeCell ref="AJ712:AJ717"/>
    <mergeCell ref="AK712:AK717"/>
    <mergeCell ref="AL724:AL729"/>
    <mergeCell ref="AM724:AM729"/>
    <mergeCell ref="AN724:AN729"/>
    <mergeCell ref="AO724:AO729"/>
    <mergeCell ref="AP724:AP729"/>
    <mergeCell ref="AQ724:AQ729"/>
    <mergeCell ref="AU718:AU723"/>
    <mergeCell ref="AV718:AV723"/>
    <mergeCell ref="AW718:AW723"/>
    <mergeCell ref="AX718:AX723"/>
    <mergeCell ref="C724:C729"/>
    <mergeCell ref="AG724:AG729"/>
    <mergeCell ref="AH724:AH729"/>
    <mergeCell ref="AI724:AI729"/>
    <mergeCell ref="AJ724:AJ729"/>
    <mergeCell ref="AK724:AK729"/>
    <mergeCell ref="AO718:AO723"/>
    <mergeCell ref="AP718:AP723"/>
    <mergeCell ref="AQ718:AQ723"/>
    <mergeCell ref="AR718:AR723"/>
    <mergeCell ref="AS718:AS723"/>
    <mergeCell ref="AT718:AT723"/>
    <mergeCell ref="AU730:AU735"/>
    <mergeCell ref="AV730:AV735"/>
    <mergeCell ref="AW730:AW735"/>
    <mergeCell ref="AX730:AX735"/>
    <mergeCell ref="C736:C741"/>
    <mergeCell ref="AG736:AG741"/>
    <mergeCell ref="AH736:AH741"/>
    <mergeCell ref="AI736:AI741"/>
    <mergeCell ref="AJ736:AJ741"/>
    <mergeCell ref="AK736:AK741"/>
    <mergeCell ref="AO730:AO735"/>
    <mergeCell ref="AP730:AP735"/>
    <mergeCell ref="AQ730:AQ735"/>
    <mergeCell ref="AR730:AR735"/>
    <mergeCell ref="AS730:AS735"/>
    <mergeCell ref="AT730:AT735"/>
    <mergeCell ref="AX724:AX729"/>
    <mergeCell ref="C730:C735"/>
    <mergeCell ref="AG730:AG735"/>
    <mergeCell ref="AH730:AH735"/>
    <mergeCell ref="AI730:AI735"/>
    <mergeCell ref="AJ730:AJ735"/>
    <mergeCell ref="AK730:AK735"/>
    <mergeCell ref="AL730:AL735"/>
    <mergeCell ref="AM730:AM735"/>
    <mergeCell ref="AN730:AN735"/>
    <mergeCell ref="AR724:AR729"/>
    <mergeCell ref="AS724:AS729"/>
    <mergeCell ref="AT724:AT729"/>
    <mergeCell ref="AU724:AU729"/>
    <mergeCell ref="AV724:AV729"/>
    <mergeCell ref="AW724:AW729"/>
    <mergeCell ref="AX736:AX741"/>
    <mergeCell ref="C742:C747"/>
    <mergeCell ref="AG742:AG747"/>
    <mergeCell ref="AH742:AH747"/>
    <mergeCell ref="AI742:AI747"/>
    <mergeCell ref="AJ742:AJ747"/>
    <mergeCell ref="AK742:AK747"/>
    <mergeCell ref="AL742:AL747"/>
    <mergeCell ref="AM742:AM747"/>
    <mergeCell ref="AN742:AN747"/>
    <mergeCell ref="AR736:AR741"/>
    <mergeCell ref="AS736:AS741"/>
    <mergeCell ref="AT736:AT741"/>
    <mergeCell ref="AU736:AU741"/>
    <mergeCell ref="AV736:AV741"/>
    <mergeCell ref="AW736:AW741"/>
    <mergeCell ref="AL736:AL741"/>
    <mergeCell ref="AM736:AM741"/>
    <mergeCell ref="AN736:AN741"/>
    <mergeCell ref="AO736:AO741"/>
    <mergeCell ref="AP736:AP741"/>
    <mergeCell ref="AQ736:AQ741"/>
    <mergeCell ref="AL748:AL753"/>
    <mergeCell ref="AM748:AM753"/>
    <mergeCell ref="AN748:AN753"/>
    <mergeCell ref="AO748:AO753"/>
    <mergeCell ref="AP748:AP753"/>
    <mergeCell ref="AQ748:AQ753"/>
    <mergeCell ref="AU742:AU747"/>
    <mergeCell ref="AV742:AV747"/>
    <mergeCell ref="AW742:AW747"/>
    <mergeCell ref="AX742:AX747"/>
    <mergeCell ref="C748:C753"/>
    <mergeCell ref="AG748:AG753"/>
    <mergeCell ref="AH748:AH753"/>
    <mergeCell ref="AI748:AI753"/>
    <mergeCell ref="AJ748:AJ753"/>
    <mergeCell ref="AK748:AK753"/>
    <mergeCell ref="AO742:AO747"/>
    <mergeCell ref="AP742:AP747"/>
    <mergeCell ref="AQ742:AQ747"/>
    <mergeCell ref="AR742:AR747"/>
    <mergeCell ref="AS742:AS747"/>
    <mergeCell ref="AT742:AT747"/>
    <mergeCell ref="AU754:AU759"/>
    <mergeCell ref="AV754:AV759"/>
    <mergeCell ref="AW754:AW759"/>
    <mergeCell ref="AX754:AX759"/>
    <mergeCell ref="C760:C765"/>
    <mergeCell ref="AG760:AG765"/>
    <mergeCell ref="AH760:AH765"/>
    <mergeCell ref="AI760:AI765"/>
    <mergeCell ref="AJ760:AJ765"/>
    <mergeCell ref="AK760:AK765"/>
    <mergeCell ref="AO754:AO759"/>
    <mergeCell ref="AP754:AP759"/>
    <mergeCell ref="AQ754:AQ759"/>
    <mergeCell ref="AR754:AR759"/>
    <mergeCell ref="AS754:AS759"/>
    <mergeCell ref="AT754:AT759"/>
    <mergeCell ref="AX748:AX753"/>
    <mergeCell ref="C754:C759"/>
    <mergeCell ref="AG754:AG759"/>
    <mergeCell ref="AH754:AH759"/>
    <mergeCell ref="AI754:AI759"/>
    <mergeCell ref="AJ754:AJ759"/>
    <mergeCell ref="AK754:AK759"/>
    <mergeCell ref="AL754:AL759"/>
    <mergeCell ref="AM754:AM759"/>
    <mergeCell ref="AN754:AN759"/>
    <mergeCell ref="AR748:AR753"/>
    <mergeCell ref="AS748:AS753"/>
    <mergeCell ref="AT748:AT753"/>
    <mergeCell ref="AU748:AU753"/>
    <mergeCell ref="AV748:AV753"/>
    <mergeCell ref="AW748:AW753"/>
    <mergeCell ref="AX760:AX765"/>
    <mergeCell ref="C766:C771"/>
    <mergeCell ref="AG766:AG771"/>
    <mergeCell ref="AH766:AH771"/>
    <mergeCell ref="AI766:AI771"/>
    <mergeCell ref="AJ766:AJ771"/>
    <mergeCell ref="AK766:AK771"/>
    <mergeCell ref="AL766:AL771"/>
    <mergeCell ref="AM766:AM771"/>
    <mergeCell ref="AN766:AN771"/>
    <mergeCell ref="AR760:AR765"/>
    <mergeCell ref="AS760:AS765"/>
    <mergeCell ref="AT760:AT765"/>
    <mergeCell ref="AU760:AU765"/>
    <mergeCell ref="AV760:AV765"/>
    <mergeCell ref="AW760:AW765"/>
    <mergeCell ref="AL760:AL765"/>
    <mergeCell ref="AM760:AM765"/>
    <mergeCell ref="AN760:AN765"/>
    <mergeCell ref="AO760:AO765"/>
    <mergeCell ref="AP760:AP765"/>
    <mergeCell ref="AQ760:AQ765"/>
    <mergeCell ref="AX778:AX783"/>
    <mergeCell ref="AU766:AU771"/>
    <mergeCell ref="AV766:AV771"/>
    <mergeCell ref="AW766:AW771"/>
    <mergeCell ref="AX766:AX771"/>
    <mergeCell ref="A772:A783"/>
    <mergeCell ref="B772:B783"/>
    <mergeCell ref="C772:C777"/>
    <mergeCell ref="AF772:AF777"/>
    <mergeCell ref="AG772:AG777"/>
    <mergeCell ref="AH772:AH777"/>
    <mergeCell ref="AO766:AO771"/>
    <mergeCell ref="AP766:AP771"/>
    <mergeCell ref="AQ766:AQ771"/>
    <mergeCell ref="AR766:AR771"/>
    <mergeCell ref="AS766:AS771"/>
    <mergeCell ref="AT766:AT771"/>
    <mergeCell ref="AG790:AG795"/>
    <mergeCell ref="AH790:AH795"/>
    <mergeCell ref="AI790:AI795"/>
    <mergeCell ref="AJ790:AJ795"/>
    <mergeCell ref="AK790:AK795"/>
    <mergeCell ref="AL790:AL795"/>
    <mergeCell ref="AM790:AM795"/>
    <mergeCell ref="AN790:AN795"/>
    <mergeCell ref="AR784:AR789"/>
    <mergeCell ref="AS784:AS789"/>
    <mergeCell ref="AU772:AU777"/>
    <mergeCell ref="AV772:AV777"/>
    <mergeCell ref="AW772:AW777"/>
    <mergeCell ref="AX772:AX777"/>
    <mergeCell ref="C778:C783"/>
    <mergeCell ref="AG778:AG783"/>
    <mergeCell ref="AH778:AH783"/>
    <mergeCell ref="AI778:AI783"/>
    <mergeCell ref="AJ778:AJ783"/>
    <mergeCell ref="AK778:AK783"/>
    <mergeCell ref="AO772:AO777"/>
    <mergeCell ref="AP772:AP777"/>
    <mergeCell ref="AQ772:AQ777"/>
    <mergeCell ref="AR772:AR777"/>
    <mergeCell ref="AS772:AS777"/>
    <mergeCell ref="AT772:AT777"/>
    <mergeCell ref="AI772:AI777"/>
    <mergeCell ref="AJ772:AJ777"/>
    <mergeCell ref="AK772:AK777"/>
    <mergeCell ref="AL772:AL777"/>
    <mergeCell ref="AM772:AM777"/>
    <mergeCell ref="AN772:AN777"/>
    <mergeCell ref="AP784:AP789"/>
    <mergeCell ref="AQ784:AQ789"/>
    <mergeCell ref="E4:AY4"/>
    <mergeCell ref="A5:D5"/>
    <mergeCell ref="E5:AY5"/>
    <mergeCell ref="A6:D6"/>
    <mergeCell ref="E6:AY6"/>
    <mergeCell ref="AG8:AK8"/>
    <mergeCell ref="AL8:AM8"/>
    <mergeCell ref="AO8:AX8"/>
    <mergeCell ref="A784:A795"/>
    <mergeCell ref="B784:B795"/>
    <mergeCell ref="C784:C789"/>
    <mergeCell ref="AF784:AF789"/>
    <mergeCell ref="AG784:AG789"/>
    <mergeCell ref="AH784:AH789"/>
    <mergeCell ref="AI784:AI789"/>
    <mergeCell ref="AJ784:AJ789"/>
    <mergeCell ref="AK784:AK789"/>
    <mergeCell ref="AR778:AR783"/>
    <mergeCell ref="AS778:AS783"/>
    <mergeCell ref="AT778:AT783"/>
    <mergeCell ref="AU778:AU783"/>
    <mergeCell ref="AV778:AV783"/>
    <mergeCell ref="AW778:AW783"/>
    <mergeCell ref="AL778:AL783"/>
    <mergeCell ref="AM778:AM783"/>
    <mergeCell ref="AN778:AN783"/>
    <mergeCell ref="AO778:AO783"/>
    <mergeCell ref="AP778:AP783"/>
    <mergeCell ref="AQ778:AQ783"/>
    <mergeCell ref="C790:C795"/>
    <mergeCell ref="B802:D802"/>
    <mergeCell ref="E802:R802"/>
    <mergeCell ref="B803:D803"/>
    <mergeCell ref="E803:R803"/>
    <mergeCell ref="A1:D3"/>
    <mergeCell ref="E1:AY1"/>
    <mergeCell ref="E2:AY2"/>
    <mergeCell ref="E3:AD3"/>
    <mergeCell ref="AE3:AY3"/>
    <mergeCell ref="A4:D4"/>
    <mergeCell ref="AU790:AU795"/>
    <mergeCell ref="AV790:AV795"/>
    <mergeCell ref="AW790:AW795"/>
    <mergeCell ref="AX790:AX795"/>
    <mergeCell ref="A796:C798"/>
    <mergeCell ref="B801:D801"/>
    <mergeCell ref="E801:R801"/>
    <mergeCell ref="AO790:AO795"/>
    <mergeCell ref="AP790:AP795"/>
    <mergeCell ref="AQ790:AQ795"/>
    <mergeCell ref="AR790:AR795"/>
    <mergeCell ref="AS790:AS795"/>
    <mergeCell ref="AT790:AT795"/>
    <mergeCell ref="AX784:AX789"/>
    <mergeCell ref="AT784:AT789"/>
    <mergeCell ref="AU784:AU789"/>
    <mergeCell ref="AV784:AV789"/>
    <mergeCell ref="AW784:AW789"/>
    <mergeCell ref="AL784:AL789"/>
    <mergeCell ref="AM784:AM789"/>
    <mergeCell ref="AN784:AN789"/>
    <mergeCell ref="AO784:AO789"/>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 </vt:lpstr>
      <vt:lpstr>SPI</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2022-01-30T22:22:36Z</dcterms:modified>
</cp:coreProperties>
</file>